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9B68D7F5-31F0-42D6-AA50-FCADFF41B783}" xr6:coauthVersionLast="47" xr6:coauthVersionMax="47" xr10:uidLastSave="{00000000-0000-0000-0000-000000000000}"/>
  <bookViews>
    <workbookView xWindow="-120" yWindow="-120" windowWidth="20730" windowHeight="11040" tabRatio="664" firstSheet="1" activeTab="4" xr2:uid="{00000000-000D-0000-FFFF-FFFF00000000}"/>
  </bookViews>
  <sheets>
    <sheet name="02. Liquidacion anual (NEW)" sheetId="27" state="hidden" r:id="rId1"/>
    <sheet name="02. Liquidacion Anual 2024" sheetId="28" r:id="rId2"/>
    <sheet name="EJEMPLO DE NOMINA" sheetId="26" r:id="rId3"/>
    <sheet name="CVS" sheetId="29" r:id="rId4"/>
    <sheet name="INFO" sheetId="30" r:id="rId5"/>
  </sheets>
  <definedNames>
    <definedName name="_xlnm._FilterDatabase" localSheetId="2" hidden="1">'EJEMPLO DE NOMINA'!$A$101:$BV$489</definedName>
    <definedName name="_xlnm.Print_Area" localSheetId="0">'02. Liquidacion anual (NEW)'!$B$1:$Q$421</definedName>
    <definedName name="_xlnm.Print_Area" localSheetId="1">'02. Liquidacion Anual 2024'!$B$2:$P$44</definedName>
    <definedName name="Concepto87">#REF!</definedName>
    <definedName name="Concepto87.">#REF!</definedName>
    <definedName name="Concepto870">#REF!</definedName>
    <definedName name="Concepto871">#REF!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489" i="26" l="1"/>
  <c r="BU488" i="26"/>
  <c r="BU486" i="26"/>
  <c r="BU485" i="26"/>
  <c r="BU483" i="26"/>
  <c r="BU482" i="26"/>
  <c r="BU480" i="26"/>
  <c r="BU479" i="26"/>
  <c r="BU478" i="26"/>
  <c r="BU476" i="26"/>
  <c r="BU474" i="26"/>
  <c r="BU473" i="26"/>
  <c r="BU471" i="26"/>
  <c r="BU469" i="26"/>
  <c r="BU468" i="26"/>
  <c r="BU467" i="26"/>
  <c r="BU466" i="26"/>
  <c r="BU465" i="26"/>
  <c r="BU463" i="26"/>
  <c r="BU462" i="26"/>
  <c r="BU461" i="26"/>
  <c r="BU460" i="26"/>
  <c r="BU459" i="26"/>
  <c r="BU458" i="26"/>
  <c r="BU456" i="26"/>
  <c r="BU455" i="26"/>
  <c r="BU453" i="26"/>
  <c r="BU452" i="26"/>
  <c r="BU451" i="26"/>
  <c r="BU450" i="26"/>
  <c r="BU449" i="26"/>
  <c r="BU448" i="26"/>
  <c r="BU446" i="26"/>
  <c r="BU445" i="26"/>
  <c r="BU444" i="26"/>
  <c r="BU442" i="26"/>
  <c r="BU441" i="26"/>
  <c r="BU440" i="26"/>
  <c r="BU439" i="26"/>
  <c r="BU438" i="26"/>
  <c r="BU437" i="26"/>
  <c r="BU436" i="26"/>
  <c r="BU434" i="26"/>
  <c r="BU431" i="26"/>
  <c r="BU430" i="26"/>
  <c r="BU429" i="26"/>
  <c r="BU428" i="26"/>
  <c r="BU427" i="26"/>
  <c r="BU425" i="26"/>
  <c r="BU423" i="26"/>
  <c r="BU422" i="26"/>
  <c r="BU420" i="26"/>
  <c r="BU418" i="26"/>
  <c r="BU417" i="26"/>
  <c r="BU416" i="26"/>
  <c r="BU415" i="26"/>
  <c r="BU414" i="26"/>
  <c r="BU413" i="26"/>
  <c r="BU412" i="26"/>
  <c r="BU411" i="26"/>
  <c r="BU410" i="26"/>
  <c r="BU409" i="26"/>
  <c r="BU408" i="26"/>
  <c r="BU407" i="26"/>
  <c r="BU404" i="26"/>
  <c r="BU403" i="26"/>
  <c r="BU402" i="26"/>
  <c r="BU401" i="26"/>
  <c r="BU400" i="26"/>
  <c r="BU399" i="26"/>
  <c r="BU397" i="26"/>
  <c r="BU395" i="26"/>
  <c r="BU394" i="26"/>
  <c r="BU393" i="26"/>
  <c r="BU392" i="26"/>
  <c r="BU390" i="26"/>
  <c r="BU389" i="26"/>
  <c r="BU388" i="26"/>
  <c r="BU387" i="26"/>
  <c r="BU384" i="26"/>
  <c r="BU383" i="26"/>
  <c r="BU382" i="26"/>
  <c r="BU381" i="26"/>
  <c r="BU380" i="26"/>
  <c r="BU377" i="26"/>
  <c r="BU376" i="26"/>
  <c r="BU374" i="26"/>
  <c r="BU373" i="26"/>
  <c r="BU371" i="26"/>
  <c r="BU370" i="26"/>
  <c r="BU366" i="26"/>
  <c r="BU365" i="26"/>
  <c r="BU363" i="26"/>
  <c r="BU362" i="26"/>
  <c r="BU361" i="26"/>
  <c r="AZ100" i="26"/>
  <c r="AS100" i="26"/>
  <c r="BS100" i="26"/>
  <c r="AM100" i="26"/>
  <c r="F38" i="28"/>
  <c r="F37" i="28"/>
  <c r="G36" i="28"/>
  <c r="H36" i="28"/>
  <c r="I36" i="28"/>
  <c r="J36" i="28"/>
  <c r="K36" i="28"/>
  <c r="L36" i="28"/>
  <c r="M36" i="28"/>
  <c r="N36" i="28"/>
  <c r="O36" i="28"/>
  <c r="G35" i="28"/>
  <c r="H35" i="28"/>
  <c r="I35" i="28"/>
  <c r="J35" i="28"/>
  <c r="K35" i="28"/>
  <c r="L35" i="28"/>
  <c r="M35" i="28"/>
  <c r="N35" i="28"/>
  <c r="O35" i="28"/>
  <c r="F36" i="28"/>
  <c r="F35" i="28"/>
  <c r="G22" i="28"/>
  <c r="H22" i="28"/>
  <c r="I22" i="28"/>
  <c r="J22" i="28"/>
  <c r="K22" i="28"/>
  <c r="L22" i="28"/>
  <c r="M22" i="28"/>
  <c r="N22" i="28"/>
  <c r="O22" i="28"/>
  <c r="G21" i="28"/>
  <c r="H21" i="28"/>
  <c r="I21" i="28"/>
  <c r="J21" i="28"/>
  <c r="K21" i="28"/>
  <c r="L21" i="28"/>
  <c r="M21" i="28"/>
  <c r="N21" i="28"/>
  <c r="O21" i="28"/>
  <c r="G20" i="28"/>
  <c r="H20" i="28"/>
  <c r="I20" i="28"/>
  <c r="J20" i="28"/>
  <c r="K20" i="28"/>
  <c r="L20" i="28"/>
  <c r="M20" i="28"/>
  <c r="N20" i="28"/>
  <c r="O20" i="28"/>
  <c r="G19" i="28"/>
  <c r="H19" i="28"/>
  <c r="I19" i="28"/>
  <c r="J19" i="28"/>
  <c r="K19" i="28"/>
  <c r="L19" i="28"/>
  <c r="M19" i="28"/>
  <c r="N19" i="28"/>
  <c r="O19" i="28"/>
  <c r="G18" i="28"/>
  <c r="H18" i="28"/>
  <c r="I18" i="28"/>
  <c r="J18" i="28"/>
  <c r="K18" i="28"/>
  <c r="L18" i="28"/>
  <c r="M18" i="28"/>
  <c r="N18" i="28"/>
  <c r="O18" i="28"/>
  <c r="F18" i="28"/>
  <c r="G17" i="28"/>
  <c r="H17" i="28"/>
  <c r="I17" i="28"/>
  <c r="J17" i="28"/>
  <c r="K17" i="28"/>
  <c r="L17" i="28"/>
  <c r="M17" i="28"/>
  <c r="N17" i="28"/>
  <c r="O17" i="28"/>
  <c r="F17" i="28"/>
  <c r="G16" i="28"/>
  <c r="H16" i="28"/>
  <c r="I16" i="28"/>
  <c r="J16" i="28"/>
  <c r="K16" i="28"/>
  <c r="L16" i="28"/>
  <c r="M16" i="28"/>
  <c r="N16" i="28"/>
  <c r="O16" i="28"/>
  <c r="G15" i="28"/>
  <c r="H15" i="28"/>
  <c r="I15" i="28"/>
  <c r="J15" i="28"/>
  <c r="K15" i="28"/>
  <c r="L15" i="28"/>
  <c r="M15" i="28"/>
  <c r="N15" i="28"/>
  <c r="O15" i="28"/>
  <c r="F14" i="28"/>
  <c r="G14" i="28"/>
  <c r="H14" i="28"/>
  <c r="I14" i="28"/>
  <c r="J14" i="28"/>
  <c r="K14" i="28"/>
  <c r="L14" i="28"/>
  <c r="M14" i="28"/>
  <c r="N14" i="28"/>
  <c r="O14" i="28"/>
  <c r="BT489" i="26"/>
  <c r="BT361" i="26"/>
  <c r="BT362" i="26"/>
  <c r="BT363" i="26"/>
  <c r="BT364" i="26"/>
  <c r="BT365" i="26"/>
  <c r="BT366" i="26"/>
  <c r="BT367" i="26"/>
  <c r="BT368" i="26"/>
  <c r="BT369" i="26"/>
  <c r="BT370" i="26"/>
  <c r="BT371" i="26"/>
  <c r="BT372" i="26"/>
  <c r="BT373" i="26"/>
  <c r="BT374" i="26"/>
  <c r="BT375" i="26"/>
  <c r="BT376" i="26"/>
  <c r="BT377" i="26"/>
  <c r="BT378" i="26"/>
  <c r="BT379" i="26"/>
  <c r="BT380" i="26"/>
  <c r="BT381" i="26"/>
  <c r="BT382" i="26"/>
  <c r="BT383" i="26"/>
  <c r="BT384" i="26"/>
  <c r="BT385" i="26"/>
  <c r="BT386" i="26"/>
  <c r="BT387" i="26"/>
  <c r="BT388" i="26"/>
  <c r="BT389" i="26"/>
  <c r="BT390" i="26"/>
  <c r="BT391" i="26"/>
  <c r="BT392" i="26"/>
  <c r="BT393" i="26"/>
  <c r="BT394" i="26"/>
  <c r="BT395" i="26"/>
  <c r="BT396" i="26"/>
  <c r="BT397" i="26"/>
  <c r="BT398" i="26"/>
  <c r="BT399" i="26"/>
  <c r="BT400" i="26"/>
  <c r="BT401" i="26"/>
  <c r="BT402" i="26"/>
  <c r="BT403" i="26"/>
  <c r="BT404" i="26"/>
  <c r="BT405" i="26"/>
  <c r="BT406" i="26"/>
  <c r="BT407" i="26"/>
  <c r="BT408" i="26"/>
  <c r="BT409" i="26"/>
  <c r="BT410" i="26"/>
  <c r="BT411" i="26"/>
  <c r="BT412" i="26"/>
  <c r="BT413" i="26"/>
  <c r="BT414" i="26"/>
  <c r="BT415" i="26"/>
  <c r="BT416" i="26"/>
  <c r="BT417" i="26"/>
  <c r="BT418" i="26"/>
  <c r="BT419" i="26"/>
  <c r="BT420" i="26"/>
  <c r="BT421" i="26"/>
  <c r="BT422" i="26"/>
  <c r="BT423" i="26"/>
  <c r="BT424" i="26"/>
  <c r="BT425" i="26"/>
  <c r="BT426" i="26"/>
  <c r="BT427" i="26"/>
  <c r="BT428" i="26"/>
  <c r="BT429" i="26"/>
  <c r="BT430" i="26"/>
  <c r="BT431" i="26"/>
  <c r="BT432" i="26"/>
  <c r="BT433" i="26"/>
  <c r="BT434" i="26"/>
  <c r="BT435" i="26"/>
  <c r="BT436" i="26"/>
  <c r="BT437" i="26"/>
  <c r="BT438" i="26"/>
  <c r="BT439" i="26"/>
  <c r="BT440" i="26"/>
  <c r="BT441" i="26"/>
  <c r="BT442" i="26"/>
  <c r="BT443" i="26"/>
  <c r="BT444" i="26"/>
  <c r="BT445" i="26"/>
  <c r="BT446" i="26"/>
  <c r="BT447" i="26"/>
  <c r="BT448" i="26"/>
  <c r="BT449" i="26"/>
  <c r="BT450" i="26"/>
  <c r="BT451" i="26"/>
  <c r="BT452" i="26"/>
  <c r="BT453" i="26"/>
  <c r="BT454" i="26"/>
  <c r="BT455" i="26"/>
  <c r="BT456" i="26"/>
  <c r="BT457" i="26"/>
  <c r="BT458" i="26"/>
  <c r="BT459" i="26"/>
  <c r="BT460" i="26"/>
  <c r="BT461" i="26"/>
  <c r="BT462" i="26"/>
  <c r="BT463" i="26"/>
  <c r="BT464" i="26"/>
  <c r="BT465" i="26"/>
  <c r="BT466" i="26"/>
  <c r="BT467" i="26"/>
  <c r="BT468" i="26"/>
  <c r="BT469" i="26"/>
  <c r="BT470" i="26"/>
  <c r="BT471" i="26"/>
  <c r="BT472" i="26"/>
  <c r="BT473" i="26"/>
  <c r="BT474" i="26"/>
  <c r="BT475" i="26"/>
  <c r="BT476" i="26"/>
  <c r="BT477" i="26"/>
  <c r="BT478" i="26"/>
  <c r="BT479" i="26"/>
  <c r="BT480" i="26"/>
  <c r="BT481" i="26"/>
  <c r="BT482" i="26"/>
  <c r="BT483" i="26"/>
  <c r="BT484" i="26"/>
  <c r="BT485" i="26"/>
  <c r="BT486" i="26"/>
  <c r="BT487" i="26"/>
  <c r="BT488" i="26"/>
  <c r="D361" i="26"/>
  <c r="F22" i="28" s="1"/>
  <c r="D362" i="26"/>
  <c r="D363" i="26"/>
  <c r="D364" i="26"/>
  <c r="D365" i="26"/>
  <c r="D366" i="26"/>
  <c r="D367" i="26"/>
  <c r="D368" i="26"/>
  <c r="D369" i="26"/>
  <c r="D370" i="26"/>
  <c r="D371" i="26"/>
  <c r="D372" i="26"/>
  <c r="D373" i="26"/>
  <c r="D374" i="26"/>
  <c r="D375" i="26"/>
  <c r="D376" i="26"/>
  <c r="D377" i="26"/>
  <c r="D378" i="26"/>
  <c r="D379" i="26"/>
  <c r="D380" i="26"/>
  <c r="D381" i="26"/>
  <c r="D382" i="26"/>
  <c r="D383" i="26"/>
  <c r="D384" i="26"/>
  <c r="D385" i="26"/>
  <c r="D386" i="26"/>
  <c r="D387" i="26"/>
  <c r="D388" i="26"/>
  <c r="D389" i="26"/>
  <c r="D390" i="26"/>
  <c r="D391" i="26"/>
  <c r="D392" i="26"/>
  <c r="D393" i="26"/>
  <c r="D394" i="26"/>
  <c r="D395" i="26"/>
  <c r="D396" i="26"/>
  <c r="D397" i="26"/>
  <c r="D398" i="26"/>
  <c r="D399" i="26"/>
  <c r="D400" i="26"/>
  <c r="D401" i="26"/>
  <c r="D402" i="26"/>
  <c r="D403" i="26"/>
  <c r="D404" i="26"/>
  <c r="D405" i="26"/>
  <c r="D406" i="26"/>
  <c r="D407" i="26"/>
  <c r="D408" i="26"/>
  <c r="D409" i="26"/>
  <c r="D410" i="26"/>
  <c r="D411" i="26"/>
  <c r="D412" i="26"/>
  <c r="D413" i="26"/>
  <c r="D414" i="26"/>
  <c r="D415" i="26"/>
  <c r="D416" i="26"/>
  <c r="D417" i="26"/>
  <c r="D418" i="26"/>
  <c r="D419" i="26"/>
  <c r="D420" i="26"/>
  <c r="D421" i="26"/>
  <c r="D422" i="26"/>
  <c r="D423" i="26"/>
  <c r="D424" i="26"/>
  <c r="D425" i="26"/>
  <c r="D426" i="26"/>
  <c r="D427" i="26"/>
  <c r="D428" i="26"/>
  <c r="D429" i="26"/>
  <c r="D430" i="26"/>
  <c r="D431" i="26"/>
  <c r="D432" i="26"/>
  <c r="D433" i="26"/>
  <c r="D434" i="26"/>
  <c r="D435" i="26"/>
  <c r="D436" i="26"/>
  <c r="D437" i="26"/>
  <c r="D438" i="26"/>
  <c r="D439" i="26"/>
  <c r="D440" i="26"/>
  <c r="D441" i="26"/>
  <c r="D442" i="26"/>
  <c r="D443" i="26"/>
  <c r="D444" i="26"/>
  <c r="D445" i="26"/>
  <c r="D446" i="26"/>
  <c r="D447" i="26"/>
  <c r="D448" i="26"/>
  <c r="D449" i="26"/>
  <c r="D450" i="26"/>
  <c r="D451" i="26"/>
  <c r="D452" i="26"/>
  <c r="D453" i="26"/>
  <c r="D454" i="26"/>
  <c r="D455" i="26"/>
  <c r="D456" i="26"/>
  <c r="D457" i="26"/>
  <c r="D458" i="26"/>
  <c r="D459" i="26"/>
  <c r="D460" i="26"/>
  <c r="D461" i="26"/>
  <c r="D462" i="26"/>
  <c r="D463" i="26"/>
  <c r="D464" i="26"/>
  <c r="D465" i="26"/>
  <c r="D466" i="26"/>
  <c r="D467" i="26"/>
  <c r="D468" i="26"/>
  <c r="D469" i="26"/>
  <c r="D470" i="26"/>
  <c r="D471" i="26"/>
  <c r="D472" i="26"/>
  <c r="D473" i="26"/>
  <c r="D474" i="26"/>
  <c r="D475" i="26"/>
  <c r="D476" i="26"/>
  <c r="D477" i="26"/>
  <c r="D478" i="26"/>
  <c r="D479" i="26"/>
  <c r="D480" i="26"/>
  <c r="D481" i="26"/>
  <c r="D482" i="26"/>
  <c r="D483" i="26"/>
  <c r="D484" i="26"/>
  <c r="D485" i="26"/>
  <c r="D486" i="26"/>
  <c r="D487" i="26"/>
  <c r="D488" i="26"/>
  <c r="D489" i="26"/>
  <c r="A372" i="26"/>
  <c r="A373" i="26"/>
  <c r="A374" i="26"/>
  <c r="A375" i="26"/>
  <c r="A376" i="26"/>
  <c r="A377" i="26"/>
  <c r="A378" i="26"/>
  <c r="A379" i="26"/>
  <c r="A380" i="26"/>
  <c r="A381" i="26"/>
  <c r="A382" i="26"/>
  <c r="A383" i="26"/>
  <c r="A384" i="26"/>
  <c r="A385" i="26"/>
  <c r="A386" i="26"/>
  <c r="A387" i="26"/>
  <c r="A388" i="26"/>
  <c r="A389" i="26"/>
  <c r="A390" i="26"/>
  <c r="A391" i="26"/>
  <c r="A392" i="26"/>
  <c r="A393" i="26"/>
  <c r="A394" i="26"/>
  <c r="A395" i="26"/>
  <c r="A396" i="26"/>
  <c r="A397" i="26"/>
  <c r="A398" i="26"/>
  <c r="A399" i="26"/>
  <c r="A400" i="26"/>
  <c r="A401" i="26"/>
  <c r="A402" i="26"/>
  <c r="A403" i="26"/>
  <c r="A404" i="26"/>
  <c r="A405" i="26"/>
  <c r="A406" i="26"/>
  <c r="A407" i="26"/>
  <c r="A408" i="26"/>
  <c r="A409" i="26"/>
  <c r="A410" i="26"/>
  <c r="A411" i="26"/>
  <c r="A412" i="26"/>
  <c r="A413" i="26"/>
  <c r="A414" i="26"/>
  <c r="A415" i="26"/>
  <c r="A416" i="26"/>
  <c r="A417" i="26"/>
  <c r="A418" i="26"/>
  <c r="A419" i="26"/>
  <c r="A420" i="26"/>
  <c r="A421" i="26"/>
  <c r="A422" i="26"/>
  <c r="A423" i="26"/>
  <c r="A424" i="26"/>
  <c r="A425" i="26"/>
  <c r="A426" i="26"/>
  <c r="A427" i="26"/>
  <c r="A428" i="26"/>
  <c r="A429" i="26"/>
  <c r="A430" i="26"/>
  <c r="A431" i="26"/>
  <c r="A432" i="26"/>
  <c r="A433" i="26"/>
  <c r="A434" i="26"/>
  <c r="A435" i="26"/>
  <c r="A436" i="26"/>
  <c r="A437" i="26"/>
  <c r="A438" i="26"/>
  <c r="A439" i="26"/>
  <c r="A440" i="26"/>
  <c r="A441" i="26"/>
  <c r="A442" i="26"/>
  <c r="A443" i="26"/>
  <c r="A444" i="26"/>
  <c r="A445" i="26"/>
  <c r="A446" i="26"/>
  <c r="A447" i="26"/>
  <c r="A448" i="26"/>
  <c r="A449" i="26"/>
  <c r="A450" i="26"/>
  <c r="A451" i="26"/>
  <c r="A452" i="26"/>
  <c r="A453" i="26"/>
  <c r="A454" i="26"/>
  <c r="A455" i="26"/>
  <c r="A456" i="26"/>
  <c r="A457" i="26"/>
  <c r="A458" i="26"/>
  <c r="A459" i="26"/>
  <c r="A460" i="26"/>
  <c r="A461" i="26"/>
  <c r="A462" i="26"/>
  <c r="A463" i="26"/>
  <c r="A464" i="26"/>
  <c r="A465" i="26"/>
  <c r="A466" i="26"/>
  <c r="A467" i="26"/>
  <c r="A468" i="26"/>
  <c r="A469" i="26"/>
  <c r="A470" i="26"/>
  <c r="A471" i="26"/>
  <c r="A472" i="26"/>
  <c r="A473" i="26"/>
  <c r="A474" i="26"/>
  <c r="A475" i="26"/>
  <c r="A476" i="26"/>
  <c r="A477" i="26"/>
  <c r="A478" i="26"/>
  <c r="A479" i="26"/>
  <c r="A480" i="26"/>
  <c r="A481" i="26"/>
  <c r="A482" i="26"/>
  <c r="A483" i="26"/>
  <c r="A484" i="26"/>
  <c r="A485" i="26"/>
  <c r="A486" i="26"/>
  <c r="A487" i="26"/>
  <c r="A488" i="26"/>
  <c r="A489" i="26"/>
  <c r="A361" i="26"/>
  <c r="A362" i="26"/>
  <c r="A363" i="26"/>
  <c r="A364" i="26"/>
  <c r="A365" i="26"/>
  <c r="A366" i="26"/>
  <c r="A367" i="26"/>
  <c r="A368" i="26"/>
  <c r="A369" i="26"/>
  <c r="A370" i="26"/>
  <c r="A371" i="26"/>
  <c r="E38" i="28"/>
  <c r="E37" i="28"/>
  <c r="G37" i="28"/>
  <c r="H37" i="28"/>
  <c r="I37" i="28"/>
  <c r="J37" i="28"/>
  <c r="K37" i="28"/>
  <c r="L37" i="28"/>
  <c r="M37" i="28"/>
  <c r="E36" i="28"/>
  <c r="E35" i="28"/>
  <c r="BT360" i="26"/>
  <c r="BT359" i="26"/>
  <c r="BT358" i="26"/>
  <c r="BT357" i="26"/>
  <c r="BT356" i="26"/>
  <c r="BT355" i="26"/>
  <c r="BT354" i="26"/>
  <c r="BT352" i="26"/>
  <c r="BT351" i="26"/>
  <c r="BT350" i="26"/>
  <c r="BT349" i="26"/>
  <c r="BT348" i="26"/>
  <c r="BT347" i="26"/>
  <c r="BT345" i="26"/>
  <c r="BT344" i="26"/>
  <c r="BT343" i="26"/>
  <c r="BT342" i="26"/>
  <c r="BT341" i="26"/>
  <c r="BT340" i="26"/>
  <c r="BT339" i="26"/>
  <c r="BT338" i="26"/>
  <c r="BT337" i="26"/>
  <c r="BT336" i="26"/>
  <c r="BT335" i="26"/>
  <c r="BT334" i="26"/>
  <c r="BT333" i="26"/>
  <c r="BT331" i="26"/>
  <c r="BT330" i="26"/>
  <c r="BT329" i="26"/>
  <c r="BT328" i="26"/>
  <c r="BT327" i="26"/>
  <c r="BT326" i="26"/>
  <c r="BT325" i="26"/>
  <c r="BT324" i="26"/>
  <c r="BT323" i="26"/>
  <c r="BT322" i="26"/>
  <c r="BT321" i="26"/>
  <c r="BT318" i="26"/>
  <c r="BT317" i="26"/>
  <c r="BT316" i="26"/>
  <c r="BT315" i="26"/>
  <c r="BT314" i="26"/>
  <c r="BT313" i="26"/>
  <c r="BT312" i="26"/>
  <c r="BT311" i="26"/>
  <c r="BT310" i="26"/>
  <c r="BT309" i="26"/>
  <c r="BT307" i="26"/>
  <c r="BT306" i="26"/>
  <c r="BT305" i="26"/>
  <c r="BT304" i="26"/>
  <c r="BT302" i="26"/>
  <c r="BT301" i="26"/>
  <c r="BT300" i="26"/>
  <c r="BT298" i="26"/>
  <c r="BT297" i="26"/>
  <c r="BT296" i="26"/>
  <c r="BT295" i="26"/>
  <c r="BT294" i="26"/>
  <c r="BT293" i="26"/>
  <c r="BT291" i="26"/>
  <c r="BT290" i="26"/>
  <c r="BT289" i="26"/>
  <c r="BT288" i="26"/>
  <c r="BT287" i="26"/>
  <c r="BT286" i="26"/>
  <c r="BT284" i="26"/>
  <c r="BT283" i="26"/>
  <c r="BT281" i="26"/>
  <c r="BT280" i="26"/>
  <c r="BT279" i="26"/>
  <c r="BT278" i="26"/>
  <c r="BT277" i="26"/>
  <c r="BT274" i="26"/>
  <c r="BT272" i="26"/>
  <c r="BT271" i="26"/>
  <c r="BT270" i="26"/>
  <c r="BT269" i="26"/>
  <c r="BT268" i="26"/>
  <c r="BT267" i="26"/>
  <c r="BT266" i="26"/>
  <c r="BT265" i="26"/>
  <c r="BT264" i="26"/>
  <c r="BT263" i="26"/>
  <c r="BT260" i="26"/>
  <c r="BT259" i="26"/>
  <c r="BT258" i="26"/>
  <c r="BT257" i="26"/>
  <c r="BT256" i="26"/>
  <c r="E18" i="28"/>
  <c r="E17" i="28"/>
  <c r="E14" i="28"/>
  <c r="D255" i="26"/>
  <c r="D256" i="26"/>
  <c r="D257" i="26"/>
  <c r="D258" i="26"/>
  <c r="D259" i="26"/>
  <c r="D260" i="26"/>
  <c r="D261" i="26"/>
  <c r="D262" i="26"/>
  <c r="D263" i="26"/>
  <c r="D264" i="26"/>
  <c r="D265" i="26"/>
  <c r="D266" i="26"/>
  <c r="D267" i="26"/>
  <c r="D268" i="26"/>
  <c r="D269" i="26"/>
  <c r="D270" i="26"/>
  <c r="D271" i="26"/>
  <c r="D272" i="26"/>
  <c r="D273" i="26"/>
  <c r="D274" i="26"/>
  <c r="D275" i="26"/>
  <c r="D276" i="26"/>
  <c r="D277" i="26"/>
  <c r="D278" i="26"/>
  <c r="D279" i="26"/>
  <c r="D280" i="26"/>
  <c r="D281" i="26"/>
  <c r="D282" i="26"/>
  <c r="D283" i="26"/>
  <c r="D284" i="26"/>
  <c r="D285" i="26"/>
  <c r="D286" i="26"/>
  <c r="D287" i="26"/>
  <c r="D288" i="26"/>
  <c r="D289" i="26"/>
  <c r="D290" i="26"/>
  <c r="D291" i="26"/>
  <c r="D292" i="26"/>
  <c r="D293" i="26"/>
  <c r="D294" i="26"/>
  <c r="D295" i="26"/>
  <c r="D296" i="26"/>
  <c r="D297" i="26"/>
  <c r="D298" i="26"/>
  <c r="D299" i="26"/>
  <c r="D300" i="26"/>
  <c r="D301" i="26"/>
  <c r="D302" i="26"/>
  <c r="D303" i="26"/>
  <c r="D304" i="26"/>
  <c r="D305" i="26"/>
  <c r="D306" i="26"/>
  <c r="D307" i="26"/>
  <c r="D308" i="26"/>
  <c r="D309" i="26"/>
  <c r="D310" i="26"/>
  <c r="D311" i="26"/>
  <c r="D312" i="26"/>
  <c r="D313" i="26"/>
  <c r="D314" i="26"/>
  <c r="D315" i="26"/>
  <c r="D316" i="26"/>
  <c r="D317" i="26"/>
  <c r="D318" i="26"/>
  <c r="D319" i="26"/>
  <c r="D320" i="26"/>
  <c r="D321" i="26"/>
  <c r="D322" i="26"/>
  <c r="D323" i="26"/>
  <c r="D324" i="26"/>
  <c r="D325" i="26"/>
  <c r="D326" i="26"/>
  <c r="D327" i="26"/>
  <c r="D328" i="26"/>
  <c r="D329" i="26"/>
  <c r="D330" i="26"/>
  <c r="D331" i="26"/>
  <c r="D332" i="26"/>
  <c r="D333" i="26"/>
  <c r="D334" i="26"/>
  <c r="D335" i="26"/>
  <c r="D336" i="26"/>
  <c r="D337" i="26"/>
  <c r="D338" i="26"/>
  <c r="D339" i="26"/>
  <c r="D340" i="26"/>
  <c r="D341" i="26"/>
  <c r="D342" i="26"/>
  <c r="D343" i="26"/>
  <c r="D344" i="26"/>
  <c r="D345" i="26"/>
  <c r="D346" i="26"/>
  <c r="D347" i="26"/>
  <c r="D348" i="26"/>
  <c r="D349" i="26"/>
  <c r="D350" i="26"/>
  <c r="D351" i="26"/>
  <c r="D352" i="26"/>
  <c r="D353" i="26"/>
  <c r="D354" i="26"/>
  <c r="D355" i="26"/>
  <c r="D356" i="26"/>
  <c r="D357" i="26"/>
  <c r="D358" i="26"/>
  <c r="D359" i="26"/>
  <c r="D360" i="26"/>
  <c r="A257" i="26"/>
  <c r="A258" i="26"/>
  <c r="A259" i="26"/>
  <c r="A260" i="26"/>
  <c r="A261" i="26"/>
  <c r="A262" i="26"/>
  <c r="A263" i="26"/>
  <c r="A264" i="26"/>
  <c r="A265" i="26"/>
  <c r="A266" i="26"/>
  <c r="A267" i="26"/>
  <c r="A268" i="26"/>
  <c r="A269" i="26"/>
  <c r="A270" i="26"/>
  <c r="A271" i="26"/>
  <c r="A272" i="26"/>
  <c r="A273" i="26"/>
  <c r="A274" i="26"/>
  <c r="A275" i="26"/>
  <c r="A276" i="26"/>
  <c r="A277" i="26"/>
  <c r="A278" i="26"/>
  <c r="A279" i="26"/>
  <c r="A280" i="26"/>
  <c r="A281" i="26"/>
  <c r="A282" i="26"/>
  <c r="A283" i="26"/>
  <c r="A284" i="26"/>
  <c r="A285" i="26"/>
  <c r="A286" i="26"/>
  <c r="A287" i="26"/>
  <c r="A288" i="26"/>
  <c r="A289" i="26"/>
  <c r="A290" i="26"/>
  <c r="A291" i="26"/>
  <c r="A292" i="26"/>
  <c r="A293" i="26"/>
  <c r="A294" i="26"/>
  <c r="A295" i="26"/>
  <c r="A296" i="26"/>
  <c r="A297" i="26"/>
  <c r="A298" i="26"/>
  <c r="A299" i="26"/>
  <c r="A300" i="26"/>
  <c r="A301" i="26"/>
  <c r="A302" i="26"/>
  <c r="A303" i="26"/>
  <c r="A304" i="26"/>
  <c r="A305" i="26"/>
  <c r="A306" i="26"/>
  <c r="A307" i="26"/>
  <c r="A308" i="26"/>
  <c r="A309" i="26"/>
  <c r="A310" i="26"/>
  <c r="A311" i="26"/>
  <c r="A312" i="26"/>
  <c r="A313" i="26"/>
  <c r="A314" i="26"/>
  <c r="A315" i="26"/>
  <c r="A316" i="26"/>
  <c r="A317" i="26"/>
  <c r="A318" i="26"/>
  <c r="A319" i="26"/>
  <c r="A320" i="26"/>
  <c r="A321" i="26"/>
  <c r="A322" i="26"/>
  <c r="A323" i="26"/>
  <c r="A324" i="26"/>
  <c r="A325" i="26"/>
  <c r="A326" i="26"/>
  <c r="A327" i="26"/>
  <c r="A328" i="26"/>
  <c r="A329" i="26"/>
  <c r="A330" i="26"/>
  <c r="A331" i="26"/>
  <c r="A332" i="26"/>
  <c r="A333" i="26"/>
  <c r="A334" i="26"/>
  <c r="A335" i="26"/>
  <c r="A336" i="26"/>
  <c r="A337" i="26"/>
  <c r="A338" i="26"/>
  <c r="A339" i="26"/>
  <c r="A340" i="26"/>
  <c r="A341" i="26"/>
  <c r="A342" i="26"/>
  <c r="A343" i="26"/>
  <c r="A344" i="26"/>
  <c r="A345" i="26"/>
  <c r="A346" i="26"/>
  <c r="A347" i="26"/>
  <c r="A348" i="26"/>
  <c r="A349" i="26"/>
  <c r="A350" i="26"/>
  <c r="A351" i="26"/>
  <c r="A352" i="26"/>
  <c r="A353" i="26"/>
  <c r="A354" i="26"/>
  <c r="A355" i="26"/>
  <c r="A356" i="26"/>
  <c r="A357" i="26"/>
  <c r="A358" i="26"/>
  <c r="A359" i="26"/>
  <c r="A360" i="26"/>
  <c r="A256" i="26"/>
  <c r="D28" i="28"/>
  <c r="BT255" i="26"/>
  <c r="BU255" i="26" s="1"/>
  <c r="BT254" i="26"/>
  <c r="BU254" i="26" s="1"/>
  <c r="BT253" i="26"/>
  <c r="BU253" i="26" s="1"/>
  <c r="BT251" i="26"/>
  <c r="BU251" i="26" s="1"/>
  <c r="BT250" i="26"/>
  <c r="BU250" i="26" s="1"/>
  <c r="BT248" i="26"/>
  <c r="BU248" i="26" s="1"/>
  <c r="BT247" i="26"/>
  <c r="BU247" i="26" s="1"/>
  <c r="BT246" i="26"/>
  <c r="BU246" i="26" s="1"/>
  <c r="BT245" i="26"/>
  <c r="BU245" i="26" s="1"/>
  <c r="BT244" i="26"/>
  <c r="BU244" i="26" s="1"/>
  <c r="BT243" i="26"/>
  <c r="BU243" i="26" s="1"/>
  <c r="BT238" i="26"/>
  <c r="BU238" i="26" s="1"/>
  <c r="BT237" i="26"/>
  <c r="BU237" i="26" s="1"/>
  <c r="BT236" i="26"/>
  <c r="BU236" i="26" s="1"/>
  <c r="BT234" i="26"/>
  <c r="BU234" i="26" s="1"/>
  <c r="BT232" i="26"/>
  <c r="BU232" i="26" s="1"/>
  <c r="BT231" i="26"/>
  <c r="BU231" i="26" s="1"/>
  <c r="BT228" i="26"/>
  <c r="BU228" i="26" s="1"/>
  <c r="BT224" i="26"/>
  <c r="BU224" i="26" s="1"/>
  <c r="BT221" i="26"/>
  <c r="BU221" i="26" s="1"/>
  <c r="BT219" i="26"/>
  <c r="BU219" i="26" s="1"/>
  <c r="BT218" i="26"/>
  <c r="BU218" i="26" s="1"/>
  <c r="BT217" i="26"/>
  <c r="BU217" i="26" s="1"/>
  <c r="BT216" i="26"/>
  <c r="BU216" i="26" s="1"/>
  <c r="BT215" i="26"/>
  <c r="BU215" i="26" s="1"/>
  <c r="BT213" i="26"/>
  <c r="BU213" i="26" s="1"/>
  <c r="BT212" i="26"/>
  <c r="BU212" i="26" s="1"/>
  <c r="BT211" i="26"/>
  <c r="BU211" i="26" s="1"/>
  <c r="BT209" i="26"/>
  <c r="BU209" i="26" s="1"/>
  <c r="BT208" i="26"/>
  <c r="BU208" i="26" s="1"/>
  <c r="BT207" i="26"/>
  <c r="BU207" i="26" s="1"/>
  <c r="BT201" i="26"/>
  <c r="BU201" i="26" s="1"/>
  <c r="BT200" i="26"/>
  <c r="BU200" i="26" s="1"/>
  <c r="BT198" i="26"/>
  <c r="BU198" i="26" s="1"/>
  <c r="BT197" i="26"/>
  <c r="BU197" i="26" s="1"/>
  <c r="BT193" i="26"/>
  <c r="BU193" i="26" s="1"/>
  <c r="BT192" i="26"/>
  <c r="BU192" i="26" s="1"/>
  <c r="BT191" i="26"/>
  <c r="BU191" i="26" s="1"/>
  <c r="BT190" i="26"/>
  <c r="BU190" i="26" s="1"/>
  <c r="BT188" i="26"/>
  <c r="BU188" i="26" s="1"/>
  <c r="BT183" i="26"/>
  <c r="BU183" i="26" s="1"/>
  <c r="BT182" i="26"/>
  <c r="BU182" i="26" s="1"/>
  <c r="BT181" i="26"/>
  <c r="BU181" i="26" s="1"/>
  <c r="BT179" i="26"/>
  <c r="BU179" i="26" s="1"/>
  <c r="BT178" i="26"/>
  <c r="BU178" i="26" s="1"/>
  <c r="BT174" i="26"/>
  <c r="BU174" i="26" s="1"/>
  <c r="BT171" i="26"/>
  <c r="BU171" i="26" s="1"/>
  <c r="BT170" i="26"/>
  <c r="BU170" i="26" s="1"/>
  <c r="BT169" i="26"/>
  <c r="BU169" i="26" s="1"/>
  <c r="BT168" i="26"/>
  <c r="BU168" i="26" s="1"/>
  <c r="BT166" i="26"/>
  <c r="BU166" i="26" s="1"/>
  <c r="BT161" i="26"/>
  <c r="BU161" i="26" s="1"/>
  <c r="BT159" i="26"/>
  <c r="BU159" i="26" s="1"/>
  <c r="BT158" i="26"/>
  <c r="BU158" i="26" s="1"/>
  <c r="BT151" i="26"/>
  <c r="BU151" i="26" s="1"/>
  <c r="BT148" i="26"/>
  <c r="BU148" i="26" s="1"/>
  <c r="BT147" i="26"/>
  <c r="BU147" i="26" s="1"/>
  <c r="BT146" i="26"/>
  <c r="BU146" i="26" s="1"/>
  <c r="BT143" i="26"/>
  <c r="BU143" i="26" s="1"/>
  <c r="BT142" i="26"/>
  <c r="BU142" i="26" s="1"/>
  <c r="BT140" i="26"/>
  <c r="BU140" i="26" s="1"/>
  <c r="BT139" i="26"/>
  <c r="BU139" i="26" s="1"/>
  <c r="BT137" i="26"/>
  <c r="BU137" i="26" s="1"/>
  <c r="BT136" i="26"/>
  <c r="BU136" i="26" s="1"/>
  <c r="BT135" i="26"/>
  <c r="BU135" i="26" s="1"/>
  <c r="BT133" i="26"/>
  <c r="BU133" i="26" s="1"/>
  <c r="BT130" i="26"/>
  <c r="BT129" i="26"/>
  <c r="BU129" i="26" s="1"/>
  <c r="BT127" i="26"/>
  <c r="BU127" i="26" s="1"/>
  <c r="BT126" i="26"/>
  <c r="BU126" i="26" s="1"/>
  <c r="BT125" i="26"/>
  <c r="BU125" i="26" s="1"/>
  <c r="BT124" i="26"/>
  <c r="BU124" i="26" s="1"/>
  <c r="BT122" i="26"/>
  <c r="BU122" i="26" s="1"/>
  <c r="BT120" i="26"/>
  <c r="BU120" i="26" s="1"/>
  <c r="BT119" i="26"/>
  <c r="BU119" i="26" s="1"/>
  <c r="BT118" i="26"/>
  <c r="BU118" i="26" s="1"/>
  <c r="BT116" i="26"/>
  <c r="BU116" i="26" s="1"/>
  <c r="BT115" i="26"/>
  <c r="BU115" i="26" s="1"/>
  <c r="BT112" i="26"/>
  <c r="BU112" i="26" s="1"/>
  <c r="BT109" i="26"/>
  <c r="BU109" i="26" s="1"/>
  <c r="BT108" i="26"/>
  <c r="BU108" i="26" s="1"/>
  <c r="BT104" i="26"/>
  <c r="BU104" i="26" s="1"/>
  <c r="BT102" i="26"/>
  <c r="BU102" i="26" s="1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D166" i="26"/>
  <c r="D167" i="26"/>
  <c r="D168" i="26"/>
  <c r="D169" i="26"/>
  <c r="D170" i="26"/>
  <c r="D171" i="26"/>
  <c r="D172" i="26"/>
  <c r="D173" i="26"/>
  <c r="D174" i="26"/>
  <c r="D175" i="26"/>
  <c r="D176" i="26"/>
  <c r="D177" i="26"/>
  <c r="D178" i="26"/>
  <c r="D179" i="26"/>
  <c r="D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201" i="26"/>
  <c r="D202" i="26"/>
  <c r="D203" i="26"/>
  <c r="D204" i="26"/>
  <c r="D205" i="26"/>
  <c r="D206" i="26"/>
  <c r="D207" i="26"/>
  <c r="D208" i="26"/>
  <c r="D209" i="26"/>
  <c r="D210" i="26"/>
  <c r="D211" i="26"/>
  <c r="D212" i="26"/>
  <c r="D213" i="26"/>
  <c r="D214" i="26"/>
  <c r="D215" i="26"/>
  <c r="D216" i="26"/>
  <c r="D217" i="26"/>
  <c r="D218" i="26"/>
  <c r="D219" i="26"/>
  <c r="D220" i="26"/>
  <c r="D221" i="26"/>
  <c r="D222" i="26"/>
  <c r="D223" i="26"/>
  <c r="D224" i="26"/>
  <c r="D225" i="26"/>
  <c r="D226" i="26"/>
  <c r="D227" i="26"/>
  <c r="D228" i="26"/>
  <c r="D229" i="26"/>
  <c r="D230" i="26"/>
  <c r="D231" i="26"/>
  <c r="D232" i="26"/>
  <c r="D233" i="26"/>
  <c r="D234" i="26"/>
  <c r="D235" i="26"/>
  <c r="D236" i="26"/>
  <c r="D237" i="26"/>
  <c r="D238" i="26"/>
  <c r="D239" i="26"/>
  <c r="D240" i="26"/>
  <c r="D241" i="26"/>
  <c r="D242" i="26"/>
  <c r="D243" i="26"/>
  <c r="D244" i="26"/>
  <c r="D245" i="26"/>
  <c r="D246" i="26"/>
  <c r="D247" i="26"/>
  <c r="D248" i="26"/>
  <c r="D249" i="26"/>
  <c r="D250" i="26"/>
  <c r="D251" i="26"/>
  <c r="D252" i="26"/>
  <c r="D253" i="26"/>
  <c r="D254" i="26"/>
  <c r="D102" i="26"/>
  <c r="I34" i="28" s="1"/>
  <c r="BG100" i="26"/>
  <c r="J38" i="28"/>
  <c r="G38" i="28"/>
  <c r="H38" i="28"/>
  <c r="F19" i="28" l="1"/>
  <c r="F21" i="28"/>
  <c r="F33" i="28"/>
  <c r="O33" i="28"/>
  <c r="K33" i="28"/>
  <c r="G33" i="28"/>
  <c r="L34" i="28"/>
  <c r="H34" i="28"/>
  <c r="F34" i="28"/>
  <c r="N33" i="28"/>
  <c r="J33" i="28"/>
  <c r="O34" i="28"/>
  <c r="K34" i="28"/>
  <c r="G34" i="28"/>
  <c r="F20" i="28"/>
  <c r="M33" i="28"/>
  <c r="I33" i="28"/>
  <c r="N34" i="28"/>
  <c r="J34" i="28"/>
  <c r="L33" i="28"/>
  <c r="H33" i="28"/>
  <c r="M34" i="28"/>
  <c r="F15" i="28"/>
  <c r="E16" i="28"/>
  <c r="F16" i="28"/>
  <c r="E34" i="28"/>
  <c r="E21" i="28"/>
  <c r="E33" i="28"/>
  <c r="E20" i="28"/>
  <c r="E15" i="28"/>
  <c r="E19" i="28"/>
  <c r="E22" i="28"/>
  <c r="AR100" i="26"/>
  <c r="D18" i="28"/>
  <c r="D17" i="28"/>
  <c r="D14" i="28"/>
  <c r="O37" i="28"/>
  <c r="F39" i="28" l="1"/>
  <c r="F28" i="28"/>
  <c r="M24" i="28"/>
  <c r="K28" i="28"/>
  <c r="M23" i="28"/>
  <c r="K23" i="28"/>
  <c r="K24" i="28"/>
  <c r="I24" i="28"/>
  <c r="N27" i="28"/>
  <c r="M26" i="28"/>
  <c r="N24" i="28"/>
  <c r="L27" i="28"/>
  <c r="L24" i="28"/>
  <c r="D22" i="28"/>
  <c r="M25" i="28"/>
  <c r="L26" i="28"/>
  <c r="N26" i="28"/>
  <c r="M27" i="28"/>
  <c r="L23" i="28"/>
  <c r="N23" i="28"/>
  <c r="L25" i="28"/>
  <c r="N25" i="28"/>
  <c r="D15" i="28"/>
  <c r="D19" i="28"/>
  <c r="D21" i="28"/>
  <c r="D33" i="28"/>
  <c r="D16" i="28"/>
  <c r="D20" i="28"/>
  <c r="M38" i="28"/>
  <c r="BT100" i="26" l="1"/>
  <c r="F24" i="28"/>
  <c r="J28" i="28"/>
  <c r="J24" i="28"/>
  <c r="J25" i="28"/>
  <c r="G28" i="28"/>
  <c r="J23" i="28"/>
  <c r="I25" i="28"/>
  <c r="J26" i="28"/>
  <c r="I23" i="28"/>
  <c r="J27" i="28"/>
  <c r="E24" i="28"/>
  <c r="H23" i="28"/>
  <c r="I26" i="28"/>
  <c r="I27" i="28"/>
  <c r="F23" i="28"/>
  <c r="H24" i="28"/>
  <c r="H25" i="28"/>
  <c r="H26" i="28"/>
  <c r="F25" i="28"/>
  <c r="G26" i="28"/>
  <c r="G27" i="28"/>
  <c r="G24" i="28"/>
  <c r="F26" i="28"/>
  <c r="G25" i="28"/>
  <c r="F27" i="28"/>
  <c r="G23" i="28"/>
  <c r="H27" i="28"/>
  <c r="E26" i="28"/>
  <c r="E23" i="28"/>
  <c r="E27" i="28"/>
  <c r="E25" i="28"/>
  <c r="D24" i="28"/>
  <c r="D27" i="28"/>
  <c r="D25" i="28"/>
  <c r="D23" i="28"/>
  <c r="D26" i="28"/>
  <c r="L38" i="28"/>
  <c r="K38" i="28"/>
  <c r="O38" i="28"/>
  <c r="N38" i="28"/>
  <c r="D38" i="28"/>
  <c r="F29" i="28" l="1"/>
  <c r="D29" i="28"/>
  <c r="J29" i="28"/>
  <c r="O25" i="28"/>
  <c r="O27" i="28"/>
  <c r="O26" i="28"/>
  <c r="O24" i="28"/>
  <c r="O23" i="28"/>
  <c r="N37" i="28" l="1"/>
  <c r="L29" i="28" l="1"/>
  <c r="M29" i="28"/>
  <c r="N29" i="28"/>
  <c r="O29" i="28"/>
  <c r="K39" i="28" l="1"/>
  <c r="L39" i="28"/>
  <c r="M39" i="28"/>
  <c r="M43" i="28" l="1"/>
  <c r="N39" i="28"/>
  <c r="J39" i="28"/>
  <c r="D37" i="28" l="1"/>
  <c r="D36" i="28"/>
  <c r="D35" i="28"/>
  <c r="H39" i="28" l="1"/>
  <c r="D34" i="28"/>
  <c r="AN100" i="26"/>
  <c r="AO100" i="26"/>
  <c r="AP100" i="26"/>
  <c r="AQ100" i="26"/>
  <c r="AT100" i="26"/>
  <c r="AU100" i="26"/>
  <c r="AV100" i="26"/>
  <c r="AW100" i="26"/>
  <c r="AX100" i="26"/>
  <c r="AY100" i="26"/>
  <c r="BA100" i="26"/>
  <c r="BB100" i="26"/>
  <c r="BC100" i="26"/>
  <c r="BD100" i="26"/>
  <c r="BE100" i="26"/>
  <c r="BF100" i="26"/>
  <c r="BH100" i="26"/>
  <c r="BI100" i="26"/>
  <c r="BJ100" i="26"/>
  <c r="BK100" i="26"/>
  <c r="BL100" i="26"/>
  <c r="BM100" i="26"/>
  <c r="BN100" i="26"/>
  <c r="BO100" i="26"/>
  <c r="BP100" i="26"/>
  <c r="BQ100" i="26"/>
  <c r="AL100" i="26"/>
  <c r="G39" i="28" l="1"/>
  <c r="E39" i="28" l="1"/>
  <c r="P16" i="28" l="1"/>
  <c r="P37" i="28"/>
  <c r="P36" i="28"/>
  <c r="P35" i="28"/>
  <c r="P34" i="28"/>
  <c r="F43" i="28" l="1"/>
  <c r="P21" i="28"/>
  <c r="P22" i="28"/>
  <c r="G29" i="28" l="1"/>
  <c r="H29" i="28"/>
  <c r="P28" i="28"/>
  <c r="I29" i="28"/>
  <c r="D31" i="28"/>
  <c r="E29" i="28" l="1"/>
  <c r="E31" i="28" s="1"/>
  <c r="G31" i="28"/>
  <c r="M31" i="28"/>
  <c r="O31" i="28"/>
  <c r="N31" i="28"/>
  <c r="I31" i="28"/>
  <c r="J31" i="28"/>
  <c r="H31" i="28"/>
  <c r="F31" i="28" l="1"/>
  <c r="O39" i="28" l="1"/>
  <c r="L43" i="28"/>
  <c r="D39" i="28"/>
  <c r="E43" i="28" s="1"/>
  <c r="E41" i="28"/>
  <c r="P19" i="28"/>
  <c r="I39" i="28"/>
  <c r="P17" i="28"/>
  <c r="P33" i="28"/>
  <c r="P18" i="28"/>
  <c r="P14" i="28"/>
  <c r="P15" i="28"/>
  <c r="G43" i="28" l="1"/>
  <c r="G41" i="28"/>
  <c r="I43" i="28"/>
  <c r="H43" i="28"/>
  <c r="J43" i="28"/>
  <c r="K43" i="28"/>
  <c r="N43" i="28"/>
  <c r="O43" i="28"/>
  <c r="O41" i="28"/>
  <c r="N41" i="28"/>
  <c r="M41" i="28"/>
  <c r="P39" i="28"/>
  <c r="H41" i="28"/>
  <c r="F41" i="28"/>
  <c r="I41" i="28"/>
  <c r="P24" i="28"/>
  <c r="J41" i="28"/>
  <c r="L41" i="28"/>
  <c r="D41" i="28" l="1"/>
  <c r="BF68" i="26" l="1"/>
  <c r="BM73" i="26"/>
  <c r="BL73" i="26"/>
  <c r="BK73" i="26"/>
  <c r="BF73" i="26"/>
  <c r="BD73" i="26"/>
  <c r="BC73" i="26"/>
  <c r="AY73" i="26"/>
  <c r="AW73" i="26"/>
  <c r="AO73" i="26"/>
  <c r="AJ73" i="26"/>
  <c r="AI73" i="26"/>
  <c r="AH73" i="26"/>
  <c r="AG73" i="26"/>
  <c r="AF73" i="26"/>
  <c r="AB73" i="26"/>
  <c r="Z73" i="26"/>
  <c r="Y73" i="26"/>
  <c r="X73" i="26"/>
  <c r="V73" i="26"/>
  <c r="U73" i="26"/>
  <c r="T73" i="26"/>
  <c r="S73" i="26"/>
  <c r="R73" i="26"/>
  <c r="Q73" i="26"/>
  <c r="L73" i="26"/>
  <c r="K73" i="26"/>
  <c r="J73" i="26"/>
  <c r="BM72" i="26"/>
  <c r="BL72" i="26"/>
  <c r="BK72" i="26"/>
  <c r="BF72" i="26"/>
  <c r="BD72" i="26"/>
  <c r="BC72" i="26"/>
  <c r="AY72" i="26"/>
  <c r="AW72" i="26"/>
  <c r="AO72" i="26"/>
  <c r="AJ72" i="26"/>
  <c r="AI72" i="26"/>
  <c r="AH72" i="26"/>
  <c r="AG72" i="26"/>
  <c r="AF72" i="26"/>
  <c r="AB72" i="26"/>
  <c r="Z72" i="26"/>
  <c r="Y72" i="26"/>
  <c r="X72" i="26"/>
  <c r="V72" i="26"/>
  <c r="U72" i="26"/>
  <c r="T72" i="26"/>
  <c r="S72" i="26"/>
  <c r="R72" i="26"/>
  <c r="Q72" i="26"/>
  <c r="L72" i="26"/>
  <c r="K72" i="26"/>
  <c r="J72" i="26"/>
  <c r="BM71" i="26"/>
  <c r="BL71" i="26"/>
  <c r="BK71" i="26"/>
  <c r="BF71" i="26"/>
  <c r="BD71" i="26"/>
  <c r="BC71" i="26"/>
  <c r="AY71" i="26"/>
  <c r="AW71" i="26"/>
  <c r="AO71" i="26"/>
  <c r="AJ71" i="26"/>
  <c r="AI71" i="26"/>
  <c r="AH71" i="26"/>
  <c r="AG71" i="26"/>
  <c r="AF71" i="26"/>
  <c r="AB71" i="26"/>
  <c r="Z71" i="26"/>
  <c r="Y71" i="26"/>
  <c r="X71" i="26"/>
  <c r="V71" i="26"/>
  <c r="U71" i="26"/>
  <c r="T71" i="26"/>
  <c r="S71" i="26"/>
  <c r="R71" i="26"/>
  <c r="Q71" i="26"/>
  <c r="L71" i="26"/>
  <c r="K71" i="26"/>
  <c r="J71" i="26"/>
  <c r="BF69" i="26"/>
  <c r="BD69" i="26"/>
  <c r="AW69" i="26"/>
  <c r="AJ69" i="26"/>
  <c r="AI69" i="26"/>
  <c r="AH69" i="26"/>
  <c r="AG69" i="26"/>
  <c r="Z69" i="26"/>
  <c r="Y69" i="26"/>
  <c r="V69" i="26"/>
  <c r="U69" i="26"/>
  <c r="T69" i="26"/>
  <c r="S69" i="26"/>
  <c r="R69" i="26"/>
  <c r="L69" i="26"/>
  <c r="K69" i="26"/>
  <c r="J69" i="26"/>
  <c r="BD68" i="26"/>
  <c r="AW68" i="26"/>
  <c r="AJ68" i="26"/>
  <c r="AI68" i="26"/>
  <c r="AH68" i="26"/>
  <c r="AG68" i="26"/>
  <c r="Z68" i="26"/>
  <c r="Y68" i="26"/>
  <c r="V68" i="26"/>
  <c r="U68" i="26"/>
  <c r="T68" i="26"/>
  <c r="S68" i="26"/>
  <c r="R68" i="26"/>
  <c r="L68" i="26"/>
  <c r="K68" i="26"/>
  <c r="J68" i="26"/>
  <c r="BD67" i="26"/>
  <c r="AW67" i="26"/>
  <c r="AJ67" i="26"/>
  <c r="AI67" i="26"/>
  <c r="AH67" i="26"/>
  <c r="AG67" i="26"/>
  <c r="Z67" i="26"/>
  <c r="Y67" i="26"/>
  <c r="V67" i="26"/>
  <c r="U67" i="26"/>
  <c r="T67" i="26"/>
  <c r="S67" i="26"/>
  <c r="R67" i="26"/>
  <c r="L67" i="26"/>
  <c r="K67" i="26"/>
  <c r="J67" i="26"/>
  <c r="BF67" i="26" l="1"/>
  <c r="BN71" i="26"/>
  <c r="BN73" i="26"/>
  <c r="BN72" i="26"/>
  <c r="AY67" i="26" l="1"/>
  <c r="AY68" i="26"/>
  <c r="AY69" i="26"/>
  <c r="BN69" i="26"/>
  <c r="BN67" i="26"/>
  <c r="BN68" i="26"/>
  <c r="AF69" i="26"/>
  <c r="AF67" i="26"/>
  <c r="AF68" i="26"/>
  <c r="D5" i="27" l="1"/>
  <c r="P507" i="27" l="1"/>
  <c r="P506" i="27"/>
  <c r="P476" i="27"/>
  <c r="P475" i="27"/>
  <c r="P445" i="27"/>
  <c r="P444" i="27"/>
  <c r="P414" i="27"/>
  <c r="P413" i="27"/>
  <c r="P383" i="27"/>
  <c r="P382" i="27"/>
  <c r="P352" i="27"/>
  <c r="P351" i="27"/>
  <c r="P321" i="27"/>
  <c r="P320" i="27"/>
  <c r="P290" i="27"/>
  <c r="P289" i="27"/>
  <c r="P259" i="27"/>
  <c r="P258" i="27"/>
  <c r="P228" i="27"/>
  <c r="P227" i="27"/>
  <c r="P197" i="27"/>
  <c r="P196" i="27"/>
  <c r="P166" i="27"/>
  <c r="P165" i="27"/>
  <c r="P135" i="27"/>
  <c r="P134" i="27"/>
  <c r="P104" i="27"/>
  <c r="P103" i="27"/>
  <c r="P73" i="27"/>
  <c r="P72" i="27"/>
  <c r="O7" i="27"/>
  <c r="BN97" i="26"/>
  <c r="BM97" i="26"/>
  <c r="BL97" i="26"/>
  <c r="BK97" i="26"/>
  <c r="BF97" i="26"/>
  <c r="BD97" i="26"/>
  <c r="BC97" i="26"/>
  <c r="AY97" i="26"/>
  <c r="AW97" i="26"/>
  <c r="AO97" i="26"/>
  <c r="AJ97" i="26"/>
  <c r="AI97" i="26"/>
  <c r="AH97" i="26"/>
  <c r="AG97" i="26"/>
  <c r="AF97" i="26"/>
  <c r="Z97" i="26"/>
  <c r="Y97" i="26"/>
  <c r="X97" i="26"/>
  <c r="V97" i="26"/>
  <c r="U97" i="26"/>
  <c r="T97" i="26"/>
  <c r="S97" i="26"/>
  <c r="R97" i="26"/>
  <c r="Q97" i="26"/>
  <c r="L97" i="26"/>
  <c r="K97" i="26"/>
  <c r="J97" i="26"/>
  <c r="BN96" i="26"/>
  <c r="BM96" i="26"/>
  <c r="BL96" i="26"/>
  <c r="BK96" i="26"/>
  <c r="BF96" i="26"/>
  <c r="BD96" i="26"/>
  <c r="BC96" i="26"/>
  <c r="AY96" i="26"/>
  <c r="AW96" i="26"/>
  <c r="AO96" i="26"/>
  <c r="AJ96" i="26"/>
  <c r="AI96" i="26"/>
  <c r="AH96" i="26"/>
  <c r="AG96" i="26"/>
  <c r="AF96" i="26"/>
  <c r="Z96" i="26"/>
  <c r="Y96" i="26"/>
  <c r="X96" i="26"/>
  <c r="V96" i="26"/>
  <c r="U96" i="26"/>
  <c r="T96" i="26"/>
  <c r="S96" i="26"/>
  <c r="R96" i="26"/>
  <c r="Q96" i="26"/>
  <c r="L96" i="26"/>
  <c r="K96" i="26"/>
  <c r="J96" i="26"/>
  <c r="BN95" i="26"/>
  <c r="BM95" i="26"/>
  <c r="BL95" i="26"/>
  <c r="BK95" i="26"/>
  <c r="BF95" i="26"/>
  <c r="BD95" i="26"/>
  <c r="BC95" i="26"/>
  <c r="AY95" i="26"/>
  <c r="AW95" i="26"/>
  <c r="AO95" i="26"/>
  <c r="AJ95" i="26"/>
  <c r="AI95" i="26"/>
  <c r="AH95" i="26"/>
  <c r="AG95" i="26"/>
  <c r="AF95" i="26"/>
  <c r="Z95" i="26"/>
  <c r="Y95" i="26"/>
  <c r="X95" i="26"/>
  <c r="V95" i="26"/>
  <c r="U95" i="26"/>
  <c r="T95" i="26"/>
  <c r="S95" i="26"/>
  <c r="R95" i="26"/>
  <c r="Q95" i="26"/>
  <c r="L95" i="26"/>
  <c r="K95" i="26"/>
  <c r="J95" i="26"/>
  <c r="BD93" i="26"/>
  <c r="AW93" i="26"/>
  <c r="AI93" i="26"/>
  <c r="AH93" i="26"/>
  <c r="AG93" i="26"/>
  <c r="AF93" i="26"/>
  <c r="Y93" i="26"/>
  <c r="U93" i="26"/>
  <c r="T93" i="26"/>
  <c r="S93" i="26"/>
  <c r="R93" i="26"/>
  <c r="L93" i="26"/>
  <c r="K93" i="26"/>
  <c r="J93" i="26"/>
  <c r="BD92" i="26"/>
  <c r="AW92" i="26"/>
  <c r="AI92" i="26"/>
  <c r="AH92" i="26"/>
  <c r="AG92" i="26"/>
  <c r="AF92" i="26"/>
  <c r="Y92" i="26"/>
  <c r="U92" i="26"/>
  <c r="T92" i="26"/>
  <c r="S92" i="26"/>
  <c r="R92" i="26"/>
  <c r="L92" i="26"/>
  <c r="K92" i="26"/>
  <c r="J92" i="26"/>
  <c r="BD91" i="26"/>
  <c r="AW91" i="26"/>
  <c r="AI91" i="26"/>
  <c r="AH91" i="26"/>
  <c r="AG91" i="26"/>
  <c r="AF91" i="26"/>
  <c r="Y91" i="26"/>
  <c r="U91" i="26"/>
  <c r="T91" i="26"/>
  <c r="S91" i="26"/>
  <c r="R91" i="26"/>
  <c r="L91" i="26"/>
  <c r="K91" i="26"/>
  <c r="J91" i="26"/>
  <c r="BN89" i="26"/>
  <c r="BM89" i="26"/>
  <c r="BL89" i="26"/>
  <c r="BK89" i="26"/>
  <c r="BF89" i="26"/>
  <c r="BD89" i="26"/>
  <c r="BC89" i="26"/>
  <c r="AY89" i="26"/>
  <c r="AW89" i="26"/>
  <c r="AO89" i="26"/>
  <c r="AJ89" i="26"/>
  <c r="AI89" i="26"/>
  <c r="AH89" i="26"/>
  <c r="AG89" i="26"/>
  <c r="AF89" i="26"/>
  <c r="Z89" i="26"/>
  <c r="Y89" i="26"/>
  <c r="X89" i="26"/>
  <c r="V89" i="26"/>
  <c r="U89" i="26"/>
  <c r="T89" i="26"/>
  <c r="S89" i="26"/>
  <c r="R89" i="26"/>
  <c r="Q89" i="26"/>
  <c r="L89" i="26"/>
  <c r="K89" i="26"/>
  <c r="J89" i="26"/>
  <c r="BN88" i="26"/>
  <c r="BM88" i="26"/>
  <c r="BL88" i="26"/>
  <c r="BK88" i="26"/>
  <c r="BF88" i="26"/>
  <c r="BD88" i="26"/>
  <c r="BC88" i="26"/>
  <c r="AY88" i="26"/>
  <c r="AW88" i="26"/>
  <c r="AO88" i="26"/>
  <c r="AJ88" i="26"/>
  <c r="AI88" i="26"/>
  <c r="AH88" i="26"/>
  <c r="AG88" i="26"/>
  <c r="AF88" i="26"/>
  <c r="Z88" i="26"/>
  <c r="Y88" i="26"/>
  <c r="X88" i="26"/>
  <c r="V88" i="26"/>
  <c r="U88" i="26"/>
  <c r="T88" i="26"/>
  <c r="S88" i="26"/>
  <c r="R88" i="26"/>
  <c r="Q88" i="26"/>
  <c r="L88" i="26"/>
  <c r="K88" i="26"/>
  <c r="J88" i="26"/>
  <c r="BN87" i="26"/>
  <c r="BM87" i="26"/>
  <c r="BL87" i="26"/>
  <c r="BK87" i="26"/>
  <c r="BF87" i="26"/>
  <c r="BD87" i="26"/>
  <c r="BC87" i="26"/>
  <c r="AY87" i="26"/>
  <c r="AW87" i="26"/>
  <c r="AO87" i="26"/>
  <c r="AJ87" i="26"/>
  <c r="AI87" i="26"/>
  <c r="AH87" i="26"/>
  <c r="AG87" i="26"/>
  <c r="AF87" i="26"/>
  <c r="Z87" i="26"/>
  <c r="Y87" i="26"/>
  <c r="X87" i="26"/>
  <c r="V87" i="26"/>
  <c r="U87" i="26"/>
  <c r="T87" i="26"/>
  <c r="S87" i="26"/>
  <c r="R87" i="26"/>
  <c r="Q87" i="26"/>
  <c r="L87" i="26"/>
  <c r="K87" i="26"/>
  <c r="J87" i="26"/>
  <c r="BD85" i="26"/>
  <c r="AW85" i="26"/>
  <c r="AI85" i="26"/>
  <c r="AH85" i="26"/>
  <c r="AG85" i="26"/>
  <c r="AF85" i="26"/>
  <c r="Y85" i="26"/>
  <c r="U85" i="26"/>
  <c r="T85" i="26"/>
  <c r="S85" i="26"/>
  <c r="R85" i="26"/>
  <c r="L85" i="26"/>
  <c r="K85" i="26"/>
  <c r="J85" i="26"/>
  <c r="BD84" i="26"/>
  <c r="AW84" i="26"/>
  <c r="AI84" i="26"/>
  <c r="AH84" i="26"/>
  <c r="AG84" i="26"/>
  <c r="AF84" i="26"/>
  <c r="Y84" i="26"/>
  <c r="U84" i="26"/>
  <c r="T84" i="26"/>
  <c r="S84" i="26"/>
  <c r="R84" i="26"/>
  <c r="L84" i="26"/>
  <c r="K84" i="26"/>
  <c r="J84" i="26"/>
  <c r="BD83" i="26"/>
  <c r="AW83" i="26"/>
  <c r="AI83" i="26"/>
  <c r="AH83" i="26"/>
  <c r="AG83" i="26"/>
  <c r="AF83" i="26"/>
  <c r="Y83" i="26"/>
  <c r="U83" i="26"/>
  <c r="T83" i="26"/>
  <c r="S83" i="26"/>
  <c r="R83" i="26"/>
  <c r="L83" i="26"/>
  <c r="K83" i="26"/>
  <c r="J83" i="26"/>
  <c r="BN81" i="26"/>
  <c r="BM81" i="26"/>
  <c r="BL81" i="26"/>
  <c r="BK81" i="26"/>
  <c r="BF81" i="26"/>
  <c r="BD81" i="26"/>
  <c r="BC81" i="26"/>
  <c r="AY81" i="26"/>
  <c r="AW81" i="26"/>
  <c r="AO81" i="26"/>
  <c r="AJ81" i="26"/>
  <c r="AI81" i="26"/>
  <c r="AH81" i="26"/>
  <c r="AG81" i="26"/>
  <c r="AF81" i="26"/>
  <c r="Z81" i="26"/>
  <c r="Y81" i="26"/>
  <c r="X81" i="26"/>
  <c r="V81" i="26"/>
  <c r="U81" i="26"/>
  <c r="T81" i="26"/>
  <c r="S81" i="26"/>
  <c r="R81" i="26"/>
  <c r="Q81" i="26"/>
  <c r="L81" i="26"/>
  <c r="K81" i="26"/>
  <c r="J81" i="26"/>
  <c r="BN80" i="26"/>
  <c r="BM80" i="26"/>
  <c r="BL80" i="26"/>
  <c r="BK80" i="26"/>
  <c r="BF80" i="26"/>
  <c r="BD80" i="26"/>
  <c r="BC80" i="26"/>
  <c r="AY80" i="26"/>
  <c r="AW80" i="26"/>
  <c r="AO80" i="26"/>
  <c r="AJ80" i="26"/>
  <c r="AI80" i="26"/>
  <c r="AH80" i="26"/>
  <c r="AG80" i="26"/>
  <c r="AF80" i="26"/>
  <c r="Z80" i="26"/>
  <c r="Y80" i="26"/>
  <c r="X80" i="26"/>
  <c r="V80" i="26"/>
  <c r="U80" i="26"/>
  <c r="T80" i="26"/>
  <c r="S80" i="26"/>
  <c r="R80" i="26"/>
  <c r="Q80" i="26"/>
  <c r="L80" i="26"/>
  <c r="K80" i="26"/>
  <c r="J80" i="26"/>
  <c r="BN79" i="26"/>
  <c r="BM79" i="26"/>
  <c r="BL79" i="26"/>
  <c r="BK79" i="26"/>
  <c r="BF79" i="26"/>
  <c r="BD79" i="26"/>
  <c r="BC79" i="26"/>
  <c r="AY79" i="26"/>
  <c r="AW79" i="26"/>
  <c r="AO79" i="26"/>
  <c r="AJ79" i="26"/>
  <c r="AI79" i="26"/>
  <c r="AH79" i="26"/>
  <c r="AG79" i="26"/>
  <c r="AF79" i="26"/>
  <c r="Z79" i="26"/>
  <c r="Y79" i="26"/>
  <c r="X79" i="26"/>
  <c r="V79" i="26"/>
  <c r="U79" i="26"/>
  <c r="T79" i="26"/>
  <c r="S79" i="26"/>
  <c r="R79" i="26"/>
  <c r="Q79" i="26"/>
  <c r="L79" i="26"/>
  <c r="K79" i="26"/>
  <c r="J79" i="26"/>
  <c r="BD77" i="26"/>
  <c r="AW77" i="26"/>
  <c r="AI77" i="26"/>
  <c r="AH77" i="26"/>
  <c r="AG77" i="26"/>
  <c r="AF77" i="26"/>
  <c r="Y77" i="26"/>
  <c r="U77" i="26"/>
  <c r="T77" i="26"/>
  <c r="S77" i="26"/>
  <c r="R77" i="26"/>
  <c r="L77" i="26"/>
  <c r="K77" i="26"/>
  <c r="J77" i="26"/>
  <c r="BD76" i="26"/>
  <c r="AW76" i="26"/>
  <c r="AI76" i="26"/>
  <c r="AH76" i="26"/>
  <c r="AG76" i="26"/>
  <c r="AF76" i="26"/>
  <c r="Y76" i="26"/>
  <c r="U76" i="26"/>
  <c r="T76" i="26"/>
  <c r="S76" i="26"/>
  <c r="R76" i="26"/>
  <c r="L76" i="26"/>
  <c r="K76" i="26"/>
  <c r="J76" i="26"/>
  <c r="BD75" i="26"/>
  <c r="AW75" i="26"/>
  <c r="AI75" i="26"/>
  <c r="AH75" i="26"/>
  <c r="AG75" i="26"/>
  <c r="AF75" i="26"/>
  <c r="Y75" i="26"/>
  <c r="U75" i="26"/>
  <c r="T75" i="26"/>
  <c r="S75" i="26"/>
  <c r="R75" i="26"/>
  <c r="L75" i="26"/>
  <c r="K75" i="26"/>
  <c r="J75" i="26"/>
  <c r="BN65" i="26"/>
  <c r="BM65" i="26"/>
  <c r="BL65" i="26"/>
  <c r="BK65" i="26"/>
  <c r="BF65" i="26"/>
  <c r="BD65" i="26"/>
  <c r="BC65" i="26"/>
  <c r="AY65" i="26"/>
  <c r="AW65" i="26"/>
  <c r="AO65" i="26"/>
  <c r="AJ65" i="26"/>
  <c r="AI65" i="26"/>
  <c r="AH65" i="26"/>
  <c r="AG65" i="26"/>
  <c r="AF65" i="26"/>
  <c r="Z65" i="26"/>
  <c r="Y65" i="26"/>
  <c r="X65" i="26"/>
  <c r="V65" i="26"/>
  <c r="U65" i="26"/>
  <c r="T65" i="26"/>
  <c r="S65" i="26"/>
  <c r="R65" i="26"/>
  <c r="Q65" i="26"/>
  <c r="L65" i="26"/>
  <c r="K65" i="26"/>
  <c r="J65" i="26"/>
  <c r="BN64" i="26"/>
  <c r="BM64" i="26"/>
  <c r="BL64" i="26"/>
  <c r="BK64" i="26"/>
  <c r="BF64" i="26"/>
  <c r="BD64" i="26"/>
  <c r="BC64" i="26"/>
  <c r="AY64" i="26"/>
  <c r="AW64" i="26"/>
  <c r="AO64" i="26"/>
  <c r="AJ64" i="26"/>
  <c r="AI64" i="26"/>
  <c r="AH64" i="26"/>
  <c r="AG64" i="26"/>
  <c r="AF64" i="26"/>
  <c r="Z64" i="26"/>
  <c r="Y64" i="26"/>
  <c r="X64" i="26"/>
  <c r="V64" i="26"/>
  <c r="U64" i="26"/>
  <c r="T64" i="26"/>
  <c r="S64" i="26"/>
  <c r="R64" i="26"/>
  <c r="Q64" i="26"/>
  <c r="L64" i="26"/>
  <c r="K64" i="26"/>
  <c r="J64" i="26"/>
  <c r="BN63" i="26"/>
  <c r="BM63" i="26"/>
  <c r="BL63" i="26"/>
  <c r="BK63" i="26"/>
  <c r="BF63" i="26"/>
  <c r="BD63" i="26"/>
  <c r="BC63" i="26"/>
  <c r="AY63" i="26"/>
  <c r="AW63" i="26"/>
  <c r="AO63" i="26"/>
  <c r="AJ63" i="26"/>
  <c r="AI63" i="26"/>
  <c r="AH63" i="26"/>
  <c r="AG63" i="26"/>
  <c r="AF63" i="26"/>
  <c r="Z63" i="26"/>
  <c r="Y63" i="26"/>
  <c r="X63" i="26"/>
  <c r="V63" i="26"/>
  <c r="U63" i="26"/>
  <c r="T63" i="26"/>
  <c r="S63" i="26"/>
  <c r="R63" i="26"/>
  <c r="Q63" i="26"/>
  <c r="L63" i="26"/>
  <c r="K63" i="26"/>
  <c r="J63" i="26"/>
  <c r="BD61" i="26"/>
  <c r="AW61" i="26"/>
  <c r="AI61" i="26"/>
  <c r="AH61" i="26"/>
  <c r="AG61" i="26"/>
  <c r="AF61" i="26"/>
  <c r="Y61" i="26"/>
  <c r="U61" i="26"/>
  <c r="T61" i="26"/>
  <c r="S61" i="26"/>
  <c r="R61" i="26"/>
  <c r="L61" i="26"/>
  <c r="K61" i="26"/>
  <c r="J61" i="26"/>
  <c r="BD60" i="26"/>
  <c r="AW60" i="26"/>
  <c r="AI60" i="26"/>
  <c r="AH60" i="26"/>
  <c r="AG60" i="26"/>
  <c r="AF60" i="26"/>
  <c r="Y60" i="26"/>
  <c r="U60" i="26"/>
  <c r="T60" i="26"/>
  <c r="S60" i="26"/>
  <c r="R60" i="26"/>
  <c r="L60" i="26"/>
  <c r="K60" i="26"/>
  <c r="J60" i="26"/>
  <c r="BD59" i="26"/>
  <c r="AW59" i="26"/>
  <c r="AI59" i="26"/>
  <c r="AH59" i="26"/>
  <c r="AG59" i="26"/>
  <c r="AF59" i="26"/>
  <c r="Y59" i="26"/>
  <c r="U59" i="26"/>
  <c r="T59" i="26"/>
  <c r="S59" i="26"/>
  <c r="R59" i="26"/>
  <c r="L59" i="26"/>
  <c r="K59" i="26"/>
  <c r="J59" i="26"/>
  <c r="BN57" i="26"/>
  <c r="BM57" i="26"/>
  <c r="BL57" i="26"/>
  <c r="BK57" i="26"/>
  <c r="BF57" i="26"/>
  <c r="BD57" i="26"/>
  <c r="BC57" i="26"/>
  <c r="AY57" i="26"/>
  <c r="AW57" i="26"/>
  <c r="AO57" i="26"/>
  <c r="AJ57" i="26"/>
  <c r="AI57" i="26"/>
  <c r="AH57" i="26"/>
  <c r="AG57" i="26"/>
  <c r="AF57" i="26"/>
  <c r="Z57" i="26"/>
  <c r="Y57" i="26"/>
  <c r="X57" i="26"/>
  <c r="V57" i="26"/>
  <c r="U57" i="26"/>
  <c r="T57" i="26"/>
  <c r="S57" i="26"/>
  <c r="R57" i="26"/>
  <c r="Q57" i="26"/>
  <c r="L57" i="26"/>
  <c r="K57" i="26"/>
  <c r="J57" i="26"/>
  <c r="BN56" i="26"/>
  <c r="BM56" i="26"/>
  <c r="BL56" i="26"/>
  <c r="BK56" i="26"/>
  <c r="BF56" i="26"/>
  <c r="BD56" i="26"/>
  <c r="BC56" i="26"/>
  <c r="AY56" i="26"/>
  <c r="AW56" i="26"/>
  <c r="AO56" i="26"/>
  <c r="AJ56" i="26"/>
  <c r="AI56" i="26"/>
  <c r="AH56" i="26"/>
  <c r="AG56" i="26"/>
  <c r="AF56" i="26"/>
  <c r="Z56" i="26"/>
  <c r="Y56" i="26"/>
  <c r="X56" i="26"/>
  <c r="V56" i="26"/>
  <c r="U56" i="26"/>
  <c r="T56" i="26"/>
  <c r="S56" i="26"/>
  <c r="R56" i="26"/>
  <c r="Q56" i="26"/>
  <c r="L56" i="26"/>
  <c r="K56" i="26"/>
  <c r="J56" i="26"/>
  <c r="BN55" i="26"/>
  <c r="BM55" i="26"/>
  <c r="BL55" i="26"/>
  <c r="BK55" i="26"/>
  <c r="BF55" i="26"/>
  <c r="BD55" i="26"/>
  <c r="BC55" i="26"/>
  <c r="AY55" i="26"/>
  <c r="AW55" i="26"/>
  <c r="AO55" i="26"/>
  <c r="AJ55" i="26"/>
  <c r="AI55" i="26"/>
  <c r="AH55" i="26"/>
  <c r="AG55" i="26"/>
  <c r="AF55" i="26"/>
  <c r="Z55" i="26"/>
  <c r="Y55" i="26"/>
  <c r="X55" i="26"/>
  <c r="V55" i="26"/>
  <c r="U55" i="26"/>
  <c r="T55" i="26"/>
  <c r="S55" i="26"/>
  <c r="R55" i="26"/>
  <c r="Q55" i="26"/>
  <c r="L55" i="26"/>
  <c r="K55" i="26"/>
  <c r="J55" i="26"/>
  <c r="BD53" i="26"/>
  <c r="AW53" i="26"/>
  <c r="AI53" i="26"/>
  <c r="AH53" i="26"/>
  <c r="AG53" i="26"/>
  <c r="AF53" i="26"/>
  <c r="Y53" i="26"/>
  <c r="U53" i="26"/>
  <c r="T53" i="26"/>
  <c r="S53" i="26"/>
  <c r="R53" i="26"/>
  <c r="L53" i="26"/>
  <c r="K53" i="26"/>
  <c r="J53" i="26"/>
  <c r="BD52" i="26"/>
  <c r="AW52" i="26"/>
  <c r="AI52" i="26"/>
  <c r="AH52" i="26"/>
  <c r="AG52" i="26"/>
  <c r="AF52" i="26"/>
  <c r="Y52" i="26"/>
  <c r="U52" i="26"/>
  <c r="T52" i="26"/>
  <c r="S52" i="26"/>
  <c r="R52" i="26"/>
  <c r="L52" i="26"/>
  <c r="K52" i="26"/>
  <c r="J52" i="26"/>
  <c r="BD51" i="26"/>
  <c r="AW51" i="26"/>
  <c r="AI51" i="26"/>
  <c r="AH51" i="26"/>
  <c r="AG51" i="26"/>
  <c r="AF51" i="26"/>
  <c r="Y51" i="26"/>
  <c r="U51" i="26"/>
  <c r="T51" i="26"/>
  <c r="S51" i="26"/>
  <c r="R51" i="26"/>
  <c r="L51" i="26"/>
  <c r="K51" i="26"/>
  <c r="J51" i="26"/>
  <c r="BN49" i="26"/>
  <c r="BM49" i="26"/>
  <c r="BL49" i="26"/>
  <c r="BK49" i="26"/>
  <c r="BF49" i="26"/>
  <c r="BD49" i="26"/>
  <c r="BC49" i="26"/>
  <c r="AY49" i="26"/>
  <c r="AW49" i="26"/>
  <c r="AO49" i="26"/>
  <c r="AJ49" i="26"/>
  <c r="AI49" i="26"/>
  <c r="AH49" i="26"/>
  <c r="AG49" i="26"/>
  <c r="AF49" i="26"/>
  <c r="Z49" i="26"/>
  <c r="Y49" i="26"/>
  <c r="X49" i="26"/>
  <c r="V49" i="26"/>
  <c r="U49" i="26"/>
  <c r="T49" i="26"/>
  <c r="S49" i="26"/>
  <c r="R49" i="26"/>
  <c r="Q49" i="26"/>
  <c r="L49" i="26"/>
  <c r="K49" i="26"/>
  <c r="J49" i="26"/>
  <c r="BN48" i="26"/>
  <c r="BM48" i="26"/>
  <c r="BL48" i="26"/>
  <c r="BK48" i="26"/>
  <c r="BF48" i="26"/>
  <c r="BD48" i="26"/>
  <c r="BC48" i="26"/>
  <c r="AY48" i="26"/>
  <c r="AW48" i="26"/>
  <c r="AO48" i="26"/>
  <c r="AJ48" i="26"/>
  <c r="AI48" i="26"/>
  <c r="AH48" i="26"/>
  <c r="AG48" i="26"/>
  <c r="AF48" i="26"/>
  <c r="Z48" i="26"/>
  <c r="Y48" i="26"/>
  <c r="X48" i="26"/>
  <c r="V48" i="26"/>
  <c r="U48" i="26"/>
  <c r="T48" i="26"/>
  <c r="S48" i="26"/>
  <c r="R48" i="26"/>
  <c r="Q48" i="26"/>
  <c r="L48" i="26"/>
  <c r="K48" i="26"/>
  <c r="J48" i="26"/>
  <c r="BN47" i="26"/>
  <c r="BM47" i="26"/>
  <c r="BL47" i="26"/>
  <c r="BK47" i="26"/>
  <c r="BF47" i="26"/>
  <c r="BD47" i="26"/>
  <c r="BC47" i="26"/>
  <c r="AY47" i="26"/>
  <c r="AW47" i="26"/>
  <c r="AO47" i="26"/>
  <c r="AJ47" i="26"/>
  <c r="AI47" i="26"/>
  <c r="AH47" i="26"/>
  <c r="AG47" i="26"/>
  <c r="AF47" i="26"/>
  <c r="Z47" i="26"/>
  <c r="Y47" i="26"/>
  <c r="X47" i="26"/>
  <c r="V47" i="26"/>
  <c r="U47" i="26"/>
  <c r="T47" i="26"/>
  <c r="S47" i="26"/>
  <c r="R47" i="26"/>
  <c r="Q47" i="26"/>
  <c r="L47" i="26"/>
  <c r="K47" i="26"/>
  <c r="J47" i="26"/>
  <c r="BD45" i="26"/>
  <c r="AW45" i="26"/>
  <c r="AI45" i="26"/>
  <c r="AH45" i="26"/>
  <c r="AG45" i="26"/>
  <c r="AF45" i="26"/>
  <c r="Y45" i="26"/>
  <c r="U45" i="26"/>
  <c r="T45" i="26"/>
  <c r="S45" i="26"/>
  <c r="R45" i="26"/>
  <c r="L45" i="26"/>
  <c r="K45" i="26"/>
  <c r="J45" i="26"/>
  <c r="BD44" i="26"/>
  <c r="AW44" i="26"/>
  <c r="AI44" i="26"/>
  <c r="AH44" i="26"/>
  <c r="AG44" i="26"/>
  <c r="AF44" i="26"/>
  <c r="Y44" i="26"/>
  <c r="U44" i="26"/>
  <c r="T44" i="26"/>
  <c r="S44" i="26"/>
  <c r="R44" i="26"/>
  <c r="L44" i="26"/>
  <c r="K44" i="26"/>
  <c r="J44" i="26"/>
  <c r="BD43" i="26"/>
  <c r="AW43" i="26"/>
  <c r="AI43" i="26"/>
  <c r="AH43" i="26"/>
  <c r="AG43" i="26"/>
  <c r="AF43" i="26"/>
  <c r="Y43" i="26"/>
  <c r="U43" i="26"/>
  <c r="T43" i="26"/>
  <c r="S43" i="26"/>
  <c r="R43" i="26"/>
  <c r="L43" i="26"/>
  <c r="K43" i="26"/>
  <c r="J43" i="26"/>
  <c r="BN41" i="26"/>
  <c r="BM41" i="26"/>
  <c r="BL41" i="26"/>
  <c r="BK41" i="26"/>
  <c r="BF41" i="26"/>
  <c r="BD41" i="26"/>
  <c r="BC41" i="26"/>
  <c r="AY41" i="26"/>
  <c r="AW41" i="26"/>
  <c r="AO41" i="26"/>
  <c r="AJ41" i="26"/>
  <c r="AI41" i="26"/>
  <c r="AH41" i="26"/>
  <c r="AG41" i="26"/>
  <c r="AF41" i="26"/>
  <c r="Z41" i="26"/>
  <c r="Y41" i="26"/>
  <c r="X41" i="26"/>
  <c r="V41" i="26"/>
  <c r="U41" i="26"/>
  <c r="T41" i="26"/>
  <c r="S41" i="26"/>
  <c r="R41" i="26"/>
  <c r="Q41" i="26"/>
  <c r="L41" i="26"/>
  <c r="K41" i="26"/>
  <c r="J41" i="26"/>
  <c r="BN40" i="26"/>
  <c r="BM40" i="26"/>
  <c r="BL40" i="26"/>
  <c r="BK40" i="26"/>
  <c r="BF40" i="26"/>
  <c r="BD40" i="26"/>
  <c r="BC40" i="26"/>
  <c r="AY40" i="26"/>
  <c r="AW40" i="26"/>
  <c r="AO40" i="26"/>
  <c r="AJ40" i="26"/>
  <c r="AI40" i="26"/>
  <c r="AH40" i="26"/>
  <c r="AG40" i="26"/>
  <c r="AF40" i="26"/>
  <c r="Z40" i="26"/>
  <c r="Y40" i="26"/>
  <c r="X40" i="26"/>
  <c r="V40" i="26"/>
  <c r="U40" i="26"/>
  <c r="T40" i="26"/>
  <c r="S40" i="26"/>
  <c r="R40" i="26"/>
  <c r="Q40" i="26"/>
  <c r="L40" i="26"/>
  <c r="K40" i="26"/>
  <c r="J40" i="26"/>
  <c r="BN39" i="26"/>
  <c r="BM39" i="26"/>
  <c r="BL39" i="26"/>
  <c r="BK39" i="26"/>
  <c r="BF39" i="26"/>
  <c r="BD39" i="26"/>
  <c r="BC39" i="26"/>
  <c r="AY39" i="26"/>
  <c r="AW39" i="26"/>
  <c r="AO39" i="26"/>
  <c r="AJ39" i="26"/>
  <c r="AI39" i="26"/>
  <c r="AH39" i="26"/>
  <c r="AG39" i="26"/>
  <c r="AF39" i="26"/>
  <c r="Z39" i="26"/>
  <c r="Y39" i="26"/>
  <c r="X39" i="26"/>
  <c r="V39" i="26"/>
  <c r="U39" i="26"/>
  <c r="T39" i="26"/>
  <c r="S39" i="26"/>
  <c r="R39" i="26"/>
  <c r="Q39" i="26"/>
  <c r="L39" i="26"/>
  <c r="K39" i="26"/>
  <c r="J39" i="26"/>
  <c r="BD37" i="26"/>
  <c r="AW37" i="26"/>
  <c r="AI37" i="26"/>
  <c r="AH37" i="26"/>
  <c r="AG37" i="26"/>
  <c r="AF37" i="26"/>
  <c r="Y37" i="26"/>
  <c r="U37" i="26"/>
  <c r="T37" i="26"/>
  <c r="S37" i="26"/>
  <c r="R37" i="26"/>
  <c r="L37" i="26"/>
  <c r="K37" i="26"/>
  <c r="J37" i="26"/>
  <c r="BD36" i="26"/>
  <c r="AW36" i="26"/>
  <c r="AI36" i="26"/>
  <c r="AH36" i="26"/>
  <c r="AG36" i="26"/>
  <c r="AF36" i="26"/>
  <c r="Y36" i="26"/>
  <c r="U36" i="26"/>
  <c r="T36" i="26"/>
  <c r="S36" i="26"/>
  <c r="R36" i="26"/>
  <c r="L36" i="26"/>
  <c r="K36" i="26"/>
  <c r="J36" i="26"/>
  <c r="BD35" i="26"/>
  <c r="AW35" i="26"/>
  <c r="AI35" i="26"/>
  <c r="AH35" i="26"/>
  <c r="AG35" i="26"/>
  <c r="AF35" i="26"/>
  <c r="Y35" i="26"/>
  <c r="U35" i="26"/>
  <c r="T35" i="26"/>
  <c r="S35" i="26"/>
  <c r="R35" i="26"/>
  <c r="L35" i="26"/>
  <c r="K35" i="26"/>
  <c r="J35" i="26"/>
  <c r="BN33" i="26"/>
  <c r="BM33" i="26"/>
  <c r="BL33" i="26"/>
  <c r="BK33" i="26"/>
  <c r="BF33" i="26"/>
  <c r="BD33" i="26"/>
  <c r="BC33" i="26"/>
  <c r="AY33" i="26"/>
  <c r="AW33" i="26"/>
  <c r="AO33" i="26"/>
  <c r="AJ33" i="26"/>
  <c r="AI33" i="26"/>
  <c r="AH33" i="26"/>
  <c r="AG33" i="26"/>
  <c r="AF33" i="26"/>
  <c r="Z33" i="26"/>
  <c r="Y33" i="26"/>
  <c r="X33" i="26"/>
  <c r="V33" i="26"/>
  <c r="U33" i="26"/>
  <c r="T33" i="26"/>
  <c r="S33" i="26"/>
  <c r="R33" i="26"/>
  <c r="Q33" i="26"/>
  <c r="L33" i="26"/>
  <c r="K33" i="26"/>
  <c r="J33" i="26"/>
  <c r="BN32" i="26"/>
  <c r="BM32" i="26"/>
  <c r="BL32" i="26"/>
  <c r="BK32" i="26"/>
  <c r="BF32" i="26"/>
  <c r="BD32" i="26"/>
  <c r="BC32" i="26"/>
  <c r="AY32" i="26"/>
  <c r="AW32" i="26"/>
  <c r="AO32" i="26"/>
  <c r="AJ32" i="26"/>
  <c r="AI32" i="26"/>
  <c r="AH32" i="26"/>
  <c r="AG32" i="26"/>
  <c r="AF32" i="26"/>
  <c r="Z32" i="26"/>
  <c r="Y32" i="26"/>
  <c r="X32" i="26"/>
  <c r="V32" i="26"/>
  <c r="U32" i="26"/>
  <c r="T32" i="26"/>
  <c r="S32" i="26"/>
  <c r="R32" i="26"/>
  <c r="Q32" i="26"/>
  <c r="L32" i="26"/>
  <c r="K32" i="26"/>
  <c r="J32" i="26"/>
  <c r="BN31" i="26"/>
  <c r="BM31" i="26"/>
  <c r="BL31" i="26"/>
  <c r="BK31" i="26"/>
  <c r="BF31" i="26"/>
  <c r="BD31" i="26"/>
  <c r="BC31" i="26"/>
  <c r="AY31" i="26"/>
  <c r="AW31" i="26"/>
  <c r="AO31" i="26"/>
  <c r="AJ31" i="26"/>
  <c r="AI31" i="26"/>
  <c r="AH31" i="26"/>
  <c r="AG31" i="26"/>
  <c r="AF31" i="26"/>
  <c r="Z31" i="26"/>
  <c r="Y31" i="26"/>
  <c r="X31" i="26"/>
  <c r="V31" i="26"/>
  <c r="U31" i="26"/>
  <c r="T31" i="26"/>
  <c r="S31" i="26"/>
  <c r="R31" i="26"/>
  <c r="Q31" i="26"/>
  <c r="L31" i="26"/>
  <c r="K31" i="26"/>
  <c r="J31" i="26"/>
  <c r="BD29" i="26"/>
  <c r="AW29" i="26"/>
  <c r="AI29" i="26"/>
  <c r="AH29" i="26"/>
  <c r="AG29" i="26"/>
  <c r="AF29" i="26"/>
  <c r="Y29" i="26"/>
  <c r="U29" i="26"/>
  <c r="T29" i="26"/>
  <c r="S29" i="26"/>
  <c r="R29" i="26"/>
  <c r="L29" i="26"/>
  <c r="K29" i="26"/>
  <c r="J29" i="26"/>
  <c r="BD28" i="26"/>
  <c r="AW28" i="26"/>
  <c r="AI28" i="26"/>
  <c r="AH28" i="26"/>
  <c r="AG28" i="26"/>
  <c r="AF28" i="26"/>
  <c r="Y28" i="26"/>
  <c r="U28" i="26"/>
  <c r="T28" i="26"/>
  <c r="S28" i="26"/>
  <c r="R28" i="26"/>
  <c r="L28" i="26"/>
  <c r="K28" i="26"/>
  <c r="J28" i="26"/>
  <c r="BD27" i="26"/>
  <c r="AW27" i="26"/>
  <c r="AI27" i="26"/>
  <c r="AH27" i="26"/>
  <c r="AG27" i="26"/>
  <c r="AF27" i="26"/>
  <c r="Y27" i="26"/>
  <c r="U27" i="26"/>
  <c r="T27" i="26"/>
  <c r="S27" i="26"/>
  <c r="R27" i="26"/>
  <c r="L27" i="26"/>
  <c r="K27" i="26"/>
  <c r="J27" i="26"/>
  <c r="BN25" i="26"/>
  <c r="BM25" i="26"/>
  <c r="BL25" i="26"/>
  <c r="BK25" i="26"/>
  <c r="BF25" i="26"/>
  <c r="BD25" i="26"/>
  <c r="BC25" i="26"/>
  <c r="AY25" i="26"/>
  <c r="AW25" i="26"/>
  <c r="AO25" i="26"/>
  <c r="AJ25" i="26"/>
  <c r="AI25" i="26"/>
  <c r="AH25" i="26"/>
  <c r="AG25" i="26"/>
  <c r="AF25" i="26"/>
  <c r="Z25" i="26"/>
  <c r="Y25" i="26"/>
  <c r="X25" i="26"/>
  <c r="V25" i="26"/>
  <c r="U25" i="26"/>
  <c r="T25" i="26"/>
  <c r="S25" i="26"/>
  <c r="R25" i="26"/>
  <c r="Q25" i="26"/>
  <c r="L25" i="26"/>
  <c r="K25" i="26"/>
  <c r="J25" i="26"/>
  <c r="BN24" i="26"/>
  <c r="BM24" i="26"/>
  <c r="BL24" i="26"/>
  <c r="BK24" i="26"/>
  <c r="BF24" i="26"/>
  <c r="BD24" i="26"/>
  <c r="BC24" i="26"/>
  <c r="AY24" i="26"/>
  <c r="AW24" i="26"/>
  <c r="AO24" i="26"/>
  <c r="AJ24" i="26"/>
  <c r="AI24" i="26"/>
  <c r="AH24" i="26"/>
  <c r="AG24" i="26"/>
  <c r="AF24" i="26"/>
  <c r="Z24" i="26"/>
  <c r="Y24" i="26"/>
  <c r="X24" i="26"/>
  <c r="V24" i="26"/>
  <c r="U24" i="26"/>
  <c r="T24" i="26"/>
  <c r="S24" i="26"/>
  <c r="R24" i="26"/>
  <c r="Q24" i="26"/>
  <c r="L24" i="26"/>
  <c r="K24" i="26"/>
  <c r="J24" i="26"/>
  <c r="BN23" i="26"/>
  <c r="BM23" i="26"/>
  <c r="BL23" i="26"/>
  <c r="BK23" i="26"/>
  <c r="BF23" i="26"/>
  <c r="BD23" i="26"/>
  <c r="BC23" i="26"/>
  <c r="AY23" i="26"/>
  <c r="AW23" i="26"/>
  <c r="AO23" i="26"/>
  <c r="AJ23" i="26"/>
  <c r="AI23" i="26"/>
  <c r="AH23" i="26"/>
  <c r="AG23" i="26"/>
  <c r="AF23" i="26"/>
  <c r="Z23" i="26"/>
  <c r="Y23" i="26"/>
  <c r="X23" i="26"/>
  <c r="V23" i="26"/>
  <c r="U23" i="26"/>
  <c r="T23" i="26"/>
  <c r="S23" i="26"/>
  <c r="R23" i="26"/>
  <c r="Q23" i="26"/>
  <c r="L23" i="26"/>
  <c r="K23" i="26"/>
  <c r="J23" i="26"/>
  <c r="BD21" i="26"/>
  <c r="AW21" i="26"/>
  <c r="AI21" i="26"/>
  <c r="AH21" i="26"/>
  <c r="AG21" i="26"/>
  <c r="AF21" i="26"/>
  <c r="Y21" i="26"/>
  <c r="U21" i="26"/>
  <c r="T21" i="26"/>
  <c r="S21" i="26"/>
  <c r="R21" i="26"/>
  <c r="L21" i="26"/>
  <c r="K21" i="26"/>
  <c r="J21" i="26"/>
  <c r="BD20" i="26"/>
  <c r="AW20" i="26"/>
  <c r="AI20" i="26"/>
  <c r="AH20" i="26"/>
  <c r="AG20" i="26"/>
  <c r="AF20" i="26"/>
  <c r="Y20" i="26"/>
  <c r="U20" i="26"/>
  <c r="T20" i="26"/>
  <c r="S20" i="26"/>
  <c r="R20" i="26"/>
  <c r="L20" i="26"/>
  <c r="K20" i="26"/>
  <c r="J20" i="26"/>
  <c r="BD19" i="26"/>
  <c r="AW19" i="26"/>
  <c r="AI19" i="26"/>
  <c r="AH19" i="26"/>
  <c r="AG19" i="26"/>
  <c r="AF19" i="26"/>
  <c r="Y19" i="26"/>
  <c r="U19" i="26"/>
  <c r="T19" i="26"/>
  <c r="S19" i="26"/>
  <c r="R19" i="26"/>
  <c r="L19" i="26"/>
  <c r="K19" i="26"/>
  <c r="J19" i="26"/>
  <c r="BN17" i="26"/>
  <c r="BM17" i="26"/>
  <c r="BL17" i="26"/>
  <c r="BK17" i="26"/>
  <c r="BF17" i="26"/>
  <c r="BD17" i="26"/>
  <c r="BC17" i="26"/>
  <c r="AY17" i="26"/>
  <c r="AW17" i="26"/>
  <c r="AO17" i="26"/>
  <c r="AJ17" i="26"/>
  <c r="AI17" i="26"/>
  <c r="AH17" i="26"/>
  <c r="AG17" i="26"/>
  <c r="AF17" i="26"/>
  <c r="Z17" i="26"/>
  <c r="Y17" i="26"/>
  <c r="X17" i="26"/>
  <c r="V17" i="26"/>
  <c r="U17" i="26"/>
  <c r="T17" i="26"/>
  <c r="S17" i="26"/>
  <c r="R17" i="26"/>
  <c r="Q17" i="26"/>
  <c r="L17" i="26"/>
  <c r="K17" i="26"/>
  <c r="J17" i="26"/>
  <c r="BN16" i="26"/>
  <c r="BM16" i="26"/>
  <c r="BL16" i="26"/>
  <c r="BK16" i="26"/>
  <c r="BF16" i="26"/>
  <c r="BD16" i="26"/>
  <c r="BC16" i="26"/>
  <c r="AY16" i="26"/>
  <c r="AW16" i="26"/>
  <c r="AO16" i="26"/>
  <c r="AJ16" i="26"/>
  <c r="AI16" i="26"/>
  <c r="AH16" i="26"/>
  <c r="AG16" i="26"/>
  <c r="AF16" i="26"/>
  <c r="Z16" i="26"/>
  <c r="Y16" i="26"/>
  <c r="X16" i="26"/>
  <c r="V16" i="26"/>
  <c r="U16" i="26"/>
  <c r="T16" i="26"/>
  <c r="S16" i="26"/>
  <c r="R16" i="26"/>
  <c r="Q16" i="26"/>
  <c r="L16" i="26"/>
  <c r="K16" i="26"/>
  <c r="J16" i="26"/>
  <c r="BN15" i="26"/>
  <c r="BM15" i="26"/>
  <c r="BL15" i="26"/>
  <c r="BK15" i="26"/>
  <c r="BF15" i="26"/>
  <c r="BD15" i="26"/>
  <c r="BC15" i="26"/>
  <c r="AY15" i="26"/>
  <c r="AW15" i="26"/>
  <c r="AO15" i="26"/>
  <c r="AJ15" i="26"/>
  <c r="AI15" i="26"/>
  <c r="AH15" i="26"/>
  <c r="AG15" i="26"/>
  <c r="AF15" i="26"/>
  <c r="Z15" i="26"/>
  <c r="Y15" i="26"/>
  <c r="X15" i="26"/>
  <c r="V15" i="26"/>
  <c r="U15" i="26"/>
  <c r="T15" i="26"/>
  <c r="S15" i="26"/>
  <c r="R15" i="26"/>
  <c r="Q15" i="26"/>
  <c r="L15" i="26"/>
  <c r="K15" i="26"/>
  <c r="J15" i="26"/>
  <c r="BD13" i="26"/>
  <c r="AW13" i="26"/>
  <c r="AI13" i="26"/>
  <c r="AH13" i="26"/>
  <c r="AG13" i="26"/>
  <c r="AF13" i="26"/>
  <c r="Y13" i="26"/>
  <c r="U13" i="26"/>
  <c r="T13" i="26"/>
  <c r="S13" i="26"/>
  <c r="R13" i="26"/>
  <c r="L13" i="26"/>
  <c r="K13" i="26"/>
  <c r="J13" i="26"/>
  <c r="BN12" i="26"/>
  <c r="BD12" i="26"/>
  <c r="AW12" i="26"/>
  <c r="AI12" i="26"/>
  <c r="AH12" i="26"/>
  <c r="AG12" i="26"/>
  <c r="AF12" i="26"/>
  <c r="Y12" i="26"/>
  <c r="U12" i="26"/>
  <c r="T12" i="26"/>
  <c r="S12" i="26"/>
  <c r="R12" i="26"/>
  <c r="L12" i="26"/>
  <c r="K12" i="26"/>
  <c r="J12" i="26"/>
  <c r="BD11" i="26"/>
  <c r="AY11" i="26"/>
  <c r="AW11" i="26"/>
  <c r="AI11" i="26"/>
  <c r="AH11" i="26"/>
  <c r="AG11" i="26"/>
  <c r="AF11" i="26"/>
  <c r="Z11" i="26"/>
  <c r="Y11" i="26"/>
  <c r="V11" i="26"/>
  <c r="U11" i="26"/>
  <c r="T11" i="26"/>
  <c r="S11" i="26"/>
  <c r="R11" i="26"/>
  <c r="L11" i="26"/>
  <c r="K11" i="26"/>
  <c r="J11" i="26"/>
  <c r="J3" i="26"/>
  <c r="K3" i="26"/>
  <c r="L3" i="26"/>
  <c r="R3" i="26"/>
  <c r="S3" i="26"/>
  <c r="T3" i="26"/>
  <c r="U3" i="26"/>
  <c r="Y3" i="26"/>
  <c r="Z3" i="26"/>
  <c r="AF3" i="26"/>
  <c r="AG3" i="26"/>
  <c r="AH3" i="26"/>
  <c r="AI3" i="26"/>
  <c r="AW3" i="26"/>
  <c r="AY3" i="26"/>
  <c r="BD3" i="26"/>
  <c r="BF3" i="26"/>
  <c r="J4" i="26"/>
  <c r="K4" i="26"/>
  <c r="L4" i="26"/>
  <c r="R4" i="26"/>
  <c r="S4" i="26"/>
  <c r="T4" i="26"/>
  <c r="U4" i="26"/>
  <c r="V4" i="26"/>
  <c r="Y4" i="26"/>
  <c r="Z4" i="26"/>
  <c r="AF4" i="26"/>
  <c r="AG4" i="26"/>
  <c r="AH4" i="26"/>
  <c r="AI4" i="26"/>
  <c r="AW4" i="26"/>
  <c r="AY4" i="26"/>
  <c r="BD4" i="26"/>
  <c r="BN4" i="26"/>
  <c r="J5" i="26"/>
  <c r="K5" i="26"/>
  <c r="L5" i="26"/>
  <c r="R5" i="26"/>
  <c r="S5" i="26"/>
  <c r="T5" i="26"/>
  <c r="U5" i="26"/>
  <c r="Y5" i="26"/>
  <c r="AF5" i="26"/>
  <c r="AG5" i="26"/>
  <c r="AH5" i="26"/>
  <c r="AI5" i="26"/>
  <c r="AJ5" i="26"/>
  <c r="AW5" i="26"/>
  <c r="BD5" i="26"/>
  <c r="BN5" i="26"/>
  <c r="J7" i="26"/>
  <c r="K7" i="26"/>
  <c r="L7" i="26"/>
  <c r="Q7" i="26"/>
  <c r="R7" i="26"/>
  <c r="S7" i="26"/>
  <c r="T7" i="26"/>
  <c r="U7" i="26"/>
  <c r="V7" i="26"/>
  <c r="X7" i="26"/>
  <c r="Y7" i="26"/>
  <c r="Z7" i="26"/>
  <c r="AF7" i="26"/>
  <c r="AG7" i="26"/>
  <c r="AH7" i="26"/>
  <c r="AI7" i="26"/>
  <c r="AJ7" i="26"/>
  <c r="AO7" i="26"/>
  <c r="AW7" i="26"/>
  <c r="AY7" i="26"/>
  <c r="BC7" i="26"/>
  <c r="BD7" i="26"/>
  <c r="BF7" i="26"/>
  <c r="BK7" i="26"/>
  <c r="BL7" i="26"/>
  <c r="BM7" i="26"/>
  <c r="BN7" i="26"/>
  <c r="J8" i="26"/>
  <c r="K8" i="26"/>
  <c r="L8" i="26"/>
  <c r="Q8" i="26"/>
  <c r="R8" i="26"/>
  <c r="S8" i="26"/>
  <c r="T8" i="26"/>
  <c r="U8" i="26"/>
  <c r="V8" i="26"/>
  <c r="X8" i="26"/>
  <c r="Y8" i="26"/>
  <c r="Z8" i="26"/>
  <c r="AF8" i="26"/>
  <c r="AG8" i="26"/>
  <c r="AH8" i="26"/>
  <c r="AI8" i="26"/>
  <c r="AJ8" i="26"/>
  <c r="AO8" i="26"/>
  <c r="AW8" i="26"/>
  <c r="AY8" i="26"/>
  <c r="BC8" i="26"/>
  <c r="BD8" i="26"/>
  <c r="BF8" i="26"/>
  <c r="BK8" i="26"/>
  <c r="BL8" i="26"/>
  <c r="BM8" i="26"/>
  <c r="BN8" i="26"/>
  <c r="J9" i="26"/>
  <c r="K9" i="26"/>
  <c r="L9" i="26"/>
  <c r="Q9" i="26"/>
  <c r="R9" i="26"/>
  <c r="S9" i="26"/>
  <c r="T9" i="26"/>
  <c r="U9" i="26"/>
  <c r="V9" i="26"/>
  <c r="X9" i="26"/>
  <c r="Y9" i="26"/>
  <c r="Z9" i="26"/>
  <c r="AF9" i="26"/>
  <c r="AG9" i="26"/>
  <c r="AH9" i="26"/>
  <c r="AI9" i="26"/>
  <c r="AJ9" i="26"/>
  <c r="AO9" i="26"/>
  <c r="AW9" i="26"/>
  <c r="AY9" i="26"/>
  <c r="BC9" i="26"/>
  <c r="BD9" i="26"/>
  <c r="BF9" i="26"/>
  <c r="BK9" i="26"/>
  <c r="BL9" i="26"/>
  <c r="BM9" i="26"/>
  <c r="BN9" i="26"/>
  <c r="A255" i="26"/>
  <c r="A254" i="26"/>
  <c r="A253" i="26"/>
  <c r="A252" i="26"/>
  <c r="A251" i="26"/>
  <c r="A250" i="26"/>
  <c r="A249" i="26"/>
  <c r="A248" i="26"/>
  <c r="A247" i="26"/>
  <c r="A246" i="26"/>
  <c r="A245" i="26"/>
  <c r="A244" i="26"/>
  <c r="A243" i="26"/>
  <c r="A242" i="26"/>
  <c r="A241" i="26"/>
  <c r="A240" i="26"/>
  <c r="A239" i="26"/>
  <c r="A238" i="26"/>
  <c r="A237" i="26"/>
  <c r="A236" i="26"/>
  <c r="A235" i="26"/>
  <c r="A234" i="26"/>
  <c r="A233" i="26"/>
  <c r="A232" i="26"/>
  <c r="A231" i="26"/>
  <c r="A230" i="26"/>
  <c r="A229" i="26"/>
  <c r="A228" i="26"/>
  <c r="A227" i="26"/>
  <c r="A226" i="26"/>
  <c r="A225" i="26"/>
  <c r="A224" i="26"/>
  <c r="A223" i="26"/>
  <c r="A222" i="26"/>
  <c r="A221" i="26"/>
  <c r="A220" i="26"/>
  <c r="A219" i="26"/>
  <c r="A218" i="26"/>
  <c r="A217" i="26"/>
  <c r="A216" i="26"/>
  <c r="A215" i="26"/>
  <c r="A214" i="26"/>
  <c r="A213" i="26"/>
  <c r="A212" i="26"/>
  <c r="A211" i="26"/>
  <c r="A210" i="26"/>
  <c r="A209" i="26"/>
  <c r="A208" i="26"/>
  <c r="A207" i="26"/>
  <c r="A206" i="26"/>
  <c r="A205" i="26"/>
  <c r="A204" i="26"/>
  <c r="A203" i="26"/>
  <c r="A202" i="26"/>
  <c r="A201" i="26"/>
  <c r="A200" i="26"/>
  <c r="A199" i="26"/>
  <c r="A198" i="26"/>
  <c r="A197" i="26"/>
  <c r="A196" i="26"/>
  <c r="A195" i="26"/>
  <c r="A194" i="26"/>
  <c r="A193" i="26"/>
  <c r="A192" i="26"/>
  <c r="A191" i="26"/>
  <c r="A190" i="26"/>
  <c r="A189" i="26"/>
  <c r="A188" i="26"/>
  <c r="A187" i="26"/>
  <c r="A186" i="26"/>
  <c r="A185" i="26"/>
  <c r="A184" i="26"/>
  <c r="A183" i="26"/>
  <c r="A182" i="26"/>
  <c r="A181" i="26"/>
  <c r="A180" i="26"/>
  <c r="A179" i="26"/>
  <c r="A178" i="26"/>
  <c r="A177" i="26"/>
  <c r="A176" i="26"/>
  <c r="A175" i="26"/>
  <c r="A174" i="26"/>
  <c r="A173" i="26"/>
  <c r="A172" i="26"/>
  <c r="A171" i="26"/>
  <c r="A170" i="26"/>
  <c r="A169" i="26"/>
  <c r="A168" i="26"/>
  <c r="A167" i="26"/>
  <c r="A166" i="26"/>
  <c r="A165" i="26"/>
  <c r="A164" i="26"/>
  <c r="A163" i="26"/>
  <c r="A162" i="26"/>
  <c r="A161" i="26"/>
  <c r="A160" i="26"/>
  <c r="A159" i="26"/>
  <c r="A158" i="26"/>
  <c r="A157" i="26"/>
  <c r="A156" i="26"/>
  <c r="A155" i="26"/>
  <c r="A154" i="26"/>
  <c r="A153" i="26"/>
  <c r="A152" i="26"/>
  <c r="A151" i="26"/>
  <c r="A150" i="26"/>
  <c r="A149" i="26"/>
  <c r="A148" i="26"/>
  <c r="A147" i="26"/>
  <c r="A146" i="26"/>
  <c r="A145" i="26"/>
  <c r="A144" i="26"/>
  <c r="A143" i="26"/>
  <c r="A142" i="26"/>
  <c r="A141" i="26"/>
  <c r="A140" i="26"/>
  <c r="A139" i="26"/>
  <c r="A138" i="26"/>
  <c r="A137" i="26"/>
  <c r="A136" i="26"/>
  <c r="A135" i="26"/>
  <c r="A134" i="26"/>
  <c r="A133" i="26"/>
  <c r="A132" i="26"/>
  <c r="A131" i="26"/>
  <c r="A130" i="26"/>
  <c r="A129" i="26"/>
  <c r="A128" i="26"/>
  <c r="A127" i="26"/>
  <c r="A126" i="26"/>
  <c r="A125" i="26"/>
  <c r="A124" i="26"/>
  <c r="A123" i="26"/>
  <c r="A122" i="26"/>
  <c r="A121" i="26"/>
  <c r="A120" i="26"/>
  <c r="A119" i="26"/>
  <c r="A118" i="26"/>
  <c r="A117" i="26"/>
  <c r="A116" i="26"/>
  <c r="A115" i="26"/>
  <c r="A114" i="26"/>
  <c r="A113" i="26"/>
  <c r="A112" i="26"/>
  <c r="A111" i="26"/>
  <c r="A110" i="26"/>
  <c r="A109" i="26"/>
  <c r="X5" i="26" s="1"/>
  <c r="A108" i="26"/>
  <c r="A107" i="26"/>
  <c r="A106" i="26"/>
  <c r="A105" i="26"/>
  <c r="A104" i="26"/>
  <c r="A103" i="26"/>
  <c r="A102" i="26"/>
  <c r="Q92" i="26"/>
  <c r="BC69" i="26" l="1"/>
  <c r="BC68" i="26"/>
  <c r="BL69" i="26"/>
  <c r="BC67" i="26"/>
  <c r="BL67" i="26"/>
  <c r="BL68" i="26"/>
  <c r="BM69" i="26"/>
  <c r="BM68" i="26"/>
  <c r="BM67" i="26"/>
  <c r="Q3" i="26"/>
  <c r="BM5" i="26"/>
  <c r="BL4" i="26"/>
  <c r="BC4" i="26"/>
  <c r="BL3" i="26"/>
  <c r="BM11" i="26"/>
  <c r="BC12" i="26"/>
  <c r="BL12" i="26"/>
  <c r="BC13" i="26"/>
  <c r="BL13" i="26"/>
  <c r="BC19" i="26"/>
  <c r="BL19" i="26"/>
  <c r="BM20" i="26"/>
  <c r="BC21" i="26"/>
  <c r="BL21" i="26"/>
  <c r="BC27" i="26"/>
  <c r="BL27" i="26"/>
  <c r="BM28" i="26"/>
  <c r="BC29" i="26"/>
  <c r="BL29" i="26"/>
  <c r="BC35" i="26"/>
  <c r="BL35" i="26"/>
  <c r="BM36" i="26"/>
  <c r="BC37" i="26"/>
  <c r="BL37" i="26"/>
  <c r="BC43" i="26"/>
  <c r="BL43" i="26"/>
  <c r="BM44" i="26"/>
  <c r="BC45" i="26"/>
  <c r="BL45" i="26"/>
  <c r="BC51" i="26"/>
  <c r="BL51" i="26"/>
  <c r="BM52" i="26"/>
  <c r="BC53" i="26"/>
  <c r="BL53" i="26"/>
  <c r="BC59" i="26"/>
  <c r="BL59" i="26"/>
  <c r="BM60" i="26"/>
  <c r="BC61" i="26"/>
  <c r="BL61" i="26"/>
  <c r="BC75" i="26"/>
  <c r="BL75" i="26"/>
  <c r="BM76" i="26"/>
  <c r="BC77" i="26"/>
  <c r="BL77" i="26"/>
  <c r="BC83" i="26"/>
  <c r="BL83" i="26"/>
  <c r="BM84" i="26"/>
  <c r="BC85" i="26"/>
  <c r="BL85" i="26"/>
  <c r="BC91" i="26"/>
  <c r="BL91" i="26"/>
  <c r="BM92" i="26"/>
  <c r="BC93" i="26"/>
  <c r="BL93" i="26"/>
  <c r="BL5" i="26"/>
  <c r="BC5" i="26"/>
  <c r="BM4" i="26"/>
  <c r="BM3" i="26"/>
  <c r="BC3" i="26"/>
  <c r="BC11" i="26"/>
  <c r="BL11" i="26"/>
  <c r="BM12" i="26"/>
  <c r="BM13" i="26"/>
  <c r="BM19" i="26"/>
  <c r="BC20" i="26"/>
  <c r="BL20" i="26"/>
  <c r="BM21" i="26"/>
  <c r="BM27" i="26"/>
  <c r="BC28" i="26"/>
  <c r="BL28" i="26"/>
  <c r="BM29" i="26"/>
  <c r="BM35" i="26"/>
  <c r="BC36" i="26"/>
  <c r="BL36" i="26"/>
  <c r="BM37" i="26"/>
  <c r="BM43" i="26"/>
  <c r="BC44" i="26"/>
  <c r="BL44" i="26"/>
  <c r="BM45" i="26"/>
  <c r="BM51" i="26"/>
  <c r="BC52" i="26"/>
  <c r="BL52" i="26"/>
  <c r="BM53" i="26"/>
  <c r="BM59" i="26"/>
  <c r="BC60" i="26"/>
  <c r="BL60" i="26"/>
  <c r="BM61" i="26"/>
  <c r="BM75" i="26"/>
  <c r="BC76" i="26"/>
  <c r="BL76" i="26"/>
  <c r="BM77" i="26"/>
  <c r="BM83" i="26"/>
  <c r="BC84" i="26"/>
  <c r="BL84" i="26"/>
  <c r="BM85" i="26"/>
  <c r="BM91" i="26"/>
  <c r="BC92" i="26"/>
  <c r="BL92" i="26"/>
  <c r="BM93" i="26"/>
  <c r="AV73" i="26"/>
  <c r="AV72" i="26"/>
  <c r="AV71" i="26"/>
  <c r="AV67" i="26"/>
  <c r="AV68" i="26"/>
  <c r="AV69" i="26"/>
  <c r="AV5" i="26"/>
  <c r="AV12" i="26"/>
  <c r="AV9" i="26"/>
  <c r="AV8" i="26"/>
  <c r="AV7" i="26"/>
  <c r="AV4" i="26"/>
  <c r="AV3" i="26"/>
  <c r="AV11" i="26"/>
  <c r="AV13" i="26"/>
  <c r="AV15" i="26"/>
  <c r="AV16" i="26"/>
  <c r="AV17" i="26"/>
  <c r="AV19" i="26"/>
  <c r="AV20" i="26"/>
  <c r="AV21" i="26"/>
  <c r="AV23" i="26"/>
  <c r="AV24" i="26"/>
  <c r="AV25" i="26"/>
  <c r="AV27" i="26"/>
  <c r="AV28" i="26"/>
  <c r="AV29" i="26"/>
  <c r="AV31" i="26"/>
  <c r="AV32" i="26"/>
  <c r="AV33" i="26"/>
  <c r="AV35" i="26"/>
  <c r="AV36" i="26"/>
  <c r="AV37" i="26"/>
  <c r="AV39" i="26"/>
  <c r="AV40" i="26"/>
  <c r="AV41" i="26"/>
  <c r="AV43" i="26"/>
  <c r="AV44" i="26"/>
  <c r="AV45" i="26"/>
  <c r="AV47" i="26"/>
  <c r="AV48" i="26"/>
  <c r="AV49" i="26"/>
  <c r="AV51" i="26"/>
  <c r="AV52" i="26"/>
  <c r="AV53" i="26"/>
  <c r="AV55" i="26"/>
  <c r="AV56" i="26"/>
  <c r="AV57" i="26"/>
  <c r="AV59" i="26"/>
  <c r="AV60" i="26"/>
  <c r="AV61" i="26"/>
  <c r="AV63" i="26"/>
  <c r="AV64" i="26"/>
  <c r="AV65" i="26"/>
  <c r="AV75" i="26"/>
  <c r="AV76" i="26"/>
  <c r="AV77" i="26"/>
  <c r="AV79" i="26"/>
  <c r="AV80" i="26"/>
  <c r="AV81" i="26"/>
  <c r="AV83" i="26"/>
  <c r="AV84" i="26"/>
  <c r="AV85" i="26"/>
  <c r="AV87" i="26"/>
  <c r="AV88" i="26"/>
  <c r="AV89" i="26"/>
  <c r="AV91" i="26"/>
  <c r="AV92" i="26"/>
  <c r="AV93" i="26"/>
  <c r="AV95" i="26"/>
  <c r="AV96" i="26"/>
  <c r="AV97" i="26"/>
  <c r="AU7" i="26"/>
  <c r="AU97" i="26"/>
  <c r="AU9" i="26"/>
  <c r="AU17" i="26"/>
  <c r="AU25" i="26"/>
  <c r="AU33" i="26"/>
  <c r="AU41" i="26"/>
  <c r="AU49" i="26"/>
  <c r="AU57" i="26"/>
  <c r="AU65" i="26"/>
  <c r="AU81" i="26"/>
  <c r="AU89" i="26"/>
  <c r="AU71" i="26"/>
  <c r="AU72" i="26"/>
  <c r="AU73" i="26"/>
  <c r="AU8" i="26"/>
  <c r="AU15" i="26"/>
  <c r="AU23" i="26"/>
  <c r="AU31" i="26"/>
  <c r="AU39" i="26"/>
  <c r="AU47" i="26"/>
  <c r="AU55" i="26"/>
  <c r="AU63" i="26"/>
  <c r="AU79" i="26"/>
  <c r="AU87" i="26"/>
  <c r="AU95" i="26"/>
  <c r="AU16" i="26"/>
  <c r="AU24" i="26"/>
  <c r="AU32" i="26"/>
  <c r="AU40" i="26"/>
  <c r="AU48" i="26"/>
  <c r="AU56" i="26"/>
  <c r="AU64" i="26"/>
  <c r="AU80" i="26"/>
  <c r="AU88" i="26"/>
  <c r="AU96" i="26"/>
  <c r="BK3" i="26"/>
  <c r="X11" i="26"/>
  <c r="AO19" i="26"/>
  <c r="Q20" i="26"/>
  <c r="BK20" i="26"/>
  <c r="X21" i="26"/>
  <c r="AO44" i="26"/>
  <c r="Q45" i="26"/>
  <c r="BK45" i="26"/>
  <c r="AO77" i="26"/>
  <c r="X27" i="26"/>
  <c r="Q51" i="26"/>
  <c r="BK51" i="26"/>
  <c r="X52" i="26"/>
  <c r="AO83" i="26"/>
  <c r="Q84" i="26"/>
  <c r="BK84" i="26"/>
  <c r="X85" i="26"/>
  <c r="BK4" i="26"/>
  <c r="AO28" i="26"/>
  <c r="Q29" i="26"/>
  <c r="BK29" i="26"/>
  <c r="AO53" i="26"/>
  <c r="X91" i="26"/>
  <c r="Q35" i="26"/>
  <c r="BK35" i="26"/>
  <c r="X36" i="26"/>
  <c r="AO59" i="26"/>
  <c r="Q60" i="26"/>
  <c r="BK60" i="26"/>
  <c r="X61" i="26"/>
  <c r="AO92" i="26"/>
  <c r="Q93" i="26"/>
  <c r="BK93" i="26"/>
  <c r="AB68" i="26"/>
  <c r="AB69" i="26"/>
  <c r="AB67" i="26"/>
  <c r="AO37" i="26"/>
  <c r="X75" i="26"/>
  <c r="BK5" i="26"/>
  <c r="Q4" i="26"/>
  <c r="Q19" i="26"/>
  <c r="BK19" i="26"/>
  <c r="X20" i="26"/>
  <c r="AO43" i="26"/>
  <c r="Q44" i="26"/>
  <c r="BK44" i="26"/>
  <c r="X45" i="26"/>
  <c r="AO76" i="26"/>
  <c r="Q77" i="26"/>
  <c r="BK77" i="26"/>
  <c r="AO21" i="26"/>
  <c r="X51" i="26"/>
  <c r="Q83" i="26"/>
  <c r="BK83" i="26"/>
  <c r="X84" i="26"/>
  <c r="Q13" i="26"/>
  <c r="BK13" i="26"/>
  <c r="Q5" i="26"/>
  <c r="AO3" i="26"/>
  <c r="AO11" i="26"/>
  <c r="AO27" i="26"/>
  <c r="Q28" i="26"/>
  <c r="BK28" i="26"/>
  <c r="X29" i="26"/>
  <c r="AO52" i="26"/>
  <c r="Q53" i="26"/>
  <c r="BK53" i="26"/>
  <c r="AO85" i="26"/>
  <c r="AO4" i="26"/>
  <c r="Q12" i="26"/>
  <c r="BK12" i="26"/>
  <c r="X35" i="26"/>
  <c r="Q59" i="26"/>
  <c r="BK59" i="26"/>
  <c r="X60" i="26"/>
  <c r="AO91" i="26"/>
  <c r="BK92" i="26"/>
  <c r="X93" i="26"/>
  <c r="BK68" i="26"/>
  <c r="X68" i="26"/>
  <c r="AO67" i="26"/>
  <c r="X67" i="26"/>
  <c r="BK69" i="26"/>
  <c r="X69" i="26"/>
  <c r="AO69" i="26"/>
  <c r="BK67" i="26"/>
  <c r="AO68" i="26"/>
  <c r="Q67" i="26"/>
  <c r="Q68" i="26"/>
  <c r="Q69" i="26"/>
  <c r="X13" i="26"/>
  <c r="AO36" i="26"/>
  <c r="Q37" i="26"/>
  <c r="BK37" i="26"/>
  <c r="AO61" i="26"/>
  <c r="AO12" i="26"/>
  <c r="AO5" i="26"/>
  <c r="Q11" i="26"/>
  <c r="X19" i="26"/>
  <c r="Q43" i="26"/>
  <c r="BK43" i="26"/>
  <c r="X44" i="26"/>
  <c r="AO75" i="26"/>
  <c r="Q76" i="26"/>
  <c r="BK76" i="26"/>
  <c r="X77" i="26"/>
  <c r="AO45" i="26"/>
  <c r="X83" i="26"/>
  <c r="Q27" i="26"/>
  <c r="BK27" i="26"/>
  <c r="X28" i="26"/>
  <c r="AO51" i="26"/>
  <c r="Q52" i="26"/>
  <c r="BK52" i="26"/>
  <c r="X53" i="26"/>
  <c r="AO84" i="26"/>
  <c r="Q85" i="26"/>
  <c r="BK85" i="26"/>
  <c r="BK11" i="26"/>
  <c r="X12" i="26"/>
  <c r="AO29" i="26"/>
  <c r="X59" i="26"/>
  <c r="Q91" i="26"/>
  <c r="BK91" i="26"/>
  <c r="X92" i="26"/>
  <c r="AO35" i="26"/>
  <c r="Q36" i="26"/>
  <c r="BK36" i="26"/>
  <c r="X37" i="26"/>
  <c r="AO60" i="26"/>
  <c r="Q61" i="26"/>
  <c r="BK61" i="26"/>
  <c r="AO93" i="26"/>
  <c r="AO20" i="26"/>
  <c r="Q21" i="26"/>
  <c r="BK21" i="26"/>
  <c r="X3" i="26"/>
  <c r="X4" i="26"/>
  <c r="AO13" i="26"/>
  <c r="X43" i="26"/>
  <c r="Q75" i="26"/>
  <c r="BK75" i="26"/>
  <c r="X76" i="26"/>
  <c r="BJ55" i="26"/>
  <c r="BJ49" i="26"/>
  <c r="BJ48" i="26"/>
  <c r="BJ47" i="26"/>
  <c r="BJ57" i="26"/>
  <c r="BJ56" i="26"/>
  <c r="BJ7" i="26"/>
  <c r="BJ71" i="26"/>
  <c r="BJ72" i="26"/>
  <c r="BJ73" i="26"/>
  <c r="BJ8" i="26"/>
  <c r="BJ9" i="26"/>
  <c r="BJ65" i="26"/>
  <c r="BJ16" i="26"/>
  <c r="BJ64" i="26"/>
  <c r="BJ15" i="26"/>
  <c r="BJ63" i="26"/>
  <c r="BJ81" i="26"/>
  <c r="BJ24" i="26"/>
  <c r="BJ80" i="26"/>
  <c r="BJ23" i="26"/>
  <c r="BJ79" i="26"/>
  <c r="BJ33" i="26"/>
  <c r="BJ89" i="26"/>
  <c r="BJ25" i="26"/>
  <c r="BJ32" i="26"/>
  <c r="BJ88" i="26"/>
  <c r="BJ31" i="26"/>
  <c r="BJ87" i="26"/>
  <c r="BJ17" i="26"/>
  <c r="BJ41" i="26"/>
  <c r="BJ97" i="26"/>
  <c r="BJ40" i="26"/>
  <c r="BJ96" i="26"/>
  <c r="BJ39" i="26"/>
  <c r="BJ95" i="26"/>
  <c r="BJ67" i="26"/>
  <c r="BJ68" i="26"/>
  <c r="BJ69" i="26"/>
  <c r="M71" i="26"/>
  <c r="M72" i="26"/>
  <c r="M73" i="26"/>
  <c r="M67" i="26"/>
  <c r="M68" i="26"/>
  <c r="M69" i="26"/>
  <c r="AU13" i="26"/>
  <c r="AU11" i="26"/>
  <c r="AU3" i="26"/>
  <c r="AU43" i="26"/>
  <c r="AU83" i="26"/>
  <c r="AU52" i="26"/>
  <c r="AU92" i="26"/>
  <c r="AU29" i="26"/>
  <c r="AU61" i="26"/>
  <c r="AU20" i="26"/>
  <c r="AU5" i="26"/>
  <c r="AU19" i="26"/>
  <c r="AU51" i="26"/>
  <c r="AU91" i="26"/>
  <c r="AU28" i="26"/>
  <c r="AU60" i="26"/>
  <c r="AU37" i="26"/>
  <c r="AU77" i="26"/>
  <c r="AU27" i="26"/>
  <c r="AU59" i="26"/>
  <c r="AU36" i="26"/>
  <c r="AU76" i="26"/>
  <c r="AU45" i="26"/>
  <c r="AU85" i="26"/>
  <c r="AU12" i="26"/>
  <c r="AU35" i="26"/>
  <c r="AU75" i="26"/>
  <c r="AU44" i="26"/>
  <c r="AU84" i="26"/>
  <c r="AU21" i="26"/>
  <c r="AU53" i="26"/>
  <c r="AU93" i="26"/>
  <c r="AU4" i="26"/>
  <c r="AU67" i="26"/>
  <c r="AU68" i="26"/>
  <c r="AU69" i="26"/>
  <c r="AX7" i="26"/>
  <c r="AX81" i="26"/>
  <c r="AX23" i="26"/>
  <c r="AX24" i="26"/>
  <c r="AX25" i="26"/>
  <c r="AX47" i="26"/>
  <c r="AX48" i="26"/>
  <c r="AX49" i="26"/>
  <c r="AX79" i="26"/>
  <c r="AX80" i="26"/>
  <c r="AX73" i="26"/>
  <c r="AX72" i="26"/>
  <c r="AX71" i="26"/>
  <c r="AX31" i="26"/>
  <c r="AX32" i="26"/>
  <c r="AX33" i="26"/>
  <c r="AX55" i="26"/>
  <c r="AX56" i="26"/>
  <c r="AX57" i="26"/>
  <c r="AX87" i="26"/>
  <c r="AX88" i="26"/>
  <c r="AX89" i="26"/>
  <c r="AX9" i="26"/>
  <c r="AX8" i="26"/>
  <c r="AX15" i="26"/>
  <c r="AX16" i="26"/>
  <c r="AX17" i="26"/>
  <c r="AX39" i="26"/>
  <c r="AX40" i="26"/>
  <c r="AX41" i="26"/>
  <c r="AX63" i="26"/>
  <c r="AX64" i="26"/>
  <c r="AX65" i="26"/>
  <c r="AX95" i="26"/>
  <c r="AX96" i="26"/>
  <c r="AX97" i="26"/>
  <c r="AX37" i="26"/>
  <c r="AX77" i="26"/>
  <c r="AX92" i="26"/>
  <c r="AX28" i="26"/>
  <c r="AX43" i="26"/>
  <c r="AX53" i="26"/>
  <c r="AX76" i="26"/>
  <c r="AX91" i="26"/>
  <c r="AX12" i="26"/>
  <c r="AX3" i="26"/>
  <c r="AX27" i="26"/>
  <c r="AX68" i="26"/>
  <c r="AX69" i="26"/>
  <c r="AX67" i="26"/>
  <c r="AX52" i="26"/>
  <c r="AX13" i="26"/>
  <c r="AX4" i="26"/>
  <c r="AX75" i="26"/>
  <c r="AX85" i="26"/>
  <c r="AX11" i="26"/>
  <c r="AX5" i="26"/>
  <c r="AX21" i="26"/>
  <c r="AX36" i="26"/>
  <c r="AX51" i="26"/>
  <c r="AX61" i="26"/>
  <c r="AX84" i="26"/>
  <c r="AX20" i="26"/>
  <c r="AX35" i="26"/>
  <c r="AX45" i="26"/>
  <c r="AX60" i="26"/>
  <c r="AX83" i="26"/>
  <c r="AX93" i="26"/>
  <c r="AX29" i="26"/>
  <c r="AX44" i="26"/>
  <c r="AX19" i="26"/>
  <c r="AX59" i="26"/>
  <c r="AT77" i="26"/>
  <c r="AT5" i="26"/>
  <c r="AT88" i="26"/>
  <c r="AT89" i="26"/>
  <c r="AT39" i="26"/>
  <c r="AT43" i="26"/>
  <c r="AT60" i="26"/>
  <c r="AT85" i="26"/>
  <c r="AT40" i="26"/>
  <c r="AT9" i="26"/>
  <c r="AT8" i="26"/>
  <c r="AT7" i="26"/>
  <c r="AT41" i="26"/>
  <c r="AT37" i="26"/>
  <c r="AT25" i="26"/>
  <c r="AT55" i="26"/>
  <c r="AT59" i="26"/>
  <c r="AT84" i="26"/>
  <c r="AT56" i="26"/>
  <c r="AT57" i="26"/>
  <c r="AT20" i="26"/>
  <c r="AT36" i="26"/>
  <c r="AT53" i="26"/>
  <c r="AT16" i="26"/>
  <c r="AT17" i="26"/>
  <c r="AT15" i="26"/>
  <c r="AT19" i="26"/>
  <c r="AT79" i="26"/>
  <c r="AT83" i="26"/>
  <c r="AT13" i="26"/>
  <c r="AT80" i="26"/>
  <c r="AT81" i="26"/>
  <c r="AT31" i="26"/>
  <c r="AT35" i="26"/>
  <c r="AT52" i="26"/>
  <c r="AT73" i="26"/>
  <c r="AT72" i="26"/>
  <c r="AT71" i="26"/>
  <c r="AT68" i="26"/>
  <c r="AT69" i="26"/>
  <c r="AT67" i="26"/>
  <c r="AT32" i="26"/>
  <c r="AT12" i="26"/>
  <c r="AT33" i="26"/>
  <c r="AT29" i="26"/>
  <c r="AT95" i="26"/>
  <c r="AT96" i="26"/>
  <c r="AT97" i="26"/>
  <c r="AT47" i="26"/>
  <c r="AT51" i="26"/>
  <c r="AT76" i="26"/>
  <c r="AT93" i="26"/>
  <c r="AT48" i="26"/>
  <c r="AT11" i="26"/>
  <c r="AT49" i="26"/>
  <c r="AT3" i="26"/>
  <c r="AT28" i="26"/>
  <c r="AT45" i="26"/>
  <c r="AT4" i="26"/>
  <c r="AT63" i="26"/>
  <c r="AT75" i="26"/>
  <c r="AT92" i="26"/>
  <c r="AT64" i="26"/>
  <c r="AT65" i="26"/>
  <c r="AT23" i="26"/>
  <c r="AT27" i="26"/>
  <c r="AT44" i="26"/>
  <c r="AT61" i="26"/>
  <c r="AT24" i="26"/>
  <c r="AT21" i="26"/>
  <c r="AT87" i="26"/>
  <c r="AT91" i="26"/>
  <c r="BR7" i="26"/>
  <c r="BR96" i="26"/>
  <c r="BR31" i="26"/>
  <c r="BR55" i="26"/>
  <c r="BR87" i="26"/>
  <c r="BR32" i="26"/>
  <c r="BR56" i="26"/>
  <c r="BR88" i="26"/>
  <c r="BR33" i="26"/>
  <c r="BR57" i="26"/>
  <c r="BR89" i="26"/>
  <c r="BR23" i="26"/>
  <c r="BR47" i="26"/>
  <c r="BR79" i="26"/>
  <c r="BR24" i="26"/>
  <c r="BR48" i="26"/>
  <c r="BR80" i="26"/>
  <c r="BR9" i="26"/>
  <c r="BR8" i="26"/>
  <c r="BR25" i="26"/>
  <c r="BR49" i="26"/>
  <c r="BR81" i="26"/>
  <c r="BR15" i="26"/>
  <c r="BR39" i="26"/>
  <c r="BR63" i="26"/>
  <c r="BR95" i="26"/>
  <c r="BR64" i="26"/>
  <c r="BR72" i="26"/>
  <c r="BR71" i="26"/>
  <c r="BR73" i="26"/>
  <c r="BR16" i="26"/>
  <c r="BR40" i="26"/>
  <c r="BR17" i="26"/>
  <c r="BR41" i="26"/>
  <c r="BR65" i="26"/>
  <c r="BR97" i="26"/>
  <c r="BR3" i="26"/>
  <c r="BR92" i="26"/>
  <c r="BR21" i="26"/>
  <c r="BR45" i="26"/>
  <c r="BR85" i="26"/>
  <c r="BR19" i="26"/>
  <c r="BR51" i="26"/>
  <c r="BR91" i="26"/>
  <c r="BR13" i="26"/>
  <c r="BR4" i="26"/>
  <c r="BR44" i="26"/>
  <c r="BR84" i="26"/>
  <c r="BR11" i="26"/>
  <c r="BR37" i="26"/>
  <c r="BR77" i="26"/>
  <c r="BR43" i="26"/>
  <c r="BR83" i="26"/>
  <c r="BR12" i="26"/>
  <c r="BR36" i="26"/>
  <c r="BR76" i="26"/>
  <c r="BR29" i="26"/>
  <c r="BR61" i="26"/>
  <c r="BR35" i="26"/>
  <c r="BR75" i="26"/>
  <c r="BR28" i="26"/>
  <c r="BR60" i="26"/>
  <c r="BR53" i="26"/>
  <c r="BR93" i="26"/>
  <c r="BR27" i="26"/>
  <c r="BR59" i="26"/>
  <c r="BR5" i="26"/>
  <c r="BR20" i="26"/>
  <c r="BR52" i="26"/>
  <c r="BR67" i="26"/>
  <c r="BR69" i="26"/>
  <c r="BR68" i="26"/>
  <c r="BI80" i="26"/>
  <c r="BI72" i="26"/>
  <c r="BI73" i="26"/>
  <c r="BI71" i="26"/>
  <c r="BI67" i="26"/>
  <c r="BI68" i="26"/>
  <c r="BI69" i="26"/>
  <c r="BS12" i="26"/>
  <c r="BS17" i="26"/>
  <c r="BS5" i="26"/>
  <c r="BS7" i="26"/>
  <c r="BS76" i="26"/>
  <c r="BS8" i="26"/>
  <c r="BS4" i="26"/>
  <c r="BS3" i="26"/>
  <c r="BS83" i="26"/>
  <c r="BS53" i="26"/>
  <c r="BS63" i="26"/>
  <c r="BS80" i="26"/>
  <c r="BS89" i="26"/>
  <c r="BS60" i="26"/>
  <c r="BS75" i="26"/>
  <c r="BS45" i="26"/>
  <c r="BS55" i="26"/>
  <c r="BS64" i="26"/>
  <c r="BS81" i="26"/>
  <c r="BS52" i="26"/>
  <c r="BS59" i="26"/>
  <c r="BS37" i="26"/>
  <c r="BS47" i="26"/>
  <c r="BS56" i="26"/>
  <c r="BS65" i="26"/>
  <c r="BS44" i="26"/>
  <c r="BS51" i="26"/>
  <c r="BS29" i="26"/>
  <c r="BS39" i="26"/>
  <c r="BS48" i="26"/>
  <c r="BS57" i="26"/>
  <c r="BS36" i="26"/>
  <c r="BS43" i="26"/>
  <c r="BS21" i="26"/>
  <c r="BS31" i="26"/>
  <c r="BS40" i="26"/>
  <c r="BS49" i="26"/>
  <c r="BS28" i="26"/>
  <c r="BS35" i="26"/>
  <c r="BS13" i="26"/>
  <c r="BS23" i="26"/>
  <c r="BS32" i="26"/>
  <c r="BS41" i="26"/>
  <c r="BS20" i="26"/>
  <c r="BS27" i="26"/>
  <c r="BS15" i="26"/>
  <c r="BS24" i="26"/>
  <c r="BS33" i="26"/>
  <c r="BS73" i="26"/>
  <c r="BS72" i="26"/>
  <c r="BS71" i="26"/>
  <c r="BS67" i="26"/>
  <c r="BS68" i="26"/>
  <c r="BS69" i="26"/>
  <c r="BS19" i="26"/>
  <c r="BS16" i="26"/>
  <c r="BS25" i="26"/>
  <c r="BS11" i="26"/>
  <c r="BS93" i="26"/>
  <c r="BS85" i="26"/>
  <c r="BS95" i="26"/>
  <c r="BS9" i="26"/>
  <c r="BS92" i="26"/>
  <c r="BS77" i="26"/>
  <c r="BS87" i="26"/>
  <c r="BS96" i="26"/>
  <c r="BS84" i="26"/>
  <c r="BS91" i="26"/>
  <c r="BS61" i="26"/>
  <c r="BS79" i="26"/>
  <c r="BS88" i="26"/>
  <c r="BS97" i="26"/>
  <c r="I7" i="27"/>
  <c r="BH69" i="26"/>
  <c r="BH68" i="26"/>
  <c r="BH67" i="26"/>
  <c r="AD67" i="26"/>
  <c r="AE67" i="26"/>
  <c r="AE69" i="26"/>
  <c r="AD69" i="26"/>
  <c r="AE68" i="26"/>
  <c r="AD68" i="26"/>
  <c r="AA73" i="26"/>
  <c r="AA72" i="26"/>
  <c r="AA71" i="26"/>
  <c r="BA67" i="26"/>
  <c r="BA73" i="26"/>
  <c r="BA72" i="26"/>
  <c r="BA71" i="26"/>
  <c r="BA69" i="26"/>
  <c r="BA68" i="26"/>
  <c r="AE73" i="26"/>
  <c r="AD73" i="26"/>
  <c r="AE72" i="26"/>
  <c r="AD72" i="26"/>
  <c r="AE71" i="26"/>
  <c r="AD71" i="26"/>
  <c r="AR69" i="26"/>
  <c r="AR68" i="26"/>
  <c r="AR67" i="26"/>
  <c r="P72" i="26"/>
  <c r="P71" i="26"/>
  <c r="P73" i="26"/>
  <c r="H66" i="26"/>
  <c r="AA67" i="26"/>
  <c r="AA69" i="26"/>
  <c r="AA68" i="26"/>
  <c r="O72" i="26"/>
  <c r="O71" i="26"/>
  <c r="O73" i="26"/>
  <c r="P69" i="26"/>
  <c r="O69" i="26"/>
  <c r="P68" i="26"/>
  <c r="O68" i="26"/>
  <c r="P67" i="26"/>
  <c r="O67" i="26"/>
  <c r="AR73" i="26"/>
  <c r="AR72" i="26"/>
  <c r="AR71" i="26"/>
  <c r="BE69" i="26"/>
  <c r="BE68" i="26"/>
  <c r="BE67" i="26"/>
  <c r="BE73" i="26"/>
  <c r="BE72" i="26"/>
  <c r="BE71" i="26"/>
  <c r="BH72" i="26"/>
  <c r="BH71" i="26"/>
  <c r="BH73" i="26"/>
  <c r="V92" i="26"/>
  <c r="BQ71" i="26"/>
  <c r="AZ71" i="26"/>
  <c r="BE70" i="26"/>
  <c r="AN70" i="26"/>
  <c r="X70" i="26"/>
  <c r="H70" i="26"/>
  <c r="BQ67" i="26"/>
  <c r="AZ67" i="26"/>
  <c r="AQ73" i="26"/>
  <c r="BP71" i="26"/>
  <c r="BD70" i="26"/>
  <c r="AM70" i="26"/>
  <c r="W70" i="26"/>
  <c r="AQ69" i="26"/>
  <c r="BP67" i="26"/>
  <c r="BG73" i="26"/>
  <c r="AP73" i="26"/>
  <c r="N72" i="26"/>
  <c r="BO71" i="26"/>
  <c r="BS70" i="26"/>
  <c r="BC70" i="26"/>
  <c r="AL70" i="26"/>
  <c r="V70" i="26"/>
  <c r="BG69" i="26"/>
  <c r="AP69" i="26"/>
  <c r="N68" i="26"/>
  <c r="BO67" i="26"/>
  <c r="I73" i="26"/>
  <c r="AS72" i="26"/>
  <c r="AC72" i="26"/>
  <c r="AN73" i="26"/>
  <c r="H73" i="26"/>
  <c r="BQ70" i="26"/>
  <c r="AZ70" i="26"/>
  <c r="AJ70" i="26"/>
  <c r="T70" i="26"/>
  <c r="AN69" i="26"/>
  <c r="H69" i="26"/>
  <c r="AM73" i="26"/>
  <c r="W73" i="26"/>
  <c r="AQ72" i="26"/>
  <c r="BP70" i="26"/>
  <c r="AY70" i="26"/>
  <c r="AI70" i="26"/>
  <c r="S70" i="26"/>
  <c r="AM69" i="26"/>
  <c r="W69" i="26"/>
  <c r="AQ68" i="26"/>
  <c r="AL73" i="26"/>
  <c r="BG72" i="26"/>
  <c r="AP72" i="26"/>
  <c r="N71" i="26"/>
  <c r="BO70" i="26"/>
  <c r="AX70" i="26"/>
  <c r="AH70" i="26"/>
  <c r="R70" i="26"/>
  <c r="AL69" i="26"/>
  <c r="BG68" i="26"/>
  <c r="AP68" i="26"/>
  <c r="N67" i="26"/>
  <c r="BO66" i="26"/>
  <c r="AX66" i="26"/>
  <c r="AH66" i="26"/>
  <c r="R66" i="26"/>
  <c r="BM66" i="26"/>
  <c r="AV66" i="26"/>
  <c r="AF66" i="26"/>
  <c r="P66" i="26"/>
  <c r="AQ67" i="26"/>
  <c r="AK73" i="26"/>
  <c r="I72" i="26"/>
  <c r="AS71" i="26"/>
  <c r="AC71" i="26"/>
  <c r="BN70" i="26"/>
  <c r="AW70" i="26"/>
  <c r="AG70" i="26"/>
  <c r="Q70" i="26"/>
  <c r="AK69" i="26"/>
  <c r="I68" i="26"/>
  <c r="AS67" i="26"/>
  <c r="AC67" i="26"/>
  <c r="BN66" i="26"/>
  <c r="AW66" i="26"/>
  <c r="AG66" i="26"/>
  <c r="Q66" i="26"/>
  <c r="BL66" i="26"/>
  <c r="AU66" i="26"/>
  <c r="AE66" i="26"/>
  <c r="O66" i="26"/>
  <c r="I67" i="26"/>
  <c r="BJ66" i="26"/>
  <c r="AS66" i="26"/>
  <c r="AC66" i="26"/>
  <c r="M66" i="26"/>
  <c r="H67" i="26"/>
  <c r="BI66" i="26"/>
  <c r="AR66" i="26"/>
  <c r="AB66" i="26"/>
  <c r="L66" i="26"/>
  <c r="BQ73" i="26"/>
  <c r="AZ73" i="26"/>
  <c r="AN72" i="26"/>
  <c r="H72" i="26"/>
  <c r="BM70" i="26"/>
  <c r="AV70" i="26"/>
  <c r="AF70" i="26"/>
  <c r="P70" i="26"/>
  <c r="BQ69" i="26"/>
  <c r="AZ69" i="26"/>
  <c r="AN68" i="26"/>
  <c r="H68" i="26"/>
  <c r="AM67" i="26"/>
  <c r="W67" i="26"/>
  <c r="BH66" i="26"/>
  <c r="AQ66" i="26"/>
  <c r="AA66" i="26"/>
  <c r="K66" i="26"/>
  <c r="BR66" i="26"/>
  <c r="BA66" i="26"/>
  <c r="AK66" i="26"/>
  <c r="U66" i="26"/>
  <c r="BP73" i="26"/>
  <c r="AM72" i="26"/>
  <c r="W72" i="26"/>
  <c r="AQ71" i="26"/>
  <c r="BL70" i="26"/>
  <c r="AU70" i="26"/>
  <c r="AE70" i="26"/>
  <c r="O70" i="26"/>
  <c r="BP69" i="26"/>
  <c r="AM68" i="26"/>
  <c r="W68" i="26"/>
  <c r="BO73" i="26"/>
  <c r="AL72" i="26"/>
  <c r="BG71" i="26"/>
  <c r="AP71" i="26"/>
  <c r="BK70" i="26"/>
  <c r="AT70" i="26"/>
  <c r="AD70" i="26"/>
  <c r="N70" i="26"/>
  <c r="BO69" i="26"/>
  <c r="AL68" i="26"/>
  <c r="BG67" i="26"/>
  <c r="AP67" i="26"/>
  <c r="BK66" i="26"/>
  <c r="AT66" i="26"/>
  <c r="AD66" i="26"/>
  <c r="N66" i="26"/>
  <c r="AK72" i="26"/>
  <c r="I71" i="26"/>
  <c r="BJ70" i="26"/>
  <c r="AS70" i="26"/>
  <c r="AC70" i="26"/>
  <c r="M70" i="26"/>
  <c r="AK68" i="26"/>
  <c r="BQ72" i="26"/>
  <c r="AZ72" i="26"/>
  <c r="AN71" i="26"/>
  <c r="H71" i="26"/>
  <c r="BI70" i="26"/>
  <c r="AR70" i="26"/>
  <c r="AB70" i="26"/>
  <c r="L70" i="26"/>
  <c r="BQ68" i="26"/>
  <c r="AZ68" i="26"/>
  <c r="AN67" i="26"/>
  <c r="BP66" i="26"/>
  <c r="AY66" i="26"/>
  <c r="AI66" i="26"/>
  <c r="S66" i="26"/>
  <c r="BP72" i="26"/>
  <c r="AM71" i="26"/>
  <c r="W71" i="26"/>
  <c r="BH70" i="26"/>
  <c r="AQ70" i="26"/>
  <c r="AA70" i="26"/>
  <c r="K70" i="26"/>
  <c r="BP68" i="26"/>
  <c r="BQ66" i="26"/>
  <c r="AZ66" i="26"/>
  <c r="AJ66" i="26"/>
  <c r="T66" i="26"/>
  <c r="N73" i="26"/>
  <c r="BO72" i="26"/>
  <c r="AL71" i="26"/>
  <c r="BG70" i="26"/>
  <c r="AP70" i="26"/>
  <c r="Z70" i="26"/>
  <c r="J70" i="26"/>
  <c r="N69" i="26"/>
  <c r="BO68" i="26"/>
  <c r="AL67" i="26"/>
  <c r="BG66" i="26"/>
  <c r="AP66" i="26"/>
  <c r="Z66" i="26"/>
  <c r="J66" i="26"/>
  <c r="BF66" i="26"/>
  <c r="AO66" i="26"/>
  <c r="Y66" i="26"/>
  <c r="I66" i="26"/>
  <c r="BE66" i="26"/>
  <c r="AN66" i="26"/>
  <c r="X66" i="26"/>
  <c r="H62" i="26"/>
  <c r="BD66" i="26"/>
  <c r="AM66" i="26"/>
  <c r="W66" i="26"/>
  <c r="BS66" i="26"/>
  <c r="BC66" i="26"/>
  <c r="AL66" i="26"/>
  <c r="V66" i="26"/>
  <c r="AS73" i="26"/>
  <c r="AC73" i="26"/>
  <c r="AK71" i="26"/>
  <c r="BF70" i="26"/>
  <c r="AO70" i="26"/>
  <c r="Y70" i="26"/>
  <c r="I70" i="26"/>
  <c r="AS69" i="26"/>
  <c r="AC69" i="26"/>
  <c r="AK67" i="26"/>
  <c r="BR70" i="26"/>
  <c r="BA70" i="26"/>
  <c r="AK70" i="26"/>
  <c r="U70" i="26"/>
  <c r="I69" i="26"/>
  <c r="AS68" i="26"/>
  <c r="AC68" i="26"/>
  <c r="BA28" i="26"/>
  <c r="BA84" i="26"/>
  <c r="BA32" i="26"/>
  <c r="BA85" i="26"/>
  <c r="BA95" i="26"/>
  <c r="BA97" i="26"/>
  <c r="BA27" i="26"/>
  <c r="BA56" i="26"/>
  <c r="BA51" i="26"/>
  <c r="BA80" i="26"/>
  <c r="BA29" i="26"/>
  <c r="BA39" i="26"/>
  <c r="BA41" i="26"/>
  <c r="BA52" i="26"/>
  <c r="BA75" i="26"/>
  <c r="BA53" i="26"/>
  <c r="BA63" i="26"/>
  <c r="BA65" i="26"/>
  <c r="BA76" i="26"/>
  <c r="BA9" i="26"/>
  <c r="BA7" i="26"/>
  <c r="BA5" i="26"/>
  <c r="BA24" i="26"/>
  <c r="BA77" i="26"/>
  <c r="BA87" i="26"/>
  <c r="BA89" i="26"/>
  <c r="BA48" i="26"/>
  <c r="BA20" i="26"/>
  <c r="BA43" i="26"/>
  <c r="BA8" i="26"/>
  <c r="BA4" i="26"/>
  <c r="BA21" i="26"/>
  <c r="BA31" i="26"/>
  <c r="BA33" i="26"/>
  <c r="BA44" i="26"/>
  <c r="BA96" i="26"/>
  <c r="BA19" i="26"/>
  <c r="BA45" i="26"/>
  <c r="BA55" i="26"/>
  <c r="BA57" i="26"/>
  <c r="BA91" i="26"/>
  <c r="BA15" i="26"/>
  <c r="BA17" i="26"/>
  <c r="BA11" i="26"/>
  <c r="BA79" i="26"/>
  <c r="BA81" i="26"/>
  <c r="BA92" i="26"/>
  <c r="BA16" i="26"/>
  <c r="BA40" i="26"/>
  <c r="BA93" i="26"/>
  <c r="BA35" i="26"/>
  <c r="BA64" i="26"/>
  <c r="BA12" i="26"/>
  <c r="BA3" i="26"/>
  <c r="BA13" i="26"/>
  <c r="BA23" i="26"/>
  <c r="BA25" i="26"/>
  <c r="BA36" i="26"/>
  <c r="BA59" i="26"/>
  <c r="BA88" i="26"/>
  <c r="BA37" i="26"/>
  <c r="BA47" i="26"/>
  <c r="BA49" i="26"/>
  <c r="BA60" i="26"/>
  <c r="BA83" i="26"/>
  <c r="BA61" i="26"/>
  <c r="BP48" i="26"/>
  <c r="BP8" i="26"/>
  <c r="BP55" i="26"/>
  <c r="BP65" i="26"/>
  <c r="BP24" i="26"/>
  <c r="BP88" i="26"/>
  <c r="BP9" i="26"/>
  <c r="BP47" i="26"/>
  <c r="BP57" i="26"/>
  <c r="BP80" i="26"/>
  <c r="BP7" i="26"/>
  <c r="BP39" i="26"/>
  <c r="BP49" i="26"/>
  <c r="BP31" i="26"/>
  <c r="BP41" i="26"/>
  <c r="BP95" i="26"/>
  <c r="BP64" i="26"/>
  <c r="BP16" i="26"/>
  <c r="BP23" i="26"/>
  <c r="BP33" i="26"/>
  <c r="BP87" i="26"/>
  <c r="BP97" i="26"/>
  <c r="BP56" i="26"/>
  <c r="BP15" i="26"/>
  <c r="BP25" i="26"/>
  <c r="BP79" i="26"/>
  <c r="BP89" i="26"/>
  <c r="BP17" i="26"/>
  <c r="BP81" i="26"/>
  <c r="BP40" i="26"/>
  <c r="BP63" i="26"/>
  <c r="BP32" i="26"/>
  <c r="BP96" i="26"/>
  <c r="BP3" i="26"/>
  <c r="N7" i="27"/>
  <c r="N9" i="27" s="1"/>
  <c r="D7" i="27"/>
  <c r="D9" i="27" s="1"/>
  <c r="E7" i="27"/>
  <c r="E11" i="27" s="1"/>
  <c r="F7" i="27"/>
  <c r="G7" i="27"/>
  <c r="G11" i="27" s="1"/>
  <c r="H7" i="27"/>
  <c r="H10" i="27" s="1"/>
  <c r="J7" i="27"/>
  <c r="J11" i="27" s="1"/>
  <c r="K7" i="27"/>
  <c r="K11" i="27" s="1"/>
  <c r="L7" i="27"/>
  <c r="L11" i="27" s="1"/>
  <c r="M7" i="27"/>
  <c r="M11" i="27" s="1"/>
  <c r="BJ20" i="26"/>
  <c r="BJ93" i="26"/>
  <c r="BJ11" i="26"/>
  <c r="BJ12" i="26"/>
  <c r="BJ19" i="26"/>
  <c r="BJ5" i="26"/>
  <c r="BJ27" i="26"/>
  <c r="BJ35" i="26"/>
  <c r="BJ4" i="26"/>
  <c r="BJ13" i="26"/>
  <c r="BJ28" i="26"/>
  <c r="BJ43" i="26"/>
  <c r="BJ21" i="26"/>
  <c r="BJ36" i="26"/>
  <c r="BJ51" i="26"/>
  <c r="BJ29" i="26"/>
  <c r="BJ44" i="26"/>
  <c r="BJ59" i="26"/>
  <c r="BJ37" i="26"/>
  <c r="BJ52" i="26"/>
  <c r="BJ45" i="26"/>
  <c r="BJ60" i="26"/>
  <c r="BJ75" i="26"/>
  <c r="BJ53" i="26"/>
  <c r="BJ83" i="26"/>
  <c r="BJ3" i="26"/>
  <c r="BJ61" i="26"/>
  <c r="BJ76" i="26"/>
  <c r="BJ91" i="26"/>
  <c r="BJ84" i="26"/>
  <c r="BJ77" i="26"/>
  <c r="BJ92" i="26"/>
  <c r="BJ85" i="26"/>
  <c r="BI4" i="26"/>
  <c r="BI9" i="26"/>
  <c r="BI13" i="26"/>
  <c r="BI15" i="26"/>
  <c r="BI5" i="26"/>
  <c r="BI11" i="26"/>
  <c r="BI12" i="26"/>
  <c r="BI28" i="26"/>
  <c r="BI55" i="26"/>
  <c r="BI89" i="26"/>
  <c r="BI17" i="26"/>
  <c r="BI45" i="26"/>
  <c r="BI64" i="26"/>
  <c r="BI84" i="26"/>
  <c r="BI39" i="26"/>
  <c r="BI51" i="26"/>
  <c r="AR5" i="26"/>
  <c r="BI29" i="26"/>
  <c r="BI48" i="26"/>
  <c r="BI95" i="26"/>
  <c r="AE4" i="26"/>
  <c r="AE65" i="26"/>
  <c r="BI7" i="26"/>
  <c r="BI23" i="26"/>
  <c r="BI35" i="26"/>
  <c r="BI57" i="26"/>
  <c r="BI85" i="26"/>
  <c r="BI32" i="26"/>
  <c r="BI52" i="26"/>
  <c r="BI79" i="26"/>
  <c r="BI91" i="26"/>
  <c r="BI19" i="26"/>
  <c r="BI41" i="26"/>
  <c r="BI88" i="26"/>
  <c r="BI16" i="26"/>
  <c r="BI36" i="26"/>
  <c r="BI63" i="26"/>
  <c r="BI75" i="26"/>
  <c r="BI97" i="26"/>
  <c r="BI25" i="26"/>
  <c r="BI53" i="26"/>
  <c r="BI92" i="26"/>
  <c r="BI20" i="26"/>
  <c r="BI47" i="26"/>
  <c r="BI59" i="26"/>
  <c r="BI81" i="26"/>
  <c r="BI3" i="26"/>
  <c r="BI8" i="26"/>
  <c r="BI37" i="26"/>
  <c r="BI56" i="26"/>
  <c r="BI76" i="26"/>
  <c r="BI31" i="26"/>
  <c r="BI43" i="26"/>
  <c r="BI65" i="26"/>
  <c r="BI93" i="26"/>
  <c r="AD41" i="26"/>
  <c r="AE5" i="26"/>
  <c r="AR25" i="26"/>
  <c r="AE77" i="26"/>
  <c r="BI21" i="26"/>
  <c r="BI40" i="26"/>
  <c r="BI60" i="26"/>
  <c r="BI87" i="26"/>
  <c r="BI27" i="26"/>
  <c r="BI49" i="26"/>
  <c r="BI77" i="26"/>
  <c r="BI96" i="26"/>
  <c r="BI24" i="26"/>
  <c r="BI44" i="26"/>
  <c r="BI83" i="26"/>
  <c r="AD53" i="26"/>
  <c r="BI33" i="26"/>
  <c r="BI61" i="26"/>
  <c r="AC21" i="26"/>
  <c r="BO9" i="26"/>
  <c r="BO8" i="26"/>
  <c r="BO7" i="26"/>
  <c r="AS9" i="26"/>
  <c r="AS8" i="26"/>
  <c r="AS7" i="26"/>
  <c r="AD4" i="26"/>
  <c r="AD15" i="26"/>
  <c r="AD16" i="26"/>
  <c r="AD17" i="26"/>
  <c r="BO21" i="26"/>
  <c r="AS28" i="26"/>
  <c r="AD29" i="26"/>
  <c r="AE39" i="26"/>
  <c r="AE40" i="26"/>
  <c r="AE41" i="26"/>
  <c r="AE53" i="26"/>
  <c r="AD75" i="26"/>
  <c r="AR79" i="26"/>
  <c r="AR80" i="26"/>
  <c r="AR81" i="26"/>
  <c r="AE15" i="26"/>
  <c r="AE16" i="26"/>
  <c r="AE17" i="26"/>
  <c r="AE29" i="26"/>
  <c r="BO43" i="26"/>
  <c r="AS45" i="26"/>
  <c r="AD51" i="26"/>
  <c r="AR55" i="26"/>
  <c r="AR56" i="26"/>
  <c r="AR57" i="26"/>
  <c r="AE75" i="26"/>
  <c r="AS79" i="26"/>
  <c r="AS80" i="26"/>
  <c r="AS81" i="26"/>
  <c r="BO84" i="26"/>
  <c r="AS91" i="26"/>
  <c r="AD92" i="26"/>
  <c r="AC95" i="26"/>
  <c r="AC96" i="26"/>
  <c r="AC97" i="26"/>
  <c r="AS13" i="26"/>
  <c r="AR9" i="26"/>
  <c r="AR8" i="26"/>
  <c r="AR7" i="26"/>
  <c r="BO19" i="26"/>
  <c r="AS21" i="26"/>
  <c r="AD27" i="26"/>
  <c r="AR31" i="26"/>
  <c r="AR32" i="26"/>
  <c r="AR33" i="26"/>
  <c r="AE51" i="26"/>
  <c r="AS55" i="26"/>
  <c r="AS56" i="26"/>
  <c r="AS57" i="26"/>
  <c r="BO60" i="26"/>
  <c r="BO79" i="26"/>
  <c r="BO80" i="26"/>
  <c r="BO81" i="26"/>
  <c r="AE92" i="26"/>
  <c r="AD95" i="26"/>
  <c r="AD96" i="26"/>
  <c r="AD97" i="26"/>
  <c r="AE27" i="26"/>
  <c r="AS31" i="26"/>
  <c r="AS32" i="26"/>
  <c r="AS33" i="26"/>
  <c r="BO36" i="26"/>
  <c r="AS43" i="26"/>
  <c r="AD44" i="26"/>
  <c r="AC47" i="26"/>
  <c r="AC48" i="26"/>
  <c r="AC49" i="26"/>
  <c r="BO55" i="26"/>
  <c r="BO56" i="26"/>
  <c r="BO57" i="26"/>
  <c r="BO77" i="26"/>
  <c r="AS84" i="26"/>
  <c r="AD85" i="26"/>
  <c r="AE95" i="26"/>
  <c r="AE96" i="26"/>
  <c r="AE97" i="26"/>
  <c r="O41" i="26"/>
  <c r="BO12" i="26"/>
  <c r="AS19" i="26"/>
  <c r="AD20" i="26"/>
  <c r="AC23" i="26"/>
  <c r="AC24" i="26"/>
  <c r="AC25" i="26"/>
  <c r="BO31" i="26"/>
  <c r="BO32" i="26"/>
  <c r="BO33" i="26"/>
  <c r="AE44" i="26"/>
  <c r="AD47" i="26"/>
  <c r="AD48" i="26"/>
  <c r="AD49" i="26"/>
  <c r="BO53" i="26"/>
  <c r="AS60" i="26"/>
  <c r="AD61" i="26"/>
  <c r="AE85" i="26"/>
  <c r="AE20" i="26"/>
  <c r="AD23" i="26"/>
  <c r="AD24" i="26"/>
  <c r="AD25" i="26"/>
  <c r="BO29" i="26"/>
  <c r="AS36" i="26"/>
  <c r="AD37" i="26"/>
  <c r="AE47" i="26"/>
  <c r="AE48" i="26"/>
  <c r="AE49" i="26"/>
  <c r="AE61" i="26"/>
  <c r="BO75" i="26"/>
  <c r="AS77" i="26"/>
  <c r="AD83" i="26"/>
  <c r="AR87" i="26"/>
  <c r="AR88" i="26"/>
  <c r="AR89" i="26"/>
  <c r="AD5" i="26"/>
  <c r="AR3" i="26"/>
  <c r="AE11" i="26"/>
  <c r="AD13" i="26"/>
  <c r="AE23" i="26"/>
  <c r="AE24" i="26"/>
  <c r="AE25" i="26"/>
  <c r="AE37" i="26"/>
  <c r="BO51" i="26"/>
  <c r="AS53" i="26"/>
  <c r="AD59" i="26"/>
  <c r="AR63" i="26"/>
  <c r="AR64" i="26"/>
  <c r="AR65" i="26"/>
  <c r="AE83" i="26"/>
  <c r="AS87" i="26"/>
  <c r="AS88" i="26"/>
  <c r="AS89" i="26"/>
  <c r="BO92" i="26"/>
  <c r="AE13" i="26"/>
  <c r="BO27" i="26"/>
  <c r="AS29" i="26"/>
  <c r="AD35" i="26"/>
  <c r="AR39" i="26"/>
  <c r="AR40" i="26"/>
  <c r="AR41" i="26"/>
  <c r="AE59" i="26"/>
  <c r="AS63" i="26"/>
  <c r="AS64" i="26"/>
  <c r="AS65" i="26"/>
  <c r="AS75" i="26"/>
  <c r="AD76" i="26"/>
  <c r="AC79" i="26"/>
  <c r="AC80" i="26"/>
  <c r="AC81" i="26"/>
  <c r="BO87" i="26"/>
  <c r="BO88" i="26"/>
  <c r="BO89" i="26"/>
  <c r="AE7" i="26"/>
  <c r="BO4" i="26"/>
  <c r="AS4" i="26"/>
  <c r="AR15" i="26"/>
  <c r="AR16" i="26"/>
  <c r="AR17" i="26"/>
  <c r="AE35" i="26"/>
  <c r="AS39" i="26"/>
  <c r="AS40" i="26"/>
  <c r="AS41" i="26"/>
  <c r="BO44" i="26"/>
  <c r="AS51" i="26"/>
  <c r="AD52" i="26"/>
  <c r="AC55" i="26"/>
  <c r="AC56" i="26"/>
  <c r="AC57" i="26"/>
  <c r="BO63" i="26"/>
  <c r="BO64" i="26"/>
  <c r="BO65" i="26"/>
  <c r="AE76" i="26"/>
  <c r="AD79" i="26"/>
  <c r="AD80" i="26"/>
  <c r="AD81" i="26"/>
  <c r="BO85" i="26"/>
  <c r="AS92" i="26"/>
  <c r="AD93" i="26"/>
  <c r="AS11" i="26"/>
  <c r="AS12" i="26"/>
  <c r="AD9" i="26"/>
  <c r="AD8" i="26"/>
  <c r="AS15" i="26"/>
  <c r="AS16" i="26"/>
  <c r="AS17" i="26"/>
  <c r="BO20" i="26"/>
  <c r="AS27" i="26"/>
  <c r="AD28" i="26"/>
  <c r="AC31" i="26"/>
  <c r="AC32" i="26"/>
  <c r="AC33" i="26"/>
  <c r="BO39" i="26"/>
  <c r="BO40" i="26"/>
  <c r="BO41" i="26"/>
  <c r="AE52" i="26"/>
  <c r="AD55" i="26"/>
  <c r="AD56" i="26"/>
  <c r="AD57" i="26"/>
  <c r="BO61" i="26"/>
  <c r="AE79" i="26"/>
  <c r="AE80" i="26"/>
  <c r="AE81" i="26"/>
  <c r="AE93" i="26"/>
  <c r="AD3" i="26"/>
  <c r="AD11" i="26"/>
  <c r="AD7" i="26"/>
  <c r="AR4" i="26"/>
  <c r="AC9" i="26"/>
  <c r="AC8" i="26"/>
  <c r="AC7" i="26"/>
  <c r="BO15" i="26"/>
  <c r="BO16" i="26"/>
  <c r="BO17" i="26"/>
  <c r="AE28" i="26"/>
  <c r="AD31" i="26"/>
  <c r="AD32" i="26"/>
  <c r="AD33" i="26"/>
  <c r="BO37" i="26"/>
  <c r="AS44" i="26"/>
  <c r="AD45" i="26"/>
  <c r="AE55" i="26"/>
  <c r="AE56" i="26"/>
  <c r="AE57" i="26"/>
  <c r="BO83" i="26"/>
  <c r="AS85" i="26"/>
  <c r="AD91" i="26"/>
  <c r="AR95" i="26"/>
  <c r="AR96" i="26"/>
  <c r="AR97" i="26"/>
  <c r="AS5" i="26"/>
  <c r="BO3" i="26"/>
  <c r="AS3" i="26"/>
  <c r="AE9" i="26"/>
  <c r="AE8" i="26"/>
  <c r="BO13" i="26"/>
  <c r="AS20" i="26"/>
  <c r="AD21" i="26"/>
  <c r="AE31" i="26"/>
  <c r="AE32" i="26"/>
  <c r="AE33" i="26"/>
  <c r="AE45" i="26"/>
  <c r="BO59" i="26"/>
  <c r="AS61" i="26"/>
  <c r="AE91" i="26"/>
  <c r="AS95" i="26"/>
  <c r="AS96" i="26"/>
  <c r="AS97" i="26"/>
  <c r="AE3" i="26"/>
  <c r="AR11" i="26"/>
  <c r="BO11" i="26"/>
  <c r="AE21" i="26"/>
  <c r="BO35" i="26"/>
  <c r="AS37" i="26"/>
  <c r="AD43" i="26"/>
  <c r="AR47" i="26"/>
  <c r="AR48" i="26"/>
  <c r="AR49" i="26"/>
  <c r="BO76" i="26"/>
  <c r="AS83" i="26"/>
  <c r="AD84" i="26"/>
  <c r="AC87" i="26"/>
  <c r="AC88" i="26"/>
  <c r="AC89" i="26"/>
  <c r="BO95" i="26"/>
  <c r="BO96" i="26"/>
  <c r="BO97" i="26"/>
  <c r="AD19" i="26"/>
  <c r="AR23" i="26"/>
  <c r="AR24" i="26"/>
  <c r="AE43" i="26"/>
  <c r="AS47" i="26"/>
  <c r="AS48" i="26"/>
  <c r="AS49" i="26"/>
  <c r="BO52" i="26"/>
  <c r="AS59" i="26"/>
  <c r="AD60" i="26"/>
  <c r="AC63" i="26"/>
  <c r="AC64" i="26"/>
  <c r="AC65" i="26"/>
  <c r="AE84" i="26"/>
  <c r="AD87" i="26"/>
  <c r="AD88" i="26"/>
  <c r="AD89" i="26"/>
  <c r="BO93" i="26"/>
  <c r="AD12" i="26"/>
  <c r="AE19" i="26"/>
  <c r="AS23" i="26"/>
  <c r="AS24" i="26"/>
  <c r="AS25" i="26"/>
  <c r="BO28" i="26"/>
  <c r="AS35" i="26"/>
  <c r="AD36" i="26"/>
  <c r="AC39" i="26"/>
  <c r="AC40" i="26"/>
  <c r="AC41" i="26"/>
  <c r="BO47" i="26"/>
  <c r="BO48" i="26"/>
  <c r="BO49" i="26"/>
  <c r="AE60" i="26"/>
  <c r="AD63" i="26"/>
  <c r="AD64" i="26"/>
  <c r="AD65" i="26"/>
  <c r="AS76" i="26"/>
  <c r="AD77" i="26"/>
  <c r="AE87" i="26"/>
  <c r="AE88" i="26"/>
  <c r="AE89" i="26"/>
  <c r="BO5" i="26"/>
  <c r="AE12" i="26"/>
  <c r="AC15" i="26"/>
  <c r="AC16" i="26"/>
  <c r="AC17" i="26"/>
  <c r="BO23" i="26"/>
  <c r="BO24" i="26"/>
  <c r="BO25" i="26"/>
  <c r="AE36" i="26"/>
  <c r="AD39" i="26"/>
  <c r="AD40" i="26"/>
  <c r="BO45" i="26"/>
  <c r="AS52" i="26"/>
  <c r="AE63" i="26"/>
  <c r="AE64" i="26"/>
  <c r="BO91" i="26"/>
  <c r="AS93" i="26"/>
  <c r="BP5" i="26"/>
  <c r="BN3" i="26"/>
  <c r="Z12" i="26"/>
  <c r="AY12" i="26"/>
  <c r="BF21" i="26"/>
  <c r="AJ29" i="26"/>
  <c r="AR36" i="26"/>
  <c r="BN37" i="26"/>
  <c r="BP44" i="26"/>
  <c r="V45" i="26"/>
  <c r="Z53" i="26"/>
  <c r="AY53" i="26"/>
  <c r="AJ75" i="26"/>
  <c r="AR77" i="26"/>
  <c r="BN83" i="26"/>
  <c r="BP85" i="26"/>
  <c r="V91" i="26"/>
  <c r="BF20" i="26"/>
  <c r="AJ28" i="26"/>
  <c r="AR35" i="26"/>
  <c r="BN36" i="26"/>
  <c r="BP43" i="26"/>
  <c r="V44" i="26"/>
  <c r="Z52" i="26"/>
  <c r="AY52" i="26"/>
  <c r="BF61" i="26"/>
  <c r="AR76" i="26"/>
  <c r="BN77" i="26"/>
  <c r="BP84" i="26"/>
  <c r="V85" i="26"/>
  <c r="Z93" i="26"/>
  <c r="AY93" i="26"/>
  <c r="BF19" i="26"/>
  <c r="AJ27" i="26"/>
  <c r="AR29" i="26"/>
  <c r="BN35" i="26"/>
  <c r="BP37" i="26"/>
  <c r="V43" i="26"/>
  <c r="Z51" i="26"/>
  <c r="AY51" i="26"/>
  <c r="BF60" i="26"/>
  <c r="AR75" i="26"/>
  <c r="BN76" i="26"/>
  <c r="BP83" i="26"/>
  <c r="V84" i="26"/>
  <c r="Z92" i="26"/>
  <c r="AY92" i="26"/>
  <c r="AJ3" i="26"/>
  <c r="BF13" i="26"/>
  <c r="AJ21" i="26"/>
  <c r="AR28" i="26"/>
  <c r="BN29" i="26"/>
  <c r="BP36" i="26"/>
  <c r="V37" i="26"/>
  <c r="Z45" i="26"/>
  <c r="AY45" i="26"/>
  <c r="BF59" i="26"/>
  <c r="BN75" i="26"/>
  <c r="BP77" i="26"/>
  <c r="V83" i="26"/>
  <c r="Z91" i="26"/>
  <c r="AY91" i="26"/>
  <c r="AJ4" i="26"/>
  <c r="BF12" i="26"/>
  <c r="AJ20" i="26"/>
  <c r="AR27" i="26"/>
  <c r="BN28" i="26"/>
  <c r="BP35" i="26"/>
  <c r="V36" i="26"/>
  <c r="Z44" i="26"/>
  <c r="AY44" i="26"/>
  <c r="BF53" i="26"/>
  <c r="AJ61" i="26"/>
  <c r="BP76" i="26"/>
  <c r="V77" i="26"/>
  <c r="Z85" i="26"/>
  <c r="AY85" i="26"/>
  <c r="BF11" i="26"/>
  <c r="AJ19" i="26"/>
  <c r="AR21" i="26"/>
  <c r="BN27" i="26"/>
  <c r="BP29" i="26"/>
  <c r="V35" i="26"/>
  <c r="Z43" i="26"/>
  <c r="AY43" i="26"/>
  <c r="BF52" i="26"/>
  <c r="AJ60" i="26"/>
  <c r="BP75" i="26"/>
  <c r="V76" i="26"/>
  <c r="Z84" i="26"/>
  <c r="AY84" i="26"/>
  <c r="BF93" i="26"/>
  <c r="BP28" i="26"/>
  <c r="V29" i="26"/>
  <c r="Z37" i="26"/>
  <c r="AY37" i="26"/>
  <c r="BF51" i="26"/>
  <c r="AJ59" i="26"/>
  <c r="AR61" i="26"/>
  <c r="V75" i="26"/>
  <c r="Z83" i="26"/>
  <c r="AY83" i="26"/>
  <c r="BF92" i="26"/>
  <c r="AR19" i="26"/>
  <c r="BN20" i="26"/>
  <c r="BP27" i="26"/>
  <c r="V28" i="26"/>
  <c r="Z36" i="26"/>
  <c r="AY36" i="26"/>
  <c r="BF45" i="26"/>
  <c r="AJ53" i="26"/>
  <c r="AR60" i="26"/>
  <c r="BN61" i="26"/>
  <c r="Z77" i="26"/>
  <c r="AY77" i="26"/>
  <c r="BF91" i="26"/>
  <c r="AJ13" i="26"/>
  <c r="BF4" i="26"/>
  <c r="AJ12" i="26"/>
  <c r="BF5" i="26"/>
  <c r="AJ11" i="26"/>
  <c r="AR13" i="26"/>
  <c r="BN19" i="26"/>
  <c r="BP21" i="26"/>
  <c r="V27" i="26"/>
  <c r="Z35" i="26"/>
  <c r="AY35" i="26"/>
  <c r="BF44" i="26"/>
  <c r="AJ52" i="26"/>
  <c r="AR59" i="26"/>
  <c r="BN60" i="26"/>
  <c r="Z76" i="26"/>
  <c r="AY76" i="26"/>
  <c r="BF85" i="26"/>
  <c r="AJ93" i="26"/>
  <c r="AR20" i="26"/>
  <c r="BN21" i="26"/>
  <c r="AR12" i="26"/>
  <c r="BN13" i="26"/>
  <c r="BP20" i="26"/>
  <c r="V21" i="26"/>
  <c r="Z29" i="26"/>
  <c r="AY29" i="26"/>
  <c r="BF43" i="26"/>
  <c r="AJ51" i="26"/>
  <c r="AR53" i="26"/>
  <c r="BN59" i="26"/>
  <c r="BP61" i="26"/>
  <c r="Z75" i="26"/>
  <c r="AY75" i="26"/>
  <c r="BF84" i="26"/>
  <c r="AJ92" i="26"/>
  <c r="BP19" i="26"/>
  <c r="V20" i="26"/>
  <c r="Z28" i="26"/>
  <c r="AY28" i="26"/>
  <c r="BF37" i="26"/>
  <c r="AJ45" i="26"/>
  <c r="AR52" i="26"/>
  <c r="BN53" i="26"/>
  <c r="BP60" i="26"/>
  <c r="V61" i="26"/>
  <c r="BF83" i="26"/>
  <c r="AJ91" i="26"/>
  <c r="AR93" i="26"/>
  <c r="BN11" i="26"/>
  <c r="BP13" i="26"/>
  <c r="V19" i="26"/>
  <c r="Z27" i="26"/>
  <c r="AY27" i="26"/>
  <c r="BF36" i="26"/>
  <c r="AJ44" i="26"/>
  <c r="AR51" i="26"/>
  <c r="BN52" i="26"/>
  <c r="BP59" i="26"/>
  <c r="V60" i="26"/>
  <c r="BF77" i="26"/>
  <c r="AJ85" i="26"/>
  <c r="AR92" i="26"/>
  <c r="BN93" i="26"/>
  <c r="AY5" i="26"/>
  <c r="Z5" i="26"/>
  <c r="BP12" i="26"/>
  <c r="V13" i="26"/>
  <c r="Z21" i="26"/>
  <c r="AY21" i="26"/>
  <c r="BF35" i="26"/>
  <c r="AJ43" i="26"/>
  <c r="AR45" i="26"/>
  <c r="BN51" i="26"/>
  <c r="BP53" i="26"/>
  <c r="V59" i="26"/>
  <c r="BF76" i="26"/>
  <c r="AJ84" i="26"/>
  <c r="AR91" i="26"/>
  <c r="BN92" i="26"/>
  <c r="V3" i="26"/>
  <c r="BP11" i="26"/>
  <c r="V12" i="26"/>
  <c r="Z20" i="26"/>
  <c r="AY20" i="26"/>
  <c r="BF29" i="26"/>
  <c r="AJ37" i="26"/>
  <c r="AR44" i="26"/>
  <c r="BN45" i="26"/>
  <c r="BP52" i="26"/>
  <c r="V53" i="26"/>
  <c r="Z61" i="26"/>
  <c r="AY61" i="26"/>
  <c r="BF75" i="26"/>
  <c r="AJ83" i="26"/>
  <c r="AR85" i="26"/>
  <c r="BN91" i="26"/>
  <c r="BP93" i="26"/>
  <c r="Z19" i="26"/>
  <c r="AY19" i="26"/>
  <c r="BF28" i="26"/>
  <c r="AJ36" i="26"/>
  <c r="AR43" i="26"/>
  <c r="BN44" i="26"/>
  <c r="BP51" i="26"/>
  <c r="V52" i="26"/>
  <c r="Z60" i="26"/>
  <c r="AY60" i="26"/>
  <c r="AJ77" i="26"/>
  <c r="AR84" i="26"/>
  <c r="BN85" i="26"/>
  <c r="BP92" i="26"/>
  <c r="V93" i="26"/>
  <c r="V5" i="26"/>
  <c r="BP4" i="26"/>
  <c r="Z13" i="26"/>
  <c r="AY13" i="26"/>
  <c r="BF27" i="26"/>
  <c r="AJ35" i="26"/>
  <c r="AR37" i="26"/>
  <c r="BN43" i="26"/>
  <c r="BP45" i="26"/>
  <c r="V51" i="26"/>
  <c r="Z59" i="26"/>
  <c r="AY59" i="26"/>
  <c r="AJ76" i="26"/>
  <c r="AR83" i="26"/>
  <c r="BN84" i="26"/>
  <c r="BP91" i="26"/>
  <c r="N5" i="26"/>
  <c r="O3" i="26"/>
  <c r="AC11" i="26"/>
  <c r="AC12" i="26"/>
  <c r="M11" i="26"/>
  <c r="AC5" i="26"/>
  <c r="AP48" i="26"/>
  <c r="AP5" i="26"/>
  <c r="P7" i="26"/>
  <c r="AC4" i="26"/>
  <c r="M31" i="26"/>
  <c r="BE32" i="26"/>
  <c r="AL63" i="26"/>
  <c r="M5" i="26"/>
  <c r="AN8" i="26"/>
  <c r="P31" i="26"/>
  <c r="P4" i="26"/>
  <c r="O7" i="26"/>
  <c r="AB20" i="26"/>
  <c r="H21" i="26"/>
  <c r="AN21" i="26"/>
  <c r="BE21" i="26"/>
  <c r="M24" i="26"/>
  <c r="I25" i="26"/>
  <c r="AZ27" i="26"/>
  <c r="BQ27" i="26"/>
  <c r="P28" i="26"/>
  <c r="AB29" i="26"/>
  <c r="H31" i="26"/>
  <c r="AN31" i="26"/>
  <c r="BE31" i="26"/>
  <c r="AZ32" i="26"/>
  <c r="BQ32" i="26"/>
  <c r="P33" i="26"/>
  <c r="N35" i="26"/>
  <c r="M36" i="26"/>
  <c r="O37" i="26"/>
  <c r="AK40" i="26"/>
  <c r="AM41" i="26"/>
  <c r="BH48" i="26"/>
  <c r="I49" i="26"/>
  <c r="AK51" i="26"/>
  <c r="BG51" i="26"/>
  <c r="AP53" i="26"/>
  <c r="AP59" i="26"/>
  <c r="N60" i="26"/>
  <c r="BE3" i="26"/>
  <c r="H4" i="26"/>
  <c r="AP12" i="26"/>
  <c r="BG12" i="26"/>
  <c r="AL13" i="26"/>
  <c r="AQ6" i="26"/>
  <c r="Q6" i="26"/>
  <c r="P5" i="26"/>
  <c r="AL3" i="26"/>
  <c r="BR2" i="26"/>
  <c r="AG2" i="26"/>
  <c r="U10" i="26"/>
  <c r="BF10" i="26"/>
  <c r="O11" i="26"/>
  <c r="AA12" i="26"/>
  <c r="AQ12" i="26"/>
  <c r="BH12" i="26"/>
  <c r="W13" i="26"/>
  <c r="AM13" i="26"/>
  <c r="BI14" i="26"/>
  <c r="O16" i="26"/>
  <c r="AA17" i="26"/>
  <c r="AQ17" i="26"/>
  <c r="BH17" i="26"/>
  <c r="M20" i="26"/>
  <c r="AC20" i="26"/>
  <c r="I21" i="26"/>
  <c r="N24" i="26"/>
  <c r="AP25" i="26"/>
  <c r="BG25" i="26"/>
  <c r="AK27" i="26"/>
  <c r="M29" i="26"/>
  <c r="AC29" i="26"/>
  <c r="I31" i="26"/>
  <c r="AK32" i="26"/>
  <c r="O35" i="26"/>
  <c r="N36" i="26"/>
  <c r="AL40" i="26"/>
  <c r="M47" i="26"/>
  <c r="BH51" i="26"/>
  <c r="AC52" i="26"/>
  <c r="AQ53" i="26"/>
  <c r="AL60" i="26"/>
  <c r="AU6" i="26"/>
  <c r="U6" i="26"/>
  <c r="AK4" i="26"/>
  <c r="AN3" i="26"/>
  <c r="BQ8" i="26"/>
  <c r="AZ8" i="26"/>
  <c r="BA14" i="26"/>
  <c r="N16" i="26"/>
  <c r="AP17" i="26"/>
  <c r="BG17" i="26"/>
  <c r="P19" i="26"/>
  <c r="AP96" i="26"/>
  <c r="AP91" i="26"/>
  <c r="AP85" i="26"/>
  <c r="AP80" i="26"/>
  <c r="AP75" i="26"/>
  <c r="AP64" i="26"/>
  <c r="AP95" i="26"/>
  <c r="AP89" i="26"/>
  <c r="AP84" i="26"/>
  <c r="AP79" i="26"/>
  <c r="AP63" i="26"/>
  <c r="AP93" i="26"/>
  <c r="AP88" i="26"/>
  <c r="AP83" i="26"/>
  <c r="AP77" i="26"/>
  <c r="AP97" i="26"/>
  <c r="AP92" i="26"/>
  <c r="AP87" i="26"/>
  <c r="AP81" i="26"/>
  <c r="AP76" i="26"/>
  <c r="AP65" i="26"/>
  <c r="AP60" i="26"/>
  <c r="AP55" i="26"/>
  <c r="AP49" i="26"/>
  <c r="H5" i="26"/>
  <c r="P9" i="26"/>
  <c r="AL7" i="26"/>
  <c r="H6" i="26"/>
  <c r="O9" i="26"/>
  <c r="AK7" i="26"/>
  <c r="AP6" i="26"/>
  <c r="N6" i="26"/>
  <c r="O5" i="26"/>
  <c r="AK3" i="26"/>
  <c r="BQ2" i="26"/>
  <c r="AD2" i="26"/>
  <c r="V10" i="26"/>
  <c r="BG10" i="26"/>
  <c r="P11" i="26"/>
  <c r="AB12" i="26"/>
  <c r="H13" i="26"/>
  <c r="AN13" i="26"/>
  <c r="BE13" i="26"/>
  <c r="BP14" i="26"/>
  <c r="AZ15" i="26"/>
  <c r="BQ15" i="26"/>
  <c r="P16" i="26"/>
  <c r="AB17" i="26"/>
  <c r="N18" i="26"/>
  <c r="N20" i="26"/>
  <c r="AP21" i="26"/>
  <c r="BG21" i="26"/>
  <c r="O24" i="26"/>
  <c r="AA25" i="26"/>
  <c r="AQ25" i="26"/>
  <c r="BH25" i="26"/>
  <c r="AL27" i="26"/>
  <c r="N29" i="26"/>
  <c r="AP31" i="26"/>
  <c r="BG31" i="26"/>
  <c r="AL32" i="26"/>
  <c r="P35" i="26"/>
  <c r="O36" i="26"/>
  <c r="BG40" i="26"/>
  <c r="W41" i="26"/>
  <c r="AP41" i="26"/>
  <c r="AK44" i="26"/>
  <c r="AA45" i="26"/>
  <c r="N47" i="26"/>
  <c r="AQ48" i="26"/>
  <c r="AP51" i="26"/>
  <c r="N55" i="26"/>
  <c r="AP61" i="26"/>
  <c r="N63" i="26"/>
  <c r="BP2" i="26"/>
  <c r="AC2" i="26"/>
  <c r="W10" i="26"/>
  <c r="BH10" i="26"/>
  <c r="M17" i="26"/>
  <c r="AB18" i="26"/>
  <c r="O20" i="26"/>
  <c r="AA21" i="26"/>
  <c r="AQ21" i="26"/>
  <c r="BH21" i="26"/>
  <c r="AZ23" i="26"/>
  <c r="BQ23" i="26"/>
  <c r="P24" i="26"/>
  <c r="AB25" i="26"/>
  <c r="BK26" i="26"/>
  <c r="W27" i="26"/>
  <c r="AM27" i="26"/>
  <c r="O29" i="26"/>
  <c r="AA31" i="26"/>
  <c r="AQ31" i="26"/>
  <c r="BH31" i="26"/>
  <c r="W32" i="26"/>
  <c r="AM32" i="26"/>
  <c r="AZ33" i="26"/>
  <c r="BQ33" i="26"/>
  <c r="P36" i="26"/>
  <c r="AK39" i="26"/>
  <c r="AP40" i="26"/>
  <c r="BH40" i="26"/>
  <c r="M43" i="26"/>
  <c r="AL44" i="26"/>
  <c r="BG44" i="26"/>
  <c r="I45" i="26"/>
  <c r="AC45" i="26"/>
  <c r="O47" i="26"/>
  <c r="AQ51" i="26"/>
  <c r="O55" i="26"/>
  <c r="M12" i="26"/>
  <c r="I13" i="26"/>
  <c r="BQ14" i="26"/>
  <c r="BN2" i="26"/>
  <c r="AA2" i="26"/>
  <c r="Y10" i="26"/>
  <c r="BJ10" i="26"/>
  <c r="N12" i="26"/>
  <c r="AP13" i="26"/>
  <c r="BG13" i="26"/>
  <c r="AL15" i="26"/>
  <c r="N17" i="26"/>
  <c r="AL18" i="26"/>
  <c r="AZ19" i="26"/>
  <c r="BQ19" i="26"/>
  <c r="P20" i="26"/>
  <c r="AB21" i="26"/>
  <c r="N22" i="26"/>
  <c r="AK23" i="26"/>
  <c r="M25" i="26"/>
  <c r="H27" i="26"/>
  <c r="AN27" i="26"/>
  <c r="BE27" i="26"/>
  <c r="AZ28" i="26"/>
  <c r="BQ28" i="26"/>
  <c r="P29" i="26"/>
  <c r="AB31" i="26"/>
  <c r="H32" i="26"/>
  <c r="AN32" i="26"/>
  <c r="AK33" i="26"/>
  <c r="BQ35" i="26"/>
  <c r="AL39" i="26"/>
  <c r="AQ40" i="26"/>
  <c r="I41" i="26"/>
  <c r="N43" i="26"/>
  <c r="AM44" i="26"/>
  <c r="M49" i="26"/>
  <c r="M52" i="26"/>
  <c r="BE96" i="26"/>
  <c r="BE91" i="26"/>
  <c r="BE85" i="26"/>
  <c r="BE80" i="26"/>
  <c r="BE75" i="26"/>
  <c r="BE64" i="26"/>
  <c r="BE59" i="26"/>
  <c r="BE53" i="26"/>
  <c r="BE48" i="26"/>
  <c r="BE43" i="26"/>
  <c r="BE37" i="26"/>
  <c r="BE95" i="26"/>
  <c r="BE89" i="26"/>
  <c r="BE84" i="26"/>
  <c r="BE79" i="26"/>
  <c r="BE63" i="26"/>
  <c r="BE57" i="26"/>
  <c r="BE52" i="26"/>
  <c r="BE47" i="26"/>
  <c r="BE41" i="26"/>
  <c r="BE36" i="26"/>
  <c r="BE93" i="26"/>
  <c r="BE88" i="26"/>
  <c r="BE83" i="26"/>
  <c r="BE77" i="26"/>
  <c r="BE61" i="26"/>
  <c r="BE56" i="26"/>
  <c r="BE51" i="26"/>
  <c r="BE45" i="26"/>
  <c r="BE40" i="26"/>
  <c r="BE35" i="26"/>
  <c r="BE97" i="26"/>
  <c r="BE92" i="26"/>
  <c r="BE87" i="26"/>
  <c r="BE81" i="26"/>
  <c r="BE76" i="26"/>
  <c r="BE65" i="26"/>
  <c r="BE60" i="26"/>
  <c r="BE55" i="26"/>
  <c r="BE49" i="26"/>
  <c r="BE44" i="26"/>
  <c r="BQ3" i="26"/>
  <c r="AZ3" i="26"/>
  <c r="AL97" i="26"/>
  <c r="BG96" i="26"/>
  <c r="N95" i="26"/>
  <c r="AL92" i="26"/>
  <c r="BG91" i="26"/>
  <c r="N89" i="26"/>
  <c r="AL87" i="26"/>
  <c r="BG85" i="26"/>
  <c r="N84" i="26"/>
  <c r="AL81" i="26"/>
  <c r="BG80" i="26"/>
  <c r="N79" i="26"/>
  <c r="AL76" i="26"/>
  <c r="BG75" i="26"/>
  <c r="AL65" i="26"/>
  <c r="BG64" i="26"/>
  <c r="AK97" i="26"/>
  <c r="I96" i="26"/>
  <c r="AK92" i="26"/>
  <c r="I91" i="26"/>
  <c r="AK87" i="26"/>
  <c r="I85" i="26"/>
  <c r="AK81" i="26"/>
  <c r="I80" i="26"/>
  <c r="AK76" i="26"/>
  <c r="I75" i="26"/>
  <c r="AK65" i="26"/>
  <c r="I64" i="26"/>
  <c r="AK60" i="26"/>
  <c r="I59" i="26"/>
  <c r="BQ97" i="26"/>
  <c r="AZ97" i="26"/>
  <c r="AN96" i="26"/>
  <c r="H96" i="26"/>
  <c r="AB95" i="26"/>
  <c r="BQ92" i="26"/>
  <c r="AZ92" i="26"/>
  <c r="AN91" i="26"/>
  <c r="H91" i="26"/>
  <c r="AB89" i="26"/>
  <c r="BQ87" i="26"/>
  <c r="AZ87" i="26"/>
  <c r="AN85" i="26"/>
  <c r="H85" i="26"/>
  <c r="AB84" i="26"/>
  <c r="BQ81" i="26"/>
  <c r="AZ81" i="26"/>
  <c r="AN80" i="26"/>
  <c r="H80" i="26"/>
  <c r="AB79" i="26"/>
  <c r="BQ76" i="26"/>
  <c r="AZ76" i="26"/>
  <c r="AN75" i="26"/>
  <c r="H75" i="26"/>
  <c r="BQ65" i="26"/>
  <c r="AZ65" i="26"/>
  <c r="AN64" i="26"/>
  <c r="H64" i="26"/>
  <c r="AB63" i="26"/>
  <c r="BQ60" i="26"/>
  <c r="AZ60" i="26"/>
  <c r="AN59" i="26"/>
  <c r="H59" i="26"/>
  <c r="AB57" i="26"/>
  <c r="BQ55" i="26"/>
  <c r="AZ55" i="26"/>
  <c r="AN53" i="26"/>
  <c r="H53" i="26"/>
  <c r="AB52" i="26"/>
  <c r="BQ49" i="26"/>
  <c r="AZ49" i="26"/>
  <c r="AN48" i="26"/>
  <c r="H48" i="26"/>
  <c r="AB47" i="26"/>
  <c r="BQ44" i="26"/>
  <c r="AZ44" i="26"/>
  <c r="AN43" i="26"/>
  <c r="H43" i="26"/>
  <c r="AB41" i="26"/>
  <c r="BQ39" i="26"/>
  <c r="AZ39" i="26"/>
  <c r="AN37" i="26"/>
  <c r="H37" i="26"/>
  <c r="AB36" i="26"/>
  <c r="AM96" i="26"/>
  <c r="W96" i="26"/>
  <c r="BH95" i="26"/>
  <c r="AQ95" i="26"/>
  <c r="AA95" i="26"/>
  <c r="AM91" i="26"/>
  <c r="W91" i="26"/>
  <c r="BH89" i="26"/>
  <c r="AQ89" i="26"/>
  <c r="AA89" i="26"/>
  <c r="AM85" i="26"/>
  <c r="W85" i="26"/>
  <c r="BH84" i="26"/>
  <c r="AQ84" i="26"/>
  <c r="AA84" i="26"/>
  <c r="AM80" i="26"/>
  <c r="W80" i="26"/>
  <c r="BH79" i="26"/>
  <c r="AQ79" i="26"/>
  <c r="AA79" i="26"/>
  <c r="AM75" i="26"/>
  <c r="W75" i="26"/>
  <c r="AM64" i="26"/>
  <c r="W64" i="26"/>
  <c r="BH63" i="26"/>
  <c r="AQ63" i="26"/>
  <c r="AA63" i="26"/>
  <c r="AM59" i="26"/>
  <c r="W59" i="26"/>
  <c r="BH57" i="26"/>
  <c r="AQ57" i="26"/>
  <c r="AA57" i="26"/>
  <c r="AM53" i="26"/>
  <c r="W53" i="26"/>
  <c r="BH52" i="26"/>
  <c r="AQ52" i="26"/>
  <c r="AA52" i="26"/>
  <c r="AM48" i="26"/>
  <c r="W48" i="26"/>
  <c r="BH47" i="26"/>
  <c r="AQ47" i="26"/>
  <c r="AA47" i="26"/>
  <c r="AM43" i="26"/>
  <c r="W43" i="26"/>
  <c r="BH41" i="26"/>
  <c r="AQ41" i="26"/>
  <c r="AA41" i="26"/>
  <c r="AL96" i="26"/>
  <c r="BG95" i="26"/>
  <c r="N93" i="26"/>
  <c r="AL91" i="26"/>
  <c r="BG89" i="26"/>
  <c r="N88" i="26"/>
  <c r="AL85" i="26"/>
  <c r="BG84" i="26"/>
  <c r="N83" i="26"/>
  <c r="AL80" i="26"/>
  <c r="BG79" i="26"/>
  <c r="N77" i="26"/>
  <c r="AL75" i="26"/>
  <c r="AL64" i="26"/>
  <c r="BG63" i="26"/>
  <c r="N61" i="26"/>
  <c r="AL59" i="26"/>
  <c r="AK96" i="26"/>
  <c r="I95" i="26"/>
  <c r="AK91" i="26"/>
  <c r="I89" i="26"/>
  <c r="AK85" i="26"/>
  <c r="I84" i="26"/>
  <c r="AK80" i="26"/>
  <c r="I79" i="26"/>
  <c r="AK75" i="26"/>
  <c r="AK64" i="26"/>
  <c r="I63" i="26"/>
  <c r="AK59" i="26"/>
  <c r="I57" i="26"/>
  <c r="AK53" i="26"/>
  <c r="I52" i="26"/>
  <c r="BQ96" i="26"/>
  <c r="AZ96" i="26"/>
  <c r="AN95" i="26"/>
  <c r="H95" i="26"/>
  <c r="AB93" i="26"/>
  <c r="BQ91" i="26"/>
  <c r="AZ91" i="26"/>
  <c r="AN89" i="26"/>
  <c r="H89" i="26"/>
  <c r="AB88" i="26"/>
  <c r="BQ85" i="26"/>
  <c r="AZ85" i="26"/>
  <c r="AN84" i="26"/>
  <c r="H84" i="26"/>
  <c r="AB83" i="26"/>
  <c r="BQ80" i="26"/>
  <c r="AZ80" i="26"/>
  <c r="AN79" i="26"/>
  <c r="H79" i="26"/>
  <c r="AB77" i="26"/>
  <c r="BQ75" i="26"/>
  <c r="AZ75" i="26"/>
  <c r="BQ64" i="26"/>
  <c r="AZ64" i="26"/>
  <c r="AN63" i="26"/>
  <c r="H63" i="26"/>
  <c r="AB61" i="26"/>
  <c r="BQ59" i="26"/>
  <c r="AZ59" i="26"/>
  <c r="AN57" i="26"/>
  <c r="H57" i="26"/>
  <c r="AB56" i="26"/>
  <c r="BQ53" i="26"/>
  <c r="AZ53" i="26"/>
  <c r="AN52" i="26"/>
  <c r="H52" i="26"/>
  <c r="AB51" i="26"/>
  <c r="BQ48" i="26"/>
  <c r="AZ48" i="26"/>
  <c r="AN47" i="26"/>
  <c r="H47" i="26"/>
  <c r="AB45" i="26"/>
  <c r="BQ43" i="26"/>
  <c r="AZ43" i="26"/>
  <c r="AN41" i="26"/>
  <c r="H41" i="26"/>
  <c r="AB40" i="26"/>
  <c r="BQ37" i="26"/>
  <c r="AZ37" i="26"/>
  <c r="AN36" i="26"/>
  <c r="H36" i="26"/>
  <c r="AM95" i="26"/>
  <c r="W95" i="26"/>
  <c r="BH93" i="26"/>
  <c r="AQ93" i="26"/>
  <c r="AA93" i="26"/>
  <c r="AM89" i="26"/>
  <c r="W89" i="26"/>
  <c r="BH88" i="26"/>
  <c r="AQ88" i="26"/>
  <c r="AA88" i="26"/>
  <c r="AM84" i="26"/>
  <c r="W84" i="26"/>
  <c r="BH83" i="26"/>
  <c r="AQ83" i="26"/>
  <c r="AA83" i="26"/>
  <c r="AM79" i="26"/>
  <c r="W79" i="26"/>
  <c r="BH77" i="26"/>
  <c r="AQ77" i="26"/>
  <c r="AA77" i="26"/>
  <c r="AM63" i="26"/>
  <c r="W63" i="26"/>
  <c r="BH61" i="26"/>
  <c r="AQ61" i="26"/>
  <c r="AA61" i="26"/>
  <c r="AM57" i="26"/>
  <c r="W57" i="26"/>
  <c r="BH56" i="26"/>
  <c r="AQ56" i="26"/>
  <c r="AA56" i="26"/>
  <c r="N97" i="26"/>
  <c r="AL95" i="26"/>
  <c r="BG93" i="26"/>
  <c r="N92" i="26"/>
  <c r="AL89" i="26"/>
  <c r="BG88" i="26"/>
  <c r="N87" i="26"/>
  <c r="AL84" i="26"/>
  <c r="BG83" i="26"/>
  <c r="N81" i="26"/>
  <c r="AL79" i="26"/>
  <c r="BG77" i="26"/>
  <c r="N76" i="26"/>
  <c r="N65" i="26"/>
  <c r="AK95" i="26"/>
  <c r="I93" i="26"/>
  <c r="AK89" i="26"/>
  <c r="I88" i="26"/>
  <c r="AK84" i="26"/>
  <c r="I83" i="26"/>
  <c r="AK79" i="26"/>
  <c r="I77" i="26"/>
  <c r="AK63" i="26"/>
  <c r="I61" i="26"/>
  <c r="AK57" i="26"/>
  <c r="I56" i="26"/>
  <c r="AK52" i="26"/>
  <c r="AB97" i="26"/>
  <c r="BQ95" i="26"/>
  <c r="AZ95" i="26"/>
  <c r="AN93" i="26"/>
  <c r="H93" i="26"/>
  <c r="AB92" i="26"/>
  <c r="BQ89" i="26"/>
  <c r="AZ89" i="26"/>
  <c r="AN88" i="26"/>
  <c r="H88" i="26"/>
  <c r="AB87" i="26"/>
  <c r="BQ84" i="26"/>
  <c r="AZ84" i="26"/>
  <c r="AN83" i="26"/>
  <c r="H83" i="26"/>
  <c r="AB81" i="26"/>
  <c r="BQ79" i="26"/>
  <c r="AZ79" i="26"/>
  <c r="AN77" i="26"/>
  <c r="H77" i="26"/>
  <c r="AB76" i="26"/>
  <c r="AB65" i="26"/>
  <c r="BQ63" i="26"/>
  <c r="AZ63" i="26"/>
  <c r="AN61" i="26"/>
  <c r="H61" i="26"/>
  <c r="AB60" i="26"/>
  <c r="BQ57" i="26"/>
  <c r="AZ57" i="26"/>
  <c r="AN56" i="26"/>
  <c r="H56" i="26"/>
  <c r="AB55" i="26"/>
  <c r="BQ52" i="26"/>
  <c r="AZ52" i="26"/>
  <c r="AN51" i="26"/>
  <c r="H51" i="26"/>
  <c r="AB49" i="26"/>
  <c r="BQ47" i="26"/>
  <c r="AZ47" i="26"/>
  <c r="AN45" i="26"/>
  <c r="H45" i="26"/>
  <c r="AB44" i="26"/>
  <c r="BQ41" i="26"/>
  <c r="AZ41" i="26"/>
  <c r="AN40" i="26"/>
  <c r="H40" i="26"/>
  <c r="AB39" i="26"/>
  <c r="BQ36" i="26"/>
  <c r="AZ36" i="26"/>
  <c r="AN35" i="26"/>
  <c r="H35" i="26"/>
  <c r="AB33" i="26"/>
  <c r="BH97" i="26"/>
  <c r="AQ97" i="26"/>
  <c r="AA97" i="26"/>
  <c r="AM93" i="26"/>
  <c r="W93" i="26"/>
  <c r="BH92" i="26"/>
  <c r="AQ92" i="26"/>
  <c r="AA92" i="26"/>
  <c r="AM88" i="26"/>
  <c r="W88" i="26"/>
  <c r="BH87" i="26"/>
  <c r="AQ87" i="26"/>
  <c r="AA87" i="26"/>
  <c r="AM83" i="26"/>
  <c r="W83" i="26"/>
  <c r="BH81" i="26"/>
  <c r="AQ81" i="26"/>
  <c r="AA81" i="26"/>
  <c r="AM77" i="26"/>
  <c r="W77" i="26"/>
  <c r="BH76" i="26"/>
  <c r="AQ76" i="26"/>
  <c r="AA76" i="26"/>
  <c r="BH65" i="26"/>
  <c r="AQ65" i="26"/>
  <c r="AA65" i="26"/>
  <c r="AM61" i="26"/>
  <c r="W61" i="26"/>
  <c r="BH60" i="26"/>
  <c r="AQ60" i="26"/>
  <c r="AA60" i="26"/>
  <c r="AM56" i="26"/>
  <c r="W56" i="26"/>
  <c r="BH55" i="26"/>
  <c r="AQ55" i="26"/>
  <c r="AA55" i="26"/>
  <c r="AM51" i="26"/>
  <c r="W51" i="26"/>
  <c r="BH49" i="26"/>
  <c r="AQ49" i="26"/>
  <c r="AA49" i="26"/>
  <c r="AM45" i="26"/>
  <c r="W45" i="26"/>
  <c r="BH44" i="26"/>
  <c r="AQ44" i="26"/>
  <c r="AA44" i="26"/>
  <c r="AM40" i="26"/>
  <c r="W40" i="26"/>
  <c r="BG97" i="26"/>
  <c r="N96" i="26"/>
  <c r="AL93" i="26"/>
  <c r="BG92" i="26"/>
  <c r="N91" i="26"/>
  <c r="AL88" i="26"/>
  <c r="BG87" i="26"/>
  <c r="N85" i="26"/>
  <c r="AL83" i="26"/>
  <c r="BG81" i="26"/>
  <c r="N80" i="26"/>
  <c r="AL77" i="26"/>
  <c r="BG76" i="26"/>
  <c r="N75" i="26"/>
  <c r="BG65" i="26"/>
  <c r="N64" i="26"/>
  <c r="AL61" i="26"/>
  <c r="BG60" i="26"/>
  <c r="N59" i="26"/>
  <c r="AL56" i="26"/>
  <c r="BG55" i="26"/>
  <c r="N53" i="26"/>
  <c r="AL51" i="26"/>
  <c r="BG49" i="26"/>
  <c r="N48" i="26"/>
  <c r="I97" i="26"/>
  <c r="AK93" i="26"/>
  <c r="I92" i="26"/>
  <c r="AK88" i="26"/>
  <c r="I87" i="26"/>
  <c r="AK83" i="26"/>
  <c r="I81" i="26"/>
  <c r="AK77" i="26"/>
  <c r="I76" i="26"/>
  <c r="I65" i="26"/>
  <c r="AK61" i="26"/>
  <c r="I60" i="26"/>
  <c r="AK56" i="26"/>
  <c r="I55" i="26"/>
  <c r="AN97" i="26"/>
  <c r="H97" i="26"/>
  <c r="AB96" i="26"/>
  <c r="BQ93" i="26"/>
  <c r="AZ93" i="26"/>
  <c r="AN92" i="26"/>
  <c r="H92" i="26"/>
  <c r="AB91" i="26"/>
  <c r="BQ88" i="26"/>
  <c r="AZ88" i="26"/>
  <c r="AN87" i="26"/>
  <c r="H87" i="26"/>
  <c r="AB85" i="26"/>
  <c r="BQ83" i="26"/>
  <c r="AZ83" i="26"/>
  <c r="AN81" i="26"/>
  <c r="H81" i="26"/>
  <c r="AB80" i="26"/>
  <c r="BQ77" i="26"/>
  <c r="AZ77" i="26"/>
  <c r="AN76" i="26"/>
  <c r="H76" i="26"/>
  <c r="AB75" i="26"/>
  <c r="AN65" i="26"/>
  <c r="H65" i="26"/>
  <c r="AB64" i="26"/>
  <c r="BQ61" i="26"/>
  <c r="AZ61" i="26"/>
  <c r="AN60" i="26"/>
  <c r="H60" i="26"/>
  <c r="AB59" i="26"/>
  <c r="BQ56" i="26"/>
  <c r="AZ56" i="26"/>
  <c r="AN55" i="26"/>
  <c r="H55" i="26"/>
  <c r="AB53" i="26"/>
  <c r="BQ51" i="26"/>
  <c r="AZ51" i="26"/>
  <c r="AN49" i="26"/>
  <c r="H49" i="26"/>
  <c r="AB48" i="26"/>
  <c r="BQ45" i="26"/>
  <c r="AZ45" i="26"/>
  <c r="AN44" i="26"/>
  <c r="H44" i="26"/>
  <c r="AB43" i="26"/>
  <c r="AM97" i="26"/>
  <c r="W97" i="26"/>
  <c r="BH96" i="26"/>
  <c r="AQ96" i="26"/>
  <c r="AA96" i="26"/>
  <c r="AM92" i="26"/>
  <c r="W92" i="26"/>
  <c r="BH91" i="26"/>
  <c r="AQ91" i="26"/>
  <c r="AA91" i="26"/>
  <c r="AM87" i="26"/>
  <c r="W87" i="26"/>
  <c r="BH85" i="26"/>
  <c r="AQ85" i="26"/>
  <c r="AA85" i="26"/>
  <c r="AM81" i="26"/>
  <c r="W81" i="26"/>
  <c r="BH80" i="26"/>
  <c r="AQ80" i="26"/>
  <c r="AA80" i="26"/>
  <c r="AM76" i="26"/>
  <c r="W76" i="26"/>
  <c r="BH75" i="26"/>
  <c r="AQ75" i="26"/>
  <c r="AA75" i="26"/>
  <c r="AM65" i="26"/>
  <c r="W65" i="26"/>
  <c r="BH64" i="26"/>
  <c r="AQ64" i="26"/>
  <c r="AA64" i="26"/>
  <c r="AM60" i="26"/>
  <c r="W60" i="26"/>
  <c r="BH59" i="26"/>
  <c r="AQ59" i="26"/>
  <c r="AA59" i="26"/>
  <c r="H8" i="26"/>
  <c r="M9" i="26"/>
  <c r="P8" i="26"/>
  <c r="BM6" i="26"/>
  <c r="AL6" i="26"/>
  <c r="I6" i="26"/>
  <c r="AB5" i="26"/>
  <c r="O4" i="26"/>
  <c r="BK2" i="26"/>
  <c r="Z2" i="26"/>
  <c r="Z10" i="26"/>
  <c r="BK10" i="26"/>
  <c r="O12" i="26"/>
  <c r="AA13" i="26"/>
  <c r="AQ13" i="26"/>
  <c r="BH13" i="26"/>
  <c r="W15" i="26"/>
  <c r="AM15" i="26"/>
  <c r="O17" i="26"/>
  <c r="AU18" i="26"/>
  <c r="AK19" i="26"/>
  <c r="M21" i="26"/>
  <c r="BD22" i="26"/>
  <c r="AL23" i="26"/>
  <c r="N25" i="26"/>
  <c r="I27" i="26"/>
  <c r="AK28" i="26"/>
  <c r="I32" i="26"/>
  <c r="AL33" i="26"/>
  <c r="AZ35" i="26"/>
  <c r="AK37" i="26"/>
  <c r="AM39" i="26"/>
  <c r="BE39" i="26"/>
  <c r="AA48" i="26"/>
  <c r="N49" i="26"/>
  <c r="N52" i="26"/>
  <c r="AK15" i="26"/>
  <c r="BN6" i="26"/>
  <c r="AM6" i="26"/>
  <c r="J6" i="26"/>
  <c r="M95" i="26"/>
  <c r="M89" i="26"/>
  <c r="M84" i="26"/>
  <c r="M79" i="26"/>
  <c r="M63" i="26"/>
  <c r="M57" i="26"/>
  <c r="M93" i="26"/>
  <c r="M88" i="26"/>
  <c r="M83" i="26"/>
  <c r="M77" i="26"/>
  <c r="M61" i="26"/>
  <c r="M56" i="26"/>
  <c r="M97" i="26"/>
  <c r="M92" i="26"/>
  <c r="M87" i="26"/>
  <c r="M81" i="26"/>
  <c r="M76" i="26"/>
  <c r="M65" i="26"/>
  <c r="M60" i="26"/>
  <c r="M55" i="26"/>
  <c r="M96" i="26"/>
  <c r="M91" i="26"/>
  <c r="M85" i="26"/>
  <c r="M80" i="26"/>
  <c r="M75" i="26"/>
  <c r="M64" i="26"/>
  <c r="M59" i="26"/>
  <c r="M53" i="26"/>
  <c r="H9" i="26"/>
  <c r="AB9" i="26"/>
  <c r="O8" i="26"/>
  <c r="AC84" i="26"/>
  <c r="P93" i="26"/>
  <c r="P83" i="26"/>
  <c r="P77" i="26"/>
  <c r="P61" i="26"/>
  <c r="P51" i="26"/>
  <c r="P45" i="26"/>
  <c r="O93" i="26"/>
  <c r="O83" i="26"/>
  <c r="O77" i="26"/>
  <c r="O61" i="26"/>
  <c r="O51" i="26"/>
  <c r="O45" i="26"/>
  <c r="AC93" i="26"/>
  <c r="AC83" i="26"/>
  <c r="AC77" i="26"/>
  <c r="AC61" i="26"/>
  <c r="P92" i="26"/>
  <c r="P76" i="26"/>
  <c r="P60" i="26"/>
  <c r="P44" i="26"/>
  <c r="O92" i="26"/>
  <c r="O76" i="26"/>
  <c r="O60" i="26"/>
  <c r="AC92" i="26"/>
  <c r="AC76" i="26"/>
  <c r="AC60" i="26"/>
  <c r="P91" i="26"/>
  <c r="P85" i="26"/>
  <c r="P75" i="26"/>
  <c r="P59" i="26"/>
  <c r="P53" i="26"/>
  <c r="P43" i="26"/>
  <c r="P37" i="26"/>
  <c r="O91" i="26"/>
  <c r="O85" i="26"/>
  <c r="O75" i="26"/>
  <c r="O59" i="26"/>
  <c r="O53" i="26"/>
  <c r="O43" i="26"/>
  <c r="AC91" i="26"/>
  <c r="AC85" i="26"/>
  <c r="AC75" i="26"/>
  <c r="AC59" i="26"/>
  <c r="AC53" i="26"/>
  <c r="P84" i="26"/>
  <c r="P52" i="26"/>
  <c r="O84" i="26"/>
  <c r="BH9" i="26"/>
  <c r="AQ9" i="26"/>
  <c r="AA9" i="26"/>
  <c r="N8" i="26"/>
  <c r="BJ6" i="26"/>
  <c r="AK6" i="26"/>
  <c r="BH5" i="26"/>
  <c r="AQ5" i="26"/>
  <c r="AA5" i="26"/>
  <c r="N4" i="26"/>
  <c r="BH2" i="26"/>
  <c r="W2" i="26"/>
  <c r="AC10" i="26"/>
  <c r="BP10" i="26"/>
  <c r="AZ11" i="26"/>
  <c r="BQ11" i="26"/>
  <c r="P12" i="26"/>
  <c r="AB13" i="26"/>
  <c r="N14" i="26"/>
  <c r="H15" i="26"/>
  <c r="AN15" i="26"/>
  <c r="BE15" i="26"/>
  <c r="AZ16" i="26"/>
  <c r="BQ16" i="26"/>
  <c r="P17" i="26"/>
  <c r="BI18" i="26"/>
  <c r="AL19" i="26"/>
  <c r="N21" i="26"/>
  <c r="BL22" i="26"/>
  <c r="W23" i="26"/>
  <c r="AM23" i="26"/>
  <c r="O25" i="26"/>
  <c r="AP27" i="26"/>
  <c r="BG27" i="26"/>
  <c r="AL28" i="26"/>
  <c r="N31" i="26"/>
  <c r="AP32" i="26"/>
  <c r="BG32" i="26"/>
  <c r="AM33" i="26"/>
  <c r="AL37" i="26"/>
  <c r="W39" i="26"/>
  <c r="AN39" i="26"/>
  <c r="W44" i="26"/>
  <c r="AP44" i="26"/>
  <c r="AK47" i="26"/>
  <c r="O49" i="26"/>
  <c r="O52" i="26"/>
  <c r="AA53" i="26"/>
  <c r="AK55" i="26"/>
  <c r="P3" i="26"/>
  <c r="BE2" i="26"/>
  <c r="T2" i="26"/>
  <c r="AH10" i="26"/>
  <c r="BS10" i="26"/>
  <c r="AK11" i="26"/>
  <c r="M13" i="26"/>
  <c r="AC13" i="26"/>
  <c r="O14" i="26"/>
  <c r="I15" i="26"/>
  <c r="AK16" i="26"/>
  <c r="BS18" i="26"/>
  <c r="W19" i="26"/>
  <c r="AM19" i="26"/>
  <c r="O21" i="26"/>
  <c r="H23" i="26"/>
  <c r="AN23" i="26"/>
  <c r="BE23" i="26"/>
  <c r="AZ24" i="26"/>
  <c r="BQ24" i="26"/>
  <c r="P25" i="26"/>
  <c r="AA27" i="26"/>
  <c r="AQ27" i="26"/>
  <c r="BH27" i="26"/>
  <c r="W28" i="26"/>
  <c r="AM28" i="26"/>
  <c r="O31" i="26"/>
  <c r="AA32" i="26"/>
  <c r="AQ32" i="26"/>
  <c r="BH32" i="26"/>
  <c r="W33" i="26"/>
  <c r="AN33" i="26"/>
  <c r="BE33" i="26"/>
  <c r="AK35" i="26"/>
  <c r="AK36" i="26"/>
  <c r="W37" i="26"/>
  <c r="AM37" i="26"/>
  <c r="BG37" i="26"/>
  <c r="BG39" i="26"/>
  <c r="AA40" i="26"/>
  <c r="AK43" i="26"/>
  <c r="M45" i="26"/>
  <c r="AL47" i="26"/>
  <c r="BG47" i="26"/>
  <c r="I48" i="26"/>
  <c r="AA51" i="26"/>
  <c r="AL55" i="26"/>
  <c r="AZ20" i="26"/>
  <c r="BQ20" i="26"/>
  <c r="P21" i="26"/>
  <c r="I23" i="26"/>
  <c r="AK24" i="26"/>
  <c r="AB27" i="26"/>
  <c r="H28" i="26"/>
  <c r="AN28" i="26"/>
  <c r="BE28" i="26"/>
  <c r="AZ29" i="26"/>
  <c r="BQ29" i="26"/>
  <c r="AB32" i="26"/>
  <c r="H33" i="26"/>
  <c r="AL35" i="26"/>
  <c r="AL36" i="26"/>
  <c r="BH37" i="26"/>
  <c r="H39" i="26"/>
  <c r="AP39" i="26"/>
  <c r="BH39" i="26"/>
  <c r="I40" i="26"/>
  <c r="M41" i="26"/>
  <c r="AL43" i="26"/>
  <c r="BG43" i="26"/>
  <c r="N45" i="26"/>
  <c r="AM47" i="26"/>
  <c r="I51" i="26"/>
  <c r="AC51" i="26"/>
  <c r="AM55" i="26"/>
  <c r="N56" i="26"/>
  <c r="BG56" i="26"/>
  <c r="BE7" i="26"/>
  <c r="AN7" i="26"/>
  <c r="BG9" i="26"/>
  <c r="AL16" i="26"/>
  <c r="H19" i="26"/>
  <c r="N7" i="26"/>
  <c r="BG6" i="26"/>
  <c r="AD6" i="26"/>
  <c r="BE5" i="26"/>
  <c r="AN5" i="26"/>
  <c r="BH4" i="26"/>
  <c r="AQ4" i="26"/>
  <c r="AA4" i="26"/>
  <c r="N3" i="26"/>
  <c r="AY2" i="26"/>
  <c r="M2" i="26"/>
  <c r="AM10" i="26"/>
  <c r="W11" i="26"/>
  <c r="AM11" i="26"/>
  <c r="O13" i="26"/>
  <c r="V14" i="26"/>
  <c r="AA15" i="26"/>
  <c r="AQ15" i="26"/>
  <c r="BH15" i="26"/>
  <c r="W16" i="26"/>
  <c r="AM16" i="26"/>
  <c r="I19" i="26"/>
  <c r="AK20" i="26"/>
  <c r="AP23" i="26"/>
  <c r="BG23" i="26"/>
  <c r="AL24" i="26"/>
  <c r="M27" i="26"/>
  <c r="AC27" i="26"/>
  <c r="I28" i="26"/>
  <c r="AK29" i="26"/>
  <c r="M32" i="26"/>
  <c r="I33" i="26"/>
  <c r="AP33" i="26"/>
  <c r="BG33" i="26"/>
  <c r="W35" i="26"/>
  <c r="AM35" i="26"/>
  <c r="AM36" i="26"/>
  <c r="BG36" i="26"/>
  <c r="AP37" i="26"/>
  <c r="I39" i="26"/>
  <c r="AQ39" i="26"/>
  <c r="N41" i="26"/>
  <c r="BH43" i="26"/>
  <c r="I44" i="26"/>
  <c r="AK49" i="26"/>
  <c r="AL52" i="26"/>
  <c r="BG52" i="26"/>
  <c r="I53" i="26"/>
  <c r="W7" i="26"/>
  <c r="AR6" i="26"/>
  <c r="T6" i="26"/>
  <c r="BQ4" i="26"/>
  <c r="AZ4" i="26"/>
  <c r="I9" i="26"/>
  <c r="AB8" i="26"/>
  <c r="AL11" i="26"/>
  <c r="AP15" i="26"/>
  <c r="BG15" i="26"/>
  <c r="AN19" i="26"/>
  <c r="BE19" i="26"/>
  <c r="P88" i="26"/>
  <c r="P56" i="26"/>
  <c r="P40" i="26"/>
  <c r="P97" i="26"/>
  <c r="P87" i="26"/>
  <c r="P81" i="26"/>
  <c r="P65" i="26"/>
  <c r="P55" i="26"/>
  <c r="P49" i="26"/>
  <c r="P39" i="26"/>
  <c r="P96" i="26"/>
  <c r="P80" i="26"/>
  <c r="P64" i="26"/>
  <c r="P48" i="26"/>
  <c r="P95" i="26"/>
  <c r="P89" i="26"/>
  <c r="P79" i="26"/>
  <c r="P63" i="26"/>
  <c r="P57" i="26"/>
  <c r="P47" i="26"/>
  <c r="BE9" i="26"/>
  <c r="AN9" i="26"/>
  <c r="BH8" i="26"/>
  <c r="AQ8" i="26"/>
  <c r="AA8" i="26"/>
  <c r="AM9" i="26"/>
  <c r="W9" i="26"/>
  <c r="BG8" i="26"/>
  <c r="AP8" i="26"/>
  <c r="M7" i="26"/>
  <c r="BE6" i="26"/>
  <c r="AA6" i="26"/>
  <c r="AM5" i="26"/>
  <c r="W5" i="26"/>
  <c r="BG4" i="26"/>
  <c r="AP4" i="26"/>
  <c r="AC3" i="26"/>
  <c r="M3" i="26"/>
  <c r="AX2" i="26"/>
  <c r="L2" i="26"/>
  <c r="AN10" i="26"/>
  <c r="H11" i="26"/>
  <c r="AN11" i="26"/>
  <c r="BE11" i="26"/>
  <c r="AZ12" i="26"/>
  <c r="BQ12" i="26"/>
  <c r="P13" i="26"/>
  <c r="AB14" i="26"/>
  <c r="AB15" i="26"/>
  <c r="H16" i="26"/>
  <c r="AN16" i="26"/>
  <c r="BE16" i="26"/>
  <c r="AZ17" i="26"/>
  <c r="BQ17" i="26"/>
  <c r="AP19" i="26"/>
  <c r="BG19" i="26"/>
  <c r="AL20" i="26"/>
  <c r="AA23" i="26"/>
  <c r="AQ23" i="26"/>
  <c r="BH23" i="26"/>
  <c r="W24" i="26"/>
  <c r="AM24" i="26"/>
  <c r="N27" i="26"/>
  <c r="AP28" i="26"/>
  <c r="BG28" i="26"/>
  <c r="AL29" i="26"/>
  <c r="N32" i="26"/>
  <c r="AQ33" i="26"/>
  <c r="BH33" i="26"/>
  <c r="BG35" i="26"/>
  <c r="W36" i="26"/>
  <c r="BH36" i="26"/>
  <c r="I37" i="26"/>
  <c r="AQ37" i="26"/>
  <c r="AA39" i="26"/>
  <c r="AP43" i="26"/>
  <c r="AC44" i="26"/>
  <c r="W47" i="26"/>
  <c r="AP47" i="26"/>
  <c r="AL49" i="26"/>
  <c r="AM52" i="26"/>
  <c r="W55" i="26"/>
  <c r="BR6" i="26"/>
  <c r="AO6" i="26"/>
  <c r="M6" i="26"/>
  <c r="AP9" i="26"/>
  <c r="N13" i="26"/>
  <c r="U14" i="26"/>
  <c r="O88" i="26"/>
  <c r="O56" i="26"/>
  <c r="O40" i="26"/>
  <c r="O97" i="26"/>
  <c r="O87" i="26"/>
  <c r="O81" i="26"/>
  <c r="O65" i="26"/>
  <c r="O96" i="26"/>
  <c r="O80" i="26"/>
  <c r="O64" i="26"/>
  <c r="O48" i="26"/>
  <c r="O95" i="26"/>
  <c r="O89" i="26"/>
  <c r="O79" i="26"/>
  <c r="O63" i="26"/>
  <c r="O57" i="26"/>
  <c r="AL9" i="26"/>
  <c r="I8" i="26"/>
  <c r="AB7" i="26"/>
  <c r="BD6" i="26"/>
  <c r="Z6" i="26"/>
  <c r="AL5" i="26"/>
  <c r="I4" i="26"/>
  <c r="AB3" i="26"/>
  <c r="AW2" i="26"/>
  <c r="K2" i="26"/>
  <c r="AO10" i="26"/>
  <c r="I11" i="26"/>
  <c r="AK12" i="26"/>
  <c r="AI14" i="26"/>
  <c r="M15" i="26"/>
  <c r="I16" i="26"/>
  <c r="AK17" i="26"/>
  <c r="AA19" i="26"/>
  <c r="AQ19" i="26"/>
  <c r="BH19" i="26"/>
  <c r="W20" i="26"/>
  <c r="AM20" i="26"/>
  <c r="AB23" i="26"/>
  <c r="H24" i="26"/>
  <c r="AN24" i="26"/>
  <c r="BE24" i="26"/>
  <c r="AZ25" i="26"/>
  <c r="BQ25" i="26"/>
  <c r="O27" i="26"/>
  <c r="AA28" i="26"/>
  <c r="AQ28" i="26"/>
  <c r="BH28" i="26"/>
  <c r="W29" i="26"/>
  <c r="AM29" i="26"/>
  <c r="O32" i="26"/>
  <c r="AA33" i="26"/>
  <c r="I35" i="26"/>
  <c r="AP35" i="26"/>
  <c r="BH35" i="26"/>
  <c r="AP36" i="26"/>
  <c r="AA37" i="26"/>
  <c r="P41" i="26"/>
  <c r="AQ43" i="26"/>
  <c r="AK45" i="26"/>
  <c r="M48" i="26"/>
  <c r="AM49" i="26"/>
  <c r="AP56" i="26"/>
  <c r="N57" i="26"/>
  <c r="BG5" i="26"/>
  <c r="M4" i="26"/>
  <c r="BH6" i="26"/>
  <c r="AE6" i="26"/>
  <c r="I5" i="26"/>
  <c r="AB4" i="26"/>
  <c r="BH7" i="26"/>
  <c r="AQ7" i="26"/>
  <c r="AA7" i="26"/>
  <c r="BC6" i="26"/>
  <c r="Y6" i="26"/>
  <c r="AK5" i="26"/>
  <c r="BE4" i="26"/>
  <c r="AN4" i="26"/>
  <c r="AS2" i="26"/>
  <c r="I2" i="26"/>
  <c r="AQ10" i="26"/>
  <c r="AP11" i="26"/>
  <c r="BG11" i="26"/>
  <c r="AP16" i="26"/>
  <c r="BG16" i="26"/>
  <c r="AL17" i="26"/>
  <c r="AB19" i="26"/>
  <c r="H20" i="26"/>
  <c r="AN20" i="26"/>
  <c r="BE20" i="26"/>
  <c r="AZ21" i="26"/>
  <c r="BQ21" i="26"/>
  <c r="M23" i="26"/>
  <c r="I24" i="26"/>
  <c r="AK25" i="26"/>
  <c r="P27" i="26"/>
  <c r="AB28" i="26"/>
  <c r="H29" i="26"/>
  <c r="AN29" i="26"/>
  <c r="BE29" i="26"/>
  <c r="AZ31" i="26"/>
  <c r="BQ31" i="26"/>
  <c r="P32" i="26"/>
  <c r="AQ35" i="26"/>
  <c r="I36" i="26"/>
  <c r="AQ36" i="26"/>
  <c r="AB37" i="26"/>
  <c r="M40" i="26"/>
  <c r="BQ40" i="26"/>
  <c r="AL45" i="26"/>
  <c r="BG45" i="26"/>
  <c r="M51" i="26"/>
  <c r="AP52" i="26"/>
  <c r="BG57" i="26"/>
  <c r="H2" i="26"/>
  <c r="AK8" i="26"/>
  <c r="AL12" i="26"/>
  <c r="AM14" i="26"/>
  <c r="N15" i="26"/>
  <c r="BQ9" i="26"/>
  <c r="AZ9" i="26"/>
  <c r="AM8" i="26"/>
  <c r="W8" i="26"/>
  <c r="BG7" i="26"/>
  <c r="AP7" i="26"/>
  <c r="AZ6" i="26"/>
  <c r="X6" i="26"/>
  <c r="BQ5" i="26"/>
  <c r="AZ5" i="26"/>
  <c r="AM4" i="26"/>
  <c r="W4" i="26"/>
  <c r="BG3" i="26"/>
  <c r="AP3" i="26"/>
  <c r="AR2" i="26"/>
  <c r="H10" i="26"/>
  <c r="AR10" i="26"/>
  <c r="AA11" i="26"/>
  <c r="AQ11" i="26"/>
  <c r="BH11" i="26"/>
  <c r="W12" i="26"/>
  <c r="AM12" i="26"/>
  <c r="AN14" i="26"/>
  <c r="O15" i="26"/>
  <c r="AA16" i="26"/>
  <c r="AQ16" i="26"/>
  <c r="BH16" i="26"/>
  <c r="W17" i="26"/>
  <c r="AM17" i="26"/>
  <c r="M19" i="26"/>
  <c r="AC19" i="26"/>
  <c r="I20" i="26"/>
  <c r="AK21" i="26"/>
  <c r="N23" i="26"/>
  <c r="AP24" i="26"/>
  <c r="BG24" i="26"/>
  <c r="AL25" i="26"/>
  <c r="M28" i="26"/>
  <c r="AC28" i="26"/>
  <c r="I29" i="26"/>
  <c r="AK31" i="26"/>
  <c r="M33" i="26"/>
  <c r="AA35" i="26"/>
  <c r="AC37" i="26"/>
  <c r="M39" i="26"/>
  <c r="N40" i="26"/>
  <c r="AZ40" i="26"/>
  <c r="M44" i="26"/>
  <c r="BH45" i="26"/>
  <c r="I47" i="26"/>
  <c r="W49" i="26"/>
  <c r="N51" i="26"/>
  <c r="W52" i="26"/>
  <c r="AL57" i="26"/>
  <c r="BG59" i="26"/>
  <c r="AM7" i="26"/>
  <c r="AM3" i="26"/>
  <c r="W3" i="26"/>
  <c r="AK2" i="26"/>
  <c r="O10" i="26"/>
  <c r="BA10" i="26"/>
  <c r="N11" i="26"/>
  <c r="H7" i="26"/>
  <c r="N9" i="26"/>
  <c r="BQ7" i="26"/>
  <c r="AZ7" i="26"/>
  <c r="BI78" i="26"/>
  <c r="M8" i="26"/>
  <c r="BI6" i="26"/>
  <c r="AH6" i="26"/>
  <c r="BD2" i="26"/>
  <c r="S2" i="26"/>
  <c r="AI10" i="26"/>
  <c r="AK9" i="26"/>
  <c r="BE8" i="26"/>
  <c r="BH3" i="26"/>
  <c r="AQ3" i="26"/>
  <c r="AA3" i="26"/>
  <c r="H3" i="26"/>
  <c r="AL8" i="26"/>
  <c r="I7" i="26"/>
  <c r="AV6" i="26"/>
  <c r="V6" i="26"/>
  <c r="AL4" i="26"/>
  <c r="I3" i="26"/>
  <c r="AO2" i="26"/>
  <c r="K10" i="26"/>
  <c r="AU10" i="26"/>
  <c r="AB11" i="26"/>
  <c r="H12" i="26"/>
  <c r="AN12" i="26"/>
  <c r="BE12" i="26"/>
  <c r="AZ13" i="26"/>
  <c r="BQ13" i="26"/>
  <c r="AT14" i="26"/>
  <c r="P15" i="26"/>
  <c r="AB16" i="26"/>
  <c r="H17" i="26"/>
  <c r="AN17" i="26"/>
  <c r="BE17" i="26"/>
  <c r="N19" i="26"/>
  <c r="AP20" i="26"/>
  <c r="BG20" i="26"/>
  <c r="AL21" i="26"/>
  <c r="O23" i="26"/>
  <c r="AA24" i="26"/>
  <c r="AQ24" i="26"/>
  <c r="BH24" i="26"/>
  <c r="W25" i="26"/>
  <c r="AM25" i="26"/>
  <c r="N28" i="26"/>
  <c r="AP29" i="26"/>
  <c r="BG29" i="26"/>
  <c r="AL31" i="26"/>
  <c r="N33" i="26"/>
  <c r="AB35" i="26"/>
  <c r="AA36" i="26"/>
  <c r="M37" i="26"/>
  <c r="N39" i="26"/>
  <c r="AK41" i="26"/>
  <c r="AA43" i="26"/>
  <c r="N44" i="26"/>
  <c r="AP45" i="26"/>
  <c r="AK48" i="26"/>
  <c r="AL53" i="26"/>
  <c r="BG53" i="26"/>
  <c r="AL2" i="26"/>
  <c r="N10" i="26"/>
  <c r="AZ10" i="26"/>
  <c r="I12" i="26"/>
  <c r="AK13" i="26"/>
  <c r="AU14" i="26"/>
  <c r="M16" i="26"/>
  <c r="I17" i="26"/>
  <c r="O19" i="26"/>
  <c r="AA20" i="26"/>
  <c r="AQ20" i="26"/>
  <c r="BH20" i="26"/>
  <c r="W21" i="26"/>
  <c r="AM21" i="26"/>
  <c r="P23" i="26"/>
  <c r="AB24" i="26"/>
  <c r="H25" i="26"/>
  <c r="AN25" i="26"/>
  <c r="BE25" i="26"/>
  <c r="O28" i="26"/>
  <c r="AA29" i="26"/>
  <c r="AQ29" i="26"/>
  <c r="BH29" i="26"/>
  <c r="W31" i="26"/>
  <c r="AM31" i="26"/>
  <c r="O33" i="26"/>
  <c r="M35" i="26"/>
  <c r="AC35" i="26"/>
  <c r="AC36" i="26"/>
  <c r="N37" i="26"/>
  <c r="O39" i="26"/>
  <c r="AL41" i="26"/>
  <c r="BG41" i="26"/>
  <c r="I43" i="26"/>
  <c r="AC43" i="26"/>
  <c r="O44" i="26"/>
  <c r="AQ45" i="26"/>
  <c r="AL48" i="26"/>
  <c r="BG48" i="26"/>
  <c r="BH53" i="26"/>
  <c r="AP57" i="26"/>
  <c r="BG61" i="26"/>
  <c r="BL6" i="26"/>
  <c r="AT6" i="26"/>
  <c r="AC6" i="26"/>
  <c r="L6" i="26"/>
  <c r="BC2" i="26"/>
  <c r="AJ2" i="26"/>
  <c r="R2" i="26"/>
  <c r="R10" i="26"/>
  <c r="AJ10" i="26"/>
  <c r="BC10" i="26"/>
  <c r="H14" i="26"/>
  <c r="AJ14" i="26"/>
  <c r="BJ14" i="26"/>
  <c r="AM18" i="26"/>
  <c r="AD22" i="26"/>
  <c r="AE26" i="26"/>
  <c r="BK6" i="26"/>
  <c r="AS6" i="26"/>
  <c r="AB6" i="26"/>
  <c r="K6" i="26"/>
  <c r="BA2" i="26"/>
  <c r="AI2" i="26"/>
  <c r="Q2" i="26"/>
  <c r="S10" i="26"/>
  <c r="AK10" i="26"/>
  <c r="BD10" i="26"/>
  <c r="L14" i="26"/>
  <c r="AK14" i="26"/>
  <c r="BK14" i="26"/>
  <c r="AR18" i="26"/>
  <c r="AE22" i="26"/>
  <c r="AR26" i="26"/>
  <c r="BS2" i="26"/>
  <c r="AZ2" i="26"/>
  <c r="AH2" i="26"/>
  <c r="N2" i="26"/>
  <c r="T10" i="26"/>
  <c r="AL10" i="26"/>
  <c r="BE10" i="26"/>
  <c r="M14" i="26"/>
  <c r="AL14" i="26"/>
  <c r="BL14" i="26"/>
  <c r="AS18" i="26"/>
  <c r="AM22" i="26"/>
  <c r="AS26" i="26"/>
  <c r="AT18" i="26"/>
  <c r="AR22" i="26"/>
  <c r="AT26" i="26"/>
  <c r="AS22" i="26"/>
  <c r="AU26" i="26"/>
  <c r="S14" i="26"/>
  <c r="AR14" i="26"/>
  <c r="BR14" i="26"/>
  <c r="L18" i="26"/>
  <c r="BC18" i="26"/>
  <c r="AT22" i="26"/>
  <c r="BI26" i="26"/>
  <c r="M30" i="26"/>
  <c r="BF6" i="26"/>
  <c r="AN6" i="26"/>
  <c r="W6" i="26"/>
  <c r="BO2" i="26"/>
  <c r="AT2" i="26"/>
  <c r="AB2" i="26"/>
  <c r="J2" i="26"/>
  <c r="X10" i="26"/>
  <c r="AP10" i="26"/>
  <c r="BI10" i="26"/>
  <c r="T14" i="26"/>
  <c r="AS14" i="26"/>
  <c r="BS14" i="26"/>
  <c r="M18" i="26"/>
  <c r="BD18" i="26"/>
  <c r="AU22" i="26"/>
  <c r="BJ26" i="26"/>
  <c r="AC30" i="26"/>
  <c r="AS30" i="26"/>
  <c r="O18" i="26"/>
  <c r="BJ18" i="26"/>
  <c r="BI22" i="26"/>
  <c r="BL26" i="26"/>
  <c r="BJ30" i="26"/>
  <c r="BJ2" i="26"/>
  <c r="AQ2" i="26"/>
  <c r="Y2" i="26"/>
  <c r="I10" i="26"/>
  <c r="AA10" i="26"/>
  <c r="AS10" i="26"/>
  <c r="BL10" i="26"/>
  <c r="W14" i="26"/>
  <c r="AY14" i="26"/>
  <c r="V18" i="26"/>
  <c r="BK18" i="26"/>
  <c r="L22" i="26"/>
  <c r="BJ22" i="26"/>
  <c r="L26" i="26"/>
  <c r="BS6" i="26"/>
  <c r="BA6" i="26"/>
  <c r="AJ6" i="26"/>
  <c r="R6" i="26"/>
  <c r="BI2" i="26"/>
  <c r="AP2" i="26"/>
  <c r="X2" i="26"/>
  <c r="J10" i="26"/>
  <c r="AB10" i="26"/>
  <c r="AT10" i="26"/>
  <c r="BO10" i="26"/>
  <c r="X14" i="26"/>
  <c r="AZ14" i="26"/>
  <c r="W18" i="26"/>
  <c r="BL18" i="26"/>
  <c r="M22" i="26"/>
  <c r="BK22" i="26"/>
  <c r="M26" i="26"/>
  <c r="N26" i="26"/>
  <c r="BQ6" i="26"/>
  <c r="AX6" i="26"/>
  <c r="AG6" i="26"/>
  <c r="P6" i="26"/>
  <c r="BG2" i="26"/>
  <c r="AN2" i="26"/>
  <c r="V2" i="26"/>
  <c r="L10" i="26"/>
  <c r="AD10" i="26"/>
  <c r="AX10" i="26"/>
  <c r="BQ10" i="26"/>
  <c r="AC14" i="26"/>
  <c r="BC14" i="26"/>
  <c r="AC18" i="26"/>
  <c r="O22" i="26"/>
  <c r="O26" i="26"/>
  <c r="BO6" i="26"/>
  <c r="AW6" i="26"/>
  <c r="AF6" i="26"/>
  <c r="O6" i="26"/>
  <c r="BF2" i="26"/>
  <c r="AM2" i="26"/>
  <c r="U2" i="26"/>
  <c r="M10" i="26"/>
  <c r="AE10" i="26"/>
  <c r="AY10" i="26"/>
  <c r="BR10" i="26"/>
  <c r="AD14" i="26"/>
  <c r="BD14" i="26"/>
  <c r="AD18" i="26"/>
  <c r="W22" i="26"/>
  <c r="AB26" i="26"/>
  <c r="AE14" i="26"/>
  <c r="BE14" i="26"/>
  <c r="AE18" i="26"/>
  <c r="AB22" i="26"/>
  <c r="AC26" i="26"/>
  <c r="AC22" i="26"/>
  <c r="AD26" i="26"/>
  <c r="V22" i="26"/>
  <c r="AL22" i="26"/>
  <c r="BC22" i="26"/>
  <c r="BS22" i="26"/>
  <c r="V26" i="26"/>
  <c r="AL26" i="26"/>
  <c r="BC26" i="26"/>
  <c r="BS26" i="26"/>
  <c r="V30" i="26"/>
  <c r="AL30" i="26"/>
  <c r="BC30" i="26"/>
  <c r="BS30" i="26"/>
  <c r="V34" i="26"/>
  <c r="AL34" i="26"/>
  <c r="BC34" i="26"/>
  <c r="BS34" i="26"/>
  <c r="V38" i="26"/>
  <c r="AL38" i="26"/>
  <c r="BC38" i="26"/>
  <c r="BS38" i="26"/>
  <c r="V42" i="26"/>
  <c r="AL42" i="26"/>
  <c r="BC42" i="26"/>
  <c r="BS42" i="26"/>
  <c r="V46" i="26"/>
  <c r="AL46" i="26"/>
  <c r="BC46" i="26"/>
  <c r="BS46" i="26"/>
  <c r="V50" i="26"/>
  <c r="AL50" i="26"/>
  <c r="BC50" i="26"/>
  <c r="BS50" i="26"/>
  <c r="V54" i="26"/>
  <c r="AL54" i="26"/>
  <c r="BC54" i="26"/>
  <c r="BS54" i="26"/>
  <c r="V58" i="26"/>
  <c r="AL58" i="26"/>
  <c r="BC58" i="26"/>
  <c r="BS58" i="26"/>
  <c r="V62" i="26"/>
  <c r="AL62" i="26"/>
  <c r="BC62" i="26"/>
  <c r="BS62" i="26"/>
  <c r="W74" i="26"/>
  <c r="AN74" i="26"/>
  <c r="BF74" i="26"/>
  <c r="O78" i="26"/>
  <c r="BJ78" i="26"/>
  <c r="W26" i="26"/>
  <c r="AM26" i="26"/>
  <c r="BD26" i="26"/>
  <c r="W30" i="26"/>
  <c r="AM30" i="26"/>
  <c r="BD30" i="26"/>
  <c r="W34" i="26"/>
  <c r="AM34" i="26"/>
  <c r="BD34" i="26"/>
  <c r="W38" i="26"/>
  <c r="AM38" i="26"/>
  <c r="BD38" i="26"/>
  <c r="W42" i="26"/>
  <c r="AM42" i="26"/>
  <c r="BD42" i="26"/>
  <c r="W46" i="26"/>
  <c r="AM46" i="26"/>
  <c r="BD46" i="26"/>
  <c r="W50" i="26"/>
  <c r="AM50" i="26"/>
  <c r="BD50" i="26"/>
  <c r="W54" i="26"/>
  <c r="AM54" i="26"/>
  <c r="BD54" i="26"/>
  <c r="W58" i="26"/>
  <c r="AM58" i="26"/>
  <c r="BD58" i="26"/>
  <c r="W62" i="26"/>
  <c r="AM62" i="26"/>
  <c r="BD62" i="26"/>
  <c r="X74" i="26"/>
  <c r="AO74" i="26"/>
  <c r="BG74" i="26"/>
  <c r="U78" i="26"/>
  <c r="BK78" i="26"/>
  <c r="L82" i="26"/>
  <c r="H18" i="26"/>
  <c r="X18" i="26"/>
  <c r="AN18" i="26"/>
  <c r="BE18" i="26"/>
  <c r="H22" i="26"/>
  <c r="X22" i="26"/>
  <c r="AN22" i="26"/>
  <c r="BE22" i="26"/>
  <c r="H26" i="26"/>
  <c r="X26" i="26"/>
  <c r="AN26" i="26"/>
  <c r="BE26" i="26"/>
  <c r="H30" i="26"/>
  <c r="X30" i="26"/>
  <c r="AN30" i="26"/>
  <c r="BE30" i="26"/>
  <c r="H34" i="26"/>
  <c r="X34" i="26"/>
  <c r="AN34" i="26"/>
  <c r="BE34" i="26"/>
  <c r="H38" i="26"/>
  <c r="X38" i="26"/>
  <c r="AN38" i="26"/>
  <c r="BE38" i="26"/>
  <c r="H42" i="26"/>
  <c r="X42" i="26"/>
  <c r="AN42" i="26"/>
  <c r="BE42" i="26"/>
  <c r="H46" i="26"/>
  <c r="X46" i="26"/>
  <c r="AN46" i="26"/>
  <c r="BE46" i="26"/>
  <c r="H50" i="26"/>
  <c r="X50" i="26"/>
  <c r="AN50" i="26"/>
  <c r="BE50" i="26"/>
  <c r="H54" i="26"/>
  <c r="X54" i="26"/>
  <c r="AN54" i="26"/>
  <c r="BE54" i="26"/>
  <c r="H58" i="26"/>
  <c r="X58" i="26"/>
  <c r="AN58" i="26"/>
  <c r="BE58" i="26"/>
  <c r="X62" i="26"/>
  <c r="AN62" i="26"/>
  <c r="BE62" i="26"/>
  <c r="H74" i="26"/>
  <c r="Y74" i="26"/>
  <c r="AP74" i="26"/>
  <c r="BI74" i="26"/>
  <c r="Z78" i="26"/>
  <c r="BL78" i="26"/>
  <c r="AB82" i="26"/>
  <c r="I14" i="26"/>
  <c r="Y14" i="26"/>
  <c r="AO14" i="26"/>
  <c r="BF14" i="26"/>
  <c r="I18" i="26"/>
  <c r="Y18" i="26"/>
  <c r="AO18" i="26"/>
  <c r="BF18" i="26"/>
  <c r="I22" i="26"/>
  <c r="Y22" i="26"/>
  <c r="AO22" i="26"/>
  <c r="BF22" i="26"/>
  <c r="I26" i="26"/>
  <c r="Y26" i="26"/>
  <c r="AO26" i="26"/>
  <c r="BF26" i="26"/>
  <c r="I30" i="26"/>
  <c r="Y30" i="26"/>
  <c r="AO30" i="26"/>
  <c r="BF30" i="26"/>
  <c r="I34" i="26"/>
  <c r="Y34" i="26"/>
  <c r="AO34" i="26"/>
  <c r="BF34" i="26"/>
  <c r="I38" i="26"/>
  <c r="Y38" i="26"/>
  <c r="AO38" i="26"/>
  <c r="BF38" i="26"/>
  <c r="I42" i="26"/>
  <c r="Y42" i="26"/>
  <c r="AO42" i="26"/>
  <c r="BF42" i="26"/>
  <c r="I46" i="26"/>
  <c r="Y46" i="26"/>
  <c r="AO46" i="26"/>
  <c r="BF46" i="26"/>
  <c r="I50" i="26"/>
  <c r="Y50" i="26"/>
  <c r="AO50" i="26"/>
  <c r="BF50" i="26"/>
  <c r="I54" i="26"/>
  <c r="Y54" i="26"/>
  <c r="AO54" i="26"/>
  <c r="BF54" i="26"/>
  <c r="I58" i="26"/>
  <c r="Y58" i="26"/>
  <c r="AO58" i="26"/>
  <c r="BF58" i="26"/>
  <c r="I62" i="26"/>
  <c r="Y62" i="26"/>
  <c r="AO62" i="26"/>
  <c r="BF62" i="26"/>
  <c r="I74" i="26"/>
  <c r="Z74" i="26"/>
  <c r="AQ74" i="26"/>
  <c r="BJ74" i="26"/>
  <c r="AB78" i="26"/>
  <c r="BR78" i="26"/>
  <c r="AR82" i="26"/>
  <c r="J14" i="26"/>
  <c r="Z14" i="26"/>
  <c r="AP14" i="26"/>
  <c r="BG14" i="26"/>
  <c r="J18" i="26"/>
  <c r="Z18" i="26"/>
  <c r="AP18" i="26"/>
  <c r="BG18" i="26"/>
  <c r="J22" i="26"/>
  <c r="Z22" i="26"/>
  <c r="AP22" i="26"/>
  <c r="BG22" i="26"/>
  <c r="J26" i="26"/>
  <c r="Z26" i="26"/>
  <c r="AP26" i="26"/>
  <c r="BG26" i="26"/>
  <c r="J30" i="26"/>
  <c r="Z30" i="26"/>
  <c r="AP30" i="26"/>
  <c r="BG30" i="26"/>
  <c r="J34" i="26"/>
  <c r="Z34" i="26"/>
  <c r="AP34" i="26"/>
  <c r="BG34" i="26"/>
  <c r="J38" i="26"/>
  <c r="Z38" i="26"/>
  <c r="AP38" i="26"/>
  <c r="BG38" i="26"/>
  <c r="J42" i="26"/>
  <c r="Z42" i="26"/>
  <c r="AP42" i="26"/>
  <c r="BG42" i="26"/>
  <c r="J46" i="26"/>
  <c r="Z46" i="26"/>
  <c r="AP46" i="26"/>
  <c r="BG46" i="26"/>
  <c r="J50" i="26"/>
  <c r="Z50" i="26"/>
  <c r="AP50" i="26"/>
  <c r="BG50" i="26"/>
  <c r="J54" i="26"/>
  <c r="Z54" i="26"/>
  <c r="AP54" i="26"/>
  <c r="BG54" i="26"/>
  <c r="J58" i="26"/>
  <c r="Z58" i="26"/>
  <c r="AP58" i="26"/>
  <c r="BG58" i="26"/>
  <c r="J62" i="26"/>
  <c r="Z62" i="26"/>
  <c r="AP62" i="26"/>
  <c r="BG62" i="26"/>
  <c r="J74" i="26"/>
  <c r="AA74" i="26"/>
  <c r="AR74" i="26"/>
  <c r="BK74" i="26"/>
  <c r="AC78" i="26"/>
  <c r="BI82" i="26"/>
  <c r="K14" i="26"/>
  <c r="AA14" i="26"/>
  <c r="AQ14" i="26"/>
  <c r="BH14" i="26"/>
  <c r="K18" i="26"/>
  <c r="AA18" i="26"/>
  <c r="AQ18" i="26"/>
  <c r="BH18" i="26"/>
  <c r="K22" i="26"/>
  <c r="AA22" i="26"/>
  <c r="AQ22" i="26"/>
  <c r="BH22" i="26"/>
  <c r="K26" i="26"/>
  <c r="AA26" i="26"/>
  <c r="AQ26" i="26"/>
  <c r="BH26" i="26"/>
  <c r="K30" i="26"/>
  <c r="AA30" i="26"/>
  <c r="AQ30" i="26"/>
  <c r="BH30" i="26"/>
  <c r="K34" i="26"/>
  <c r="AA34" i="26"/>
  <c r="AQ34" i="26"/>
  <c r="BH34" i="26"/>
  <c r="K38" i="26"/>
  <c r="AA38" i="26"/>
  <c r="AQ38" i="26"/>
  <c r="BH38" i="26"/>
  <c r="K42" i="26"/>
  <c r="AA42" i="26"/>
  <c r="AQ42" i="26"/>
  <c r="BH42" i="26"/>
  <c r="K46" i="26"/>
  <c r="AA46" i="26"/>
  <c r="AQ46" i="26"/>
  <c r="BH46" i="26"/>
  <c r="K50" i="26"/>
  <c r="AA50" i="26"/>
  <c r="AQ50" i="26"/>
  <c r="BH50" i="26"/>
  <c r="K54" i="26"/>
  <c r="AA54" i="26"/>
  <c r="AQ54" i="26"/>
  <c r="BH54" i="26"/>
  <c r="K58" i="26"/>
  <c r="AA58" i="26"/>
  <c r="AQ58" i="26"/>
  <c r="BH58" i="26"/>
  <c r="K62" i="26"/>
  <c r="AA62" i="26"/>
  <c r="AQ62" i="26"/>
  <c r="BH62" i="26"/>
  <c r="K74" i="26"/>
  <c r="AB74" i="26"/>
  <c r="AS74" i="26"/>
  <c r="BL74" i="26"/>
  <c r="AD78" i="26"/>
  <c r="L30" i="26"/>
  <c r="AB30" i="26"/>
  <c r="AR30" i="26"/>
  <c r="BI30" i="26"/>
  <c r="L34" i="26"/>
  <c r="AB34" i="26"/>
  <c r="AR34" i="26"/>
  <c r="BI34" i="26"/>
  <c r="L38" i="26"/>
  <c r="AB38" i="26"/>
  <c r="AR38" i="26"/>
  <c r="BI38" i="26"/>
  <c r="L42" i="26"/>
  <c r="AB42" i="26"/>
  <c r="AR42" i="26"/>
  <c r="BI42" i="26"/>
  <c r="L46" i="26"/>
  <c r="AB46" i="26"/>
  <c r="AR46" i="26"/>
  <c r="BI46" i="26"/>
  <c r="L50" i="26"/>
  <c r="AB50" i="26"/>
  <c r="AR50" i="26"/>
  <c r="BI50" i="26"/>
  <c r="L54" i="26"/>
  <c r="AB54" i="26"/>
  <c r="AR54" i="26"/>
  <c r="BI54" i="26"/>
  <c r="L58" i="26"/>
  <c r="AB58" i="26"/>
  <c r="AR58" i="26"/>
  <c r="BI58" i="26"/>
  <c r="L62" i="26"/>
  <c r="AB62" i="26"/>
  <c r="AR62" i="26"/>
  <c r="BI62" i="26"/>
  <c r="L74" i="26"/>
  <c r="AC74" i="26"/>
  <c r="AT74" i="26"/>
  <c r="BN74" i="26"/>
  <c r="AE78" i="26"/>
  <c r="M34" i="26"/>
  <c r="AC34" i="26"/>
  <c r="AS34" i="26"/>
  <c r="BJ34" i="26"/>
  <c r="M38" i="26"/>
  <c r="AC38" i="26"/>
  <c r="AS38" i="26"/>
  <c r="BJ38" i="26"/>
  <c r="M42" i="26"/>
  <c r="AC42" i="26"/>
  <c r="AS42" i="26"/>
  <c r="BJ42" i="26"/>
  <c r="M46" i="26"/>
  <c r="AC46" i="26"/>
  <c r="AS46" i="26"/>
  <c r="BJ46" i="26"/>
  <c r="M50" i="26"/>
  <c r="AC50" i="26"/>
  <c r="AS50" i="26"/>
  <c r="BJ50" i="26"/>
  <c r="M54" i="26"/>
  <c r="AC54" i="26"/>
  <c r="AS54" i="26"/>
  <c r="BJ54" i="26"/>
  <c r="M58" i="26"/>
  <c r="AC58" i="26"/>
  <c r="AS58" i="26"/>
  <c r="BJ58" i="26"/>
  <c r="M62" i="26"/>
  <c r="AC62" i="26"/>
  <c r="AS62" i="26"/>
  <c r="BJ62" i="26"/>
  <c r="M74" i="26"/>
  <c r="AD74" i="26"/>
  <c r="AU74" i="26"/>
  <c r="BO74" i="26"/>
  <c r="AK78" i="26"/>
  <c r="N30" i="26"/>
  <c r="AD30" i="26"/>
  <c r="AT30" i="26"/>
  <c r="BK30" i="26"/>
  <c r="N34" i="26"/>
  <c r="AD34" i="26"/>
  <c r="AT34" i="26"/>
  <c r="BK34" i="26"/>
  <c r="N38" i="26"/>
  <c r="AD38" i="26"/>
  <c r="AT38" i="26"/>
  <c r="BK38" i="26"/>
  <c r="N42" i="26"/>
  <c r="AD42" i="26"/>
  <c r="AT42" i="26"/>
  <c r="BK42" i="26"/>
  <c r="N46" i="26"/>
  <c r="AD46" i="26"/>
  <c r="AT46" i="26"/>
  <c r="BK46" i="26"/>
  <c r="N50" i="26"/>
  <c r="AD50" i="26"/>
  <c r="AT50" i="26"/>
  <c r="BK50" i="26"/>
  <c r="N54" i="26"/>
  <c r="AD54" i="26"/>
  <c r="AT54" i="26"/>
  <c r="BK54" i="26"/>
  <c r="N58" i="26"/>
  <c r="AD58" i="26"/>
  <c r="AT58" i="26"/>
  <c r="BK58" i="26"/>
  <c r="N62" i="26"/>
  <c r="AD62" i="26"/>
  <c r="AT62" i="26"/>
  <c r="BK62" i="26"/>
  <c r="N74" i="26"/>
  <c r="AE74" i="26"/>
  <c r="AW74" i="26"/>
  <c r="BP74" i="26"/>
  <c r="AP78" i="26"/>
  <c r="O30" i="26"/>
  <c r="AE30" i="26"/>
  <c r="AU30" i="26"/>
  <c r="BL30" i="26"/>
  <c r="O34" i="26"/>
  <c r="AE34" i="26"/>
  <c r="AU34" i="26"/>
  <c r="BL34" i="26"/>
  <c r="O38" i="26"/>
  <c r="AE38" i="26"/>
  <c r="AU38" i="26"/>
  <c r="BL38" i="26"/>
  <c r="O42" i="26"/>
  <c r="AE42" i="26"/>
  <c r="AU42" i="26"/>
  <c r="BL42" i="26"/>
  <c r="O46" i="26"/>
  <c r="AE46" i="26"/>
  <c r="AU46" i="26"/>
  <c r="BL46" i="26"/>
  <c r="O50" i="26"/>
  <c r="AE50" i="26"/>
  <c r="AU50" i="26"/>
  <c r="BL50" i="26"/>
  <c r="O54" i="26"/>
  <c r="AE54" i="26"/>
  <c r="AU54" i="26"/>
  <c r="BL54" i="26"/>
  <c r="O58" i="26"/>
  <c r="AE58" i="26"/>
  <c r="AU58" i="26"/>
  <c r="BL58" i="26"/>
  <c r="O62" i="26"/>
  <c r="AE62" i="26"/>
  <c r="AU62" i="26"/>
  <c r="BL62" i="26"/>
  <c r="O74" i="26"/>
  <c r="AG74" i="26"/>
  <c r="AX74" i="26"/>
  <c r="BQ74" i="26"/>
  <c r="AR78" i="26"/>
  <c r="BM2" i="26"/>
  <c r="AV2" i="26"/>
  <c r="AF2" i="26"/>
  <c r="P2" i="26"/>
  <c r="P10" i="26"/>
  <c r="AF10" i="26"/>
  <c r="AV10" i="26"/>
  <c r="BM10" i="26"/>
  <c r="P14" i="26"/>
  <c r="AF14" i="26"/>
  <c r="AV14" i="26"/>
  <c r="BM14" i="26"/>
  <c r="P18" i="26"/>
  <c r="AF18" i="26"/>
  <c r="AV18" i="26"/>
  <c r="BM18" i="26"/>
  <c r="P22" i="26"/>
  <c r="AF22" i="26"/>
  <c r="AV22" i="26"/>
  <c r="BM22" i="26"/>
  <c r="P26" i="26"/>
  <c r="AF26" i="26"/>
  <c r="AV26" i="26"/>
  <c r="BM26" i="26"/>
  <c r="P30" i="26"/>
  <c r="AF30" i="26"/>
  <c r="AV30" i="26"/>
  <c r="BM30" i="26"/>
  <c r="P34" i="26"/>
  <c r="AF34" i="26"/>
  <c r="AV34" i="26"/>
  <c r="BM34" i="26"/>
  <c r="P38" i="26"/>
  <c r="AF38" i="26"/>
  <c r="AV38" i="26"/>
  <c r="BM38" i="26"/>
  <c r="P42" i="26"/>
  <c r="AF42" i="26"/>
  <c r="AV42" i="26"/>
  <c r="BM42" i="26"/>
  <c r="P46" i="26"/>
  <c r="AF46" i="26"/>
  <c r="AV46" i="26"/>
  <c r="BM46" i="26"/>
  <c r="P50" i="26"/>
  <c r="AF50" i="26"/>
  <c r="AV50" i="26"/>
  <c r="BM50" i="26"/>
  <c r="P54" i="26"/>
  <c r="AF54" i="26"/>
  <c r="AV54" i="26"/>
  <c r="BM54" i="26"/>
  <c r="P58" i="26"/>
  <c r="AF58" i="26"/>
  <c r="AV58" i="26"/>
  <c r="BM58" i="26"/>
  <c r="P62" i="26"/>
  <c r="AF62" i="26"/>
  <c r="AV62" i="26"/>
  <c r="BM62" i="26"/>
  <c r="Q74" i="26"/>
  <c r="AH74" i="26"/>
  <c r="AY74" i="26"/>
  <c r="BR74" i="26"/>
  <c r="AS78" i="26"/>
  <c r="BP6" i="26"/>
  <c r="AY6" i="26"/>
  <c r="AI6" i="26"/>
  <c r="S6" i="26"/>
  <c r="BL2" i="26"/>
  <c r="AU2" i="26"/>
  <c r="AE2" i="26"/>
  <c r="O2" i="26"/>
  <c r="Q10" i="26"/>
  <c r="AG10" i="26"/>
  <c r="AW10" i="26"/>
  <c r="BN10" i="26"/>
  <c r="Q14" i="26"/>
  <c r="AG14" i="26"/>
  <c r="AW14" i="26"/>
  <c r="BN14" i="26"/>
  <c r="Q18" i="26"/>
  <c r="AG18" i="26"/>
  <c r="AW18" i="26"/>
  <c r="BN18" i="26"/>
  <c r="Q22" i="26"/>
  <c r="AG22" i="26"/>
  <c r="AW22" i="26"/>
  <c r="BN22" i="26"/>
  <c r="Q26" i="26"/>
  <c r="AG26" i="26"/>
  <c r="AW26" i="26"/>
  <c r="BN26" i="26"/>
  <c r="Q30" i="26"/>
  <c r="AG30" i="26"/>
  <c r="AW30" i="26"/>
  <c r="BN30" i="26"/>
  <c r="Q34" i="26"/>
  <c r="AG34" i="26"/>
  <c r="AW34" i="26"/>
  <c r="BN34" i="26"/>
  <c r="Q38" i="26"/>
  <c r="AG38" i="26"/>
  <c r="AW38" i="26"/>
  <c r="BN38" i="26"/>
  <c r="Q42" i="26"/>
  <c r="AG42" i="26"/>
  <c r="AW42" i="26"/>
  <c r="BN42" i="26"/>
  <c r="Q46" i="26"/>
  <c r="AG46" i="26"/>
  <c r="AW46" i="26"/>
  <c r="BN46" i="26"/>
  <c r="Q50" i="26"/>
  <c r="AG50" i="26"/>
  <c r="AW50" i="26"/>
  <c r="BN50" i="26"/>
  <c r="Q54" i="26"/>
  <c r="AG54" i="26"/>
  <c r="AW54" i="26"/>
  <c r="BN54" i="26"/>
  <c r="Q58" i="26"/>
  <c r="AG58" i="26"/>
  <c r="AW58" i="26"/>
  <c r="BN58" i="26"/>
  <c r="Q62" i="26"/>
  <c r="AG62" i="26"/>
  <c r="AW62" i="26"/>
  <c r="BN62" i="26"/>
  <c r="R74" i="26"/>
  <c r="AI74" i="26"/>
  <c r="AZ74" i="26"/>
  <c r="BS74" i="26"/>
  <c r="AT78" i="26"/>
  <c r="R14" i="26"/>
  <c r="AH14" i="26"/>
  <c r="AX14" i="26"/>
  <c r="BO14" i="26"/>
  <c r="R18" i="26"/>
  <c r="AH18" i="26"/>
  <c r="AX18" i="26"/>
  <c r="BO18" i="26"/>
  <c r="R22" i="26"/>
  <c r="AH22" i="26"/>
  <c r="AX22" i="26"/>
  <c r="BO22" i="26"/>
  <c r="R26" i="26"/>
  <c r="AH26" i="26"/>
  <c r="AX26" i="26"/>
  <c r="BO26" i="26"/>
  <c r="R30" i="26"/>
  <c r="AH30" i="26"/>
  <c r="AX30" i="26"/>
  <c r="BO30" i="26"/>
  <c r="R34" i="26"/>
  <c r="AH34" i="26"/>
  <c r="AX34" i="26"/>
  <c r="BO34" i="26"/>
  <c r="R38" i="26"/>
  <c r="AH38" i="26"/>
  <c r="AX38" i="26"/>
  <c r="BO38" i="26"/>
  <c r="R42" i="26"/>
  <c r="AH42" i="26"/>
  <c r="AX42" i="26"/>
  <c r="BO42" i="26"/>
  <c r="R46" i="26"/>
  <c r="AH46" i="26"/>
  <c r="AX46" i="26"/>
  <c r="BO46" i="26"/>
  <c r="R50" i="26"/>
  <c r="AH50" i="26"/>
  <c r="AX50" i="26"/>
  <c r="BO50" i="26"/>
  <c r="R54" i="26"/>
  <c r="AH54" i="26"/>
  <c r="AX54" i="26"/>
  <c r="BO54" i="26"/>
  <c r="R58" i="26"/>
  <c r="AH58" i="26"/>
  <c r="AX58" i="26"/>
  <c r="BO58" i="26"/>
  <c r="R62" i="26"/>
  <c r="AH62" i="26"/>
  <c r="AX62" i="26"/>
  <c r="BO62" i="26"/>
  <c r="S74" i="26"/>
  <c r="AJ74" i="26"/>
  <c r="BA74" i="26"/>
  <c r="J78" i="26"/>
  <c r="AU78" i="26"/>
  <c r="S18" i="26"/>
  <c r="AI18" i="26"/>
  <c r="AY18" i="26"/>
  <c r="BP18" i="26"/>
  <c r="S22" i="26"/>
  <c r="AI22" i="26"/>
  <c r="AY22" i="26"/>
  <c r="BP22" i="26"/>
  <c r="S26" i="26"/>
  <c r="AI26" i="26"/>
  <c r="AY26" i="26"/>
  <c r="BP26" i="26"/>
  <c r="S30" i="26"/>
  <c r="AI30" i="26"/>
  <c r="AY30" i="26"/>
  <c r="BP30" i="26"/>
  <c r="S34" i="26"/>
  <c r="AI34" i="26"/>
  <c r="AY34" i="26"/>
  <c r="BP34" i="26"/>
  <c r="S38" i="26"/>
  <c r="AI38" i="26"/>
  <c r="AY38" i="26"/>
  <c r="BP38" i="26"/>
  <c r="S42" i="26"/>
  <c r="AI42" i="26"/>
  <c r="AY42" i="26"/>
  <c r="BP42" i="26"/>
  <c r="S46" i="26"/>
  <c r="AI46" i="26"/>
  <c r="AY46" i="26"/>
  <c r="BP46" i="26"/>
  <c r="S50" i="26"/>
  <c r="AI50" i="26"/>
  <c r="AY50" i="26"/>
  <c r="BP50" i="26"/>
  <c r="S54" i="26"/>
  <c r="AI54" i="26"/>
  <c r="AY54" i="26"/>
  <c r="BP54" i="26"/>
  <c r="S58" i="26"/>
  <c r="AI58" i="26"/>
  <c r="AY58" i="26"/>
  <c r="BP58" i="26"/>
  <c r="S62" i="26"/>
  <c r="AI62" i="26"/>
  <c r="AY62" i="26"/>
  <c r="BP62" i="26"/>
  <c r="T74" i="26"/>
  <c r="AK74" i="26"/>
  <c r="BC74" i="26"/>
  <c r="L78" i="26"/>
  <c r="BA78" i="26"/>
  <c r="T18" i="26"/>
  <c r="AJ18" i="26"/>
  <c r="AZ18" i="26"/>
  <c r="BQ18" i="26"/>
  <c r="T22" i="26"/>
  <c r="AJ22" i="26"/>
  <c r="AZ22" i="26"/>
  <c r="BQ22" i="26"/>
  <c r="T26" i="26"/>
  <c r="AJ26" i="26"/>
  <c r="AZ26" i="26"/>
  <c r="BQ26" i="26"/>
  <c r="T30" i="26"/>
  <c r="AJ30" i="26"/>
  <c r="AZ30" i="26"/>
  <c r="BQ30" i="26"/>
  <c r="T34" i="26"/>
  <c r="AJ34" i="26"/>
  <c r="AZ34" i="26"/>
  <c r="BQ34" i="26"/>
  <c r="T38" i="26"/>
  <c r="AJ38" i="26"/>
  <c r="AZ38" i="26"/>
  <c r="BQ38" i="26"/>
  <c r="T42" i="26"/>
  <c r="AJ42" i="26"/>
  <c r="AZ42" i="26"/>
  <c r="BQ42" i="26"/>
  <c r="T46" i="26"/>
  <c r="AJ46" i="26"/>
  <c r="AZ46" i="26"/>
  <c r="BQ46" i="26"/>
  <c r="T50" i="26"/>
  <c r="AJ50" i="26"/>
  <c r="AZ50" i="26"/>
  <c r="BQ50" i="26"/>
  <c r="T54" i="26"/>
  <c r="AJ54" i="26"/>
  <c r="AZ54" i="26"/>
  <c r="BQ54" i="26"/>
  <c r="T58" i="26"/>
  <c r="AJ58" i="26"/>
  <c r="AZ58" i="26"/>
  <c r="BQ58" i="26"/>
  <c r="T62" i="26"/>
  <c r="AJ62" i="26"/>
  <c r="AZ62" i="26"/>
  <c r="BQ62" i="26"/>
  <c r="U74" i="26"/>
  <c r="AL74" i="26"/>
  <c r="BD74" i="26"/>
  <c r="M78" i="26"/>
  <c r="BG78" i="26"/>
  <c r="U18" i="26"/>
  <c r="AK18" i="26"/>
  <c r="BA18" i="26"/>
  <c r="BR18" i="26"/>
  <c r="U22" i="26"/>
  <c r="AK22" i="26"/>
  <c r="BA22" i="26"/>
  <c r="BR22" i="26"/>
  <c r="U26" i="26"/>
  <c r="AK26" i="26"/>
  <c r="BA26" i="26"/>
  <c r="BR26" i="26"/>
  <c r="U30" i="26"/>
  <c r="AK30" i="26"/>
  <c r="BA30" i="26"/>
  <c r="BR30" i="26"/>
  <c r="U34" i="26"/>
  <c r="AK34" i="26"/>
  <c r="BA34" i="26"/>
  <c r="BR34" i="26"/>
  <c r="U38" i="26"/>
  <c r="AK38" i="26"/>
  <c r="BA38" i="26"/>
  <c r="BR38" i="26"/>
  <c r="U42" i="26"/>
  <c r="AK42" i="26"/>
  <c r="BA42" i="26"/>
  <c r="BR42" i="26"/>
  <c r="U46" i="26"/>
  <c r="AK46" i="26"/>
  <c r="BA46" i="26"/>
  <c r="BR46" i="26"/>
  <c r="U50" i="26"/>
  <c r="AK50" i="26"/>
  <c r="BA50" i="26"/>
  <c r="BR50" i="26"/>
  <c r="U54" i="26"/>
  <c r="AK54" i="26"/>
  <c r="BA54" i="26"/>
  <c r="BR54" i="26"/>
  <c r="U58" i="26"/>
  <c r="AK58" i="26"/>
  <c r="BA58" i="26"/>
  <c r="BR58" i="26"/>
  <c r="U62" i="26"/>
  <c r="AK62" i="26"/>
  <c r="BA62" i="26"/>
  <c r="BR62" i="26"/>
  <c r="V74" i="26"/>
  <c r="AM74" i="26"/>
  <c r="BE74" i="26"/>
  <c r="N78" i="26"/>
  <c r="BO94" i="26"/>
  <c r="AX94" i="26"/>
  <c r="AH94" i="26"/>
  <c r="R94" i="26"/>
  <c r="BO90" i="26"/>
  <c r="AX90" i="26"/>
  <c r="AH90" i="26"/>
  <c r="R90" i="26"/>
  <c r="BO86" i="26"/>
  <c r="AX86" i="26"/>
  <c r="AH86" i="26"/>
  <c r="R86" i="26"/>
  <c r="BO82" i="26"/>
  <c r="AX82" i="26"/>
  <c r="AH82" i="26"/>
  <c r="R82" i="26"/>
  <c r="BO78" i="26"/>
  <c r="AX78" i="26"/>
  <c r="AH78" i="26"/>
  <c r="R78" i="26"/>
  <c r="BN94" i="26"/>
  <c r="AW94" i="26"/>
  <c r="AG94" i="26"/>
  <c r="Q94" i="26"/>
  <c r="BN90" i="26"/>
  <c r="AW90" i="26"/>
  <c r="AG90" i="26"/>
  <c r="Q90" i="26"/>
  <c r="BN86" i="26"/>
  <c r="AW86" i="26"/>
  <c r="AG86" i="26"/>
  <c r="Q86" i="26"/>
  <c r="BN82" i="26"/>
  <c r="AW82" i="26"/>
  <c r="AG82" i="26"/>
  <c r="Q82" i="26"/>
  <c r="BN78" i="26"/>
  <c r="AW78" i="26"/>
  <c r="AG78" i="26"/>
  <c r="Q78" i="26"/>
  <c r="BM94" i="26"/>
  <c r="AV94" i="26"/>
  <c r="AF94" i="26"/>
  <c r="P94" i="26"/>
  <c r="BM90" i="26"/>
  <c r="AV90" i="26"/>
  <c r="AF90" i="26"/>
  <c r="P90" i="26"/>
  <c r="BM86" i="26"/>
  <c r="AV86" i="26"/>
  <c r="AF86" i="26"/>
  <c r="P86" i="26"/>
  <c r="BM82" i="26"/>
  <c r="AV82" i="26"/>
  <c r="AF82" i="26"/>
  <c r="P82" i="26"/>
  <c r="BM78" i="26"/>
  <c r="AV78" i="26"/>
  <c r="AF78" i="26"/>
  <c r="P78" i="26"/>
  <c r="BM74" i="26"/>
  <c r="AV74" i="26"/>
  <c r="AF74" i="26"/>
  <c r="P74" i="26"/>
  <c r="BL94" i="26"/>
  <c r="AU94" i="26"/>
  <c r="AE94" i="26"/>
  <c r="O94" i="26"/>
  <c r="BL90" i="26"/>
  <c r="AU90" i="26"/>
  <c r="AE90" i="26"/>
  <c r="O90" i="26"/>
  <c r="BL86" i="26"/>
  <c r="AU86" i="26"/>
  <c r="AE86" i="26"/>
  <c r="O86" i="26"/>
  <c r="BL82" i="26"/>
  <c r="AU82" i="26"/>
  <c r="AE82" i="26"/>
  <c r="O82" i="26"/>
  <c r="BK94" i="26"/>
  <c r="AT94" i="26"/>
  <c r="AD94" i="26"/>
  <c r="N94" i="26"/>
  <c r="BK90" i="26"/>
  <c r="AT90" i="26"/>
  <c r="AD90" i="26"/>
  <c r="N90" i="26"/>
  <c r="BK86" i="26"/>
  <c r="AT86" i="26"/>
  <c r="AD86" i="26"/>
  <c r="N86" i="26"/>
  <c r="BK82" i="26"/>
  <c r="AT82" i="26"/>
  <c r="AD82" i="26"/>
  <c r="N82" i="26"/>
  <c r="BJ94" i="26"/>
  <c r="AS94" i="26"/>
  <c r="AC94" i="26"/>
  <c r="M94" i="26"/>
  <c r="BJ90" i="26"/>
  <c r="AS90" i="26"/>
  <c r="AC90" i="26"/>
  <c r="M90" i="26"/>
  <c r="BJ86" i="26"/>
  <c r="AS86" i="26"/>
  <c r="AC86" i="26"/>
  <c r="M86" i="26"/>
  <c r="BJ82" i="26"/>
  <c r="AS82" i="26"/>
  <c r="AC82" i="26"/>
  <c r="M82" i="26"/>
  <c r="BI94" i="26"/>
  <c r="AR94" i="26"/>
  <c r="AB94" i="26"/>
  <c r="L94" i="26"/>
  <c r="BI90" i="26"/>
  <c r="AR90" i="26"/>
  <c r="AB90" i="26"/>
  <c r="L90" i="26"/>
  <c r="BI86" i="26"/>
  <c r="AR86" i="26"/>
  <c r="AB86" i="26"/>
  <c r="L86" i="26"/>
  <c r="BH94" i="26"/>
  <c r="AQ94" i="26"/>
  <c r="AA94" i="26"/>
  <c r="K94" i="26"/>
  <c r="BH90" i="26"/>
  <c r="AQ90" i="26"/>
  <c r="AA90" i="26"/>
  <c r="K90" i="26"/>
  <c r="BH86" i="26"/>
  <c r="AQ86" i="26"/>
  <c r="AA86" i="26"/>
  <c r="K86" i="26"/>
  <c r="BH82" i="26"/>
  <c r="AQ82" i="26"/>
  <c r="AA82" i="26"/>
  <c r="K82" i="26"/>
  <c r="BH78" i="26"/>
  <c r="AQ78" i="26"/>
  <c r="AA78" i="26"/>
  <c r="K78" i="26"/>
  <c r="BH74" i="26"/>
  <c r="BG94" i="26"/>
  <c r="AP94" i="26"/>
  <c r="Z94" i="26"/>
  <c r="J94" i="26"/>
  <c r="BG90" i="26"/>
  <c r="AP90" i="26"/>
  <c r="Z90" i="26"/>
  <c r="J90" i="26"/>
  <c r="BG86" i="26"/>
  <c r="AP86" i="26"/>
  <c r="Z86" i="26"/>
  <c r="J86" i="26"/>
  <c r="BG82" i="26"/>
  <c r="AP82" i="26"/>
  <c r="Z82" i="26"/>
  <c r="J82" i="26"/>
  <c r="BF94" i="26"/>
  <c r="AO94" i="26"/>
  <c r="Y94" i="26"/>
  <c r="I94" i="26"/>
  <c r="BF90" i="26"/>
  <c r="AO90" i="26"/>
  <c r="Y90" i="26"/>
  <c r="I90" i="26"/>
  <c r="BF86" i="26"/>
  <c r="AO86" i="26"/>
  <c r="Y86" i="26"/>
  <c r="I86" i="26"/>
  <c r="BF82" i="26"/>
  <c r="AO82" i="26"/>
  <c r="Y82" i="26"/>
  <c r="I82" i="26"/>
  <c r="BF78" i="26"/>
  <c r="AO78" i="26"/>
  <c r="Y78" i="26"/>
  <c r="I78" i="26"/>
  <c r="BE94" i="26"/>
  <c r="AN94" i="26"/>
  <c r="X94" i="26"/>
  <c r="H94" i="26"/>
  <c r="BE90" i="26"/>
  <c r="AN90" i="26"/>
  <c r="X90" i="26"/>
  <c r="H90" i="26"/>
  <c r="BE86" i="26"/>
  <c r="AN86" i="26"/>
  <c r="X86" i="26"/>
  <c r="H86" i="26"/>
  <c r="BE82" i="26"/>
  <c r="AN82" i="26"/>
  <c r="X82" i="26"/>
  <c r="H82" i="26"/>
  <c r="BE78" i="26"/>
  <c r="AN78" i="26"/>
  <c r="X78" i="26"/>
  <c r="H78" i="26"/>
  <c r="BD94" i="26"/>
  <c r="AM94" i="26"/>
  <c r="W94" i="26"/>
  <c r="BD90" i="26"/>
  <c r="AM90" i="26"/>
  <c r="W90" i="26"/>
  <c r="BD86" i="26"/>
  <c r="AM86" i="26"/>
  <c r="W86" i="26"/>
  <c r="BD82" i="26"/>
  <c r="AM82" i="26"/>
  <c r="W82" i="26"/>
  <c r="BD78" i="26"/>
  <c r="AM78" i="26"/>
  <c r="W78" i="26"/>
  <c r="BS94" i="26"/>
  <c r="BC94" i="26"/>
  <c r="AL94" i="26"/>
  <c r="V94" i="26"/>
  <c r="BS90" i="26"/>
  <c r="BC90" i="26"/>
  <c r="AL90" i="26"/>
  <c r="V90" i="26"/>
  <c r="BS86" i="26"/>
  <c r="BC86" i="26"/>
  <c r="AL86" i="26"/>
  <c r="V86" i="26"/>
  <c r="BS82" i="26"/>
  <c r="BC82" i="26"/>
  <c r="AL82" i="26"/>
  <c r="V82" i="26"/>
  <c r="BS78" i="26"/>
  <c r="BC78" i="26"/>
  <c r="AL78" i="26"/>
  <c r="V78" i="26"/>
  <c r="BR94" i="26"/>
  <c r="BA94" i="26"/>
  <c r="AK94" i="26"/>
  <c r="U94" i="26"/>
  <c r="BR90" i="26"/>
  <c r="BA90" i="26"/>
  <c r="AK90" i="26"/>
  <c r="U90" i="26"/>
  <c r="BR86" i="26"/>
  <c r="BA86" i="26"/>
  <c r="AK86" i="26"/>
  <c r="U86" i="26"/>
  <c r="BR82" i="26"/>
  <c r="BA82" i="26"/>
  <c r="AK82" i="26"/>
  <c r="U82" i="26"/>
  <c r="BQ94" i="26"/>
  <c r="AZ94" i="26"/>
  <c r="AJ94" i="26"/>
  <c r="T94" i="26"/>
  <c r="BQ90" i="26"/>
  <c r="AZ90" i="26"/>
  <c r="AJ90" i="26"/>
  <c r="T90" i="26"/>
  <c r="BQ86" i="26"/>
  <c r="AZ86" i="26"/>
  <c r="AJ86" i="26"/>
  <c r="T86" i="26"/>
  <c r="BQ82" i="26"/>
  <c r="AZ82" i="26"/>
  <c r="AJ82" i="26"/>
  <c r="T82" i="26"/>
  <c r="BQ78" i="26"/>
  <c r="AZ78" i="26"/>
  <c r="AJ78" i="26"/>
  <c r="T78" i="26"/>
  <c r="BP94" i="26"/>
  <c r="AY94" i="26"/>
  <c r="AI94" i="26"/>
  <c r="S94" i="26"/>
  <c r="BP90" i="26"/>
  <c r="AY90" i="26"/>
  <c r="AI90" i="26"/>
  <c r="S90" i="26"/>
  <c r="BP86" i="26"/>
  <c r="AY86" i="26"/>
  <c r="AI86" i="26"/>
  <c r="S86" i="26"/>
  <c r="BP82" i="26"/>
  <c r="AY82" i="26"/>
  <c r="AI82" i="26"/>
  <c r="S82" i="26"/>
  <c r="BP78" i="26"/>
  <c r="AY78" i="26"/>
  <c r="AI78" i="26"/>
  <c r="S78" i="26"/>
  <c r="F11" i="27"/>
  <c r="I11" i="27"/>
  <c r="O11" i="27"/>
  <c r="F10" i="27"/>
  <c r="I10" i="27"/>
  <c r="K10" i="27"/>
  <c r="M10" i="27"/>
  <c r="O10" i="27"/>
  <c r="E9" i="27"/>
  <c r="F9" i="27"/>
  <c r="G9" i="27"/>
  <c r="H9" i="27"/>
  <c r="I9" i="27"/>
  <c r="M9" i="27"/>
  <c r="O9" i="27"/>
  <c r="P42" i="27"/>
  <c r="P41" i="27"/>
  <c r="P8" i="27"/>
  <c r="D4" i="27"/>
  <c r="D3" i="27"/>
  <c r="D2" i="27"/>
  <c r="BS1" i="26"/>
  <c r="BR1" i="26"/>
  <c r="BQ1" i="26"/>
  <c r="BP1" i="26"/>
  <c r="BO1" i="26"/>
  <c r="BN1" i="26"/>
  <c r="BM1" i="26"/>
  <c r="BL1" i="26"/>
  <c r="BK1" i="26"/>
  <c r="BJ1" i="26"/>
  <c r="BI1" i="26"/>
  <c r="BH1" i="26"/>
  <c r="BG1" i="26"/>
  <c r="BF1" i="26"/>
  <c r="BE1" i="26"/>
  <c r="BD1" i="26"/>
  <c r="BC1" i="26"/>
  <c r="BA1" i="26"/>
  <c r="AZ1" i="26"/>
  <c r="AY1" i="26"/>
  <c r="AX1" i="26"/>
  <c r="AW1" i="26"/>
  <c r="AV1" i="26"/>
  <c r="AU1" i="26"/>
  <c r="AT1" i="26"/>
  <c r="AS1" i="26"/>
  <c r="AR1" i="26"/>
  <c r="AQ1" i="26"/>
  <c r="AP1" i="26"/>
  <c r="AO1" i="26"/>
  <c r="AN1" i="26"/>
  <c r="AM1" i="26"/>
  <c r="AL1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G1" i="26"/>
  <c r="F1" i="26"/>
  <c r="H11" i="27" l="1"/>
  <c r="H12" i="27" s="1"/>
  <c r="J9" i="27"/>
  <c r="L10" i="27"/>
  <c r="L12" i="27" s="1"/>
  <c r="J10" i="27"/>
  <c r="J12" i="27" s="1"/>
  <c r="G10" i="27"/>
  <c r="G12" i="27" s="1"/>
  <c r="E10" i="27"/>
  <c r="E12" i="27" s="1"/>
  <c r="K9" i="27"/>
  <c r="L9" i="27"/>
  <c r="L89" i="27"/>
  <c r="D11" i="27"/>
  <c r="N11" i="27"/>
  <c r="N10" i="27"/>
  <c r="D10" i="27"/>
  <c r="D144" i="27"/>
  <c r="K22" i="27"/>
  <c r="K24" i="27" s="1"/>
  <c r="J26" i="27"/>
  <c r="J35" i="27" s="1"/>
  <c r="L181" i="27"/>
  <c r="L20" i="27"/>
  <c r="M150" i="27"/>
  <c r="K20" i="27"/>
  <c r="I20" i="27"/>
  <c r="N181" i="27"/>
  <c r="H333" i="27"/>
  <c r="H271" i="27"/>
  <c r="K240" i="27"/>
  <c r="J394" i="27"/>
  <c r="J396" i="27" s="1"/>
  <c r="F393" i="27"/>
  <c r="E271" i="27"/>
  <c r="O332" i="27"/>
  <c r="O334" i="27" s="1"/>
  <c r="O363" i="27"/>
  <c r="O365" i="27" s="1"/>
  <c r="O362" i="27"/>
  <c r="K209" i="27"/>
  <c r="K57" i="27"/>
  <c r="K66" i="27" s="1"/>
  <c r="I57" i="27"/>
  <c r="I66" i="27" s="1"/>
  <c r="G57" i="27"/>
  <c r="G66" i="27" s="1"/>
  <c r="L113" i="27"/>
  <c r="I82" i="27"/>
  <c r="N487" i="27"/>
  <c r="N489" i="27" s="1"/>
  <c r="K331" i="27"/>
  <c r="H237" i="27"/>
  <c r="M307" i="27"/>
  <c r="M309" i="27" s="1"/>
  <c r="M313" i="27" s="1"/>
  <c r="M323" i="27" s="1"/>
  <c r="K424" i="27"/>
  <c r="G213" i="27"/>
  <c r="N393" i="27"/>
  <c r="J151" i="27"/>
  <c r="G270" i="27"/>
  <c r="G272" i="27" s="1"/>
  <c r="N486" i="27"/>
  <c r="J182" i="27"/>
  <c r="F463" i="27"/>
  <c r="M400" i="27"/>
  <c r="M402" i="27" s="1"/>
  <c r="M406" i="27" s="1"/>
  <c r="M416" i="27" s="1"/>
  <c r="J332" i="27"/>
  <c r="J334" i="27" s="1"/>
  <c r="F271" i="27"/>
  <c r="L184" i="27"/>
  <c r="I308" i="27"/>
  <c r="H22" i="27"/>
  <c r="H24" i="27" s="1"/>
  <c r="D27" i="27"/>
  <c r="F22" i="27"/>
  <c r="F24" i="27" s="1"/>
  <c r="E21" i="27"/>
  <c r="N27" i="27"/>
  <c r="M23" i="27"/>
  <c r="D23" i="27"/>
  <c r="K23" i="27"/>
  <c r="J22" i="27"/>
  <c r="J24" i="27" s="1"/>
  <c r="N28" i="27"/>
  <c r="N30" i="27" s="1"/>
  <c r="N34" i="27" s="1"/>
  <c r="N44" i="27" s="1"/>
  <c r="M27" i="27"/>
  <c r="G22" i="27"/>
  <c r="G24" i="27" s="1"/>
  <c r="K27" i="27"/>
  <c r="O23" i="27"/>
  <c r="N29" i="27"/>
  <c r="M28" i="27"/>
  <c r="M30" i="27" s="1"/>
  <c r="M34" i="27" s="1"/>
  <c r="M44" i="27" s="1"/>
  <c r="L23" i="27"/>
  <c r="K28" i="27"/>
  <c r="K30" i="27" s="1"/>
  <c r="K34" i="27" s="1"/>
  <c r="K44" i="27" s="1"/>
  <c r="O27" i="27"/>
  <c r="I21" i="27"/>
  <c r="M29" i="27"/>
  <c r="L27" i="27"/>
  <c r="K29" i="27"/>
  <c r="O28" i="27"/>
  <c r="O30" i="27" s="1"/>
  <c r="O34" i="27" s="1"/>
  <c r="O44" i="27" s="1"/>
  <c r="N22" i="27"/>
  <c r="N24" i="27" s="1"/>
  <c r="O424" i="27"/>
  <c r="L28" i="27"/>
  <c r="L30" i="27" s="1"/>
  <c r="F21" i="27"/>
  <c r="O29" i="27"/>
  <c r="O399" i="27"/>
  <c r="H21" i="27"/>
  <c r="L29" i="27"/>
  <c r="E22" i="27"/>
  <c r="E24" i="27" s="1"/>
  <c r="M22" i="27"/>
  <c r="M24" i="27" s="1"/>
  <c r="D22" i="27"/>
  <c r="D24" i="27" s="1"/>
  <c r="E23" i="27"/>
  <c r="J21" i="27"/>
  <c r="H23" i="27"/>
  <c r="G23" i="27"/>
  <c r="G21" i="27"/>
  <c r="E27" i="27"/>
  <c r="O22" i="27"/>
  <c r="O24" i="27" s="1"/>
  <c r="H27" i="27"/>
  <c r="D184" i="27"/>
  <c r="D399" i="27"/>
  <c r="D212" i="27"/>
  <c r="D221" i="27" s="1"/>
  <c r="D177" i="27"/>
  <c r="D179" i="27" s="1"/>
  <c r="D331" i="27"/>
  <c r="D485" i="27"/>
  <c r="E176" i="27"/>
  <c r="E426" i="27"/>
  <c r="E212" i="27"/>
  <c r="E221" i="27" s="1"/>
  <c r="E431" i="27"/>
  <c r="E433" i="27" s="1"/>
  <c r="E437" i="27" s="1"/>
  <c r="E447" i="27" s="1"/>
  <c r="E308" i="27"/>
  <c r="F362" i="27"/>
  <c r="F239" i="27"/>
  <c r="F241" i="27" s="1"/>
  <c r="F492" i="27"/>
  <c r="F369" i="27"/>
  <c r="F371" i="27" s="1"/>
  <c r="F375" i="27" s="1"/>
  <c r="F385" i="27" s="1"/>
  <c r="F246" i="27"/>
  <c r="G487" i="27"/>
  <c r="G489" i="27" s="1"/>
  <c r="G333" i="27"/>
  <c r="G275" i="27"/>
  <c r="G152" i="27"/>
  <c r="G154" i="27" s="1"/>
  <c r="G158" i="27" s="1"/>
  <c r="G168" i="27" s="1"/>
  <c r="H206" i="27"/>
  <c r="H456" i="27"/>
  <c r="H458" i="27" s="1"/>
  <c r="H147" i="27"/>
  <c r="H492" i="27"/>
  <c r="H152" i="27"/>
  <c r="H154" i="27" s="1"/>
  <c r="H158" i="27" s="1"/>
  <c r="H168" i="27" s="1"/>
  <c r="I424" i="27"/>
  <c r="I301" i="27"/>
  <c r="I303" i="27" s="1"/>
  <c r="I178" i="27"/>
  <c r="I462" i="27"/>
  <c r="I464" i="27" s="1"/>
  <c r="I468" i="27" s="1"/>
  <c r="I478" i="27" s="1"/>
  <c r="I339" i="27"/>
  <c r="J424" i="27"/>
  <c r="J301" i="27"/>
  <c r="J303" i="27" s="1"/>
  <c r="J178" i="27"/>
  <c r="J431" i="27"/>
  <c r="J433" i="27" s="1"/>
  <c r="J437" i="27" s="1"/>
  <c r="J308" i="27"/>
  <c r="K176" i="27"/>
  <c r="K426" i="27"/>
  <c r="K337" i="27"/>
  <c r="K214" i="27"/>
  <c r="K216" i="27" s="1"/>
  <c r="K220" i="27" s="1"/>
  <c r="K230" i="27" s="1"/>
  <c r="L423" i="27"/>
  <c r="L456" i="27"/>
  <c r="L458" i="27" s="1"/>
  <c r="L364" i="27"/>
  <c r="L275" i="27"/>
  <c r="L494" i="27"/>
  <c r="M361" i="27"/>
  <c r="M425" i="27"/>
  <c r="M427" i="27" s="1"/>
  <c r="M424" i="27"/>
  <c r="M306" i="27"/>
  <c r="N176" i="27"/>
  <c r="O275" i="27"/>
  <c r="N146" i="27"/>
  <c r="N148" i="27" s="1"/>
  <c r="O394" i="27"/>
  <c r="O396" i="27" s="1"/>
  <c r="O276" i="27"/>
  <c r="O278" i="27" s="1"/>
  <c r="O282" i="27" s="1"/>
  <c r="O292" i="27" s="1"/>
  <c r="M488" i="27"/>
  <c r="M370" i="27"/>
  <c r="N240" i="27"/>
  <c r="O488" i="27"/>
  <c r="O370" i="27"/>
  <c r="G27" i="27"/>
  <c r="L22" i="27"/>
  <c r="L24" i="27" s="1"/>
  <c r="E28" i="27"/>
  <c r="I23" i="27"/>
  <c r="H28" i="27"/>
  <c r="H30" i="27" s="1"/>
  <c r="H34" i="27" s="1"/>
  <c r="H44" i="27" s="1"/>
  <c r="G28" i="27"/>
  <c r="G30" i="27" s="1"/>
  <c r="G34" i="27" s="1"/>
  <c r="M462" i="27"/>
  <c r="M464" i="27" s="1"/>
  <c r="M468" i="27" s="1"/>
  <c r="M478" i="27" s="1"/>
  <c r="E29" i="27"/>
  <c r="I27" i="27"/>
  <c r="H29" i="27"/>
  <c r="G29" i="27"/>
  <c r="F23" i="27"/>
  <c r="K21" i="27"/>
  <c r="I28" i="27"/>
  <c r="N21" i="27"/>
  <c r="D462" i="27"/>
  <c r="D464" i="27" s="1"/>
  <c r="D468" i="27" s="1"/>
  <c r="D306" i="27"/>
  <c r="D488" i="27"/>
  <c r="D487" i="27"/>
  <c r="D489" i="27" s="1"/>
  <c r="D238" i="27"/>
  <c r="E454" i="27"/>
  <c r="E456" i="27"/>
  <c r="E458" i="27" s="1"/>
  <c r="E333" i="27"/>
  <c r="E461" i="27"/>
  <c r="E338" i="27"/>
  <c r="E340" i="27" s="1"/>
  <c r="E344" i="27" s="1"/>
  <c r="E354" i="27" s="1"/>
  <c r="E215" i="27"/>
  <c r="F269" i="27"/>
  <c r="F146" i="27"/>
  <c r="F148" i="27" s="1"/>
  <c r="F399" i="27"/>
  <c r="F276" i="27"/>
  <c r="F278" i="27" s="1"/>
  <c r="F282" i="27" s="1"/>
  <c r="F292" i="27" s="1"/>
  <c r="F153" i="27"/>
  <c r="G394" i="27"/>
  <c r="G396" i="27" s="1"/>
  <c r="G147" i="27"/>
  <c r="G182" i="27"/>
  <c r="G277" i="27"/>
  <c r="H362" i="27"/>
  <c r="H363" i="27"/>
  <c r="H365" i="27" s="1"/>
  <c r="H457" i="27"/>
  <c r="H306" i="27"/>
  <c r="H277" i="27"/>
  <c r="I207" i="27"/>
  <c r="I208" i="27"/>
  <c r="I210" i="27" s="1"/>
  <c r="I368" i="27"/>
  <c r="I369" i="27"/>
  <c r="I371" i="27" s="1"/>
  <c r="I375" i="27" s="1"/>
  <c r="I385" i="27" s="1"/>
  <c r="I246" i="27"/>
  <c r="J331" i="27"/>
  <c r="J208" i="27"/>
  <c r="J210" i="27" s="1"/>
  <c r="J461" i="27"/>
  <c r="J338" i="27"/>
  <c r="J340" i="27" s="1"/>
  <c r="J344" i="27" s="1"/>
  <c r="J354" i="27" s="1"/>
  <c r="J215" i="27"/>
  <c r="K456" i="27"/>
  <c r="K458" i="27" s="1"/>
  <c r="K333" i="27"/>
  <c r="K244" i="27"/>
  <c r="K494" i="27"/>
  <c r="L330" i="27"/>
  <c r="L239" i="27"/>
  <c r="L241" i="27" s="1"/>
  <c r="L271" i="27"/>
  <c r="L368" i="27"/>
  <c r="L401" i="27"/>
  <c r="M268" i="27"/>
  <c r="M183" i="27"/>
  <c r="M185" i="27" s="1"/>
  <c r="M189" i="27" s="1"/>
  <c r="M199" i="27" s="1"/>
  <c r="M331" i="27"/>
  <c r="M213" i="27"/>
  <c r="N461" i="27"/>
  <c r="O244" i="27"/>
  <c r="N431" i="27"/>
  <c r="N433" i="27" s="1"/>
  <c r="N437" i="27" s="1"/>
  <c r="N447" i="27" s="1"/>
  <c r="O301" i="27"/>
  <c r="O303" i="27" s="1"/>
  <c r="O183" i="27"/>
  <c r="O185" i="27" s="1"/>
  <c r="O189" i="27" s="1"/>
  <c r="O199" i="27" s="1"/>
  <c r="M395" i="27"/>
  <c r="M277" i="27"/>
  <c r="N147" i="27"/>
  <c r="O395" i="27"/>
  <c r="O277" i="27"/>
  <c r="M21" i="27"/>
  <c r="F27" i="27"/>
  <c r="J23" i="27"/>
  <c r="I29" i="27"/>
  <c r="D21" i="27"/>
  <c r="F28" i="27"/>
  <c r="F30" i="27" s="1"/>
  <c r="F34" i="27" s="1"/>
  <c r="F44" i="27" s="1"/>
  <c r="J27" i="27"/>
  <c r="O21" i="27"/>
  <c r="D29" i="27"/>
  <c r="F29" i="27"/>
  <c r="J28" i="27"/>
  <c r="J30" i="27" s="1"/>
  <c r="I22" i="27"/>
  <c r="I24" i="27" s="1"/>
  <c r="D28" i="27"/>
  <c r="L21" i="27"/>
  <c r="J29" i="27"/>
  <c r="N23" i="27"/>
  <c r="D493" i="27"/>
  <c r="D495" i="27" s="1"/>
  <c r="D499" i="27" s="1"/>
  <c r="D509" i="27" s="1"/>
  <c r="D182" i="27"/>
  <c r="D395" i="27"/>
  <c r="D486" i="27"/>
  <c r="D175" i="27"/>
  <c r="E207" i="27"/>
  <c r="E364" i="27"/>
  <c r="E399" i="27"/>
  <c r="E214" i="27"/>
  <c r="E216" i="27" s="1"/>
  <c r="E220" i="27" s="1"/>
  <c r="E230" i="27" s="1"/>
  <c r="F206" i="27"/>
  <c r="F394" i="27"/>
  <c r="F396" i="27" s="1"/>
  <c r="F209" i="27"/>
  <c r="F400" i="27"/>
  <c r="F402" i="27" s="1"/>
  <c r="F406" i="27" s="1"/>
  <c r="F416" i="27" s="1"/>
  <c r="F184" i="27"/>
  <c r="G332" i="27"/>
  <c r="G334" i="27" s="1"/>
  <c r="G209" i="27"/>
  <c r="G369" i="27"/>
  <c r="G371" i="27" s="1"/>
  <c r="G375" i="27" s="1"/>
  <c r="G385" i="27" s="1"/>
  <c r="G463" i="27"/>
  <c r="H300" i="27"/>
  <c r="H395" i="27"/>
  <c r="H275" i="27"/>
  <c r="H339" i="27"/>
  <c r="I300" i="27"/>
  <c r="I395" i="27"/>
  <c r="I244" i="27"/>
  <c r="I432" i="27"/>
  <c r="J455" i="27"/>
  <c r="J239" i="27"/>
  <c r="J241" i="27" s="1"/>
  <c r="J399" i="27"/>
  <c r="J214" i="27"/>
  <c r="J216" i="27" s="1"/>
  <c r="J220" i="27" s="1"/>
  <c r="J230" i="27" s="1"/>
  <c r="K393" i="27"/>
  <c r="K208" i="27"/>
  <c r="K210" i="27" s="1"/>
  <c r="K430" i="27"/>
  <c r="K245" i="27"/>
  <c r="K247" i="27" s="1"/>
  <c r="K251" i="27" s="1"/>
  <c r="K261" i="27" s="1"/>
  <c r="L299" i="27"/>
  <c r="L301" i="27"/>
  <c r="L303" i="27" s="1"/>
  <c r="L147" i="27"/>
  <c r="L245" i="27"/>
  <c r="L247" i="27" s="1"/>
  <c r="L251" i="27" s="1"/>
  <c r="L261" i="27" s="1"/>
  <c r="L153" i="27"/>
  <c r="M363" i="27"/>
  <c r="M365" i="27" s="1"/>
  <c r="M455" i="27"/>
  <c r="M244" i="27"/>
  <c r="N399" i="27"/>
  <c r="N425" i="27"/>
  <c r="N427" i="27" s="1"/>
  <c r="N245" i="27"/>
  <c r="N247" i="27" s="1"/>
  <c r="N251" i="27" s="1"/>
  <c r="N261" i="27" s="1"/>
  <c r="O431" i="27"/>
  <c r="O433" i="27" s="1"/>
  <c r="O437" i="27" s="1"/>
  <c r="O447" i="27" s="1"/>
  <c r="M493" i="27"/>
  <c r="M495" i="27" s="1"/>
  <c r="M499" i="27" s="1"/>
  <c r="M509" i="27" s="1"/>
  <c r="M401" i="27"/>
  <c r="N178" i="27"/>
  <c r="O333" i="27"/>
  <c r="O153" i="27"/>
  <c r="D245" i="27"/>
  <c r="D247" i="27" s="1"/>
  <c r="D251" i="27" s="1"/>
  <c r="D261" i="27" s="1"/>
  <c r="D151" i="27"/>
  <c r="D147" i="27"/>
  <c r="D455" i="27"/>
  <c r="D454" i="27"/>
  <c r="E145" i="27"/>
  <c r="E302" i="27"/>
  <c r="E368" i="27"/>
  <c r="E183" i="27"/>
  <c r="E185" i="27" s="1"/>
  <c r="E189" i="27" s="1"/>
  <c r="E199" i="27" s="1"/>
  <c r="F175" i="27"/>
  <c r="F363" i="27"/>
  <c r="F365" i="27" s="1"/>
  <c r="F178" i="27"/>
  <c r="F338" i="27"/>
  <c r="F340" i="27" s="1"/>
  <c r="F344" i="27" s="1"/>
  <c r="F354" i="27" s="1"/>
  <c r="G486" i="27"/>
  <c r="G301" i="27"/>
  <c r="G303" i="27" s="1"/>
  <c r="G150" i="27"/>
  <c r="G159" i="27" s="1"/>
  <c r="G338" i="27"/>
  <c r="G340" i="27" s="1"/>
  <c r="G344" i="27" s="1"/>
  <c r="G354" i="27" s="1"/>
  <c r="G215" i="27"/>
  <c r="H331" i="27"/>
  <c r="H426" i="27"/>
  <c r="H337" i="27"/>
  <c r="H370" i="27"/>
  <c r="I331" i="27"/>
  <c r="I364" i="27"/>
  <c r="I275" i="27"/>
  <c r="I401" i="27"/>
  <c r="J393" i="27"/>
  <c r="J177" i="27"/>
  <c r="J179" i="27" s="1"/>
  <c r="J368" i="27"/>
  <c r="J183" i="27"/>
  <c r="J185" i="27" s="1"/>
  <c r="J189" i="27" s="1"/>
  <c r="J199" i="27" s="1"/>
  <c r="K362" i="27"/>
  <c r="K177" i="27"/>
  <c r="K179" i="27" s="1"/>
  <c r="K399" i="27"/>
  <c r="K183" i="27"/>
  <c r="K185" i="27" s="1"/>
  <c r="K189" i="27" s="1"/>
  <c r="K199" i="27" s="1"/>
  <c r="L393" i="27"/>
  <c r="L332" i="27"/>
  <c r="L334" i="27" s="1"/>
  <c r="L399" i="27"/>
  <c r="L276" i="27"/>
  <c r="L278" i="27" s="1"/>
  <c r="L282" i="27" s="1"/>
  <c r="L292" i="27" s="1"/>
  <c r="M485" i="27"/>
  <c r="M394" i="27"/>
  <c r="M396" i="27" s="1"/>
  <c r="M393" i="27"/>
  <c r="M182" i="27"/>
  <c r="N368" i="27"/>
  <c r="N394" i="27"/>
  <c r="N396" i="27" s="1"/>
  <c r="N214" i="27"/>
  <c r="N216" i="27" s="1"/>
  <c r="O400" i="27"/>
  <c r="O402" i="27" s="1"/>
  <c r="O406" i="27" s="1"/>
  <c r="O416" i="27" s="1"/>
  <c r="O182" i="27"/>
  <c r="M339" i="27"/>
  <c r="N494" i="27"/>
  <c r="O302" i="27"/>
  <c r="O176" i="27"/>
  <c r="D494" i="27"/>
  <c r="D338" i="27"/>
  <c r="D340" i="27" s="1"/>
  <c r="D344" i="27" s="1"/>
  <c r="D354" i="27" s="1"/>
  <c r="D336" i="27"/>
  <c r="D345" i="27" s="1"/>
  <c r="D457" i="27"/>
  <c r="D362" i="27"/>
  <c r="D268" i="27"/>
  <c r="E394" i="27"/>
  <c r="E396" i="27" s="1"/>
  <c r="E209" i="27"/>
  <c r="E275" i="27"/>
  <c r="E463" i="27"/>
  <c r="F455" i="27"/>
  <c r="F270" i="27"/>
  <c r="F272" i="27" s="1"/>
  <c r="F430" i="27"/>
  <c r="F214" i="27"/>
  <c r="F216" i="27" s="1"/>
  <c r="F220" i="27" s="1"/>
  <c r="F230" i="27" s="1"/>
  <c r="G393" i="27"/>
  <c r="G208" i="27"/>
  <c r="G210" i="27" s="1"/>
  <c r="G430" i="27"/>
  <c r="G245" i="27"/>
  <c r="G247" i="27" s="1"/>
  <c r="G251" i="27" s="1"/>
  <c r="G261" i="27" s="1"/>
  <c r="H454" i="27"/>
  <c r="H394" i="27"/>
  <c r="H396" i="27" s="1"/>
  <c r="H488" i="27"/>
  <c r="H431" i="27"/>
  <c r="H433" i="27" s="1"/>
  <c r="H437" i="27" s="1"/>
  <c r="H447" i="27" s="1"/>
  <c r="H432" i="27"/>
  <c r="I456" i="27"/>
  <c r="I458" i="27" s="1"/>
  <c r="I271" i="27"/>
  <c r="I493" i="27"/>
  <c r="I495" i="27" s="1"/>
  <c r="I499" i="27" s="1"/>
  <c r="I509" i="27" s="1"/>
  <c r="I277" i="27"/>
  <c r="J269" i="27"/>
  <c r="J457" i="27"/>
  <c r="J275" i="27"/>
  <c r="J463" i="27"/>
  <c r="K269" i="27"/>
  <c r="K457" i="27"/>
  <c r="K275" i="27"/>
  <c r="K432" i="27"/>
  <c r="L176" i="27"/>
  <c r="L146" i="27"/>
  <c r="L148" i="27" s="1"/>
  <c r="L182" i="27"/>
  <c r="L369" i="27"/>
  <c r="L371" i="27" s="1"/>
  <c r="L375" i="27" s="1"/>
  <c r="L385" i="27" s="1"/>
  <c r="M392" i="27"/>
  <c r="O145" i="27"/>
  <c r="M269" i="27"/>
  <c r="N455" i="27"/>
  <c r="N275" i="27"/>
  <c r="N301" i="27"/>
  <c r="N303" i="27" s="1"/>
  <c r="O487" i="27"/>
  <c r="O489" i="27" s="1"/>
  <c r="O307" i="27"/>
  <c r="O309" i="27" s="1"/>
  <c r="O313" i="27" s="1"/>
  <c r="O323" i="27" s="1"/>
  <c r="M426" i="27"/>
  <c r="M215" i="27"/>
  <c r="N401" i="27"/>
  <c r="O209" i="27"/>
  <c r="D246" i="27"/>
  <c r="D367" i="27"/>
  <c r="D376" i="27" s="1"/>
  <c r="D300" i="27"/>
  <c r="E363" i="27"/>
  <c r="E365" i="27" s="1"/>
  <c r="E244" i="27"/>
  <c r="F424" i="27"/>
  <c r="F368" i="27"/>
  <c r="G362" i="27"/>
  <c r="G399" i="27"/>
  <c r="H485" i="27"/>
  <c r="H240" i="27"/>
  <c r="H184" i="27"/>
  <c r="I240" i="27"/>
  <c r="I215" i="27"/>
  <c r="J426" i="27"/>
  <c r="J432" i="27"/>
  <c r="K395" i="27"/>
  <c r="K401" i="27"/>
  <c r="L425" i="27"/>
  <c r="L427" i="27" s="1"/>
  <c r="L400" i="27"/>
  <c r="L402" i="27" s="1"/>
  <c r="L406" i="27" s="1"/>
  <c r="L416" i="27" s="1"/>
  <c r="O393" i="27"/>
  <c r="N424" i="27"/>
  <c r="N270" i="27"/>
  <c r="N272" i="27" s="1"/>
  <c r="O245" i="27"/>
  <c r="O247" i="27" s="1"/>
  <c r="O251" i="27" s="1"/>
  <c r="O261" i="27" s="1"/>
  <c r="M184" i="27"/>
  <c r="O178" i="27"/>
  <c r="D369" i="27"/>
  <c r="D371" i="27" s="1"/>
  <c r="D375" i="27" s="1"/>
  <c r="D209" i="27"/>
  <c r="E206" i="27"/>
  <c r="E178" i="27"/>
  <c r="E432" i="27"/>
  <c r="F208" i="27"/>
  <c r="F210" i="27" s="1"/>
  <c r="F183" i="27"/>
  <c r="F185" i="27" s="1"/>
  <c r="F189" i="27" s="1"/>
  <c r="F199" i="27" s="1"/>
  <c r="G177" i="27"/>
  <c r="G179" i="27" s="1"/>
  <c r="G214" i="27"/>
  <c r="G216" i="27" s="1"/>
  <c r="G220" i="27" s="1"/>
  <c r="G230" i="27" s="1"/>
  <c r="H332" i="27"/>
  <c r="H334" i="27" s="1"/>
  <c r="H400" i="27"/>
  <c r="H402" i="27" s="1"/>
  <c r="H406" i="27" s="1"/>
  <c r="H416" i="27" s="1"/>
  <c r="I425" i="27"/>
  <c r="I427" i="27" s="1"/>
  <c r="I431" i="27"/>
  <c r="I433" i="27" s="1"/>
  <c r="I437" i="27" s="1"/>
  <c r="I447" i="27" s="1"/>
  <c r="J238" i="27"/>
  <c r="J244" i="27"/>
  <c r="K238" i="27"/>
  <c r="K213" i="27"/>
  <c r="L455" i="27"/>
  <c r="L461" i="27"/>
  <c r="M330" i="27"/>
  <c r="M238" i="27"/>
  <c r="N244" i="27"/>
  <c r="O456" i="27"/>
  <c r="O458" i="27" s="1"/>
  <c r="M364" i="27"/>
  <c r="N370" i="27"/>
  <c r="D153" i="27"/>
  <c r="D368" i="27"/>
  <c r="D240" i="27"/>
  <c r="D301" i="27"/>
  <c r="D303" i="27" s="1"/>
  <c r="D330" i="27"/>
  <c r="E362" i="27"/>
  <c r="E177" i="27"/>
  <c r="E179" i="27" s="1"/>
  <c r="E181" i="27"/>
  <c r="E400" i="27"/>
  <c r="E402" i="27" s="1"/>
  <c r="E406" i="27" s="1"/>
  <c r="E416" i="27" s="1"/>
  <c r="E184" i="27"/>
  <c r="F176" i="27"/>
  <c r="F364" i="27"/>
  <c r="F182" i="27"/>
  <c r="F370" i="27"/>
  <c r="G176" i="27"/>
  <c r="G364" i="27"/>
  <c r="G151" i="27"/>
  <c r="G370" i="27"/>
  <c r="H455" i="27"/>
  <c r="H146" i="27"/>
  <c r="H148" i="27" s="1"/>
  <c r="H430" i="27"/>
  <c r="H214" i="27"/>
  <c r="H216" i="27" s="1"/>
  <c r="H220" i="27" s="1"/>
  <c r="H230" i="27" s="1"/>
  <c r="I176" i="27"/>
  <c r="I177" i="27"/>
  <c r="I179" i="27" s="1"/>
  <c r="I430" i="27"/>
  <c r="I214" i="27"/>
  <c r="I216" i="27" s="1"/>
  <c r="I220" i="27" s="1"/>
  <c r="I230" i="27" s="1"/>
  <c r="J361" i="27"/>
  <c r="J425" i="27"/>
  <c r="J427" i="27" s="1"/>
  <c r="J240" i="27"/>
  <c r="J400" i="27"/>
  <c r="J402" i="27" s="1"/>
  <c r="J406" i="27" s="1"/>
  <c r="J416" i="27" s="1"/>
  <c r="J184" i="27"/>
  <c r="K363" i="27"/>
  <c r="K365" i="27" s="1"/>
  <c r="K178" i="27"/>
  <c r="K400" i="27"/>
  <c r="K402" i="27" s="1"/>
  <c r="K406" i="27" s="1"/>
  <c r="K416" i="27" s="1"/>
  <c r="K215" i="27"/>
  <c r="L331" i="27"/>
  <c r="L333" i="27"/>
  <c r="L431" i="27"/>
  <c r="L433" i="27" s="1"/>
  <c r="L437" i="27" s="1"/>
  <c r="L447" i="27" s="1"/>
  <c r="L308" i="27"/>
  <c r="M487" i="27"/>
  <c r="M489" i="27" s="1"/>
  <c r="O337" i="27"/>
  <c r="M430" i="27"/>
  <c r="N238" i="27"/>
  <c r="O269" i="27"/>
  <c r="N400" i="27"/>
  <c r="N402" i="27" s="1"/>
  <c r="N406" i="27" s="1"/>
  <c r="N416" i="27" s="1"/>
  <c r="O208" i="27"/>
  <c r="O210" i="27" s="1"/>
  <c r="O213" i="27"/>
  <c r="M178" i="27"/>
  <c r="N364" i="27"/>
  <c r="N184" i="27"/>
  <c r="O339" i="27"/>
  <c r="D431" i="27"/>
  <c r="D433" i="27" s="1"/>
  <c r="D437" i="27" s="1"/>
  <c r="D447" i="27" s="1"/>
  <c r="D275" i="27"/>
  <c r="D302" i="27"/>
  <c r="D363" i="27"/>
  <c r="D365" i="27" s="1"/>
  <c r="D392" i="27"/>
  <c r="E300" i="27"/>
  <c r="E488" i="27"/>
  <c r="E243" i="27"/>
  <c r="E252" i="27" s="1"/>
  <c r="E307" i="27"/>
  <c r="E309" i="27" s="1"/>
  <c r="E313" i="27" s="1"/>
  <c r="E323" i="27" s="1"/>
  <c r="F454" i="27"/>
  <c r="F487" i="27"/>
  <c r="F489" i="27" s="1"/>
  <c r="F302" i="27"/>
  <c r="F493" i="27"/>
  <c r="F495" i="27" s="1"/>
  <c r="F499" i="27" s="1"/>
  <c r="F509" i="27" s="1"/>
  <c r="F308" i="27"/>
  <c r="G456" i="27"/>
  <c r="G458" i="27" s="1"/>
  <c r="G426" i="27"/>
  <c r="G462" i="27"/>
  <c r="G464" i="27" s="1"/>
  <c r="G468" i="27" s="1"/>
  <c r="G478" i="27" s="1"/>
  <c r="G153" i="27"/>
  <c r="H486" i="27"/>
  <c r="H302" i="27"/>
  <c r="H461" i="27"/>
  <c r="H494" i="27"/>
  <c r="I486" i="27"/>
  <c r="I488" i="27"/>
  <c r="I461" i="27"/>
  <c r="I152" i="27"/>
  <c r="I154" i="27" s="1"/>
  <c r="I158" i="27" s="1"/>
  <c r="I168" i="27" s="1"/>
  <c r="J237" i="27"/>
  <c r="J363" i="27"/>
  <c r="J365" i="27" s="1"/>
  <c r="J147" i="27"/>
  <c r="J307" i="27"/>
  <c r="J309" i="27" s="1"/>
  <c r="J313" i="27" s="1"/>
  <c r="J323" i="27" s="1"/>
  <c r="K486" i="27"/>
  <c r="K301" i="27"/>
  <c r="K303" i="27" s="1"/>
  <c r="K305" i="27"/>
  <c r="K314" i="27" s="1"/>
  <c r="K338" i="27"/>
  <c r="K340" i="27" s="1"/>
  <c r="K344" i="27" s="1"/>
  <c r="K354" i="27" s="1"/>
  <c r="K153" i="27"/>
  <c r="L208" i="27"/>
  <c r="L210" i="27" s="1"/>
  <c r="L240" i="27"/>
  <c r="L462" i="27"/>
  <c r="L464" i="27" s="1"/>
  <c r="L468" i="27" s="1"/>
  <c r="L478" i="27" s="1"/>
  <c r="L246" i="27"/>
  <c r="M270" i="27"/>
  <c r="M272" i="27" s="1"/>
  <c r="M369" i="27"/>
  <c r="M371" i="27" s="1"/>
  <c r="M375" i="27" s="1"/>
  <c r="M385" i="27" s="1"/>
  <c r="M368" i="27"/>
  <c r="N145" i="27"/>
  <c r="O492" i="27"/>
  <c r="N338" i="27"/>
  <c r="N340" i="27" s="1"/>
  <c r="N344" i="27" s="1"/>
  <c r="N354" i="27" s="1"/>
  <c r="O146" i="27"/>
  <c r="O148" i="27" s="1"/>
  <c r="O207" i="27"/>
  <c r="M494" i="27"/>
  <c r="N302" i="27"/>
  <c r="O457" i="27"/>
  <c r="O246" i="27"/>
  <c r="D492" i="27"/>
  <c r="D426" i="27"/>
  <c r="D299" i="27"/>
  <c r="E332" i="27"/>
  <c r="E334" i="27" s="1"/>
  <c r="E492" i="27"/>
  <c r="E339" i="27"/>
  <c r="F332" i="27"/>
  <c r="F334" i="27" s="1"/>
  <c r="F213" i="27"/>
  <c r="G331" i="27"/>
  <c r="G178" i="27"/>
  <c r="G246" i="27"/>
  <c r="H487" i="27"/>
  <c r="H489" i="27" s="1"/>
  <c r="H151" i="27"/>
  <c r="H463" i="27"/>
  <c r="I457" i="27"/>
  <c r="I307" i="27"/>
  <c r="I309" i="27" s="1"/>
  <c r="I313" i="27" s="1"/>
  <c r="I323" i="27" s="1"/>
  <c r="J362" i="27"/>
  <c r="J271" i="27"/>
  <c r="J401" i="27"/>
  <c r="K270" i="27"/>
  <c r="K272" i="27" s="1"/>
  <c r="K493" i="27"/>
  <c r="K495" i="27" s="1"/>
  <c r="K499" i="27" s="1"/>
  <c r="K509" i="27" s="1"/>
  <c r="L145" i="27"/>
  <c r="L395" i="27"/>
  <c r="L152" i="27"/>
  <c r="L154" i="27" s="1"/>
  <c r="L158" i="27" s="1"/>
  <c r="L168" i="27" s="1"/>
  <c r="M301" i="27"/>
  <c r="M303" i="27" s="1"/>
  <c r="M145" i="27"/>
  <c r="N337" i="27"/>
  <c r="N462" i="27"/>
  <c r="N464" i="27" s="1"/>
  <c r="N468" i="27" s="1"/>
  <c r="N478" i="27" s="1"/>
  <c r="O214" i="27"/>
  <c r="O216" i="27" s="1"/>
  <c r="O220" i="27" s="1"/>
  <c r="O230" i="27" s="1"/>
  <c r="M463" i="27"/>
  <c r="N277" i="27"/>
  <c r="M214" i="27"/>
  <c r="M216" i="27" s="1"/>
  <c r="D461" i="27"/>
  <c r="D178" i="27"/>
  <c r="D361" i="27"/>
  <c r="E301" i="27"/>
  <c r="E303" i="27" s="1"/>
  <c r="E430" i="27"/>
  <c r="E277" i="27"/>
  <c r="F301" i="27"/>
  <c r="F303" i="27" s="1"/>
  <c r="F151" i="27"/>
  <c r="G300" i="27"/>
  <c r="G457" i="27"/>
  <c r="G308" i="27"/>
  <c r="H425" i="27"/>
  <c r="H427" i="27" s="1"/>
  <c r="H182" i="27"/>
  <c r="H215" i="27"/>
  <c r="I426" i="27"/>
  <c r="I276" i="27"/>
  <c r="I278" i="27" s="1"/>
  <c r="I282" i="27" s="1"/>
  <c r="I292" i="27" s="1"/>
  <c r="J300" i="27"/>
  <c r="J209" i="27"/>
  <c r="J370" i="27"/>
  <c r="K239" i="27"/>
  <c r="K241" i="27" s="1"/>
  <c r="K462" i="27"/>
  <c r="K464" i="27" s="1"/>
  <c r="K468" i="27" s="1"/>
  <c r="K478" i="27" s="1"/>
  <c r="L424" i="27"/>
  <c r="L302" i="27"/>
  <c r="L463" i="27"/>
  <c r="M332" i="27"/>
  <c r="M334" i="27" s="1"/>
  <c r="M492" i="27"/>
  <c r="N306" i="27"/>
  <c r="N369" i="27"/>
  <c r="N371" i="27" s="1"/>
  <c r="N375" i="27" s="1"/>
  <c r="N385" i="27" s="1"/>
  <c r="O152" i="27"/>
  <c r="O154" i="27" s="1"/>
  <c r="O158" i="27" s="1"/>
  <c r="O168" i="27" s="1"/>
  <c r="M432" i="27"/>
  <c r="N246" i="27"/>
  <c r="O151" i="27"/>
  <c r="D463" i="27"/>
  <c r="D430" i="27"/>
  <c r="D425" i="27"/>
  <c r="D427" i="27" s="1"/>
  <c r="E270" i="27"/>
  <c r="E272" i="27" s="1"/>
  <c r="E337" i="27"/>
  <c r="E246" i="27"/>
  <c r="F177" i="27"/>
  <c r="F179" i="27" s="1"/>
  <c r="F462" i="27"/>
  <c r="F464" i="27" s="1"/>
  <c r="F468" i="27" s="1"/>
  <c r="F478" i="27" s="1"/>
  <c r="G269" i="27"/>
  <c r="G492" i="27"/>
  <c r="G339" i="27"/>
  <c r="H301" i="27"/>
  <c r="H303" i="27" s="1"/>
  <c r="H213" i="27"/>
  <c r="I454" i="27"/>
  <c r="I333" i="27"/>
  <c r="I245" i="27"/>
  <c r="I247" i="27" s="1"/>
  <c r="I251" i="27" s="1"/>
  <c r="I261" i="27" s="1"/>
  <c r="J207" i="27"/>
  <c r="J492" i="27"/>
  <c r="J339" i="27"/>
  <c r="K146" i="27"/>
  <c r="K148" i="27" s="1"/>
  <c r="K431" i="27"/>
  <c r="K433" i="27" s="1"/>
  <c r="K437" i="27" s="1"/>
  <c r="K447" i="27" s="1"/>
  <c r="L207" i="27"/>
  <c r="L209" i="27"/>
  <c r="L432" i="27"/>
  <c r="M146" i="27"/>
  <c r="M148" i="27" s="1"/>
  <c r="M461" i="27"/>
  <c r="N213" i="27"/>
  <c r="N307" i="27"/>
  <c r="N309" i="27" s="1"/>
  <c r="N313" i="27" s="1"/>
  <c r="N323" i="27" s="1"/>
  <c r="O238" i="27"/>
  <c r="M308" i="27"/>
  <c r="N215" i="27"/>
  <c r="D277" i="27"/>
  <c r="D244" i="27"/>
  <c r="D208" i="27"/>
  <c r="D210" i="27" s="1"/>
  <c r="D206" i="27"/>
  <c r="E208" i="27"/>
  <c r="E210" i="27" s="1"/>
  <c r="E213" i="27"/>
  <c r="F423" i="27"/>
  <c r="F457" i="27"/>
  <c r="F307" i="27"/>
  <c r="F309" i="27" s="1"/>
  <c r="F313" i="27" s="1"/>
  <c r="F323" i="27" s="1"/>
  <c r="G207" i="27"/>
  <c r="G368" i="27"/>
  <c r="G432" i="27"/>
  <c r="H239" i="27"/>
  <c r="H241" i="27" s="1"/>
  <c r="H493" i="27"/>
  <c r="H495" i="27" s="1"/>
  <c r="H499" i="27" s="1"/>
  <c r="H509" i="27" s="1"/>
  <c r="I145" i="27"/>
  <c r="I209" i="27"/>
  <c r="I494" i="27"/>
  <c r="J145" i="27"/>
  <c r="J337" i="27"/>
  <c r="J246" i="27"/>
  <c r="K364" i="27"/>
  <c r="K307" i="27"/>
  <c r="K309" i="27" s="1"/>
  <c r="K313" i="27" s="1"/>
  <c r="K323" i="27" s="1"/>
  <c r="L238" i="27"/>
  <c r="L151" i="27"/>
  <c r="L339" i="27"/>
  <c r="M431" i="27"/>
  <c r="M433" i="27" s="1"/>
  <c r="M437" i="27" s="1"/>
  <c r="M447" i="27" s="1"/>
  <c r="M337" i="27"/>
  <c r="N151" i="27"/>
  <c r="N183" i="27"/>
  <c r="N185" i="27" s="1"/>
  <c r="N189" i="27" s="1"/>
  <c r="N199" i="27" s="1"/>
  <c r="O486" i="27"/>
  <c r="M153" i="27"/>
  <c r="O426" i="27"/>
  <c r="D308" i="27"/>
  <c r="D213" i="27"/>
  <c r="D239" i="27"/>
  <c r="D241" i="27" s="1"/>
  <c r="D237" i="27"/>
  <c r="E146" i="27"/>
  <c r="E148" i="27" s="1"/>
  <c r="E182" i="27"/>
  <c r="F361" i="27"/>
  <c r="F426" i="27"/>
  <c r="F245" i="27"/>
  <c r="F247" i="27" s="1"/>
  <c r="F251" i="27" s="1"/>
  <c r="F261" i="27" s="1"/>
  <c r="G145" i="27"/>
  <c r="G337" i="27"/>
  <c r="G184" i="27"/>
  <c r="H208" i="27"/>
  <c r="H210" i="27" s="1"/>
  <c r="H462" i="27"/>
  <c r="H464" i="27" s="1"/>
  <c r="H468" i="27" s="1"/>
  <c r="H478" i="27" s="1"/>
  <c r="I455" i="27"/>
  <c r="I147" i="27"/>
  <c r="I463" i="27"/>
  <c r="J487" i="27"/>
  <c r="J489" i="27" s="1"/>
  <c r="J306" i="27"/>
  <c r="J153" i="27"/>
  <c r="K302" i="27"/>
  <c r="K276" i="27"/>
  <c r="K278" i="27" s="1"/>
  <c r="K282" i="27" s="1"/>
  <c r="K292" i="27" s="1"/>
  <c r="L269" i="27"/>
  <c r="L430" i="27"/>
  <c r="L277" i="27"/>
  <c r="O368" i="27"/>
  <c r="M275" i="27"/>
  <c r="O300" i="27"/>
  <c r="N152" i="27"/>
  <c r="N154" i="27" s="1"/>
  <c r="O461" i="27"/>
  <c r="N488" i="27"/>
  <c r="O364" i="27"/>
  <c r="D432" i="27"/>
  <c r="D429" i="27"/>
  <c r="D438" i="27" s="1"/>
  <c r="D146" i="27"/>
  <c r="D148" i="27" s="1"/>
  <c r="E424" i="27"/>
  <c r="E240" i="27"/>
  <c r="E369" i="27"/>
  <c r="E371" i="27" s="1"/>
  <c r="E375" i="27" s="1"/>
  <c r="E385" i="27" s="1"/>
  <c r="F331" i="27"/>
  <c r="F240" i="27"/>
  <c r="F432" i="27"/>
  <c r="G239" i="27"/>
  <c r="G241" i="27" s="1"/>
  <c r="G493" i="27"/>
  <c r="G495" i="27" s="1"/>
  <c r="G499" i="27" s="1"/>
  <c r="G509" i="27" s="1"/>
  <c r="H393" i="27"/>
  <c r="H364" i="27"/>
  <c r="H276" i="27"/>
  <c r="H278" i="27" s="1"/>
  <c r="H282" i="27" s="1"/>
  <c r="H292" i="27" s="1"/>
  <c r="I487" i="27"/>
  <c r="I489" i="27" s="1"/>
  <c r="I182" i="27"/>
  <c r="I153" i="27"/>
  <c r="J270" i="27"/>
  <c r="J272" i="27" s="1"/>
  <c r="J493" i="27"/>
  <c r="J495" i="27" s="1"/>
  <c r="J499" i="27" s="1"/>
  <c r="J509" i="27" s="1"/>
  <c r="K300" i="27"/>
  <c r="K147" i="27"/>
  <c r="K339" i="27"/>
  <c r="L270" i="27"/>
  <c r="L272" i="27" s="1"/>
  <c r="L306" i="27"/>
  <c r="M423" i="27"/>
  <c r="O331" i="27"/>
  <c r="N362" i="27"/>
  <c r="N456" i="27"/>
  <c r="N458" i="27" s="1"/>
  <c r="O270" i="27"/>
  <c r="O272" i="27" s="1"/>
  <c r="M457" i="27"/>
  <c r="N333" i="27"/>
  <c r="O494" i="27"/>
  <c r="D183" i="27"/>
  <c r="D185" i="27" s="1"/>
  <c r="D460" i="27"/>
  <c r="D469" i="27" s="1"/>
  <c r="D424" i="27"/>
  <c r="E393" i="27"/>
  <c r="E147" i="27"/>
  <c r="E276" i="27"/>
  <c r="E278" i="27" s="1"/>
  <c r="E282" i="27" s="1"/>
  <c r="E292" i="27" s="1"/>
  <c r="F300" i="27"/>
  <c r="F147" i="27"/>
  <c r="F401" i="27"/>
  <c r="G146" i="27"/>
  <c r="G148" i="27" s="1"/>
  <c r="G431" i="27"/>
  <c r="G433" i="27" s="1"/>
  <c r="G437" i="27" s="1"/>
  <c r="G447" i="27" s="1"/>
  <c r="H145" i="27"/>
  <c r="H178" i="27"/>
  <c r="H245" i="27"/>
  <c r="H247" i="27" s="1"/>
  <c r="H251" i="27" s="1"/>
  <c r="H261" i="27" s="1"/>
  <c r="I394" i="27"/>
  <c r="I396" i="27" s="1"/>
  <c r="I213" i="27"/>
  <c r="J485" i="27"/>
  <c r="J146" i="27"/>
  <c r="J148" i="27" s="1"/>
  <c r="J462" i="27"/>
  <c r="J464" i="27" s="1"/>
  <c r="J468" i="27" s="1"/>
  <c r="J478" i="27" s="1"/>
  <c r="K207" i="27"/>
  <c r="K492" i="27"/>
  <c r="K308" i="27"/>
  <c r="L337" i="27"/>
  <c r="M299" i="27"/>
  <c r="O306" i="27"/>
  <c r="N331" i="27"/>
  <c r="N363" i="27"/>
  <c r="N365" i="27" s="1"/>
  <c r="O239" i="27"/>
  <c r="O241" i="27" s="1"/>
  <c r="M333" i="27"/>
  <c r="N271" i="27"/>
  <c r="O463" i="27"/>
  <c r="D370" i="27"/>
  <c r="D305" i="27"/>
  <c r="D314" i="27" s="1"/>
  <c r="D332" i="27"/>
  <c r="D334" i="27" s="1"/>
  <c r="E486" i="27"/>
  <c r="E395" i="27"/>
  <c r="E493" i="27"/>
  <c r="E495" i="27" s="1"/>
  <c r="E499" i="27" s="1"/>
  <c r="E509" i="27" s="1"/>
  <c r="F486" i="27"/>
  <c r="F333" i="27"/>
  <c r="F494" i="27"/>
  <c r="G363" i="27"/>
  <c r="G365" i="27" s="1"/>
  <c r="G244" i="27"/>
  <c r="H175" i="27"/>
  <c r="L363" i="27"/>
  <c r="L365" i="27" s="1"/>
  <c r="D152" i="27"/>
  <c r="D154" i="27" s="1"/>
  <c r="D158" i="27" s="1"/>
  <c r="D364" i="27"/>
  <c r="D145" i="27"/>
  <c r="E425" i="27"/>
  <c r="E427" i="27" s="1"/>
  <c r="E460" i="27"/>
  <c r="E469" i="27" s="1"/>
  <c r="E370" i="27"/>
  <c r="F425" i="27"/>
  <c r="F427" i="27" s="1"/>
  <c r="F244" i="27"/>
  <c r="G424" i="27"/>
  <c r="G395" i="27"/>
  <c r="G494" i="27"/>
  <c r="H269" i="27"/>
  <c r="H399" i="27"/>
  <c r="H153" i="27"/>
  <c r="I146" i="27"/>
  <c r="I148" i="27" s="1"/>
  <c r="I338" i="27"/>
  <c r="I340" i="27" s="1"/>
  <c r="I344" i="27" s="1"/>
  <c r="I354" i="27" s="1"/>
  <c r="J486" i="27"/>
  <c r="J302" i="27"/>
  <c r="J494" i="27"/>
  <c r="K332" i="27"/>
  <c r="K334" i="27" s="1"/>
  <c r="K151" i="27"/>
  <c r="L454" i="27"/>
  <c r="L426" i="27"/>
  <c r="L338" i="27"/>
  <c r="L340" i="27" s="1"/>
  <c r="L344" i="27" s="1"/>
  <c r="L354" i="27" s="1"/>
  <c r="M239" i="27"/>
  <c r="M241" i="27" s="1"/>
  <c r="M176" i="27"/>
  <c r="N430" i="27"/>
  <c r="N493" i="27"/>
  <c r="N495" i="27" s="1"/>
  <c r="N499" i="27" s="1"/>
  <c r="N509" i="27" s="1"/>
  <c r="O338" i="27"/>
  <c r="O340" i="27" s="1"/>
  <c r="O344" i="27" s="1"/>
  <c r="O354" i="27" s="1"/>
  <c r="M147" i="27"/>
  <c r="N308" i="27"/>
  <c r="O184" i="27"/>
  <c r="L300" i="27"/>
  <c r="N457" i="27"/>
  <c r="D214" i="27"/>
  <c r="D216" i="27" s="1"/>
  <c r="D220" i="27" s="1"/>
  <c r="D491" i="27"/>
  <c r="D500" i="27" s="1"/>
  <c r="D393" i="27"/>
  <c r="E331" i="27"/>
  <c r="E367" i="27"/>
  <c r="E376" i="27" s="1"/>
  <c r="E245" i="27"/>
  <c r="E247" i="27" s="1"/>
  <c r="E251" i="27" s="1"/>
  <c r="E261" i="27" s="1"/>
  <c r="F238" i="27"/>
  <c r="F461" i="27"/>
  <c r="F339" i="27"/>
  <c r="G488" i="27"/>
  <c r="G400" i="27"/>
  <c r="G402" i="27" s="1"/>
  <c r="G406" i="27" s="1"/>
  <c r="G416" i="27" s="1"/>
  <c r="H424" i="27"/>
  <c r="H209" i="27"/>
  <c r="H183" i="27"/>
  <c r="H185" i="27" s="1"/>
  <c r="H189" i="27" s="1"/>
  <c r="H199" i="27" s="1"/>
  <c r="I363" i="27"/>
  <c r="I365" i="27" s="1"/>
  <c r="I492" i="27"/>
  <c r="J454" i="27"/>
  <c r="J488" i="27"/>
  <c r="J369" i="27"/>
  <c r="J371" i="27" s="1"/>
  <c r="J375" i="27" s="1"/>
  <c r="J385" i="27" s="1"/>
  <c r="K145" i="27"/>
  <c r="K461" i="27"/>
  <c r="K277" i="27"/>
  <c r="L394" i="27"/>
  <c r="L396" i="27" s="1"/>
  <c r="L183" i="27"/>
  <c r="L185" i="27" s="1"/>
  <c r="L189" i="27" s="1"/>
  <c r="L199" i="27" s="1"/>
  <c r="M175" i="27"/>
  <c r="M486" i="27"/>
  <c r="N300" i="27"/>
  <c r="N332" i="27"/>
  <c r="N334" i="27" s="1"/>
  <c r="O177" i="27"/>
  <c r="O179" i="27" s="1"/>
  <c r="M302" i="27"/>
  <c r="N209" i="27"/>
  <c r="O432" i="27"/>
  <c r="D276" i="27"/>
  <c r="D278" i="27" s="1"/>
  <c r="D282" i="27" s="1"/>
  <c r="D243" i="27"/>
  <c r="D252" i="27" s="1"/>
  <c r="D269" i="27"/>
  <c r="E269" i="27"/>
  <c r="E398" i="27"/>
  <c r="E407" i="27" s="1"/>
  <c r="E152" i="27"/>
  <c r="E154" i="27" s="1"/>
  <c r="E158" i="27" s="1"/>
  <c r="E168" i="27" s="1"/>
  <c r="F207" i="27"/>
  <c r="F337" i="27"/>
  <c r="F277" i="27"/>
  <c r="G240" i="27"/>
  <c r="G307" i="27"/>
  <c r="G309" i="27" s="1"/>
  <c r="G313" i="27" s="1"/>
  <c r="G323" i="27" s="1"/>
  <c r="H176" i="27"/>
  <c r="H212" i="27"/>
  <c r="H221" i="27" s="1"/>
  <c r="H246" i="27"/>
  <c r="I332" i="27"/>
  <c r="I334" i="27" s="1"/>
  <c r="I306" i="27"/>
  <c r="J423" i="27"/>
  <c r="J395" i="27"/>
  <c r="J276" i="27"/>
  <c r="J278" i="27" s="1"/>
  <c r="J282" i="27" s="1"/>
  <c r="J292" i="27" s="1"/>
  <c r="K487" i="27"/>
  <c r="K489" i="27" s="1"/>
  <c r="K368" i="27"/>
  <c r="K246" i="27"/>
  <c r="L177" i="27"/>
  <c r="L179" i="27" s="1"/>
  <c r="L214" i="27"/>
  <c r="L216" i="27" s="1"/>
  <c r="L220" i="27" s="1"/>
  <c r="L230" i="27" s="1"/>
  <c r="M144" i="27"/>
  <c r="M362" i="27"/>
  <c r="N269" i="27"/>
  <c r="N239" i="27"/>
  <c r="N241" i="27" s="1"/>
  <c r="O493" i="27"/>
  <c r="O495" i="27" s="1"/>
  <c r="O499" i="27" s="1"/>
  <c r="O509" i="27" s="1"/>
  <c r="M271" i="27"/>
  <c r="N463" i="27"/>
  <c r="O401" i="27"/>
  <c r="D400" i="27"/>
  <c r="D402" i="27" s="1"/>
  <c r="D406" i="27" s="1"/>
  <c r="D416" i="27" s="1"/>
  <c r="D333" i="27"/>
  <c r="D176" i="27"/>
  <c r="E487" i="27"/>
  <c r="E489" i="27" s="1"/>
  <c r="E429" i="27"/>
  <c r="E438" i="27" s="1"/>
  <c r="E401" i="27"/>
  <c r="F456" i="27"/>
  <c r="F458" i="27" s="1"/>
  <c r="F275" i="27"/>
  <c r="G455" i="27"/>
  <c r="G302" i="27"/>
  <c r="G183" i="27"/>
  <c r="G185" i="27" s="1"/>
  <c r="G189" i="27" s="1"/>
  <c r="G199" i="27" s="1"/>
  <c r="H238" i="27"/>
  <c r="H368" i="27"/>
  <c r="H401" i="27"/>
  <c r="I239" i="27"/>
  <c r="I241" i="27" s="1"/>
  <c r="I400" i="27"/>
  <c r="I402" i="27" s="1"/>
  <c r="I406" i="27" s="1"/>
  <c r="I416" i="27" s="1"/>
  <c r="J175" i="27"/>
  <c r="J333" i="27"/>
  <c r="J152" i="27"/>
  <c r="J154" i="27" s="1"/>
  <c r="J158" i="27" s="1"/>
  <c r="J168" i="27" s="1"/>
  <c r="K394" i="27"/>
  <c r="K396" i="27" s="1"/>
  <c r="K182" i="27"/>
  <c r="L144" i="27"/>
  <c r="L457" i="27"/>
  <c r="L307" i="27"/>
  <c r="L309" i="27" s="1"/>
  <c r="L313" i="27" s="1"/>
  <c r="M208" i="27"/>
  <c r="M210" i="27" s="1"/>
  <c r="M207" i="27"/>
  <c r="N492" i="27"/>
  <c r="N177" i="27"/>
  <c r="N179" i="27" s="1"/>
  <c r="O369" i="27"/>
  <c r="O371" i="27" s="1"/>
  <c r="O375" i="27" s="1"/>
  <c r="O385" i="27" s="1"/>
  <c r="M209" i="27"/>
  <c r="N339" i="27"/>
  <c r="O215" i="27"/>
  <c r="F431" i="27"/>
  <c r="F433" i="27" s="1"/>
  <c r="F437" i="27" s="1"/>
  <c r="F447" i="27" s="1"/>
  <c r="I302" i="27"/>
  <c r="J277" i="27"/>
  <c r="L486" i="27"/>
  <c r="L370" i="27"/>
  <c r="M399" i="27"/>
  <c r="N276" i="27"/>
  <c r="N278" i="27" s="1"/>
  <c r="N282" i="27" s="1"/>
  <c r="N292" i="27" s="1"/>
  <c r="M246" i="27"/>
  <c r="N153" i="27"/>
  <c r="K271" i="27"/>
  <c r="D307" i="27"/>
  <c r="D309" i="27" s="1"/>
  <c r="D313" i="27" s="1"/>
  <c r="D323" i="27" s="1"/>
  <c r="D271" i="27"/>
  <c r="D207" i="27"/>
  <c r="E238" i="27"/>
  <c r="E150" i="27"/>
  <c r="E159" i="27" s="1"/>
  <c r="E494" i="27"/>
  <c r="F145" i="27"/>
  <c r="F306" i="27"/>
  <c r="F215" i="27"/>
  <c r="G271" i="27"/>
  <c r="G276" i="27"/>
  <c r="G278" i="27" s="1"/>
  <c r="G282" i="27" s="1"/>
  <c r="G292" i="27" s="1"/>
  <c r="H207" i="27"/>
  <c r="H491" i="27"/>
  <c r="H500" i="27" s="1"/>
  <c r="H308" i="27"/>
  <c r="I270" i="27"/>
  <c r="I272" i="27" s="1"/>
  <c r="I337" i="27"/>
  <c r="J268" i="27"/>
  <c r="J364" i="27"/>
  <c r="J245" i="27"/>
  <c r="J247" i="27" s="1"/>
  <c r="J251" i="27" s="1"/>
  <c r="J261" i="27" s="1"/>
  <c r="K425" i="27"/>
  <c r="K427" i="27" s="1"/>
  <c r="K306" i="27"/>
  <c r="K184" i="27"/>
  <c r="L488" i="27"/>
  <c r="L493" i="27"/>
  <c r="L495" i="27" s="1"/>
  <c r="L499" i="27" s="1"/>
  <c r="L509" i="27" s="1"/>
  <c r="M456" i="27"/>
  <c r="M458" i="27" s="1"/>
  <c r="M300" i="27"/>
  <c r="N207" i="27"/>
  <c r="N208" i="27"/>
  <c r="N210" i="27" s="1"/>
  <c r="O462" i="27"/>
  <c r="O464" i="27" s="1"/>
  <c r="O468" i="27" s="1"/>
  <c r="O478" i="27" s="1"/>
  <c r="M240" i="27"/>
  <c r="N432" i="27"/>
  <c r="O308" i="27"/>
  <c r="D339" i="27"/>
  <c r="D274" i="27"/>
  <c r="D283" i="27" s="1"/>
  <c r="D270" i="27"/>
  <c r="D272" i="27" s="1"/>
  <c r="E237" i="27"/>
  <c r="E457" i="27"/>
  <c r="E151" i="27"/>
  <c r="F144" i="27"/>
  <c r="F395" i="27"/>
  <c r="F152" i="27"/>
  <c r="F154" i="27" s="1"/>
  <c r="F158" i="27" s="1"/>
  <c r="F168" i="27" s="1"/>
  <c r="G425" i="27"/>
  <c r="G427" i="27" s="1"/>
  <c r="G306" i="27"/>
  <c r="H423" i="27"/>
  <c r="H177" i="27"/>
  <c r="H179" i="27" s="1"/>
  <c r="H369" i="27"/>
  <c r="H371" i="27" s="1"/>
  <c r="H375" i="27" s="1"/>
  <c r="H385" i="27" s="1"/>
  <c r="I238" i="27"/>
  <c r="I150" i="27"/>
  <c r="I159" i="27" s="1"/>
  <c r="I370" i="27"/>
  <c r="J456" i="27"/>
  <c r="J458" i="27" s="1"/>
  <c r="J213" i="27"/>
  <c r="K455" i="27"/>
  <c r="K152" i="27"/>
  <c r="K154" i="27" s="1"/>
  <c r="K158" i="27" s="1"/>
  <c r="K168" i="27" s="1"/>
  <c r="L213" i="27"/>
  <c r="L215" i="27"/>
  <c r="M152" i="27"/>
  <c r="M154" i="27" s="1"/>
  <c r="M151" i="27"/>
  <c r="M338" i="27"/>
  <c r="M340" i="27" s="1"/>
  <c r="M344" i="27" s="1"/>
  <c r="M354" i="27" s="1"/>
  <c r="O425" i="27"/>
  <c r="O427" i="27" s="1"/>
  <c r="M245" i="27"/>
  <c r="M247" i="27" s="1"/>
  <c r="M251" i="27" s="1"/>
  <c r="M261" i="27" s="1"/>
  <c r="O271" i="27"/>
  <c r="D215" i="27"/>
  <c r="D337" i="27"/>
  <c r="D456" i="27"/>
  <c r="D458" i="27" s="1"/>
  <c r="D423" i="27"/>
  <c r="E239" i="27"/>
  <c r="E241" i="27" s="1"/>
  <c r="E306" i="27"/>
  <c r="E153" i="27"/>
  <c r="F488" i="27"/>
  <c r="G238" i="27"/>
  <c r="G461" i="27"/>
  <c r="G401" i="27"/>
  <c r="H270" i="27"/>
  <c r="H272" i="27" s="1"/>
  <c r="H244" i="27"/>
  <c r="I393" i="27"/>
  <c r="I183" i="27"/>
  <c r="I185" i="27" s="1"/>
  <c r="I189" i="27" s="1"/>
  <c r="I199" i="27" s="1"/>
  <c r="J176" i="27"/>
  <c r="J430" i="27"/>
  <c r="K488" i="27"/>
  <c r="K369" i="27"/>
  <c r="K371" i="27" s="1"/>
  <c r="K375" i="27" s="1"/>
  <c r="K385" i="27" s="1"/>
  <c r="L178" i="27"/>
  <c r="M177" i="27"/>
  <c r="M179" i="27" s="1"/>
  <c r="N182" i="27"/>
  <c r="M276" i="27"/>
  <c r="M278" i="27" s="1"/>
  <c r="M282" i="27" s="1"/>
  <c r="M292" i="27" s="1"/>
  <c r="E462" i="27"/>
  <c r="E464" i="27" s="1"/>
  <c r="E468" i="27" s="1"/>
  <c r="E478" i="27" s="1"/>
  <c r="O147" i="27"/>
  <c r="L244" i="27"/>
  <c r="I151" i="27"/>
  <c r="E455" i="27"/>
  <c r="N51" i="27"/>
  <c r="O240" i="27"/>
  <c r="L492" i="27"/>
  <c r="I399" i="27"/>
  <c r="D394" i="27"/>
  <c r="D396" i="27" s="1"/>
  <c r="L487" i="27"/>
  <c r="L489" i="27" s="1"/>
  <c r="I362" i="27"/>
  <c r="D398" i="27"/>
  <c r="D407" i="27" s="1"/>
  <c r="N395" i="27"/>
  <c r="N426" i="27"/>
  <c r="L362" i="27"/>
  <c r="I269" i="27"/>
  <c r="D401" i="27"/>
  <c r="I184" i="27"/>
  <c r="O430" i="27"/>
  <c r="K370" i="27"/>
  <c r="H307" i="27"/>
  <c r="H309" i="27" s="1"/>
  <c r="H313" i="27" s="1"/>
  <c r="H323" i="27" s="1"/>
  <c r="M454" i="27"/>
  <c r="O455" i="27"/>
  <c r="K463" i="27"/>
  <c r="H338" i="27"/>
  <c r="H340" i="27" s="1"/>
  <c r="H344" i="27" s="1"/>
  <c r="H354" i="27" s="1"/>
  <c r="K26" i="27"/>
  <c r="K35" i="27" s="1"/>
  <c r="G423" i="27"/>
  <c r="J336" i="27"/>
  <c r="J345" i="27" s="1"/>
  <c r="M88" i="27"/>
  <c r="M97" i="27" s="1"/>
  <c r="I26" i="27"/>
  <c r="I35" i="27" s="1"/>
  <c r="G113" i="27"/>
  <c r="I423" i="27"/>
  <c r="N88" i="27"/>
  <c r="G336" i="27"/>
  <c r="L26" i="27"/>
  <c r="H26" i="27"/>
  <c r="H35" i="27" s="1"/>
  <c r="G122" i="27"/>
  <c r="K392" i="27"/>
  <c r="K119" i="27"/>
  <c r="K128" i="27" s="1"/>
  <c r="O51" i="27"/>
  <c r="L336" i="27"/>
  <c r="L345" i="27" s="1"/>
  <c r="I119" i="27"/>
  <c r="I128" i="27" s="1"/>
  <c r="M20" i="27"/>
  <c r="M82" i="27"/>
  <c r="E121" i="27"/>
  <c r="E123" i="27" s="1"/>
  <c r="E127" i="27" s="1"/>
  <c r="E137" i="27" s="1"/>
  <c r="J91" i="27"/>
  <c r="M26" i="27"/>
  <c r="H243" i="27"/>
  <c r="H252" i="27" s="1"/>
  <c r="F88" i="27"/>
  <c r="F97" i="27" s="1"/>
  <c r="E53" i="27"/>
  <c r="E55" i="27" s="1"/>
  <c r="N26" i="27"/>
  <c r="N82" i="27"/>
  <c r="N119" i="27"/>
  <c r="N128" i="27" s="1"/>
  <c r="F181" i="27"/>
  <c r="F190" i="27" s="1"/>
  <c r="H20" i="27"/>
  <c r="I113" i="27"/>
  <c r="F82" i="27"/>
  <c r="E491" i="27"/>
  <c r="E500" i="27" s="1"/>
  <c r="K367" i="27"/>
  <c r="K376" i="27" s="1"/>
  <c r="E119" i="27"/>
  <c r="E128" i="27" s="1"/>
  <c r="H91" i="27"/>
  <c r="E60" i="27"/>
  <c r="O26" i="27"/>
  <c r="O35" i="27" s="1"/>
  <c r="G26" i="27"/>
  <c r="G35" i="27" s="1"/>
  <c r="O20" i="27"/>
  <c r="J20" i="27"/>
  <c r="G85" i="27"/>
  <c r="D58" i="27"/>
  <c r="O113" i="27"/>
  <c r="M51" i="27"/>
  <c r="H89" i="27"/>
  <c r="D51" i="27"/>
  <c r="D60" i="27"/>
  <c r="E120" i="27"/>
  <c r="E485" i="27"/>
  <c r="N57" i="27"/>
  <c r="N66" i="27" s="1"/>
  <c r="D114" i="27"/>
  <c r="H59" i="27"/>
  <c r="H61" i="27" s="1"/>
  <c r="H65" i="27" s="1"/>
  <c r="H75" i="27" s="1"/>
  <c r="D20" i="27"/>
  <c r="F115" i="27"/>
  <c r="F117" i="27" s="1"/>
  <c r="G58" i="27"/>
  <c r="I243" i="27"/>
  <c r="I252" i="27" s="1"/>
  <c r="J88" i="27"/>
  <c r="J97" i="27" s="1"/>
  <c r="H88" i="27"/>
  <c r="H97" i="27" s="1"/>
  <c r="E57" i="27"/>
  <c r="O82" i="27"/>
  <c r="J82" i="27"/>
  <c r="M119" i="27"/>
  <c r="M128" i="27" s="1"/>
  <c r="L82" i="27"/>
  <c r="F121" i="27"/>
  <c r="F123" i="27" s="1"/>
  <c r="F127" i="27" s="1"/>
  <c r="F137" i="27" s="1"/>
  <c r="O119" i="27"/>
  <c r="O128" i="27" s="1"/>
  <c r="F20" i="27"/>
  <c r="H116" i="27"/>
  <c r="K113" i="27"/>
  <c r="H82" i="27"/>
  <c r="D82" i="27"/>
  <c r="J116" i="27"/>
  <c r="F84" i="27"/>
  <c r="F86" i="27" s="1"/>
  <c r="L51" i="27"/>
  <c r="H51" i="27"/>
  <c r="F113" i="27"/>
  <c r="J51" i="27"/>
  <c r="F51" i="27"/>
  <c r="K82" i="27"/>
  <c r="M57" i="27"/>
  <c r="M66" i="27" s="1"/>
  <c r="O57" i="27"/>
  <c r="O66" i="27" s="1"/>
  <c r="M113" i="27"/>
  <c r="L361" i="27"/>
  <c r="J330" i="27"/>
  <c r="H268" i="27"/>
  <c r="F485" i="27"/>
  <c r="M237" i="27"/>
  <c r="G119" i="27"/>
  <c r="G128" i="27" s="1"/>
  <c r="L88" i="27"/>
  <c r="H115" i="27"/>
  <c r="H117" i="27" s="1"/>
  <c r="F83" i="27"/>
  <c r="J119" i="27"/>
  <c r="G88" i="27"/>
  <c r="G97" i="27" s="1"/>
  <c r="E26" i="27"/>
  <c r="E35" i="27" s="1"/>
  <c r="E51" i="27"/>
  <c r="D89" i="27"/>
  <c r="F90" i="27"/>
  <c r="F92" i="27" s="1"/>
  <c r="F96" i="27" s="1"/>
  <c r="F106" i="27" s="1"/>
  <c r="E114" i="27"/>
  <c r="F54" i="27"/>
  <c r="F60" i="27"/>
  <c r="H83" i="27"/>
  <c r="H52" i="27"/>
  <c r="M114" i="27"/>
  <c r="I83" i="27"/>
  <c r="H85" i="27"/>
  <c r="E59" i="27"/>
  <c r="D116" i="27"/>
  <c r="H119" i="27"/>
  <c r="H128" i="27" s="1"/>
  <c r="E88" i="27"/>
  <c r="E97" i="27" s="1"/>
  <c r="J85" i="27"/>
  <c r="I116" i="27"/>
  <c r="E20" i="27"/>
  <c r="K51" i="27"/>
  <c r="I51" i="27"/>
  <c r="G51" i="27"/>
  <c r="J113" i="27"/>
  <c r="G82" i="27"/>
  <c r="G84" i="27"/>
  <c r="G86" i="27" s="1"/>
  <c r="H120" i="27"/>
  <c r="J84" i="27"/>
  <c r="J86" i="27" s="1"/>
  <c r="D83" i="27"/>
  <c r="E90" i="27"/>
  <c r="E92" i="27" s="1"/>
  <c r="E96" i="27" s="1"/>
  <c r="E106" i="27" s="1"/>
  <c r="N113" i="27"/>
  <c r="F119" i="27"/>
  <c r="F128" i="27" s="1"/>
  <c r="K88" i="27"/>
  <c r="K97" i="27" s="1"/>
  <c r="N20" i="27"/>
  <c r="F114" i="27"/>
  <c r="F26" i="27"/>
  <c r="F35" i="27" s="1"/>
  <c r="G20" i="27"/>
  <c r="E54" i="27"/>
  <c r="D120" i="27"/>
  <c r="H114" i="27"/>
  <c r="D88" i="27"/>
  <c r="D97" i="27" s="1"/>
  <c r="L59" i="27"/>
  <c r="L61" i="27" s="1"/>
  <c r="N89" i="27"/>
  <c r="I122" i="27"/>
  <c r="J53" i="27"/>
  <c r="J55" i="27" s="1"/>
  <c r="L90" i="27"/>
  <c r="L92" i="27" s="1"/>
  <c r="L121" i="27"/>
  <c r="L123" i="27" s="1"/>
  <c r="L127" i="27" s="1"/>
  <c r="L137" i="27" s="1"/>
  <c r="O59" i="27"/>
  <c r="O61" i="27" s="1"/>
  <c r="O65" i="27" s="1"/>
  <c r="O75" i="27" s="1"/>
  <c r="K120" i="27"/>
  <c r="L85" i="27"/>
  <c r="G53" i="27"/>
  <c r="G55" i="27" s="1"/>
  <c r="F122" i="27"/>
  <c r="E91" i="27"/>
  <c r="F59" i="27"/>
  <c r="F61" i="27" s="1"/>
  <c r="F65" i="27" s="1"/>
  <c r="F75" i="27" s="1"/>
  <c r="O121" i="27"/>
  <c r="O123" i="27" s="1"/>
  <c r="O127" i="27" s="1"/>
  <c r="O137" i="27" s="1"/>
  <c r="J59" i="27"/>
  <c r="J61" i="27" s="1"/>
  <c r="K84" i="27"/>
  <c r="K86" i="27" s="1"/>
  <c r="H53" i="27"/>
  <c r="H55" i="27" s="1"/>
  <c r="J121" i="27"/>
  <c r="M59" i="27"/>
  <c r="M61" i="27" s="1"/>
  <c r="M65" i="27" s="1"/>
  <c r="M75" i="27" s="1"/>
  <c r="I120" i="27"/>
  <c r="N58" i="27"/>
  <c r="D52" i="27"/>
  <c r="H121" i="27"/>
  <c r="H123" i="27" s="1"/>
  <c r="H127" i="27" s="1"/>
  <c r="H137" i="27" s="1"/>
  <c r="M121" i="27"/>
  <c r="M123" i="27" s="1"/>
  <c r="M127" i="27" s="1"/>
  <c r="M137" i="27" s="1"/>
  <c r="K59" i="27"/>
  <c r="K61" i="27" s="1"/>
  <c r="K65" i="27" s="1"/>
  <c r="K75" i="27" s="1"/>
  <c r="N84" i="27"/>
  <c r="N86" i="27" s="1"/>
  <c r="L58" i="27"/>
  <c r="E82" i="27"/>
  <c r="G83" i="27"/>
  <c r="K121" i="27"/>
  <c r="K123" i="27" s="1"/>
  <c r="K127" i="27" s="1"/>
  <c r="K137" i="27" s="1"/>
  <c r="O84" i="27"/>
  <c r="O86" i="27" s="1"/>
  <c r="N120" i="27"/>
  <c r="N60" i="27"/>
  <c r="M85" i="27"/>
  <c r="I59" i="27"/>
  <c r="I61" i="27" s="1"/>
  <c r="I65" i="27" s="1"/>
  <c r="I75" i="27" s="1"/>
  <c r="J58" i="27"/>
  <c r="M83" i="27"/>
  <c r="F58" i="27"/>
  <c r="E84" i="27"/>
  <c r="E86" i="27" s="1"/>
  <c r="L57" i="27"/>
  <c r="L66" i="27" s="1"/>
  <c r="J57" i="27"/>
  <c r="J66" i="27" s="1"/>
  <c r="H57" i="27"/>
  <c r="H66" i="27" s="1"/>
  <c r="F57" i="27"/>
  <c r="F66" i="27" s="1"/>
  <c r="H113" i="27"/>
  <c r="M243" i="27"/>
  <c r="M252" i="27" s="1"/>
  <c r="K85" i="27"/>
  <c r="E83" i="27"/>
  <c r="D119" i="27"/>
  <c r="D128" i="27" s="1"/>
  <c r="D91" i="27"/>
  <c r="F53" i="27"/>
  <c r="F55" i="27" s="1"/>
  <c r="D122" i="27"/>
  <c r="O54" i="27"/>
  <c r="K91" i="27"/>
  <c r="L120" i="27"/>
  <c r="L60" i="27"/>
  <c r="O116" i="27"/>
  <c r="N115" i="27"/>
  <c r="N117" i="27" s="1"/>
  <c r="H58" i="27"/>
  <c r="F116" i="27"/>
  <c r="F85" i="27"/>
  <c r="D59" i="27"/>
  <c r="M54" i="27"/>
  <c r="J120" i="27"/>
  <c r="J60" i="27"/>
  <c r="M116" i="27"/>
  <c r="N91" i="27"/>
  <c r="L115" i="27"/>
  <c r="L117" i="27" s="1"/>
  <c r="E115" i="27"/>
  <c r="E117" i="27" s="1"/>
  <c r="G59" i="27"/>
  <c r="G61" i="27" s="1"/>
  <c r="G65" i="27" s="1"/>
  <c r="G75" i="27" s="1"/>
  <c r="D90" i="27"/>
  <c r="D92" i="27" s="1"/>
  <c r="D96" i="27" s="1"/>
  <c r="I114" i="27"/>
  <c r="G121" i="27"/>
  <c r="G123" i="27" s="1"/>
  <c r="G127" i="27" s="1"/>
  <c r="G137" i="27" s="1"/>
  <c r="E52" i="27"/>
  <c r="K54" i="27"/>
  <c r="O91" i="27"/>
  <c r="H60" i="27"/>
  <c r="N83" i="27"/>
  <c r="K116" i="27"/>
  <c r="N54" i="27"/>
  <c r="K89" i="27"/>
  <c r="J115" i="27"/>
  <c r="J117" i="27" s="1"/>
  <c r="O53" i="27"/>
  <c r="O55" i="27" s="1"/>
  <c r="M90" i="27"/>
  <c r="M92" i="27" s="1"/>
  <c r="M96" i="27" s="1"/>
  <c r="M106" i="27" s="1"/>
  <c r="G60" i="27"/>
  <c r="D54" i="27"/>
  <c r="D85" i="27"/>
  <c r="F120" i="27"/>
  <c r="O88" i="27"/>
  <c r="O97" i="27" s="1"/>
  <c r="L119" i="27"/>
  <c r="I88" i="27"/>
  <c r="I97" i="27" s="1"/>
  <c r="I90" i="27"/>
  <c r="I92" i="27" s="1"/>
  <c r="I96" i="27" s="1"/>
  <c r="I106" i="27" s="1"/>
  <c r="G116" i="27"/>
  <c r="G115" i="27"/>
  <c r="G117" i="27" s="1"/>
  <c r="E89" i="27"/>
  <c r="J90" i="27"/>
  <c r="J92" i="27" s="1"/>
  <c r="J96" i="27" s="1"/>
  <c r="J106" i="27" s="1"/>
  <c r="N116" i="27"/>
  <c r="I54" i="27"/>
  <c r="L54" i="27"/>
  <c r="M53" i="27"/>
  <c r="M55" i="27" s="1"/>
  <c r="I85" i="27"/>
  <c r="F89" i="27"/>
  <c r="I89" i="27"/>
  <c r="L116" i="27"/>
  <c r="O115" i="27"/>
  <c r="O117" i="27" s="1"/>
  <c r="O58" i="27"/>
  <c r="J54" i="27"/>
  <c r="O89" i="27"/>
  <c r="K53" i="27"/>
  <c r="K55" i="27" s="1"/>
  <c r="H90" i="27"/>
  <c r="H92" i="27" s="1"/>
  <c r="H96" i="27" s="1"/>
  <c r="H106" i="27" s="1"/>
  <c r="F91" i="27"/>
  <c r="K83" i="27"/>
  <c r="D57" i="27"/>
  <c r="D66" i="27" s="1"/>
  <c r="M115" i="27"/>
  <c r="M117" i="27" s="1"/>
  <c r="M58" i="27"/>
  <c r="N90" i="27"/>
  <c r="H54" i="27"/>
  <c r="L84" i="27"/>
  <c r="L86" i="27" s="1"/>
  <c r="N122" i="27"/>
  <c r="I53" i="27"/>
  <c r="I55" i="27" s="1"/>
  <c r="N85" i="27"/>
  <c r="G120" i="27"/>
  <c r="D113" i="27"/>
  <c r="N52" i="27"/>
  <c r="M84" i="27"/>
  <c r="M86" i="27" s="1"/>
  <c r="K115" i="27"/>
  <c r="K117" i="27" s="1"/>
  <c r="K58" i="27"/>
  <c r="N114" i="27"/>
  <c r="L122" i="27"/>
  <c r="F52" i="27"/>
  <c r="E113" i="27"/>
  <c r="J83" i="27"/>
  <c r="D121" i="27"/>
  <c r="D123" i="27" s="1"/>
  <c r="D127" i="27" s="1"/>
  <c r="H84" i="27"/>
  <c r="H86" i="27" s="1"/>
  <c r="G54" i="27"/>
  <c r="L52" i="27"/>
  <c r="I91" i="27"/>
  <c r="I115" i="27"/>
  <c r="I117" i="27" s="1"/>
  <c r="I58" i="27"/>
  <c r="L114" i="27"/>
  <c r="O52" i="27"/>
  <c r="J122" i="27"/>
  <c r="O60" i="27"/>
  <c r="E58" i="27"/>
  <c r="D53" i="27"/>
  <c r="D55" i="27" s="1"/>
  <c r="D115" i="27"/>
  <c r="D117" i="27" s="1"/>
  <c r="G114" i="27"/>
  <c r="E116" i="27"/>
  <c r="O114" i="27"/>
  <c r="J52" i="27"/>
  <c r="O85" i="27"/>
  <c r="M52" i="27"/>
  <c r="L91" i="27"/>
  <c r="H122" i="27"/>
  <c r="M60" i="27"/>
  <c r="O83" i="27"/>
  <c r="G89" i="27"/>
  <c r="G52" i="27"/>
  <c r="M91" i="27"/>
  <c r="O122" i="27"/>
  <c r="L83" i="27"/>
  <c r="K52" i="27"/>
  <c r="K60" i="27"/>
  <c r="K90" i="27"/>
  <c r="K92" i="27" s="1"/>
  <c r="I121" i="27"/>
  <c r="K114" i="27"/>
  <c r="J89" i="27"/>
  <c r="M122" i="27"/>
  <c r="N53" i="27"/>
  <c r="N55" i="27" s="1"/>
  <c r="I52" i="27"/>
  <c r="O120" i="27"/>
  <c r="I60" i="27"/>
  <c r="I84" i="27"/>
  <c r="I86" i="27" s="1"/>
  <c r="J114" i="27"/>
  <c r="E122" i="27"/>
  <c r="D150" i="27"/>
  <c r="D159" i="27" s="1"/>
  <c r="D84" i="27"/>
  <c r="D86" i="27" s="1"/>
  <c r="D26" i="27"/>
  <c r="D35" i="27" s="1"/>
  <c r="G91" i="27"/>
  <c r="G90" i="27"/>
  <c r="G92" i="27" s="1"/>
  <c r="N59" i="27"/>
  <c r="N61" i="27" s="1"/>
  <c r="N65" i="27" s="1"/>
  <c r="N75" i="27" s="1"/>
  <c r="K122" i="27"/>
  <c r="L53" i="27"/>
  <c r="L55" i="27" s="1"/>
  <c r="N121" i="27"/>
  <c r="N123" i="27" s="1"/>
  <c r="N127" i="27" s="1"/>
  <c r="N137" i="27" s="1"/>
  <c r="M89" i="27"/>
  <c r="M120" i="27"/>
  <c r="O90" i="27"/>
  <c r="O92" i="27" s="1"/>
  <c r="O96" i="27" s="1"/>
  <c r="O106" i="27" s="1"/>
  <c r="E85" i="27"/>
  <c r="K460" i="27"/>
  <c r="K469" i="27" s="1"/>
  <c r="G274" i="27"/>
  <c r="G283" i="27" s="1"/>
  <c r="E144" i="27"/>
  <c r="G398" i="27"/>
  <c r="G407" i="27" s="1"/>
  <c r="E361" i="27"/>
  <c r="K150" i="27"/>
  <c r="K159" i="27" s="1"/>
  <c r="I429" i="27"/>
  <c r="I438" i="27" s="1"/>
  <c r="G429" i="27"/>
  <c r="G438" i="27" s="1"/>
  <c r="E330" i="27"/>
  <c r="K336" i="27"/>
  <c r="K345" i="27" s="1"/>
  <c r="G460" i="27"/>
  <c r="G469" i="27" s="1"/>
  <c r="E299" i="27"/>
  <c r="I305" i="27"/>
  <c r="I314" i="27" s="1"/>
  <c r="K181" i="27"/>
  <c r="K190" i="27" s="1"/>
  <c r="G491" i="27"/>
  <c r="G500" i="27" s="1"/>
  <c r="E336" i="27"/>
  <c r="E345" i="27" s="1"/>
  <c r="E305" i="27"/>
  <c r="E314" i="27" s="1"/>
  <c r="I336" i="27"/>
  <c r="I345" i="27" s="1"/>
  <c r="G367" i="27"/>
  <c r="G376" i="27" s="1"/>
  <c r="K491" i="27"/>
  <c r="K500" i="27" s="1"/>
  <c r="G181" i="27"/>
  <c r="G190" i="27" s="1"/>
  <c r="K361" i="27"/>
  <c r="E423" i="27"/>
  <c r="G454" i="27"/>
  <c r="I181" i="27"/>
  <c r="I190" i="27" s="1"/>
  <c r="K212" i="27"/>
  <c r="K221" i="27" s="1"/>
  <c r="I274" i="27"/>
  <c r="I283" i="27" s="1"/>
  <c r="E175" i="27"/>
  <c r="E392" i="27"/>
  <c r="K429" i="27"/>
  <c r="K438" i="27" s="1"/>
  <c r="I367" i="27"/>
  <c r="I376" i="27" s="1"/>
  <c r="G212" i="27"/>
  <c r="G221" i="27" s="1"/>
  <c r="J392" i="27"/>
  <c r="I398" i="27"/>
  <c r="I407" i="27" s="1"/>
  <c r="G243" i="27"/>
  <c r="G252" i="27" s="1"/>
  <c r="E274" i="27"/>
  <c r="E283" i="27" s="1"/>
  <c r="E268" i="27"/>
  <c r="D181" i="27"/>
  <c r="D190" i="27" s="1"/>
  <c r="K274" i="27"/>
  <c r="K283" i="27" s="1"/>
  <c r="I460" i="27"/>
  <c r="I469" i="27" s="1"/>
  <c r="G305" i="27"/>
  <c r="G314" i="27" s="1"/>
  <c r="K243" i="27"/>
  <c r="I491" i="27"/>
  <c r="I500" i="27" s="1"/>
  <c r="J367" i="27"/>
  <c r="J376" i="27" s="1"/>
  <c r="J398" i="27"/>
  <c r="J407" i="27" s="1"/>
  <c r="M274" i="27"/>
  <c r="M283" i="27" s="1"/>
  <c r="K398" i="27"/>
  <c r="I212" i="27"/>
  <c r="I221" i="27" s="1"/>
  <c r="M336" i="27"/>
  <c r="J429" i="27"/>
  <c r="J438" i="27" s="1"/>
  <c r="H460" i="27"/>
  <c r="L305" i="27"/>
  <c r="L314" i="27" s="1"/>
  <c r="H150" i="27"/>
  <c r="F212" i="27"/>
  <c r="F221" i="27" s="1"/>
  <c r="M460" i="27"/>
  <c r="M206" i="27"/>
  <c r="L243" i="27"/>
  <c r="L252" i="27" s="1"/>
  <c r="L268" i="27"/>
  <c r="H398" i="27"/>
  <c r="H407" i="27" s="1"/>
  <c r="H144" i="27"/>
  <c r="F243" i="27"/>
  <c r="F252" i="27" s="1"/>
  <c r="F237" i="27"/>
  <c r="M491" i="27"/>
  <c r="M500" i="27" s="1"/>
  <c r="L491" i="27"/>
  <c r="L500" i="27" s="1"/>
  <c r="L237" i="27"/>
  <c r="H367" i="27"/>
  <c r="H376" i="27" s="1"/>
  <c r="H392" i="27"/>
  <c r="F274" i="27"/>
  <c r="F268" i="27"/>
  <c r="H181" i="27"/>
  <c r="H190" i="27" s="1"/>
  <c r="M429" i="27"/>
  <c r="M438" i="27" s="1"/>
  <c r="L274" i="27"/>
  <c r="L283" i="27" s="1"/>
  <c r="L212" i="27"/>
  <c r="L221" i="27" s="1"/>
  <c r="L485" i="27"/>
  <c r="H336" i="27"/>
  <c r="H345" i="27" s="1"/>
  <c r="H361" i="27"/>
  <c r="F305" i="27"/>
  <c r="F314" i="27" s="1"/>
  <c r="F299" i="27"/>
  <c r="L460" i="27"/>
  <c r="L469" i="27" s="1"/>
  <c r="L206" i="27"/>
  <c r="J150" i="27"/>
  <c r="J159" i="27" s="1"/>
  <c r="J144" i="27"/>
  <c r="H305" i="27"/>
  <c r="H314" i="27" s="1"/>
  <c r="H330" i="27"/>
  <c r="F336" i="27"/>
  <c r="F330" i="27"/>
  <c r="M367" i="27"/>
  <c r="M376" i="27" s="1"/>
  <c r="J460" i="27"/>
  <c r="J469" i="27" s="1"/>
  <c r="F150" i="27"/>
  <c r="F159" i="27" s="1"/>
  <c r="F367" i="27"/>
  <c r="F376" i="27" s="1"/>
  <c r="J491" i="27"/>
  <c r="J500" i="27" s="1"/>
  <c r="J181" i="27"/>
  <c r="J190" i="27" s="1"/>
  <c r="L429" i="27"/>
  <c r="L175" i="27"/>
  <c r="J212" i="27"/>
  <c r="J221" i="27" s="1"/>
  <c r="J206" i="27"/>
  <c r="F398" i="27"/>
  <c r="F407" i="27" s="1"/>
  <c r="F392" i="27"/>
  <c r="L150" i="27"/>
  <c r="M305" i="27"/>
  <c r="F429" i="27"/>
  <c r="M181" i="27"/>
  <c r="M190" i="27" s="1"/>
  <c r="L398" i="27"/>
  <c r="J274" i="27"/>
  <c r="F460" i="27"/>
  <c r="F469" i="27" s="1"/>
  <c r="F12" i="27"/>
  <c r="M212" i="27"/>
  <c r="L367" i="27"/>
  <c r="L392" i="27"/>
  <c r="J305" i="27"/>
  <c r="J314" i="27" s="1"/>
  <c r="J299" i="27"/>
  <c r="H274" i="27"/>
  <c r="H283" i="27" s="1"/>
  <c r="H299" i="27"/>
  <c r="F491" i="27"/>
  <c r="F500" i="27" s="1"/>
  <c r="M398" i="27"/>
  <c r="M407" i="27" s="1"/>
  <c r="H429" i="27"/>
  <c r="H438" i="27" s="1"/>
  <c r="J243" i="27"/>
  <c r="K330" i="27"/>
  <c r="I485" i="27"/>
  <c r="G485" i="27"/>
  <c r="K299" i="27"/>
  <c r="G175" i="27"/>
  <c r="K237" i="27"/>
  <c r="I206" i="27"/>
  <c r="G206" i="27"/>
  <c r="I144" i="27"/>
  <c r="G144" i="27"/>
  <c r="K485" i="27"/>
  <c r="K268" i="27"/>
  <c r="I175" i="27"/>
  <c r="I237" i="27"/>
  <c r="G237" i="27"/>
  <c r="K206" i="27"/>
  <c r="I268" i="27"/>
  <c r="G268" i="27"/>
  <c r="K175" i="27"/>
  <c r="I330" i="27"/>
  <c r="G330" i="27"/>
  <c r="K423" i="27"/>
  <c r="I361" i="27"/>
  <c r="G361" i="27"/>
  <c r="I299" i="27"/>
  <c r="K144" i="27"/>
  <c r="I392" i="27"/>
  <c r="G392" i="27"/>
  <c r="K454" i="27"/>
  <c r="G299" i="27"/>
  <c r="N485" i="27"/>
  <c r="N454" i="27"/>
  <c r="N423" i="27"/>
  <c r="N392" i="27"/>
  <c r="N361" i="27"/>
  <c r="N330" i="27"/>
  <c r="N299" i="27"/>
  <c r="N268" i="27"/>
  <c r="N237" i="27"/>
  <c r="N206" i="27"/>
  <c r="N175" i="27"/>
  <c r="N144" i="27"/>
  <c r="N491" i="27"/>
  <c r="N460" i="27"/>
  <c r="N429" i="27"/>
  <c r="N398" i="27"/>
  <c r="N367" i="27"/>
  <c r="N336" i="27"/>
  <c r="N305" i="27"/>
  <c r="N274" i="27"/>
  <c r="N243" i="27"/>
  <c r="N212" i="27"/>
  <c r="N150" i="27"/>
  <c r="O485" i="27"/>
  <c r="O454" i="27"/>
  <c r="O423" i="27"/>
  <c r="O392" i="27"/>
  <c r="O361" i="27"/>
  <c r="O330" i="27"/>
  <c r="O299" i="27"/>
  <c r="O268" i="27"/>
  <c r="O237" i="27"/>
  <c r="O206" i="27"/>
  <c r="O175" i="27"/>
  <c r="O144" i="27"/>
  <c r="O491" i="27"/>
  <c r="O460" i="27"/>
  <c r="O429" i="27"/>
  <c r="O398" i="27"/>
  <c r="O367" i="27"/>
  <c r="O336" i="27"/>
  <c r="O305" i="27"/>
  <c r="O274" i="27"/>
  <c r="O243" i="27"/>
  <c r="O212" i="27"/>
  <c r="O181" i="27"/>
  <c r="O150" i="27"/>
  <c r="I12" i="27"/>
  <c r="M12" i="27"/>
  <c r="O12" i="27"/>
  <c r="K12" i="27"/>
  <c r="P9" i="27" l="1"/>
  <c r="P10" i="27"/>
  <c r="N12" i="27"/>
  <c r="P11" i="27"/>
  <c r="D12" i="27"/>
  <c r="K96" i="27"/>
  <c r="K106" i="27" s="1"/>
  <c r="K14" i="27" s="1"/>
  <c r="E30" i="27"/>
  <c r="E34" i="27" s="1"/>
  <c r="J123" i="27"/>
  <c r="J127" i="27" s="1"/>
  <c r="J137" i="27" s="1"/>
  <c r="I123" i="27"/>
  <c r="I127" i="27" s="1"/>
  <c r="J65" i="27"/>
  <c r="J75" i="27" s="1"/>
  <c r="J34" i="27"/>
  <c r="J44" i="27" s="1"/>
  <c r="I30" i="27"/>
  <c r="I34" i="27" s="1"/>
  <c r="J100" i="27"/>
  <c r="I100" i="27"/>
  <c r="J193" i="27"/>
  <c r="G96" i="27"/>
  <c r="G106" i="27" s="1"/>
  <c r="E61" i="27"/>
  <c r="E65" i="27" s="1"/>
  <c r="D30" i="27"/>
  <c r="D61" i="27"/>
  <c r="D65" i="27" s="1"/>
  <c r="H14" i="27"/>
  <c r="L194" i="27"/>
  <c r="N221" i="27"/>
  <c r="N158" i="27"/>
  <c r="N163" i="27" s="1"/>
  <c r="N220" i="27"/>
  <c r="N225" i="27" s="1"/>
  <c r="N97" i="27"/>
  <c r="N35" i="27"/>
  <c r="N39" i="27"/>
  <c r="N92" i="27"/>
  <c r="N96" i="27" s="1"/>
  <c r="N101" i="27" s="1"/>
  <c r="M158" i="27"/>
  <c r="M163" i="27" s="1"/>
  <c r="M220" i="27"/>
  <c r="M230" i="27" s="1"/>
  <c r="M14" i="27" s="1"/>
  <c r="M221" i="27"/>
  <c r="L96" i="27"/>
  <c r="L106" i="27" s="1"/>
  <c r="L108" i="27" s="1"/>
  <c r="L159" i="27"/>
  <c r="L163" i="27"/>
  <c r="L97" i="27"/>
  <c r="L65" i="27"/>
  <c r="L75" i="27" s="1"/>
  <c r="L35" i="27"/>
  <c r="L34" i="27"/>
  <c r="L38" i="27" s="1"/>
  <c r="H441" i="27"/>
  <c r="F503" i="27"/>
  <c r="O410" i="27"/>
  <c r="G224" i="27"/>
  <c r="E193" i="27"/>
  <c r="F379" i="27"/>
  <c r="H38" i="27"/>
  <c r="N348" i="27"/>
  <c r="M38" i="27"/>
  <c r="O255" i="27"/>
  <c r="K348" i="27"/>
  <c r="J472" i="27"/>
  <c r="G379" i="27"/>
  <c r="M39" i="27"/>
  <c r="M441" i="27"/>
  <c r="O224" i="27"/>
  <c r="O14" i="27"/>
  <c r="E194" i="27"/>
  <c r="F14" i="27"/>
  <c r="J162" i="27"/>
  <c r="E410" i="27"/>
  <c r="O317" i="27"/>
  <c r="K255" i="27"/>
  <c r="D410" i="27"/>
  <c r="D503" i="27"/>
  <c r="L255" i="27"/>
  <c r="M193" i="27"/>
  <c r="M317" i="27"/>
  <c r="E190" i="27"/>
  <c r="L317" i="27"/>
  <c r="G163" i="27"/>
  <c r="I317" i="27"/>
  <c r="D255" i="27"/>
  <c r="I379" i="27"/>
  <c r="G349" i="27"/>
  <c r="G348" i="27"/>
  <c r="O286" i="27"/>
  <c r="K224" i="27"/>
  <c r="I256" i="27"/>
  <c r="G345" i="27"/>
  <c r="I255" i="27"/>
  <c r="K38" i="27"/>
  <c r="J286" i="27"/>
  <c r="L349" i="27"/>
  <c r="M255" i="27"/>
  <c r="H162" i="27"/>
  <c r="F224" i="27"/>
  <c r="E441" i="27"/>
  <c r="L193" i="27"/>
  <c r="K503" i="27"/>
  <c r="L441" i="27"/>
  <c r="N38" i="27"/>
  <c r="G70" i="27"/>
  <c r="N503" i="27"/>
  <c r="F194" i="27"/>
  <c r="J410" i="27"/>
  <c r="E162" i="27"/>
  <c r="F38" i="27"/>
  <c r="D162" i="27"/>
  <c r="G255" i="27"/>
  <c r="E255" i="27"/>
  <c r="E286" i="27"/>
  <c r="I224" i="27"/>
  <c r="H348" i="27"/>
  <c r="I472" i="27"/>
  <c r="K380" i="27"/>
  <c r="I193" i="27"/>
  <c r="K286" i="27"/>
  <c r="J128" i="27"/>
  <c r="E317" i="27"/>
  <c r="O193" i="27"/>
  <c r="K441" i="27"/>
  <c r="F286" i="27"/>
  <c r="E442" i="27"/>
  <c r="M379" i="27"/>
  <c r="L224" i="27"/>
  <c r="E411" i="27"/>
  <c r="O348" i="27"/>
  <c r="L472" i="27"/>
  <c r="D411" i="27"/>
  <c r="D348" i="27"/>
  <c r="D318" i="27"/>
  <c r="K193" i="27"/>
  <c r="E379" i="27"/>
  <c r="L323" i="27"/>
  <c r="P323" i="27" s="1"/>
  <c r="G317" i="27"/>
  <c r="H379" i="27"/>
  <c r="I70" i="27"/>
  <c r="O472" i="27"/>
  <c r="E380" i="27"/>
  <c r="E503" i="27"/>
  <c r="J349" i="27"/>
  <c r="P122" i="27"/>
  <c r="J348" i="27"/>
  <c r="D441" i="27"/>
  <c r="P210" i="27"/>
  <c r="F255" i="27"/>
  <c r="J503" i="27"/>
  <c r="K317" i="27"/>
  <c r="L162" i="27"/>
  <c r="M410" i="27"/>
  <c r="K287" i="27"/>
  <c r="G69" i="27"/>
  <c r="F441" i="27"/>
  <c r="F472" i="27"/>
  <c r="P331" i="27"/>
  <c r="P395" i="27"/>
  <c r="I503" i="27"/>
  <c r="P463" i="27"/>
  <c r="P241" i="27"/>
  <c r="P182" i="27"/>
  <c r="P240" i="27"/>
  <c r="P424" i="27"/>
  <c r="P277" i="27"/>
  <c r="J441" i="27"/>
  <c r="P269" i="27"/>
  <c r="H504" i="27"/>
  <c r="P86" i="27"/>
  <c r="I69" i="27"/>
  <c r="M131" i="27"/>
  <c r="P362" i="27"/>
  <c r="P238" i="27"/>
  <c r="P401" i="27"/>
  <c r="P302" i="27"/>
  <c r="P393" i="27"/>
  <c r="P432" i="27"/>
  <c r="P207" i="27"/>
  <c r="P370" i="27"/>
  <c r="P368" i="27"/>
  <c r="P244" i="27"/>
  <c r="P147" i="27"/>
  <c r="L348" i="27"/>
  <c r="P176" i="27"/>
  <c r="J101" i="27"/>
  <c r="D442" i="27"/>
  <c r="H255" i="27"/>
  <c r="M348" i="27"/>
  <c r="P82" i="27"/>
  <c r="K69" i="27"/>
  <c r="P148" i="27"/>
  <c r="P337" i="27"/>
  <c r="P492" i="27"/>
  <c r="F193" i="27"/>
  <c r="G39" i="27"/>
  <c r="I441" i="27"/>
  <c r="P430" i="27"/>
  <c r="H472" i="27"/>
  <c r="P488" i="27"/>
  <c r="G472" i="27"/>
  <c r="E348" i="27"/>
  <c r="H317" i="27"/>
  <c r="J379" i="27"/>
  <c r="P215" i="27"/>
  <c r="K318" i="27"/>
  <c r="D225" i="27"/>
  <c r="K379" i="27"/>
  <c r="I410" i="27"/>
  <c r="F348" i="27"/>
  <c r="H286" i="27"/>
  <c r="P333" i="27"/>
  <c r="H224" i="27"/>
  <c r="H256" i="27"/>
  <c r="J411" i="27"/>
  <c r="G286" i="27"/>
  <c r="H503" i="27"/>
  <c r="P120" i="27"/>
  <c r="H131" i="27"/>
  <c r="P113" i="27"/>
  <c r="H132" i="27"/>
  <c r="G132" i="27"/>
  <c r="M100" i="27"/>
  <c r="H69" i="27"/>
  <c r="M69" i="27"/>
  <c r="K70" i="27"/>
  <c r="H39" i="27"/>
  <c r="O38" i="27"/>
  <c r="P84" i="27"/>
  <c r="P91" i="27"/>
  <c r="P272" i="27"/>
  <c r="P208" i="27"/>
  <c r="N441" i="27"/>
  <c r="I286" i="27"/>
  <c r="I162" i="27"/>
  <c r="E224" i="27"/>
  <c r="M286" i="27"/>
  <c r="P334" i="27"/>
  <c r="P396" i="27"/>
  <c r="P399" i="27"/>
  <c r="P494" i="27"/>
  <c r="P457" i="27"/>
  <c r="P458" i="27"/>
  <c r="P303" i="27"/>
  <c r="P246" i="27"/>
  <c r="P27" i="27"/>
  <c r="E225" i="27"/>
  <c r="P117" i="27"/>
  <c r="P271" i="27"/>
  <c r="P29" i="27"/>
  <c r="P426" i="27"/>
  <c r="P308" i="27"/>
  <c r="P58" i="27"/>
  <c r="K472" i="27"/>
  <c r="K132" i="27"/>
  <c r="P309" i="27"/>
  <c r="J442" i="27"/>
  <c r="F317" i="27"/>
  <c r="L286" i="27"/>
  <c r="E101" i="27"/>
  <c r="L132" i="27"/>
  <c r="M503" i="27"/>
  <c r="P83" i="27"/>
  <c r="P489" i="27"/>
  <c r="P461" i="27"/>
  <c r="P151" i="27"/>
  <c r="M35" i="27"/>
  <c r="D168" i="27"/>
  <c r="N193" i="27"/>
  <c r="E473" i="27"/>
  <c r="P89" i="27"/>
  <c r="P145" i="27"/>
  <c r="P339" i="27"/>
  <c r="J447" i="27"/>
  <c r="P447" i="27" s="1"/>
  <c r="F132" i="27"/>
  <c r="P427" i="27"/>
  <c r="P209" i="27"/>
  <c r="P184" i="27"/>
  <c r="H70" i="27"/>
  <c r="P116" i="27"/>
  <c r="P306" i="27"/>
  <c r="H193" i="27"/>
  <c r="P364" i="27"/>
  <c r="K162" i="27"/>
  <c r="D349" i="27"/>
  <c r="I163" i="27"/>
  <c r="P85" i="27"/>
  <c r="K39" i="27"/>
  <c r="O39" i="27"/>
  <c r="D256" i="27"/>
  <c r="N286" i="27"/>
  <c r="P400" i="27"/>
  <c r="P152" i="27"/>
  <c r="G380" i="27"/>
  <c r="M132" i="27"/>
  <c r="P54" i="27"/>
  <c r="P455" i="27"/>
  <c r="P300" i="27"/>
  <c r="P154" i="27"/>
  <c r="P60" i="27"/>
  <c r="P20" i="27"/>
  <c r="P179" i="27"/>
  <c r="P365" i="27"/>
  <c r="N317" i="27"/>
  <c r="P493" i="27"/>
  <c r="L503" i="27"/>
  <c r="E163" i="27"/>
  <c r="D317" i="27"/>
  <c r="M101" i="27"/>
  <c r="P275" i="27"/>
  <c r="P153" i="27"/>
  <c r="P55" i="27"/>
  <c r="D163" i="27"/>
  <c r="E256" i="27"/>
  <c r="D504" i="27"/>
  <c r="E472" i="27"/>
  <c r="E132" i="27"/>
  <c r="H100" i="27"/>
  <c r="P114" i="27"/>
  <c r="P486" i="27"/>
  <c r="P178" i="27"/>
  <c r="P213" i="27"/>
  <c r="F39" i="27"/>
  <c r="O162" i="27"/>
  <c r="N410" i="27"/>
  <c r="P487" i="27"/>
  <c r="P88" i="27"/>
  <c r="E504" i="27"/>
  <c r="F131" i="27"/>
  <c r="P28" i="27"/>
  <c r="G442" i="27"/>
  <c r="P394" i="27"/>
  <c r="L379" i="27"/>
  <c r="P121" i="27"/>
  <c r="E100" i="27"/>
  <c r="P344" i="27"/>
  <c r="O379" i="27"/>
  <c r="P425" i="27"/>
  <c r="P456" i="27"/>
  <c r="P332" i="27"/>
  <c r="F410" i="27"/>
  <c r="M70" i="27"/>
  <c r="L131" i="27"/>
  <c r="F100" i="27"/>
  <c r="P270" i="27"/>
  <c r="G131" i="27"/>
  <c r="P52" i="27"/>
  <c r="P183" i="27"/>
  <c r="O69" i="27"/>
  <c r="P23" i="27"/>
  <c r="N131" i="27"/>
  <c r="O100" i="27"/>
  <c r="P406" i="27"/>
  <c r="P251" i="27"/>
  <c r="J224" i="27"/>
  <c r="P464" i="27"/>
  <c r="M442" i="27"/>
  <c r="L410" i="27"/>
  <c r="K410" i="27"/>
  <c r="F69" i="27"/>
  <c r="E66" i="27"/>
  <c r="P66" i="27" s="1"/>
  <c r="O131" i="27"/>
  <c r="P402" i="27"/>
  <c r="L411" i="27"/>
  <c r="H225" i="27"/>
  <c r="P313" i="27"/>
  <c r="P278" i="27"/>
  <c r="P57" i="27"/>
  <c r="P433" i="27"/>
  <c r="P301" i="27"/>
  <c r="G503" i="27"/>
  <c r="G194" i="27"/>
  <c r="P53" i="27"/>
  <c r="N132" i="27"/>
  <c r="M472" i="27"/>
  <c r="P21" i="27"/>
  <c r="P22" i="27"/>
  <c r="P338" i="27"/>
  <c r="P363" i="27"/>
  <c r="P26" i="27"/>
  <c r="P371" i="27"/>
  <c r="P177" i="27"/>
  <c r="P437" i="27"/>
  <c r="N379" i="27"/>
  <c r="P146" i="27"/>
  <c r="P431" i="27"/>
  <c r="P354" i="27"/>
  <c r="P276" i="27"/>
  <c r="N69" i="27"/>
  <c r="O441" i="27"/>
  <c r="P369" i="27"/>
  <c r="H410" i="27"/>
  <c r="P185" i="27"/>
  <c r="P340" i="27"/>
  <c r="I473" i="27"/>
  <c r="P239" i="27"/>
  <c r="P509" i="27"/>
  <c r="P90" i="27"/>
  <c r="P115" i="27"/>
  <c r="E131" i="27"/>
  <c r="P307" i="27"/>
  <c r="J255" i="27"/>
  <c r="O503" i="27"/>
  <c r="P245" i="27"/>
  <c r="P495" i="27"/>
  <c r="N70" i="27"/>
  <c r="P499" i="27"/>
  <c r="P462" i="27"/>
  <c r="M256" i="27"/>
  <c r="P51" i="27"/>
  <c r="O132" i="27"/>
  <c r="G44" i="27"/>
  <c r="P247" i="27"/>
  <c r="N472" i="27"/>
  <c r="I348" i="27"/>
  <c r="H101" i="27"/>
  <c r="I101" i="27"/>
  <c r="K131" i="27"/>
  <c r="F162" i="27"/>
  <c r="F70" i="27"/>
  <c r="P119" i="27"/>
  <c r="N255" i="27"/>
  <c r="J317" i="27"/>
  <c r="G441" i="27"/>
  <c r="G38" i="27"/>
  <c r="P24" i="27"/>
  <c r="P214" i="27"/>
  <c r="O70" i="27"/>
  <c r="L128" i="27"/>
  <c r="O101" i="27"/>
  <c r="F101" i="27"/>
  <c r="P59" i="27"/>
  <c r="I194" i="27"/>
  <c r="G473" i="27"/>
  <c r="E318" i="27"/>
  <c r="K163" i="27"/>
  <c r="I442" i="27"/>
  <c r="K504" i="27"/>
  <c r="K349" i="27"/>
  <c r="G318" i="27"/>
  <c r="K473" i="27"/>
  <c r="E287" i="27"/>
  <c r="L225" i="27"/>
  <c r="G504" i="27"/>
  <c r="G287" i="27"/>
  <c r="M504" i="27"/>
  <c r="J473" i="27"/>
  <c r="I380" i="27"/>
  <c r="M380" i="27"/>
  <c r="G411" i="27"/>
  <c r="F473" i="27"/>
  <c r="E349" i="27"/>
  <c r="I349" i="27"/>
  <c r="G225" i="27"/>
  <c r="K442" i="27"/>
  <c r="F411" i="27"/>
  <c r="I287" i="27"/>
  <c r="M287" i="27"/>
  <c r="K194" i="27"/>
  <c r="I318" i="27"/>
  <c r="K225" i="27"/>
  <c r="I225" i="27"/>
  <c r="M411" i="27"/>
  <c r="H442" i="27"/>
  <c r="P398" i="27"/>
  <c r="H411" i="27"/>
  <c r="G256" i="27"/>
  <c r="I411" i="27"/>
  <c r="L473" i="27"/>
  <c r="K407" i="27"/>
  <c r="K411" i="27"/>
  <c r="K252" i="27"/>
  <c r="K256" i="27"/>
  <c r="J225" i="27"/>
  <c r="J380" i="27"/>
  <c r="I504" i="27"/>
  <c r="J318" i="27"/>
  <c r="P212" i="27"/>
  <c r="P416" i="27"/>
  <c r="M194" i="27"/>
  <c r="H194" i="27"/>
  <c r="F225" i="27"/>
  <c r="H318" i="27"/>
  <c r="F318" i="27"/>
  <c r="H380" i="27"/>
  <c r="F163" i="27"/>
  <c r="F380" i="27"/>
  <c r="L287" i="27"/>
  <c r="H287" i="27"/>
  <c r="H159" i="27"/>
  <c r="H163" i="27"/>
  <c r="P336" i="27"/>
  <c r="M159" i="27"/>
  <c r="J504" i="27"/>
  <c r="L504" i="27"/>
  <c r="H469" i="27"/>
  <c r="H473" i="27"/>
  <c r="P305" i="27"/>
  <c r="J256" i="27"/>
  <c r="J252" i="27"/>
  <c r="L318" i="27"/>
  <c r="M345" i="27"/>
  <c r="M349" i="27"/>
  <c r="L190" i="27"/>
  <c r="F438" i="27"/>
  <c r="F442" i="27"/>
  <c r="J283" i="27"/>
  <c r="J287" i="27"/>
  <c r="M318" i="27"/>
  <c r="M314" i="27"/>
  <c r="M469" i="27"/>
  <c r="M473" i="27"/>
  <c r="L256" i="27"/>
  <c r="H349" i="27"/>
  <c r="L407" i="27"/>
  <c r="P429" i="27"/>
  <c r="P181" i="27"/>
  <c r="L376" i="27"/>
  <c r="L380" i="27"/>
  <c r="F345" i="27"/>
  <c r="F349" i="27"/>
  <c r="D230" i="27"/>
  <c r="F256" i="27"/>
  <c r="P423" i="27"/>
  <c r="L438" i="27"/>
  <c r="L442" i="27"/>
  <c r="J194" i="27"/>
  <c r="F504" i="27"/>
  <c r="P216" i="27"/>
  <c r="J163" i="27"/>
  <c r="F283" i="27"/>
  <c r="F287" i="27"/>
  <c r="O252" i="27"/>
  <c r="O256" i="27"/>
  <c r="O314" i="27"/>
  <c r="O318" i="27"/>
  <c r="O345" i="27"/>
  <c r="O349" i="27"/>
  <c r="N159" i="27"/>
  <c r="P206" i="27"/>
  <c r="P144" i="27"/>
  <c r="G162" i="27"/>
  <c r="P150" i="27"/>
  <c r="D189" i="27"/>
  <c r="D194" i="27" s="1"/>
  <c r="P237" i="27"/>
  <c r="N256" i="27"/>
  <c r="N252" i="27"/>
  <c r="P361" i="27"/>
  <c r="O221" i="27"/>
  <c r="O225" i="27"/>
  <c r="N190" i="27"/>
  <c r="N194" i="27"/>
  <c r="O500" i="27"/>
  <c r="O504" i="27"/>
  <c r="N283" i="27"/>
  <c r="N287" i="27"/>
  <c r="P392" i="27"/>
  <c r="G410" i="27"/>
  <c r="P299" i="27"/>
  <c r="N469" i="27"/>
  <c r="N473" i="27"/>
  <c r="O376" i="27"/>
  <c r="O380" i="27"/>
  <c r="O407" i="27"/>
  <c r="O411" i="27"/>
  <c r="O469" i="27"/>
  <c r="O473" i="27"/>
  <c r="N314" i="27"/>
  <c r="N318" i="27"/>
  <c r="P175" i="27"/>
  <c r="G193" i="27"/>
  <c r="P460" i="27"/>
  <c r="N345" i="27"/>
  <c r="N349" i="27"/>
  <c r="P268" i="27"/>
  <c r="O438" i="27"/>
  <c r="O442" i="27"/>
  <c r="N376" i="27"/>
  <c r="N380" i="27"/>
  <c r="P367" i="27"/>
  <c r="P454" i="27"/>
  <c r="O283" i="27"/>
  <c r="O287" i="27"/>
  <c r="O159" i="27"/>
  <c r="O163" i="27"/>
  <c r="N407" i="27"/>
  <c r="N411" i="27"/>
  <c r="P243" i="27"/>
  <c r="P330" i="27"/>
  <c r="D224" i="27"/>
  <c r="P491" i="27"/>
  <c r="N504" i="27"/>
  <c r="N500" i="27"/>
  <c r="O190" i="27"/>
  <c r="O194" i="27"/>
  <c r="N438" i="27"/>
  <c r="N442" i="27"/>
  <c r="P274" i="27"/>
  <c r="P485" i="27"/>
  <c r="P261" i="27"/>
  <c r="D478" i="27"/>
  <c r="P478" i="27" s="1"/>
  <c r="P468" i="27"/>
  <c r="D472" i="27"/>
  <c r="D473" i="27"/>
  <c r="D385" i="27"/>
  <c r="P385" i="27" s="1"/>
  <c r="P375" i="27"/>
  <c r="D380" i="27"/>
  <c r="D379" i="27"/>
  <c r="D292" i="27"/>
  <c r="P292" i="27" s="1"/>
  <c r="P282" i="27"/>
  <c r="D287" i="27"/>
  <c r="D286" i="27"/>
  <c r="D106" i="27"/>
  <c r="D100" i="27"/>
  <c r="D101" i="27"/>
  <c r="D131" i="27"/>
  <c r="D132" i="27"/>
  <c r="D137" i="27"/>
  <c r="P12" i="27" l="1"/>
  <c r="K100" i="27"/>
  <c r="K101" i="27"/>
  <c r="J70" i="27"/>
  <c r="J69" i="27"/>
  <c r="J131" i="27"/>
  <c r="P123" i="27"/>
  <c r="J38" i="27"/>
  <c r="J39" i="27"/>
  <c r="J132" i="27"/>
  <c r="I137" i="27"/>
  <c r="P137" i="27" s="1"/>
  <c r="I131" i="27"/>
  <c r="I132" i="27"/>
  <c r="P127" i="27"/>
  <c r="J14" i="27"/>
  <c r="G100" i="27"/>
  <c r="G101" i="27"/>
  <c r="I44" i="27"/>
  <c r="I38" i="27"/>
  <c r="I39" i="27"/>
  <c r="G14" i="27"/>
  <c r="P30" i="27"/>
  <c r="E75" i="27"/>
  <c r="E70" i="27"/>
  <c r="E69" i="27"/>
  <c r="E44" i="27"/>
  <c r="E38" i="27"/>
  <c r="E39" i="27"/>
  <c r="D34" i="27"/>
  <c r="D39" i="27" s="1"/>
  <c r="P61" i="27"/>
  <c r="D75" i="27"/>
  <c r="D70" i="27"/>
  <c r="D69" i="27"/>
  <c r="N224" i="27"/>
  <c r="P92" i="27"/>
  <c r="M225" i="27"/>
  <c r="P225" i="27" s="1"/>
  <c r="P158" i="27"/>
  <c r="P221" i="27"/>
  <c r="N100" i="27"/>
  <c r="N230" i="27"/>
  <c r="P230" i="27" s="1"/>
  <c r="N168" i="27"/>
  <c r="P97" i="27"/>
  <c r="M224" i="27"/>
  <c r="N162" i="27"/>
  <c r="M162" i="27"/>
  <c r="L100" i="27"/>
  <c r="P96" i="27"/>
  <c r="L70" i="27"/>
  <c r="P65" i="27"/>
  <c r="N106" i="27"/>
  <c r="P220" i="27"/>
  <c r="L101" i="27"/>
  <c r="M168" i="27"/>
  <c r="P35" i="27"/>
  <c r="L69" i="27"/>
  <c r="L44" i="27"/>
  <c r="L14" i="27" s="1"/>
  <c r="L39" i="27"/>
  <c r="P128" i="27"/>
  <c r="P255" i="27"/>
  <c r="P348" i="27"/>
  <c r="P441" i="27"/>
  <c r="P379" i="27"/>
  <c r="P317" i="27"/>
  <c r="P286" i="27"/>
  <c r="P472" i="27"/>
  <c r="P503" i="27"/>
  <c r="P410" i="27"/>
  <c r="P376" i="27"/>
  <c r="P411" i="27"/>
  <c r="P194" i="27"/>
  <c r="P256" i="27"/>
  <c r="P159" i="27"/>
  <c r="P189" i="27"/>
  <c r="P442" i="27"/>
  <c r="P314" i="27"/>
  <c r="D199" i="27"/>
  <c r="P199" i="27" s="1"/>
  <c r="P438" i="27"/>
  <c r="D193" i="27"/>
  <c r="P193" i="27" s="1"/>
  <c r="P318" i="27"/>
  <c r="P190" i="27"/>
  <c r="P163" i="27"/>
  <c r="P504" i="27"/>
  <c r="P252" i="27"/>
  <c r="P283" i="27"/>
  <c r="P349" i="27"/>
  <c r="P469" i="27"/>
  <c r="P380" i="27"/>
  <c r="P345" i="27"/>
  <c r="P473" i="27"/>
  <c r="P407" i="27"/>
  <c r="P287" i="27"/>
  <c r="P500" i="27"/>
  <c r="I14" i="27" l="1"/>
  <c r="P132" i="27"/>
  <c r="P131" i="27"/>
  <c r="D38" i="27"/>
  <c r="P38" i="27" s="1"/>
  <c r="P101" i="27"/>
  <c r="D44" i="27"/>
  <c r="D14" i="27" s="1"/>
  <c r="P34" i="27"/>
  <c r="P75" i="27"/>
  <c r="P70" i="27"/>
  <c r="E14" i="27"/>
  <c r="P69" i="27"/>
  <c r="P162" i="27"/>
  <c r="P224" i="27"/>
  <c r="N14" i="27"/>
  <c r="P100" i="27"/>
  <c r="P106" i="27"/>
  <c r="P168" i="27"/>
  <c r="P39" i="27"/>
  <c r="P44" i="27" l="1"/>
  <c r="P14" i="27"/>
  <c r="K26" i="28" l="1"/>
  <c r="P26" i="28" s="1"/>
  <c r="K27" i="28"/>
  <c r="P27" i="28" s="1"/>
  <c r="P20" i="28"/>
  <c r="K25" i="28"/>
  <c r="P25" i="28" s="1"/>
  <c r="K29" i="28" l="1"/>
  <c r="P23" i="28"/>
  <c r="P29" i="28" l="1"/>
  <c r="P41" i="28" s="1"/>
  <c r="K41" i="28"/>
  <c r="K31" i="28"/>
  <c r="L31" i="28"/>
</calcChain>
</file>

<file path=xl/sharedStrings.xml><?xml version="1.0" encoding="utf-8"?>
<sst xmlns="http://schemas.openxmlformats.org/spreadsheetml/2006/main" count="8157" uniqueCount="1101">
  <si>
    <t>Empresa</t>
  </si>
  <si>
    <t>Cuenta Contable</t>
  </si>
  <si>
    <t>Bruto</t>
  </si>
  <si>
    <t>Convenio</t>
  </si>
  <si>
    <t>Jurisdiccion</t>
  </si>
  <si>
    <t>KTNA Datos Generales</t>
  </si>
  <si>
    <t>Total General</t>
  </si>
  <si>
    <t>Basicos</t>
  </si>
  <si>
    <t>Legajos</t>
  </si>
  <si>
    <t>Exento</t>
  </si>
  <si>
    <t>Total</t>
  </si>
  <si>
    <t>Codigo</t>
  </si>
  <si>
    <t>Alicuota</t>
  </si>
  <si>
    <t>Importe Liquidado</t>
  </si>
  <si>
    <t>Diferencia entre:</t>
  </si>
  <si>
    <t>Importe Total y Liquidado</t>
  </si>
  <si>
    <t>Importe Liquidado y KTNA</t>
  </si>
  <si>
    <t>Intereses</t>
  </si>
  <si>
    <t>Otros Conceptos</t>
  </si>
  <si>
    <t>Total a Pagar</t>
  </si>
  <si>
    <t>Estado</t>
  </si>
  <si>
    <t>Poner "OK" para la gente que SI se liquida</t>
  </si>
  <si>
    <t>Imp. Liquidado acorde KTNA</t>
  </si>
  <si>
    <t>Subtotales (Legajos)</t>
  </si>
  <si>
    <t>Totales (Rem)</t>
  </si>
  <si>
    <t>Totales (Legajos)</t>
  </si>
  <si>
    <t>TOTAL LEGAJOS</t>
  </si>
  <si>
    <t>TOTAL Descuentos</t>
  </si>
  <si>
    <t>Totales (Conceptos)</t>
  </si>
  <si>
    <t>Subtotales (Conceptos)</t>
  </si>
  <si>
    <t>Subtotales (Rem)</t>
  </si>
  <si>
    <t>Totales (No Rem)</t>
  </si>
  <si>
    <t>Subtotales (No Rem)</t>
  </si>
  <si>
    <t>TOTAL Rem</t>
  </si>
  <si>
    <t>TOTAL No Rem</t>
  </si>
  <si>
    <t>Liquidacion Descuentos</t>
  </si>
  <si>
    <t>Liquidacion LEGAJOS</t>
  </si>
  <si>
    <t>Liquidacion Rem</t>
  </si>
  <si>
    <t>Liquidacion No Rem</t>
  </si>
  <si>
    <t>Base de Calculo</t>
  </si>
  <si>
    <t>Total a Pagar Boleta</t>
  </si>
  <si>
    <t>Observaciones:</t>
  </si>
  <si>
    <t>Legajo</t>
  </si>
  <si>
    <t>Apellido y Nombre</t>
  </si>
  <si>
    <t>CUIL</t>
  </si>
  <si>
    <t>F.R.P.</t>
  </si>
  <si>
    <t>Nro. Doc</t>
  </si>
  <si>
    <t>Apellido</t>
  </si>
  <si>
    <t>Nombre</t>
  </si>
  <si>
    <t>Sexo</t>
  </si>
  <si>
    <t>F. Antigüedad</t>
  </si>
  <si>
    <t>Ingreso</t>
  </si>
  <si>
    <t>Egreso</t>
  </si>
  <si>
    <t>FecBajaCAT</t>
  </si>
  <si>
    <t>Categoría</t>
  </si>
  <si>
    <t>Cliente</t>
  </si>
  <si>
    <t>Unidad</t>
  </si>
  <si>
    <t>U.O.Propia</t>
  </si>
  <si>
    <t>Calificación Profesional</t>
  </si>
  <si>
    <t>O Soc Codigo</t>
  </si>
  <si>
    <t>O Soc Nombre</t>
  </si>
  <si>
    <t>Zona</t>
  </si>
  <si>
    <t>Laboral Barrio</t>
  </si>
  <si>
    <t>Laboral CP</t>
  </si>
  <si>
    <t>Laboral Calle</t>
  </si>
  <si>
    <t>Laboral Nro</t>
  </si>
  <si>
    <t>Laboral Piso</t>
  </si>
  <si>
    <t>Laboral Dpto</t>
  </si>
  <si>
    <t>Laboral Localidad</t>
  </si>
  <si>
    <t>Laboral Provincia</t>
  </si>
  <si>
    <t>Centro de Costo</t>
  </si>
  <si>
    <t>Lugar de Pago</t>
  </si>
  <si>
    <t>Sector Interno</t>
  </si>
  <si>
    <t>Recibos</t>
  </si>
  <si>
    <t>Retenciones</t>
  </si>
  <si>
    <t>Salario Familiar</t>
  </si>
  <si>
    <t>Neto</t>
  </si>
  <si>
    <t>870 - Cuota Sindical (C)</t>
  </si>
  <si>
    <t>871 - Aporte Solidario (D)</t>
  </si>
  <si>
    <t>872 - Federación</t>
  </si>
  <si>
    <t>873 - Ajuste Desc.Obra Social</t>
  </si>
  <si>
    <t>874 - Sindicato (D)</t>
  </si>
  <si>
    <t>875 - Sindicato (T)</t>
  </si>
  <si>
    <t>880 - Ajuste Sindicato</t>
  </si>
  <si>
    <t>900 - Seguro de Vida</t>
  </si>
  <si>
    <t>901 - Seguro CCT</t>
  </si>
  <si>
    <t>903 - Seguro (C)</t>
  </si>
  <si>
    <t>916 - Mutual(C)</t>
  </si>
  <si>
    <t>932 - Desc.Tarjeta Magnetica</t>
  </si>
  <si>
    <t>994 - Descuento Anticipo</t>
  </si>
  <si>
    <t>995 - Descuento Anticipo (M)</t>
  </si>
  <si>
    <t>1200 - Contribución Patronal 1(C7)</t>
  </si>
  <si>
    <t>1201 - Contribución Patronal 2 (C8)</t>
  </si>
  <si>
    <t>1202 - Contribución Patronal 3 (C9)</t>
  </si>
  <si>
    <t>1203 - Ajuste Contribución Patronal</t>
  </si>
  <si>
    <t>1204 - Aporte acuerdo NR</t>
  </si>
  <si>
    <t>1205 - Contribucion Patronal (T)(C7)</t>
  </si>
  <si>
    <t>1206 - Contribucion Patronal UOCRA(C8)</t>
  </si>
  <si>
    <t>1207 - Ajte. Contribucion Patronal UOCRA(C8)</t>
  </si>
  <si>
    <t>1212 - Contribución Patronal 4(C107)</t>
  </si>
  <si>
    <t>1213 - Contribución Patronal 5</t>
  </si>
  <si>
    <t>TOTAL -</t>
  </si>
  <si>
    <t>OK</t>
  </si>
  <si>
    <t>Periodo</t>
  </si>
  <si>
    <t>Selecciónar periodo para el Informe</t>
  </si>
  <si>
    <t>Etiquetas de fila</t>
  </si>
  <si>
    <t>Total general</t>
  </si>
  <si>
    <t>Cuenta de Legajos</t>
  </si>
  <si>
    <t>Nro mes</t>
  </si>
  <si>
    <t>,</t>
  </si>
  <si>
    <t>AÑO</t>
  </si>
  <si>
    <t>Etiquetas de columna</t>
  </si>
  <si>
    <t>Evolucion de Colaboradores dentro del convenio colectivo.</t>
  </si>
  <si>
    <t>Evolucion de Colaboradores Efectivamente Liquidados</t>
  </si>
  <si>
    <t>Total Anual de Liquidados Vs Total Nomina</t>
  </si>
  <si>
    <t>NO LIQUIDADOS</t>
  </si>
  <si>
    <t>LIQUIDADOS</t>
  </si>
  <si>
    <t>GASTRONOMICOS-Hoteles 4 y 5 Estrellas - 362/2003</t>
  </si>
  <si>
    <t>COMPAÑIA GENERAL DE COMERCIO E INDUSTRIA S A</t>
  </si>
  <si>
    <t>HOTELERA REGAL PACIFIC S.A.</t>
  </si>
  <si>
    <t>SAN CORRIENTES SA</t>
  </si>
  <si>
    <t>HOTELES SHERATON DE ARGENTINA S A C</t>
  </si>
  <si>
    <t>ACCOR CPA S A</t>
  </si>
  <si>
    <t>FAGRAL SOCIEDAD ANONIMA COMERCIAL INDUSTRIAL E INMOBILIARIA</t>
  </si>
  <si>
    <t>CLARIDGE HOTEL S.A.</t>
  </si>
  <si>
    <t>HRL HOTELES S.A.</t>
  </si>
  <si>
    <t>ALVEAR PALACE HOTEL S.A.</t>
  </si>
  <si>
    <t>HOTELES Y GESTION SRL</t>
  </si>
  <si>
    <t>911 - Desc. Ayuda Econ Mutual (No Gananc) Imp</t>
  </si>
  <si>
    <t>EMPRESA</t>
  </si>
  <si>
    <t>SINDICATO</t>
  </si>
  <si>
    <t>JURISDICCIÓN</t>
  </si>
  <si>
    <t>Detalle</t>
  </si>
  <si>
    <t>Concepto</t>
  </si>
  <si>
    <t>Liquidacion</t>
  </si>
  <si>
    <t>Bruto No Remunerativo</t>
  </si>
  <si>
    <t>Total a pagar</t>
  </si>
  <si>
    <t>Liquidado por KTNA</t>
  </si>
  <si>
    <t>Diferencias</t>
  </si>
  <si>
    <t>Afiliado</t>
  </si>
  <si>
    <t>Bruto No Rem No Afiliados</t>
  </si>
  <si>
    <t xml:space="preserve">Bruto Afiliados </t>
  </si>
  <si>
    <t xml:space="preserve">Bruto No Rem Afiliados </t>
  </si>
  <si>
    <t xml:space="preserve">Bruto No Afiliados </t>
  </si>
  <si>
    <t>Legajos Afiliados</t>
  </si>
  <si>
    <t>Legajos No afiliados</t>
  </si>
  <si>
    <t>ALVEAR PALACE HOTEL S.A. - CLARIDGE HOTEL S.A. -</t>
  </si>
  <si>
    <t>HOTELERA REGAL PACIFIC S.A. - HRL HOTEL S.A.</t>
  </si>
  <si>
    <t>CONVENIO</t>
  </si>
  <si>
    <t>USUARIAS A LIQUIDAR</t>
  </si>
  <si>
    <t>Variacion Intermensual</t>
  </si>
  <si>
    <t>% de Variación</t>
  </si>
  <si>
    <t>1208 - Contribucion OS S/ NR Imp</t>
  </si>
  <si>
    <t>NO</t>
  </si>
  <si>
    <t>NO REM</t>
  </si>
  <si>
    <t>BRUTO + NO REM</t>
  </si>
  <si>
    <t>%</t>
  </si>
  <si>
    <t>GASTRONOMICOS-Hoteles 4 y 5 Estrellas - CCT362/200</t>
  </si>
  <si>
    <t>20-40132698-8</t>
  </si>
  <si>
    <t>20-40458396-5</t>
  </si>
  <si>
    <t>ALVAREZ ANABEL YOHANA</t>
  </si>
  <si>
    <t>27-35204140-3</t>
  </si>
  <si>
    <t>ALVAREZ</t>
  </si>
  <si>
    <t>ANABEL YOHANA</t>
  </si>
  <si>
    <t>F</t>
  </si>
  <si>
    <t>Categoria 6</t>
  </si>
  <si>
    <t>PALACE BANQUETES - GL</t>
  </si>
  <si>
    <t>ZONA SUR</t>
  </si>
  <si>
    <t>Camarero/a</t>
  </si>
  <si>
    <t>O.S.P.Gastronomico</t>
  </si>
  <si>
    <t>Capital Federal</t>
  </si>
  <si>
    <t>C1107CFB</t>
  </si>
  <si>
    <t>AIME PAINE</t>
  </si>
  <si>
    <t>CAPITAL FEDERAL</t>
  </si>
  <si>
    <t>U.O.Centro</t>
  </si>
  <si>
    <t>ANTEZANA FLORES LUIS FERNANDO</t>
  </si>
  <si>
    <t>20-41474760-5</t>
  </si>
  <si>
    <t>ANTEZANA FLORES</t>
  </si>
  <si>
    <t>LUIS FERNANDO</t>
  </si>
  <si>
    <t>M</t>
  </si>
  <si>
    <t>ICON BANQUETES - GL</t>
  </si>
  <si>
    <t>ARAGON FACUNDO</t>
  </si>
  <si>
    <t>20-42039302-5</t>
  </si>
  <si>
    <t>ARAGON</t>
  </si>
  <si>
    <t>FACUNDO</t>
  </si>
  <si>
    <t>ASTRADA TIZIANO LAUTARO</t>
  </si>
  <si>
    <t>23-45751907-9</t>
  </si>
  <si>
    <t>ASTRADA</t>
  </si>
  <si>
    <t>TIZIANO LAUTARO</t>
  </si>
  <si>
    <t>C1112ADB</t>
  </si>
  <si>
    <t>POSADAS</t>
  </si>
  <si>
    <t>AVALOS ALEX ABELARDO</t>
  </si>
  <si>
    <t>20-45541401-7</t>
  </si>
  <si>
    <t>AVALOS</t>
  </si>
  <si>
    <t>ALEX ABELARDO</t>
  </si>
  <si>
    <t>AVALOS CANO ELIAS JOEL</t>
  </si>
  <si>
    <t>20-46380464-9</t>
  </si>
  <si>
    <t>AVALOS CANO</t>
  </si>
  <si>
    <t>ELIAS JOEL</t>
  </si>
  <si>
    <t>Categoria 1</t>
  </si>
  <si>
    <t>ALVEAR -GL</t>
  </si>
  <si>
    <t>Áreas Públicas</t>
  </si>
  <si>
    <t>BALEIS CLAUDIA ROSANA</t>
  </si>
  <si>
    <t>27-36262228-5</t>
  </si>
  <si>
    <t>BALEIS</t>
  </si>
  <si>
    <t>CLAUDIA ROSANA</t>
  </si>
  <si>
    <t>ART - GL</t>
  </si>
  <si>
    <t>Masajista</t>
  </si>
  <si>
    <t>C1008AAV</t>
  </si>
  <si>
    <t>SUIPACHA</t>
  </si>
  <si>
    <t>BARBOZA CAROLINA FLORENCIA</t>
  </si>
  <si>
    <t>27-36066280-8</t>
  </si>
  <si>
    <t>BARBOZA</t>
  </si>
  <si>
    <t>CAROLINA FLORENCIA</t>
  </si>
  <si>
    <t>Categoría 4</t>
  </si>
  <si>
    <t>Mucama/o</t>
  </si>
  <si>
    <t>OS ELECTRICISTAS NAVALES</t>
  </si>
  <si>
    <t>BARRAGÁN FEDERICO VALENTIN</t>
  </si>
  <si>
    <t>20-46696319-5</t>
  </si>
  <si>
    <t>BARRAGÁN</t>
  </si>
  <si>
    <t>FEDERICO VALENTIN</t>
  </si>
  <si>
    <t>BECONI PEREZ ALFONSINA ISABEL</t>
  </si>
  <si>
    <t>23-46174175-4</t>
  </si>
  <si>
    <t>BECONI PEREZ</t>
  </si>
  <si>
    <t>ALFONSINA ISABEL</t>
  </si>
  <si>
    <t>BENAVIDEZ JAVIER AGUSTIN</t>
  </si>
  <si>
    <t>23-40868166-9</t>
  </si>
  <si>
    <t>BENAVIDEZ</t>
  </si>
  <si>
    <t>JAVIER AGUSTIN</t>
  </si>
  <si>
    <t>Maitre</t>
  </si>
  <si>
    <t>BENITEZ AYRTON SEBASTIAN</t>
  </si>
  <si>
    <t>20-39917788-0</t>
  </si>
  <si>
    <t>BENITEZ AYRTON</t>
  </si>
  <si>
    <t>SEBASTIAN</t>
  </si>
  <si>
    <t>BERTEL MARTINEZ ANDRES RICARDO</t>
  </si>
  <si>
    <t>27-96229007-3</t>
  </si>
  <si>
    <t>BERTEL MARTINEZ</t>
  </si>
  <si>
    <t>ANDRES RICARDO</t>
  </si>
  <si>
    <t>Categoria 3</t>
  </si>
  <si>
    <t>ICON - GL</t>
  </si>
  <si>
    <t>Ayudante de Cocina</t>
  </si>
  <si>
    <t>BLANCO LUIS ALBERTO</t>
  </si>
  <si>
    <t>20-96116024-4</t>
  </si>
  <si>
    <t>BLANCO</t>
  </si>
  <si>
    <t>LUIS ALBERTO</t>
  </si>
  <si>
    <t>Categoria 2</t>
  </si>
  <si>
    <t>Bachero</t>
  </si>
  <si>
    <t>BOBADILLA RAMIRO</t>
  </si>
  <si>
    <t>20-26978446-7</t>
  </si>
  <si>
    <t>BOBADILLA</t>
  </si>
  <si>
    <t>RAMIRO</t>
  </si>
  <si>
    <t>BOOTZ ALAN GIAN FRANCO</t>
  </si>
  <si>
    <t>BOOTZ</t>
  </si>
  <si>
    <t>ALAN GIAN FRANCO</t>
  </si>
  <si>
    <t>Valet Parking</t>
  </si>
  <si>
    <t>BRAGAGNINI ROCIO AYLEN</t>
  </si>
  <si>
    <t>27-44709690-6</t>
  </si>
  <si>
    <t>BRAGAGNINI</t>
  </si>
  <si>
    <t>ROCIO AYLEN</t>
  </si>
  <si>
    <t>CANDAS SILVINA</t>
  </si>
  <si>
    <t>27-23804102-9</t>
  </si>
  <si>
    <t>CANDAS</t>
  </si>
  <si>
    <t>SILVINA</t>
  </si>
  <si>
    <t>CARDOZO MARCO JAVIER</t>
  </si>
  <si>
    <t>20-40080070-8</t>
  </si>
  <si>
    <t>CARDOZO</t>
  </si>
  <si>
    <t>MARCO JAVIER</t>
  </si>
  <si>
    <t>O.S.Emp.Marina Mercante</t>
  </si>
  <si>
    <t>CARRASCO FLORENCIA VERONICA</t>
  </si>
  <si>
    <t>27-42874080-2</t>
  </si>
  <si>
    <t>CARRASCO</t>
  </si>
  <si>
    <t>FLORENCIA VERONICA</t>
  </si>
  <si>
    <t>CASCO LEANDRO RODRIGO</t>
  </si>
  <si>
    <t>20-39101514-8</t>
  </si>
  <si>
    <t>CASCO</t>
  </si>
  <si>
    <t>LEANDRO RODRIGO</t>
  </si>
  <si>
    <t>CASPITO PIZARRO ELIZABETH VERONICA</t>
  </si>
  <si>
    <t>23-94598200-4</t>
  </si>
  <si>
    <t>CASPITO PIZARRO</t>
  </si>
  <si>
    <t>ELIZABETH VERONICA</t>
  </si>
  <si>
    <t>CASTRO STELLA MARIS</t>
  </si>
  <si>
    <t>27-18573312-8</t>
  </si>
  <si>
    <t>CASTRO</t>
  </si>
  <si>
    <t>STELLA MARIS</t>
  </si>
  <si>
    <t>CATALANO MARINA</t>
  </si>
  <si>
    <t>27-41757894-9</t>
  </si>
  <si>
    <t>CATALANO</t>
  </si>
  <si>
    <t>MARINA</t>
  </si>
  <si>
    <t>CEDEIRA MILAGROS PAULA SUSANA</t>
  </si>
  <si>
    <t>27-41585266-0</t>
  </si>
  <si>
    <t>CEDEIRA</t>
  </si>
  <si>
    <t>MILAGROS PAULA SUSANA</t>
  </si>
  <si>
    <t>CEJAS DUPONT MARIA CELESTE</t>
  </si>
  <si>
    <t>27-32906978-3</t>
  </si>
  <si>
    <t>CEJAS DUPONT</t>
  </si>
  <si>
    <t>MARIA CELESTE</t>
  </si>
  <si>
    <t>CENTURION MARCOS</t>
  </si>
  <si>
    <t>20-44091389-0</t>
  </si>
  <si>
    <t>CENTURION</t>
  </si>
  <si>
    <t>MARCOS</t>
  </si>
  <si>
    <t>CHAVEZ PERLA DAMARIS</t>
  </si>
  <si>
    <t>23-36286453-4</t>
  </si>
  <si>
    <t>CHAVEZ</t>
  </si>
  <si>
    <t>PERLA DAMARIS</t>
  </si>
  <si>
    <t>CHURQUINA NATASHA TERESA</t>
  </si>
  <si>
    <t>27-39209574-3</t>
  </si>
  <si>
    <t>CHURQUINA</t>
  </si>
  <si>
    <t>NATASHA TERESA</t>
  </si>
  <si>
    <t>CIEJOWIZ JOSEFINA CANDELA</t>
  </si>
  <si>
    <t>27-42715394-6</t>
  </si>
  <si>
    <t>CIEJOWIZ</t>
  </si>
  <si>
    <t>JOSEFINA CANDELA</t>
  </si>
  <si>
    <t>COIMBRA MORENO WALTER DIOGENES</t>
  </si>
  <si>
    <t>20-94231658-6</t>
  </si>
  <si>
    <t>COIMBRA MORENO</t>
  </si>
  <si>
    <t>WALTER DIOGENES</t>
  </si>
  <si>
    <t>COLMAN AGUSTIN IVAN</t>
  </si>
  <si>
    <t>20-43105562-8</t>
  </si>
  <si>
    <t>COLMAN</t>
  </si>
  <si>
    <t>AGUSTIN IVAN</t>
  </si>
  <si>
    <t>COMPOSTO SOFIA DE LOS MILAGROS</t>
  </si>
  <si>
    <t>23-44789800-4</t>
  </si>
  <si>
    <t>COMPOSTO</t>
  </si>
  <si>
    <t>SOFIA DE LOS MILAGROS</t>
  </si>
  <si>
    <t>Recepcionista</t>
  </si>
  <si>
    <t>CONTRERAS AMESTY ROSSANA COROMOTO</t>
  </si>
  <si>
    <t>27-96247143-4</t>
  </si>
  <si>
    <t>CONTRERAS AMESTY</t>
  </si>
  <si>
    <t>ROSSANA COROMOTO</t>
  </si>
  <si>
    <t>CORALES ESPADA TOBIAS NAZARENO</t>
  </si>
  <si>
    <t>20-44503771-1</t>
  </si>
  <si>
    <t>CORALES ESPADA</t>
  </si>
  <si>
    <t>TOBIAS NAZARENO</t>
  </si>
  <si>
    <t>COSTILLA TERAN MARTIN GABRIEL</t>
  </si>
  <si>
    <t>20-38126615-0</t>
  </si>
  <si>
    <t>COSTILLA TERAN</t>
  </si>
  <si>
    <t>MARTIN GABRIEL</t>
  </si>
  <si>
    <t>Bell Boy</t>
  </si>
  <si>
    <t>CRUZ DIEGO EZEQUIEL</t>
  </si>
  <si>
    <t>20-29266658-7</t>
  </si>
  <si>
    <t>CRUZ</t>
  </si>
  <si>
    <t>DIEGO EZEQUIEL</t>
  </si>
  <si>
    <t>CUSQUISIBAN ORTECHO ERIC JESUS</t>
  </si>
  <si>
    <t>20-95528161-7</t>
  </si>
  <si>
    <t>CUSQUISIBAN ORTECHO</t>
  </si>
  <si>
    <t>ERIC JESUS</t>
  </si>
  <si>
    <t>DATTI JUAN MANUEL</t>
  </si>
  <si>
    <t>20-31101133-3</t>
  </si>
  <si>
    <t>DATTI</t>
  </si>
  <si>
    <t>JUAN MANUEL</t>
  </si>
  <si>
    <t>DEARMAS FACUNDO NAHUEL</t>
  </si>
  <si>
    <t>23-39852062-9</t>
  </si>
  <si>
    <t>DEARMAS</t>
  </si>
  <si>
    <t>FACUNDO NAHUEL</t>
  </si>
  <si>
    <t>Categoria 5</t>
  </si>
  <si>
    <t>Guardavidas</t>
  </si>
  <si>
    <t>DELIA MICHAEL SHAWN</t>
  </si>
  <si>
    <t>20-95428617-8</t>
  </si>
  <si>
    <t>DELIA</t>
  </si>
  <si>
    <t>MICHAEL SHAWN</t>
  </si>
  <si>
    <t>Maletero</t>
  </si>
  <si>
    <t>DIETZ CANDELA LUCIA</t>
  </si>
  <si>
    <t>27-44157646-9</t>
  </si>
  <si>
    <t>DIETZ</t>
  </si>
  <si>
    <t>CANDELA LUCIA</t>
  </si>
  <si>
    <t>OS DE LOS MEDICOS DE LA CIUDAD DE BUENOS AIRES</t>
  </si>
  <si>
    <t>DUARTE DYLAN NAHUEL</t>
  </si>
  <si>
    <t>20-43916216-4</t>
  </si>
  <si>
    <t>DUARTE</t>
  </si>
  <si>
    <t>DYLAN NAHUEL</t>
  </si>
  <si>
    <t>DUARTE DAVALOS MARCIA RAQUEL</t>
  </si>
  <si>
    <t>27-39514725-6</t>
  </si>
  <si>
    <t>DUARTE DAVALOS</t>
  </si>
  <si>
    <t>MARCIA RAQUEL</t>
  </si>
  <si>
    <t>DURE MICAELA ALDANA</t>
  </si>
  <si>
    <t>27-40211482-2</t>
  </si>
  <si>
    <t>DURE</t>
  </si>
  <si>
    <t>MICAELA ALDANA</t>
  </si>
  <si>
    <t>ESTIGARRIBIA ORIANA GISELLE</t>
  </si>
  <si>
    <t>27-43804456-1</t>
  </si>
  <si>
    <t>ESTIGARRIBIA</t>
  </si>
  <si>
    <t>ORIANA GISELLE</t>
  </si>
  <si>
    <t>FERNANDEZ ARACELI NANCY MARIELA</t>
  </si>
  <si>
    <t>27-40011497-3</t>
  </si>
  <si>
    <t>FERNANDEZ</t>
  </si>
  <si>
    <t>ARACELI NANCY MARIELA</t>
  </si>
  <si>
    <t>FERNANDEZ JUAN MANUEL</t>
  </si>
  <si>
    <t>20-39069099-2</t>
  </si>
  <si>
    <t>FERNANDEZ PIA ESTEFANIA</t>
  </si>
  <si>
    <t>27-47751492-3</t>
  </si>
  <si>
    <t>PIA ESTEFANIA</t>
  </si>
  <si>
    <t>Categoría 1</t>
  </si>
  <si>
    <t>FERNANDEZ RUBEN DARIO</t>
  </si>
  <si>
    <t>20-35617376-8</t>
  </si>
  <si>
    <t>RUBEN DARIO</t>
  </si>
  <si>
    <t>Peón de Limpieza</t>
  </si>
  <si>
    <t>O.S.P.Ind.Textil</t>
  </si>
  <si>
    <t>FERNANDEZ PEREZ JOAQUIN LUCIANO</t>
  </si>
  <si>
    <t>20-42321388-5</t>
  </si>
  <si>
    <t>FERNANDEZ PEREZ</t>
  </si>
  <si>
    <t>JOAQUIN LUCIANO</t>
  </si>
  <si>
    <t>FIGUEROA ERIKA ELIZABETH</t>
  </si>
  <si>
    <t>27-42939007-4</t>
  </si>
  <si>
    <t>FIGUEROA</t>
  </si>
  <si>
    <t>ERIKA ELIZABETH</t>
  </si>
  <si>
    <t>FIGUEROA CALLEJAS ANDRES EDUARDO</t>
  </si>
  <si>
    <t>20-43819625-1</t>
  </si>
  <si>
    <t>FIGUEROA CALLEJAS</t>
  </si>
  <si>
    <t>ANDRES EDUARDO</t>
  </si>
  <si>
    <t>FLORES MAYRA BRENDA</t>
  </si>
  <si>
    <t>27-43306695-8</t>
  </si>
  <si>
    <t>FLORES</t>
  </si>
  <si>
    <t>MAYRA BRENDA</t>
  </si>
  <si>
    <t>FORNILLO PAMELA BETINA</t>
  </si>
  <si>
    <t>27-33294533-0</t>
  </si>
  <si>
    <t>FORNILLO</t>
  </si>
  <si>
    <t>PAMELA BETINA</t>
  </si>
  <si>
    <t>FRANCO ENCISO ERWIN ALEXANDER</t>
  </si>
  <si>
    <t>20-95713406-9</t>
  </si>
  <si>
    <t>FRANCO ENCISO</t>
  </si>
  <si>
    <t>ERWIN ALEXANDER</t>
  </si>
  <si>
    <t>GALEANO DAIANA MARIELA</t>
  </si>
  <si>
    <t>27-35426197-4</t>
  </si>
  <si>
    <t>GALEANO</t>
  </si>
  <si>
    <t>DAIANA MARIELA</t>
  </si>
  <si>
    <t>O.S.Pers.Asoc.Mut.Sancor Salud</t>
  </si>
  <si>
    <t>GARCIA LUZ</t>
  </si>
  <si>
    <t>23-41352660-4</t>
  </si>
  <si>
    <t>GARCIA</t>
  </si>
  <si>
    <t>LUZ</t>
  </si>
  <si>
    <t>GARI FERNANDO</t>
  </si>
  <si>
    <t>20-35950161-8</t>
  </si>
  <si>
    <t>GARI</t>
  </si>
  <si>
    <t>FERNANDO</t>
  </si>
  <si>
    <t>GIMENEZ HERNAN NAHUEL</t>
  </si>
  <si>
    <t>20-39756303-1</t>
  </si>
  <si>
    <t>GIMENEZ</t>
  </si>
  <si>
    <t>HERNAN NAHUEL</t>
  </si>
  <si>
    <t>GOMEZ LUCILA ALEJANDRA</t>
  </si>
  <si>
    <t>27-40014235-7</t>
  </si>
  <si>
    <t>GOMEZ</t>
  </si>
  <si>
    <t>LUCILA ALEJANDRA</t>
  </si>
  <si>
    <t>GÓMEZ CANDELA LUCÍA</t>
  </si>
  <si>
    <t>27-42313991-4</t>
  </si>
  <si>
    <t>GÓMEZ</t>
  </si>
  <si>
    <t>CANDELA LUCÍA</t>
  </si>
  <si>
    <t>GONET DE PANNO ASSIRIS YANNARAH</t>
  </si>
  <si>
    <t>27-51711643-8</t>
  </si>
  <si>
    <t>GONET DE PANNO</t>
  </si>
  <si>
    <t>ASSIRIS YANNARAH</t>
  </si>
  <si>
    <t>GONZALES PALOMINO NIEVES ROMINA</t>
  </si>
  <si>
    <t>27-41588742-1</t>
  </si>
  <si>
    <t>GONZALES PALOMINO</t>
  </si>
  <si>
    <t>NIEVES ROMINA</t>
  </si>
  <si>
    <t>GONZALEZ MATIAS FABIAN</t>
  </si>
  <si>
    <t>20-36624954-1</t>
  </si>
  <si>
    <t>GONZALEZ</t>
  </si>
  <si>
    <t>MATIAS FABIAN</t>
  </si>
  <si>
    <t>GONZALEZ SANDOVAL NICOLAS EMANUEL</t>
  </si>
  <si>
    <t>20-36910030-1</t>
  </si>
  <si>
    <t>GONZALEZ SANDOVAL</t>
  </si>
  <si>
    <t>NICOLAS EMANUEL</t>
  </si>
  <si>
    <t>GORINO ODERA OCTAVIO VALENTIN</t>
  </si>
  <si>
    <t>20-45503827-9</t>
  </si>
  <si>
    <t>GORINO ODERA</t>
  </si>
  <si>
    <t>OCTAVIO VALENTIN</t>
  </si>
  <si>
    <t>GOROSITO JULIA EDITH</t>
  </si>
  <si>
    <t>27-22669935-5</t>
  </si>
  <si>
    <t>GOROSITO</t>
  </si>
  <si>
    <t>JULIA EDITH</t>
  </si>
  <si>
    <t>GRANDA UBILLUS MANUEL STIVENS</t>
  </si>
  <si>
    <t>20-19105903-5</t>
  </si>
  <si>
    <t>GRANDA UBILLUS</t>
  </si>
  <si>
    <t>MANUEL STIVENS</t>
  </si>
  <si>
    <t>GUARDIA NAHUEL EDGARDO</t>
  </si>
  <si>
    <t>20-32224278-7</t>
  </si>
  <si>
    <t>GUARDIA</t>
  </si>
  <si>
    <t>NAHUEL EDGARDO</t>
  </si>
  <si>
    <t>O.S.P.Ind.del Calzado</t>
  </si>
  <si>
    <t>GUEREN BIANCA ANTONELLA</t>
  </si>
  <si>
    <t>27-44419617-9</t>
  </si>
  <si>
    <t>GUEREN</t>
  </si>
  <si>
    <t>BIANCA ANTONELLA</t>
  </si>
  <si>
    <t>GUTIERREZ RODRIGO JAVIER</t>
  </si>
  <si>
    <t>20-43239160-5</t>
  </si>
  <si>
    <t>GUTIERREZ</t>
  </si>
  <si>
    <t>RODRIGO JAVIER</t>
  </si>
  <si>
    <t>GUZMAN GALARZA NAHUEL OSCAR</t>
  </si>
  <si>
    <t>23-36701419-9</t>
  </si>
  <si>
    <t>GUZMAN GALARZA</t>
  </si>
  <si>
    <t>NAHUEL OSCAR</t>
  </si>
  <si>
    <t>HERNANDEZ MATIAS GUSTAVO</t>
  </si>
  <si>
    <t>20-35156587-0</t>
  </si>
  <si>
    <t>HERNANDEZ</t>
  </si>
  <si>
    <t>MATIAS GUSTAVO</t>
  </si>
  <si>
    <t>OS DE BOXEADORES AGREMIADOS DE LA REPUBLICA ARGENTINA</t>
  </si>
  <si>
    <t>HIDALGO LUDMILA ALEJANDRA</t>
  </si>
  <si>
    <t>27-42144012-9</t>
  </si>
  <si>
    <t>HIDALGO</t>
  </si>
  <si>
    <t>LUDMILA ALEJANDRA</t>
  </si>
  <si>
    <t>HOUITTE DE LA CHESNAIS MARIA VICTORIA</t>
  </si>
  <si>
    <t>27-41471608-9</t>
  </si>
  <si>
    <t>HOUITTE DE LA CHESNAIS</t>
  </si>
  <si>
    <t>MARIA VICTORIA</t>
  </si>
  <si>
    <t>IBARRA ROCIO MAGALI</t>
  </si>
  <si>
    <t>27-42435403-7</t>
  </si>
  <si>
    <t>IBARRA</t>
  </si>
  <si>
    <t>ROCIO MAGALI</t>
  </si>
  <si>
    <t>INSAURRALDE YESICA</t>
  </si>
  <si>
    <t>27-37428328-1</t>
  </si>
  <si>
    <t>INSAURRALDE</t>
  </si>
  <si>
    <t>YESICA</t>
  </si>
  <si>
    <t>LOLI LA ROSA LAURA ROSA</t>
  </si>
  <si>
    <t>27-94501783-5</t>
  </si>
  <si>
    <t>LOLI LA ROSA</t>
  </si>
  <si>
    <t>LAURA ROSA</t>
  </si>
  <si>
    <t>LOPES JAGUARI LUCAS</t>
  </si>
  <si>
    <t>20-96054258-5</t>
  </si>
  <si>
    <t>LOPES JAGUARI</t>
  </si>
  <si>
    <t>LUCAS</t>
  </si>
  <si>
    <t>LÓPEZ JULIÁN DAMIAN</t>
  </si>
  <si>
    <t>20-38465944-7</t>
  </si>
  <si>
    <t>LÓPEZ</t>
  </si>
  <si>
    <t>JULIÁN DAMIAN</t>
  </si>
  <si>
    <t>Auxiliar de Montaje</t>
  </si>
  <si>
    <t>LOPEZ MARQUEZ FRANCIS YULET</t>
  </si>
  <si>
    <t>27-95961998-6</t>
  </si>
  <si>
    <t>LOPEZ MARQUEZ</t>
  </si>
  <si>
    <t>FRANCIS YULET</t>
  </si>
  <si>
    <t>LOVIGNE MARCELO</t>
  </si>
  <si>
    <t>20-41189076-8</t>
  </si>
  <si>
    <t>LOVIGNE</t>
  </si>
  <si>
    <t>MARCELO</t>
  </si>
  <si>
    <t>LUCERO JULIETA BELEN</t>
  </si>
  <si>
    <t>23-39060943-4</t>
  </si>
  <si>
    <t>LUCERO</t>
  </si>
  <si>
    <t>JULIETA BELEN</t>
  </si>
  <si>
    <t>LUCERO ROMINA ESTEFANIA</t>
  </si>
  <si>
    <t>27-36286363-0</t>
  </si>
  <si>
    <t>ROMINA ESTEFANIA</t>
  </si>
  <si>
    <t>MACHADO FRANCISCO NICOLAS</t>
  </si>
  <si>
    <t>20-44338823-1</t>
  </si>
  <si>
    <t>MACHADO</t>
  </si>
  <si>
    <t>FRANCISCO NICOLAS</t>
  </si>
  <si>
    <t>MACHUCA JEREMIAS ALEJANDRO</t>
  </si>
  <si>
    <t>20-42090007-5</t>
  </si>
  <si>
    <t>MACHUCA</t>
  </si>
  <si>
    <t>JEREMIAS ALEJANDRO</t>
  </si>
  <si>
    <t>MARCLEY EMANUEL SEBASTIAN</t>
  </si>
  <si>
    <t>20-45206039-7</t>
  </si>
  <si>
    <t>MARCLEY</t>
  </si>
  <si>
    <t>EMANUEL SEBASTIAN</t>
  </si>
  <si>
    <t>MARQUEZ MARIO JOHNNY</t>
  </si>
  <si>
    <t>20-92946872-5</t>
  </si>
  <si>
    <t>MARQUEZ</t>
  </si>
  <si>
    <t>MARIO JOHNNY</t>
  </si>
  <si>
    <t>MARTINEZ MONICA BEATRIZ</t>
  </si>
  <si>
    <t>23-32583955-4</t>
  </si>
  <si>
    <t>MARTINEZ</t>
  </si>
  <si>
    <t>MONICA BEATRIZ</t>
  </si>
  <si>
    <t>MASSIN AMUI AZIZE MARIANO CESAR</t>
  </si>
  <si>
    <t>20-38886787-7</t>
  </si>
  <si>
    <t>MASSIN AMUI AZIZE</t>
  </si>
  <si>
    <t>MARIANO CESAR</t>
  </si>
  <si>
    <t>MASTROIANNI ANTONELLA SOFIA</t>
  </si>
  <si>
    <t>27-40303328-1</t>
  </si>
  <si>
    <t>MASTROIANNI</t>
  </si>
  <si>
    <t>ANTONELLA SOFIA</t>
  </si>
  <si>
    <t>MASTRONARDI PAULA AGUSTINA</t>
  </si>
  <si>
    <t>27-45075173-7</t>
  </si>
  <si>
    <t>MASTRONARDI</t>
  </si>
  <si>
    <t>PAULA AGUSTINA</t>
  </si>
  <si>
    <t>MATOS GAIBOR JOSUE DAVID</t>
  </si>
  <si>
    <t>20-94157205-8</t>
  </si>
  <si>
    <t>MATOS GAIBOR</t>
  </si>
  <si>
    <t>JOSUE DAVID</t>
  </si>
  <si>
    <t>MOLINA OMAR GABRIEL</t>
  </si>
  <si>
    <t>20-37959362-4</t>
  </si>
  <si>
    <t>MOLINA</t>
  </si>
  <si>
    <t>OMAR GABRIEL</t>
  </si>
  <si>
    <t>MONCAYO NICOLAS SASHA</t>
  </si>
  <si>
    <t>20-40758869-0</t>
  </si>
  <si>
    <t>MONCAYO</t>
  </si>
  <si>
    <t>NICOLAS SASHA</t>
  </si>
  <si>
    <t>NEFODOVA ANNA</t>
  </si>
  <si>
    <t>27-19000508-4</t>
  </si>
  <si>
    <t>NEFODOVA</t>
  </si>
  <si>
    <t>ANNA</t>
  </si>
  <si>
    <t>O.S.P.Entidades Deportivas y Civiles</t>
  </si>
  <si>
    <t>NIEVA CARINA ROSANA</t>
  </si>
  <si>
    <t>27-26027038-4</t>
  </si>
  <si>
    <t>NIEVA</t>
  </si>
  <si>
    <t>CARINA ROSANA</t>
  </si>
  <si>
    <t>O.S.U.O.Metalurgica R.A.</t>
  </si>
  <si>
    <t>NOGUERA JONATHAN EDGARDO</t>
  </si>
  <si>
    <t>20-42829457-3</t>
  </si>
  <si>
    <t>NOGUERA</t>
  </si>
  <si>
    <t>JONATHAN EDGARDO</t>
  </si>
  <si>
    <t>NUÑEZ MARIA CELESTE</t>
  </si>
  <si>
    <t>27-35273997-4</t>
  </si>
  <si>
    <t>NUÑEZ</t>
  </si>
  <si>
    <t>ORTIZ FLORENCIA STEFANIA</t>
  </si>
  <si>
    <t>27-37350830-1</t>
  </si>
  <si>
    <t>ORTIZ</t>
  </si>
  <si>
    <t>FLORENCIA STEFANIA</t>
  </si>
  <si>
    <t>ORTIZ HERRERA THIAGO DANIEL</t>
  </si>
  <si>
    <t>23-45686699-9</t>
  </si>
  <si>
    <t>ORTIZ HERRERA</t>
  </si>
  <si>
    <t>THIAGO DANIEL</t>
  </si>
  <si>
    <t>OTALORA AGUILAR ARACELI</t>
  </si>
  <si>
    <t>27-41107414-0</t>
  </si>
  <si>
    <t>OTALORA AGUILAR</t>
  </si>
  <si>
    <t>ARACELI</t>
  </si>
  <si>
    <t>OTAROLA PABLO NICOLAS</t>
  </si>
  <si>
    <t>20-33203218-7</t>
  </si>
  <si>
    <t>OTAROLA</t>
  </si>
  <si>
    <t>PABLO NICOLAS</t>
  </si>
  <si>
    <t>PEÑALVA ALEJANDRO NICOLAS</t>
  </si>
  <si>
    <t>20-33288107-9</t>
  </si>
  <si>
    <t>PEÑALVA</t>
  </si>
  <si>
    <t>ALEJANDRO NICOLAS</t>
  </si>
  <si>
    <t>PEREYRA SOFIA ANDREA</t>
  </si>
  <si>
    <t>27-41587286-6</t>
  </si>
  <si>
    <t>PEREYRA</t>
  </si>
  <si>
    <t>SOFIA ANDREA</t>
  </si>
  <si>
    <t>PINO KAREN ELISABETH</t>
  </si>
  <si>
    <t>27-32359782-6</t>
  </si>
  <si>
    <t>PINO</t>
  </si>
  <si>
    <t>KAREN ELISABETH</t>
  </si>
  <si>
    <t>PORTILLO FARIÑA ALCIDES JUNIOR</t>
  </si>
  <si>
    <t>20-95094319-0</t>
  </si>
  <si>
    <t>PORTILLO FARIÑA</t>
  </si>
  <si>
    <t>ALCIDES JUNIOR</t>
  </si>
  <si>
    <t>RAMOS NADIA YAMILA</t>
  </si>
  <si>
    <t>27-33258493-1</t>
  </si>
  <si>
    <t>RAMOS</t>
  </si>
  <si>
    <t>NADIA YAMILA</t>
  </si>
  <si>
    <t>RIAL MAXIMILIANO EZEQUIEL</t>
  </si>
  <si>
    <t>20-31447548-9</t>
  </si>
  <si>
    <t>RIAL</t>
  </si>
  <si>
    <t>MAXIMILIANO EZEQUIEL</t>
  </si>
  <si>
    <t>RIOS ANABELA</t>
  </si>
  <si>
    <t>27-43799620-8</t>
  </si>
  <si>
    <t>RIOS</t>
  </si>
  <si>
    <t>ANABELA</t>
  </si>
  <si>
    <t>ROBLES ALVAREZ PABLO EXEQUIEL</t>
  </si>
  <si>
    <t>20-43498449-2</t>
  </si>
  <si>
    <t>ROBLES ALVAREZ</t>
  </si>
  <si>
    <t>PABLO EXEQUIEL</t>
  </si>
  <si>
    <t>RODRIGUEZ BRENDA NARELLA</t>
  </si>
  <si>
    <t>27-40472629-9</t>
  </si>
  <si>
    <t>RODRIGUEZ</t>
  </si>
  <si>
    <t>BRENDA NARELLA</t>
  </si>
  <si>
    <t>RODRIGUEZ CINTIA MIRTA VANESA</t>
  </si>
  <si>
    <t>27-34135340-3</t>
  </si>
  <si>
    <t>CINTIA MIRTA VANESA</t>
  </si>
  <si>
    <t>RODRIGUEZ DANA</t>
  </si>
  <si>
    <t>27-44080028-4</t>
  </si>
  <si>
    <t>DANA</t>
  </si>
  <si>
    <t>ROJAS MAILIN DE LOS ANGELES</t>
  </si>
  <si>
    <t>27-40756225-4</t>
  </si>
  <si>
    <t>ROJAS</t>
  </si>
  <si>
    <t>MAILIN DE LOS ANGELES</t>
  </si>
  <si>
    <t>OS DEL PERSONAL DE LA INDUSTRIA LADRILLERA A MAQUINA</t>
  </si>
  <si>
    <t>ROLON LAUTARO</t>
  </si>
  <si>
    <t>20-43869056-6</t>
  </si>
  <si>
    <t>ROLON</t>
  </si>
  <si>
    <t>LAUTARO</t>
  </si>
  <si>
    <t>ROMERO EDUARDO MAGIN GABRIEL</t>
  </si>
  <si>
    <t>20-28965917-0</t>
  </si>
  <si>
    <t>ROMERO</t>
  </si>
  <si>
    <t>EDUARDO MAGIN GABRIEL</t>
  </si>
  <si>
    <t>OS DE LA ASOCIACION CIVIL PRO SINDICATO AMAS DE CASA DE LA REPUBLICA ARGENTINA</t>
  </si>
  <si>
    <t>ROMERO FRANCO LEONEL</t>
  </si>
  <si>
    <t>23-37314447-9</t>
  </si>
  <si>
    <t>FRANCO LEONEL</t>
  </si>
  <si>
    <t>ROTELA FRANK GIULIANA</t>
  </si>
  <si>
    <t>27-39031373-5</t>
  </si>
  <si>
    <t>ROTELA FRANK</t>
  </si>
  <si>
    <t>GIULIANA</t>
  </si>
  <si>
    <t>RUIZ MARINA VANESA</t>
  </si>
  <si>
    <t>27-33001368-6</t>
  </si>
  <si>
    <t>RUIZ</t>
  </si>
  <si>
    <t>MARINA VANESA</t>
  </si>
  <si>
    <t>SAMANIEGO LLANO MATIAS RAMIN</t>
  </si>
  <si>
    <t>20-43870793-0</t>
  </si>
  <si>
    <t>SAMANIEGO LLANO</t>
  </si>
  <si>
    <t>MATIAS RAMIN</t>
  </si>
  <si>
    <t>SANCHEZ ROSARIO RUDDY</t>
  </si>
  <si>
    <t>20-96197430-6</t>
  </si>
  <si>
    <t>SANCHEZ ROSARIO</t>
  </si>
  <si>
    <t>RUDDY</t>
  </si>
  <si>
    <t>SANDOVAL GONZALO GASTON</t>
  </si>
  <si>
    <t>20-40076546-5</t>
  </si>
  <si>
    <t>SANDOVAL</t>
  </si>
  <si>
    <t>GONZALO GASTON</t>
  </si>
  <si>
    <t>OS DE DIRECTIVOS Y EMPRESARIOS PEQUEÑOS Y MEDIANOS</t>
  </si>
  <si>
    <t>SANSO LUZ DE BELEN</t>
  </si>
  <si>
    <t>27-40885508-5</t>
  </si>
  <si>
    <t>SANSO</t>
  </si>
  <si>
    <t>LUZ DE BELEN</t>
  </si>
  <si>
    <t>SENA ROMINA BEATRIZ</t>
  </si>
  <si>
    <t>27-31965756-3</t>
  </si>
  <si>
    <t>SENA</t>
  </si>
  <si>
    <t>ROMINA BEATRIZ</t>
  </si>
  <si>
    <t>SILVA EVANGELINA BEATRIZ</t>
  </si>
  <si>
    <t>27-20526373-5</t>
  </si>
  <si>
    <t>SILVA</t>
  </si>
  <si>
    <t>EVANGELINA BEATRIZ</t>
  </si>
  <si>
    <t>SIMEONE DE SOUZA CHIARA</t>
  </si>
  <si>
    <t>27-42201426-3</t>
  </si>
  <si>
    <t>SIMEONE DE SOUZA</t>
  </si>
  <si>
    <t>CHIARA</t>
  </si>
  <si>
    <t>SOSA AARON JOEL YAIR</t>
  </si>
  <si>
    <t>23-43468782-9</t>
  </si>
  <si>
    <t>SOSA</t>
  </si>
  <si>
    <t>AARON JOEL YAIR</t>
  </si>
  <si>
    <t>SOTO ALEX SEBASTIAN</t>
  </si>
  <si>
    <t>20-43103037-4</t>
  </si>
  <si>
    <t>SOTO</t>
  </si>
  <si>
    <t>ALEX SEBASTIAN</t>
  </si>
  <si>
    <t>SUAREZ BRIAN</t>
  </si>
  <si>
    <t>20-37558457-4</t>
  </si>
  <si>
    <t>SUAREZ</t>
  </si>
  <si>
    <t>BRIAN</t>
  </si>
  <si>
    <t>SURT GONZALEZ KATIA NAOMI</t>
  </si>
  <si>
    <t>23-39276419-4</t>
  </si>
  <si>
    <t>SURT GONZALEZ</t>
  </si>
  <si>
    <t>KATIA NAOMI</t>
  </si>
  <si>
    <t>TAPIA LOANA MACARENA</t>
  </si>
  <si>
    <t>27-45618762-0</t>
  </si>
  <si>
    <t>TAPIA</t>
  </si>
  <si>
    <t>LOANA MACARENA</t>
  </si>
  <si>
    <t>TORRES ERIN CELESTE</t>
  </si>
  <si>
    <t>27-44686159-5</t>
  </si>
  <si>
    <t>TORRES</t>
  </si>
  <si>
    <t>ERIN CELESTE</t>
  </si>
  <si>
    <t>TORRES KEILA ALEJANDRA</t>
  </si>
  <si>
    <t>27-45228377-3</t>
  </si>
  <si>
    <t>KEILA ALEJANDRA</t>
  </si>
  <si>
    <t>TRIGO PALACIOS BRIGITTE CELESTE</t>
  </si>
  <si>
    <t>27-44850797-7</t>
  </si>
  <si>
    <t>TRIGO PALACIOS</t>
  </si>
  <si>
    <t>BRIGITTE CELESTE</t>
  </si>
  <si>
    <t>TRILLO ALEXANDRA MICAELA</t>
  </si>
  <si>
    <t>27-42146193-2</t>
  </si>
  <si>
    <t>TRILLO</t>
  </si>
  <si>
    <t>ALEXANDRA MICAELA</t>
  </si>
  <si>
    <t>TRIUNFINI RAUL ALBERTO</t>
  </si>
  <si>
    <t>20-29553680-3</t>
  </si>
  <si>
    <t>TRIUNFINI</t>
  </si>
  <si>
    <t>RAUL ALBERTO</t>
  </si>
  <si>
    <t>UNTACLE NADIR ULISES</t>
  </si>
  <si>
    <t>20-42432545-8</t>
  </si>
  <si>
    <t>UNTACLE</t>
  </si>
  <si>
    <t>NADIR ULISES</t>
  </si>
  <si>
    <t>VAL TOMAS NICOLAS</t>
  </si>
  <si>
    <t>20-43171194-0</t>
  </si>
  <si>
    <t>VAL</t>
  </si>
  <si>
    <t>TOMAS NICOLAS</t>
  </si>
  <si>
    <t>VALLEJOS SAMUEL ESTEBAN</t>
  </si>
  <si>
    <t>23-45192553-9</t>
  </si>
  <si>
    <t>VALLEJOS</t>
  </si>
  <si>
    <t>SAMUEL ESTEBAN</t>
  </si>
  <si>
    <t>VALLEJOS VICTOR GABRIEL</t>
  </si>
  <si>
    <t>VICTOR GABRIEL</t>
  </si>
  <si>
    <t>VARGAS AXEL CRISTIAN</t>
  </si>
  <si>
    <t>20-41065854-3</t>
  </si>
  <si>
    <t>VARGAS</t>
  </si>
  <si>
    <t>AXEL CRISTIAN</t>
  </si>
  <si>
    <t>VEGA RODRIGO EXEQUIEL</t>
  </si>
  <si>
    <t>20-41938072-6</t>
  </si>
  <si>
    <t>VEGA</t>
  </si>
  <si>
    <t>RODRIGO EXEQUIEL</t>
  </si>
  <si>
    <t>VELAZCO PARRA AYMARA JOSE</t>
  </si>
  <si>
    <t>27-95994665-0</t>
  </si>
  <si>
    <t>VELAZCO PARRA</t>
  </si>
  <si>
    <t>AYMARA JOSE</t>
  </si>
  <si>
    <t>VERA LUCIA BELEN</t>
  </si>
  <si>
    <t>27-38189132-7</t>
  </si>
  <si>
    <t>VERA</t>
  </si>
  <si>
    <t>LUCIA BELEN</t>
  </si>
  <si>
    <t>VILLALBA VICENTA SOLEDAD</t>
  </si>
  <si>
    <t>27-93328378-5</t>
  </si>
  <si>
    <t>VILLALBA</t>
  </si>
  <si>
    <t>VICENTA SOLEDAD</t>
  </si>
  <si>
    <t>VISMARA MARTA LISANDRO</t>
  </si>
  <si>
    <t>20-36373900-9</t>
  </si>
  <si>
    <t>VISMARA MARTA</t>
  </si>
  <si>
    <t>LISANDRO</t>
  </si>
  <si>
    <t>VITAL SHERLY</t>
  </si>
  <si>
    <t>27-95229086-5</t>
  </si>
  <si>
    <t>VITAL</t>
  </si>
  <si>
    <t>SHERLY</t>
  </si>
  <si>
    <t>WALERKO IVAN</t>
  </si>
  <si>
    <t>20-37018114-5</t>
  </si>
  <si>
    <t>WALERKO</t>
  </si>
  <si>
    <t>IVAN</t>
  </si>
  <si>
    <t>YORI JULIETA ROXANA</t>
  </si>
  <si>
    <t>27-46579831-4</t>
  </si>
  <si>
    <t>YORI</t>
  </si>
  <si>
    <t>JULIETA ROXANA</t>
  </si>
  <si>
    <t>YRIZARRI RUTH ELIZABETH</t>
  </si>
  <si>
    <t>27-43815918-0</t>
  </si>
  <si>
    <t>YRIZARRI</t>
  </si>
  <si>
    <t>RUTH ELIZABETH</t>
  </si>
  <si>
    <t>ZANABRIA ERIKA MICAELA</t>
  </si>
  <si>
    <t>27-40897135-2</t>
  </si>
  <si>
    <t>ZANABRIA</t>
  </si>
  <si>
    <t>ERIKA MICAELA</t>
  </si>
  <si>
    <t>ZARATE OSCAR ANTONIO</t>
  </si>
  <si>
    <t>23-35435756-9</t>
  </si>
  <si>
    <t>ZARATE</t>
  </si>
  <si>
    <t>OSCAR ANTONIO</t>
  </si>
  <si>
    <t>ACOSTA CESAR JAVIER</t>
  </si>
  <si>
    <t>23-32564987-9</t>
  </si>
  <si>
    <t>ACOSTA</t>
  </si>
  <si>
    <t>CESAR JAVIER</t>
  </si>
  <si>
    <t>ALBRET WALTER ALEJANDRO GUSTAVO</t>
  </si>
  <si>
    <t>20-35217184-1</t>
  </si>
  <si>
    <t>ALBRET</t>
  </si>
  <si>
    <t>WALTER ALEJANDRO GUSTAVO</t>
  </si>
  <si>
    <t>ARISMENDI  ALEXIS DAVID</t>
  </si>
  <si>
    <t>20-44963310-6</t>
  </si>
  <si>
    <t xml:space="preserve">ARISMENDI </t>
  </si>
  <si>
    <t xml:space="preserve">ALEXIS DAVID </t>
  </si>
  <si>
    <t>OS  ELECTRICISTAS NAVALES</t>
  </si>
  <si>
    <t>BERNAL RENZO GASTON</t>
  </si>
  <si>
    <t>20-31858511-4</t>
  </si>
  <si>
    <t>BERNAL</t>
  </si>
  <si>
    <t>RENZO GASTON</t>
  </si>
  <si>
    <t>OS  DE LA FEDERACION ARGENTINA DEL TRABAJADOR DE LAS UNIVERSIDADES NACIONALES</t>
  </si>
  <si>
    <t>BORDA ROMINA MARIA DEL LUJAN</t>
  </si>
  <si>
    <t>27-35127927-9</t>
  </si>
  <si>
    <t>BORDA</t>
  </si>
  <si>
    <t xml:space="preserve">ROMINA MARIA DEL LUJAN </t>
  </si>
  <si>
    <t>CACERES SANTIAGO ALEJANDRO</t>
  </si>
  <si>
    <t>20-35402851-5</t>
  </si>
  <si>
    <t>CACERES</t>
  </si>
  <si>
    <t>SANTIAGO ALEJANDRO</t>
  </si>
  <si>
    <t>OS  DEL PERSONAL DE MAESTRANZA</t>
  </si>
  <si>
    <t>CALDERON CAMILA BELEN</t>
  </si>
  <si>
    <t>27-41199371-5</t>
  </si>
  <si>
    <t>CALDERON</t>
  </si>
  <si>
    <t>CAMILA BELEN</t>
  </si>
  <si>
    <t>D'AVILA LUIS GERMAN</t>
  </si>
  <si>
    <t>20-34089295-0</t>
  </si>
  <si>
    <t>D'AVILA</t>
  </si>
  <si>
    <t>LUIS GERMAN</t>
  </si>
  <si>
    <t xml:space="preserve">CANDELA LUCIA </t>
  </si>
  <si>
    <t>DUARTE AXEL NAHUEL</t>
  </si>
  <si>
    <t>20-40535516-8</t>
  </si>
  <si>
    <t xml:space="preserve">AXEL NAHUEL </t>
  </si>
  <si>
    <t>DUTRA RUBEN ADRIAN</t>
  </si>
  <si>
    <t>20-41245085-0</t>
  </si>
  <si>
    <t>DUTRA</t>
  </si>
  <si>
    <t>RUBEN ADRIAN</t>
  </si>
  <si>
    <t>ESCALANTE ELIAS URIEL</t>
  </si>
  <si>
    <t>20-43731839-6</t>
  </si>
  <si>
    <t>ESCALANTE</t>
  </si>
  <si>
    <t>ELIAS URIEL</t>
  </si>
  <si>
    <t>FERNANDEZ RUTH ABIGAIL</t>
  </si>
  <si>
    <t>27-45495640-6</t>
  </si>
  <si>
    <t xml:space="preserve">RUTH ABIGAIL </t>
  </si>
  <si>
    <t>FUNES SAUCEDO TOMAS BRIAN</t>
  </si>
  <si>
    <t>20-41551382-9</t>
  </si>
  <si>
    <t>FUNES SAUCEDO</t>
  </si>
  <si>
    <t xml:space="preserve">TOMAS BRIAN </t>
  </si>
  <si>
    <t>GARCIA AGUSTINA MAIARA</t>
  </si>
  <si>
    <t>27-45752480-9</t>
  </si>
  <si>
    <t xml:space="preserve">AGUSTINA MAIARA </t>
  </si>
  <si>
    <t>GIMENEZ FLAVIA RUT</t>
  </si>
  <si>
    <t>27-35860524-4</t>
  </si>
  <si>
    <t>FLAVIA RUT</t>
  </si>
  <si>
    <t>O.S.Camara Emp.Agencias Remises PBA</t>
  </si>
  <si>
    <t>MIÑOZ DAMIAN GABRIEL</t>
  </si>
  <si>
    <t>20-27037184-2</t>
  </si>
  <si>
    <t>MIÑOZ</t>
  </si>
  <si>
    <t>DAMIAN GABRIEL</t>
  </si>
  <si>
    <t>PEÑALBA LEGUIZA DEBORA DANIELA</t>
  </si>
  <si>
    <t>27-34059151-3</t>
  </si>
  <si>
    <t>PEÑALBA LEGUIZA</t>
  </si>
  <si>
    <t>DEBORA DANIELA</t>
  </si>
  <si>
    <t>OS ASOCIACION DEL PERSONAL DE DIRECCION Y JERERQUICO DE LA INDUSTRIA DEL CIGARRILLO</t>
  </si>
  <si>
    <t>PULVET MARIA DE LOS ANGELES</t>
  </si>
  <si>
    <t>27-36686837-8</t>
  </si>
  <si>
    <t>PULVET</t>
  </si>
  <si>
    <t>MARIA DE LOS ANGELES</t>
  </si>
  <si>
    <t>OS  DEL PERSONAL DE LA INDUSTRIA LADRILLERA A MAQUINA</t>
  </si>
  <si>
    <t>ROLON THIAGO JOEL</t>
  </si>
  <si>
    <t>23-44789588-9</t>
  </si>
  <si>
    <t>THIAGO JOEL</t>
  </si>
  <si>
    <t>Medio Oficial de lavandería</t>
  </si>
  <si>
    <t>SALAZAR EZEQUIEL</t>
  </si>
  <si>
    <t>20-43912717-2</t>
  </si>
  <si>
    <t>SALAZAR</t>
  </si>
  <si>
    <t>EZEQUIEL</t>
  </si>
  <si>
    <t>SANTA CRUZ KAREN BELEN</t>
  </si>
  <si>
    <t>27-40345654-9</t>
  </si>
  <si>
    <t>SANTA CRUZ</t>
  </si>
  <si>
    <t xml:space="preserve">KAREN BELEN </t>
  </si>
  <si>
    <t>SCHNEIDER SABRINA</t>
  </si>
  <si>
    <t>27-38517224-4</t>
  </si>
  <si>
    <t>SCHNEIDER</t>
  </si>
  <si>
    <t xml:space="preserve">SABRINA </t>
  </si>
  <si>
    <t>SOSA CRISTIAN RAMON</t>
  </si>
  <si>
    <t>20-28365897-0</t>
  </si>
  <si>
    <t>CRISTIAN RAMON</t>
  </si>
  <si>
    <t>SULIGOY LUCIANA</t>
  </si>
  <si>
    <t>27-42915102-9</t>
  </si>
  <si>
    <t>SULIGOY</t>
  </si>
  <si>
    <t>LUCIANA</t>
  </si>
  <si>
    <t>TRONCONI NEHUEN OMAR</t>
  </si>
  <si>
    <t>20-33716419-7</t>
  </si>
  <si>
    <t>TRONCONI</t>
  </si>
  <si>
    <t>NEHUEN OMAR</t>
  </si>
  <si>
    <t>OS UNION  PERSONAL DE LA UNION DE TRABAJADORES CIVIL DE LA NACION</t>
  </si>
  <si>
    <t xml:space="preserve">LUCIA BELEN </t>
  </si>
  <si>
    <t>ZAPATA ARIEL EZEQUIEL</t>
  </si>
  <si>
    <t>20-31654913-7</t>
  </si>
  <si>
    <t>ZAPATA</t>
  </si>
  <si>
    <t>ARIEL EZEQUIEL</t>
  </si>
  <si>
    <t>ZUAREZ ZULMA CAROLINA</t>
  </si>
  <si>
    <t>27-28920260-4</t>
  </si>
  <si>
    <t>ZUAREZ</t>
  </si>
  <si>
    <t>ZULMA CAROLINA</t>
  </si>
  <si>
    <t>ok</t>
  </si>
  <si>
    <t>ABASOLO JUAN PABLO</t>
  </si>
  <si>
    <t>20-40783656-2</t>
  </si>
  <si>
    <t>ABASOLO</t>
  </si>
  <si>
    <t>JUAN PABLO</t>
  </si>
  <si>
    <t>ACUÑA FRANCO TOMAS</t>
  </si>
  <si>
    <t>20-46361129-8</t>
  </si>
  <si>
    <t>ACUÑA</t>
  </si>
  <si>
    <t>FRANCO TOMAS</t>
  </si>
  <si>
    <t>ACUÑA JUAN PABLO</t>
  </si>
  <si>
    <t>20-41687514-7</t>
  </si>
  <si>
    <t>BONO JULIA</t>
  </si>
  <si>
    <t>27-46212962-4</t>
  </si>
  <si>
    <t>BONO</t>
  </si>
  <si>
    <t>JULIA</t>
  </si>
  <si>
    <t>BUSCHIAZZO ELIAS TOMAS</t>
  </si>
  <si>
    <t>20-46993848-5</t>
  </si>
  <si>
    <t>BUSCHIAZZO</t>
  </si>
  <si>
    <t>ELIAS TOMAS</t>
  </si>
  <si>
    <t>CACERES DIANA YAMIL</t>
  </si>
  <si>
    <t>27-42528079-7</t>
  </si>
  <si>
    <t>DIANA YAMIL</t>
  </si>
  <si>
    <t>CALVO OTIN JONATHAN FRANK</t>
  </si>
  <si>
    <t>20-33306226-8</t>
  </si>
  <si>
    <t>CALVO OTIN</t>
  </si>
  <si>
    <t>JONATHAN FRANK</t>
  </si>
  <si>
    <t>CANDA ARANDA MELISA ANAHI</t>
  </si>
  <si>
    <t>27-38457546-9</t>
  </si>
  <si>
    <t>CANDA ARANDA</t>
  </si>
  <si>
    <t>MELISA ANAHI</t>
  </si>
  <si>
    <t>OS  DE  TECNICOS DE VUELO DE LINEAS AEREAS</t>
  </si>
  <si>
    <t>CISNEROS AGUSTIN GERMAN</t>
  </si>
  <si>
    <t>20-38668640-9</t>
  </si>
  <si>
    <t>CISNEROS</t>
  </si>
  <si>
    <t>AGUSTIN GERMAN</t>
  </si>
  <si>
    <t>CURA CUSMANICH MARCELO ALEJANDRO</t>
  </si>
  <si>
    <t>20-38536587-0</t>
  </si>
  <si>
    <t>CURA CUSMANICH</t>
  </si>
  <si>
    <t>MARCELO ALEJANDRO</t>
  </si>
  <si>
    <t>FAVA EZEQUIEL JONATHAN</t>
  </si>
  <si>
    <t>20-35977213-1</t>
  </si>
  <si>
    <t>FAVA</t>
  </si>
  <si>
    <t>EZEQUIEL JONATHAN</t>
  </si>
  <si>
    <t>RUTH ABIGAIL</t>
  </si>
  <si>
    <t>FERNANDEZ COLACE FEDERICO AGUSTIN</t>
  </si>
  <si>
    <t>20-35971735-1</t>
  </si>
  <si>
    <t>FERNANDEZ COLACE</t>
  </si>
  <si>
    <t>FEDERICO AGUSTIN</t>
  </si>
  <si>
    <t>OS  DE SERENOS DE BUQUES</t>
  </si>
  <si>
    <t>GONZALEZ ALAN LEONEL</t>
  </si>
  <si>
    <t>20-38844899-8</t>
  </si>
  <si>
    <t>ALAN LEONEL</t>
  </si>
  <si>
    <t>OS  DE JEFES Y OFICIALES MAQUINISTAS NAVALES*</t>
  </si>
  <si>
    <t>HERMO TOBIAS MATIAS</t>
  </si>
  <si>
    <t>20-39153933-3</t>
  </si>
  <si>
    <t>HERMO</t>
  </si>
  <si>
    <t>TOBIAS MATIAS</t>
  </si>
  <si>
    <t>JARA MATIAS JOAQUIN</t>
  </si>
  <si>
    <t>23-43329655-9</t>
  </si>
  <si>
    <t>JARA</t>
  </si>
  <si>
    <t>MATIAS JOAQUIN</t>
  </si>
  <si>
    <t>JERES LUCIANO MARCELO</t>
  </si>
  <si>
    <t>20-44053113-0</t>
  </si>
  <si>
    <t>JERES</t>
  </si>
  <si>
    <t>LUCIANO MARCELO</t>
  </si>
  <si>
    <t>LOPEZ CAMELO LUCIA BELEN</t>
  </si>
  <si>
    <t>27-40389740-5</t>
  </si>
  <si>
    <t>LOPEZ CAMELO</t>
  </si>
  <si>
    <t>O.S.Emp.Comercio y Act.Civiles</t>
  </si>
  <si>
    <t>LUGONES HEMILCE DAIANA</t>
  </si>
  <si>
    <t>23-33932725-4</t>
  </si>
  <si>
    <t>LUGONES</t>
  </si>
  <si>
    <t>HEMILCE DAIANA</t>
  </si>
  <si>
    <t>MARTINEZ PAULA EVANGELINA</t>
  </si>
  <si>
    <t>27-38589180-1</t>
  </si>
  <si>
    <t>PAULA EVANGELINA</t>
  </si>
  <si>
    <t>MONTELEONE AGUSTIN JAIRO</t>
  </si>
  <si>
    <t>23-42899334-9</t>
  </si>
  <si>
    <t>MONTELEONE</t>
  </si>
  <si>
    <t>AGUSTIN JAIRO</t>
  </si>
  <si>
    <t>Auxiliar de pisos</t>
  </si>
  <si>
    <t>MOREIRA LEONARDO BRAIAN</t>
  </si>
  <si>
    <t>20-45227034-0</t>
  </si>
  <si>
    <t>MOREIRA</t>
  </si>
  <si>
    <t>LEONARDO BRAIAN</t>
  </si>
  <si>
    <t>NAGY BRENDA AILEN</t>
  </si>
  <si>
    <t>27-40491506-7</t>
  </si>
  <si>
    <t>NAGY</t>
  </si>
  <si>
    <t>BRENDA AILEN</t>
  </si>
  <si>
    <t>NEGRETE IGNACIO DAVID</t>
  </si>
  <si>
    <t>20-44619854-9</t>
  </si>
  <si>
    <t>NEGRETE</t>
  </si>
  <si>
    <t>IGNACIO DAVID</t>
  </si>
  <si>
    <t>NUÑEZ ACOSTA DIEGO ARIEL</t>
  </si>
  <si>
    <t>20-36154480-4</t>
  </si>
  <si>
    <t>NUÑEZ ACOSTA</t>
  </si>
  <si>
    <t>DIEGO ARIEL</t>
  </si>
  <si>
    <t>PAZ BRUNO LAUTARO</t>
  </si>
  <si>
    <t>20-41743448-9</t>
  </si>
  <si>
    <t>PAZ</t>
  </si>
  <si>
    <t>BRUNO LAUTARO</t>
  </si>
  <si>
    <t>PEÑA APARICIO KEVIN ERNESTO</t>
  </si>
  <si>
    <t>20-41456217-6</t>
  </si>
  <si>
    <t>PEÑA APARICIO</t>
  </si>
  <si>
    <t>KEVIN ERNESTO</t>
  </si>
  <si>
    <t>PIHUALA ALANIZ CONSTANZA</t>
  </si>
  <si>
    <t>27-44544872-4</t>
  </si>
  <si>
    <t>PIHUALA ALANIZ</t>
  </si>
  <si>
    <t>CONSTANZA</t>
  </si>
  <si>
    <t>QUIROGA FRANCO JOSE LUIS</t>
  </si>
  <si>
    <t>20-37933553-6</t>
  </si>
  <si>
    <t>QUIROGA</t>
  </si>
  <si>
    <t>FRANCO JOSE LUIS</t>
  </si>
  <si>
    <t>RETAMOZO MILAGROS NOELIA</t>
  </si>
  <si>
    <t>27-43226627-9</t>
  </si>
  <si>
    <t>RETAMOZO</t>
  </si>
  <si>
    <t>MILAGROS NOELIA</t>
  </si>
  <si>
    <t>ROBBONE GISELL MARIANA</t>
  </si>
  <si>
    <t>27-31563837-8</t>
  </si>
  <si>
    <t>ROBBONE</t>
  </si>
  <si>
    <t>GISELL MARIANA</t>
  </si>
  <si>
    <t>RODRIGUEZ JAVIER MARCELO</t>
  </si>
  <si>
    <t>20-36214675-6</t>
  </si>
  <si>
    <t>JAVIER MARCELO</t>
  </si>
  <si>
    <t>ROSALES HECTOR GABRIEL</t>
  </si>
  <si>
    <t>20-30852742-6</t>
  </si>
  <si>
    <t>ROSALES</t>
  </si>
  <si>
    <t>HECTOR GABRIEL</t>
  </si>
  <si>
    <t>KAREN BELEN</t>
  </si>
  <si>
    <t>SILVA PINTO ANDRES JOSE</t>
  </si>
  <si>
    <t>20-95590131-3</t>
  </si>
  <si>
    <t>SILVA PINTO</t>
  </si>
  <si>
    <t>ANDRES JOSE</t>
  </si>
  <si>
    <t>SOSA ALDANA AYELEN</t>
  </si>
  <si>
    <t>27-38660159-9</t>
  </si>
  <si>
    <t>ALDANA AYELEN</t>
  </si>
  <si>
    <t>URBAN TOMAS PATRICIO</t>
  </si>
  <si>
    <t>20-42497382-4</t>
  </si>
  <si>
    <t>URBAN</t>
  </si>
  <si>
    <t>TOMAS PATRICIO</t>
  </si>
  <si>
    <t>VAZQUEZ FRANCO TOBIAS</t>
  </si>
  <si>
    <t>20-42721740-0</t>
  </si>
  <si>
    <t>VAZQUEZ</t>
  </si>
  <si>
    <t>FRANCO TOBIAS</t>
  </si>
  <si>
    <t>VIDEGAIN LAUTARO DEMIAN</t>
  </si>
  <si>
    <t>20-46278741-4</t>
  </si>
  <si>
    <t>VIDEGAIN</t>
  </si>
  <si>
    <t>LAUTARO DEMIAN</t>
  </si>
  <si>
    <t>ZARAGOZA CIVALE DIEGO HERNAN</t>
  </si>
  <si>
    <t>20-19035508-0</t>
  </si>
  <si>
    <t>ZARAGOZA CIVALE</t>
  </si>
  <si>
    <t>DIEGO HERNAN</t>
  </si>
  <si>
    <t>Modelo de armado</t>
  </si>
  <si>
    <t>FILTROS DE LIQUIDACION</t>
  </si>
  <si>
    <t>&gt;&gt;</t>
  </si>
  <si>
    <t>INGRESO/EGRESO</t>
  </si>
  <si>
    <t xml:space="preserve"> SOLO LOS ACTIVOS DEL PERIODO</t>
  </si>
  <si>
    <t xml:space="preserve"> SOLO CON IMPORTE</t>
  </si>
  <si>
    <t>REM BRUTAS</t>
  </si>
  <si>
    <t>LIQUIDACION</t>
  </si>
  <si>
    <t xml:space="preserve"> TODAS MENOS AJUSTE MES ANTERIOR, LIQUIDACION FINAL, ANTICIPO, RR, ACUERDO SECLO</t>
  </si>
  <si>
    <t>Convenio: GASTRONOMICOS-Hoteles 4 y 5 Estrellas - 362/2003</t>
  </si>
  <si>
    <t>Convenio: GASTRONOMICOS-Hoteles 4 y 5 Estrellas - CCT362/200</t>
  </si>
  <si>
    <t>CLIENTE</t>
  </si>
  <si>
    <t xml:space="preserve">HOTELERA REGAL PACIFIC S.A. - </t>
  </si>
  <si>
    <t>HRL HOTEL S.A.</t>
  </si>
  <si>
    <t xml:space="preserve">ALVEAR PALACE HOTEL S.A. </t>
  </si>
  <si>
    <t xml:space="preserve">CLARIDGE HOTEL S.A. </t>
  </si>
  <si>
    <t xml:space="preserve">NO REM </t>
  </si>
  <si>
    <t>CONCEPTOS 500 AL 599</t>
  </si>
  <si>
    <t>con el siguiente formato: Ejemplo 03/2024</t>
  </si>
  <si>
    <t>APELLIDO Y NOMBRE</t>
  </si>
  <si>
    <t>REM BRUTA + NO REM</t>
  </si>
  <si>
    <t>EMPRESA ADMINISTRADA</t>
  </si>
  <si>
    <t>GESTION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</si>
</sst>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&quot;$&quot;\ #,##0.00"/>
    <numFmt numFmtId="167" formatCode="0.0%"/>
    <numFmt numFmtId="168" formatCode="_ * #,##0_ ;_ * \-#,##0_ ;_ * &quot;-&quot;??_ ;_ @_ "/>
    <numFmt numFmtId="169" formatCode="mm/yyyy"/>
    <numFmt numFmtId="170" formatCode="#,##0_ ;[Red]\-#,##0\ "/>
    <numFmt numFmtId="171" formatCode="#,##0.00_ ;[Red]\-#,##0.00\ "/>
    <numFmt numFmtId="172" formatCode="0.0000"/>
    <numFmt numFmtId="173" formatCode="0.00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C0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.9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u/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/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/>
      <top style="thin">
        <color rgb="FFCCCCFF"/>
      </top>
      <bottom style="thin">
        <color rgb="FFCCCCFF"/>
      </bottom>
      <diagonal/>
    </border>
    <border>
      <left/>
      <right/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/>
      <top/>
      <bottom style="thin">
        <color rgb="FFCCCC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CCCCFF"/>
      </left>
      <right/>
      <top style="thin">
        <color rgb="FFCCCCFF"/>
      </top>
      <bottom/>
      <diagonal/>
    </border>
    <border>
      <left/>
      <right style="thin">
        <color rgb="FFCCCCFF"/>
      </right>
      <top style="thin">
        <color rgb="FFCCCCFF"/>
      </top>
      <bottom/>
      <diagonal/>
    </border>
    <border>
      <left/>
      <right style="thin">
        <color rgb="FFCCCCFF"/>
      </right>
      <top/>
      <bottom/>
      <diagonal/>
    </border>
    <border>
      <left/>
      <right style="thin">
        <color rgb="FFCCCCFF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1" fillId="0" borderId="0"/>
  </cellStyleXfs>
  <cellXfs count="185">
    <xf numFmtId="0" fontId="0" fillId="0" borderId="0" xfId="0"/>
    <xf numFmtId="0" fontId="5" fillId="0" borderId="0" xfId="0" applyFont="1" applyProtection="1">
      <protection locked="0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8" fillId="2" borderId="14" xfId="0" applyFont="1" applyFill="1" applyBorder="1" applyAlignment="1">
      <alignment horizontal="center" vertical="center" wrapText="1"/>
    </xf>
    <xf numFmtId="17" fontId="9" fillId="1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5" fontId="5" fillId="12" borderId="19" xfId="5" applyFont="1" applyFill="1" applyBorder="1" applyAlignment="1" applyProtection="1">
      <alignment horizontal="center" vertical="center"/>
    </xf>
    <xf numFmtId="165" fontId="5" fillId="8" borderId="19" xfId="5" applyFont="1" applyFill="1" applyBorder="1" applyAlignment="1" applyProtection="1">
      <alignment horizontal="center" vertical="center"/>
    </xf>
    <xf numFmtId="0" fontId="6" fillId="14" borderId="19" xfId="0" applyFont="1" applyFill="1" applyBorder="1"/>
    <xf numFmtId="0" fontId="6" fillId="11" borderId="19" xfId="0" applyFont="1" applyFill="1" applyBorder="1" applyAlignment="1">
      <alignment horizontal="left"/>
    </xf>
    <xf numFmtId="0" fontId="6" fillId="14" borderId="19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" fontId="5" fillId="12" borderId="19" xfId="5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0" fontId="10" fillId="3" borderId="0" xfId="0" applyFont="1" applyFill="1" applyAlignmen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5" fillId="0" borderId="0" xfId="0" applyNumberFormat="1" applyFont="1"/>
    <xf numFmtId="2" fontId="5" fillId="0" borderId="0" xfId="0" applyNumberFormat="1" applyFont="1"/>
    <xf numFmtId="4" fontId="5" fillId="0" borderId="0" xfId="0" applyNumberFormat="1" applyFont="1"/>
    <xf numFmtId="0" fontId="0" fillId="3" borderId="0" xfId="0" applyFill="1"/>
    <xf numFmtId="0" fontId="16" fillId="19" borderId="19" xfId="0" applyFont="1" applyFill="1" applyBorder="1" applyAlignment="1">
      <alignment horizontal="center" vertical="center"/>
    </xf>
    <xf numFmtId="17" fontId="16" fillId="19" borderId="19" xfId="0" applyNumberFormat="1" applyFont="1" applyFill="1" applyBorder="1" applyAlignment="1">
      <alignment horizontal="center"/>
    </xf>
    <xf numFmtId="170" fontId="13" fillId="2" borderId="14" xfId="0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/>
    <xf numFmtId="0" fontId="12" fillId="3" borderId="0" xfId="0" applyFont="1" applyFill="1"/>
    <xf numFmtId="0" fontId="1" fillId="17" borderId="19" xfId="8" applyBorder="1" applyAlignment="1">
      <alignment horizontal="left" vertical="center"/>
    </xf>
    <xf numFmtId="171" fontId="1" fillId="18" borderId="0" xfId="9" applyNumberFormat="1" applyAlignment="1">
      <alignment horizontal="center" vertical="center"/>
    </xf>
    <xf numFmtId="172" fontId="5" fillId="0" borderId="0" xfId="0" applyNumberFormat="1" applyFont="1"/>
    <xf numFmtId="0" fontId="17" fillId="16" borderId="0" xfId="0" applyFont="1" applyFill="1" applyAlignment="1">
      <alignment horizontal="center" vertical="center"/>
    </xf>
    <xf numFmtId="164" fontId="13" fillId="2" borderId="14" xfId="1" applyFont="1" applyFill="1" applyBorder="1" applyAlignment="1">
      <alignment horizontal="center" vertical="center"/>
    </xf>
    <xf numFmtId="164" fontId="12" fillId="4" borderId="0" xfId="1" applyFont="1" applyFill="1" applyAlignment="1">
      <alignment horizontal="center" vertical="center"/>
    </xf>
    <xf numFmtId="164" fontId="12" fillId="3" borderId="0" xfId="1" applyFont="1" applyFill="1" applyAlignment="1">
      <alignment horizontal="center" vertical="center"/>
    </xf>
    <xf numFmtId="0" fontId="18" fillId="2" borderId="13" xfId="0" applyFont="1" applyFill="1" applyBorder="1" applyAlignment="1">
      <alignment horizontal="right" vertical="center"/>
    </xf>
    <xf numFmtId="170" fontId="18" fillId="0" borderId="14" xfId="0" applyNumberFormat="1" applyFont="1" applyBorder="1" applyAlignment="1">
      <alignment horizontal="center" vertical="center"/>
    </xf>
    <xf numFmtId="0" fontId="18" fillId="2" borderId="14" xfId="0" applyFont="1" applyFill="1" applyBorder="1" applyAlignment="1">
      <alignment horizontal="right" vertical="center"/>
    </xf>
    <xf numFmtId="4" fontId="18" fillId="0" borderId="14" xfId="0" applyNumberFormat="1" applyFont="1" applyBorder="1" applyAlignment="1">
      <alignment horizontal="center" vertical="center"/>
    </xf>
    <xf numFmtId="0" fontId="18" fillId="2" borderId="14" xfId="0" applyFont="1" applyFill="1" applyBorder="1" applyAlignment="1">
      <alignment horizontal="left" vertical="center"/>
    </xf>
    <xf numFmtId="171" fontId="18" fillId="0" borderId="14" xfId="0" applyNumberFormat="1" applyFont="1" applyBorder="1" applyAlignment="1">
      <alignment horizontal="center" vertical="center"/>
    </xf>
    <xf numFmtId="0" fontId="19" fillId="4" borderId="14" xfId="0" applyFont="1" applyFill="1" applyBorder="1" applyAlignment="1">
      <alignment horizontal="left" vertical="center"/>
    </xf>
    <xf numFmtId="164" fontId="20" fillId="4" borderId="0" xfId="1" applyFont="1" applyFill="1" applyAlignment="1">
      <alignment horizontal="center" vertical="center"/>
    </xf>
    <xf numFmtId="0" fontId="14" fillId="3" borderId="0" xfId="0" applyFont="1" applyFill="1"/>
    <xf numFmtId="164" fontId="14" fillId="3" borderId="0" xfId="1" applyFont="1" applyFill="1" applyAlignment="1">
      <alignment horizontal="center" vertical="center"/>
    </xf>
    <xf numFmtId="0" fontId="14" fillId="18" borderId="0" xfId="9" applyFont="1" applyAlignment="1">
      <alignment horizontal="center" vertical="center" wrapText="1"/>
    </xf>
    <xf numFmtId="171" fontId="14" fillId="18" borderId="0" xfId="9" applyNumberFormat="1" applyFont="1" applyAlignment="1">
      <alignment horizontal="center" vertical="center"/>
    </xf>
    <xf numFmtId="171" fontId="14" fillId="3" borderId="0" xfId="0" applyNumberFormat="1" applyFont="1" applyFill="1"/>
    <xf numFmtId="0" fontId="20" fillId="2" borderId="0" xfId="0" applyFont="1" applyFill="1" applyAlignment="1">
      <alignment horizontal="left"/>
    </xf>
    <xf numFmtId="0" fontId="0" fillId="17" borderId="19" xfId="8" applyFont="1" applyBorder="1" applyAlignment="1">
      <alignment horizontal="left" vertical="center"/>
    </xf>
    <xf numFmtId="173" fontId="5" fillId="0" borderId="0" xfId="0" applyNumberFormat="1" applyFont="1"/>
    <xf numFmtId="15" fontId="21" fillId="6" borderId="3" xfId="4" applyNumberFormat="1" applyFont="1" applyFill="1" applyBorder="1" applyAlignment="1" applyProtection="1">
      <alignment horizontal="left" vertical="center"/>
    </xf>
    <xf numFmtId="0" fontId="4" fillId="15" borderId="20" xfId="0" applyFont="1" applyFill="1" applyBorder="1" applyAlignment="1">
      <alignment vertical="center"/>
    </xf>
    <xf numFmtId="0" fontId="5" fillId="15" borderId="21" xfId="0" applyFont="1" applyFill="1" applyBorder="1" applyAlignment="1">
      <alignment vertical="center"/>
    </xf>
    <xf numFmtId="0" fontId="5" fillId="15" borderId="22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15" borderId="20" xfId="0" applyFont="1" applyFill="1" applyBorder="1" applyAlignment="1">
      <alignment vertical="center"/>
    </xf>
    <xf numFmtId="17" fontId="21" fillId="6" borderId="2" xfId="4" applyNumberFormat="1" applyFont="1" applyFill="1" applyBorder="1" applyAlignment="1" applyProtection="1">
      <alignment horizontal="center" vertical="center"/>
    </xf>
    <xf numFmtId="17" fontId="21" fillId="7" borderId="2" xfId="4" applyNumberFormat="1" applyFont="1" applyFill="1" applyBorder="1" applyAlignment="1" applyProtection="1">
      <alignment horizontal="center" vertical="center"/>
    </xf>
    <xf numFmtId="0" fontId="22" fillId="9" borderId="4" xfId="4" applyNumberFormat="1" applyFont="1" applyFill="1" applyBorder="1" applyAlignment="1" applyProtection="1">
      <alignment horizontal="center" vertical="center"/>
      <protection locked="0"/>
    </xf>
    <xf numFmtId="164" fontId="22" fillId="4" borderId="4" xfId="1" applyFont="1" applyFill="1" applyBorder="1" applyAlignment="1" applyProtection="1">
      <alignment horizontal="center" vertical="center"/>
    </xf>
    <xf numFmtId="0" fontId="22" fillId="15" borderId="4" xfId="4" applyNumberFormat="1" applyFont="1" applyFill="1" applyBorder="1" applyAlignment="1" applyProtection="1">
      <alignment horizontal="center" vertical="center"/>
      <protection locked="0"/>
    </xf>
    <xf numFmtId="168" fontId="22" fillId="4" borderId="4" xfId="5" applyNumberFormat="1" applyFont="1" applyFill="1" applyBorder="1" applyAlignment="1" applyProtection="1">
      <alignment horizontal="center" vertical="center"/>
    </xf>
    <xf numFmtId="164" fontId="22" fillId="15" borderId="4" xfId="1" applyFont="1" applyFill="1" applyBorder="1" applyAlignment="1" applyProtection="1">
      <alignment horizontal="center" vertical="center"/>
      <protection locked="0"/>
    </xf>
    <xf numFmtId="166" fontId="22" fillId="2" borderId="4" xfId="4" applyNumberFormat="1" applyFont="1" applyFill="1" applyBorder="1" applyAlignment="1" applyProtection="1">
      <alignment horizontal="left" vertical="center"/>
    </xf>
    <xf numFmtId="166" fontId="22" fillId="2" borderId="4" xfId="4" applyNumberFormat="1" applyFont="1" applyFill="1" applyBorder="1" applyAlignment="1" applyProtection="1">
      <alignment horizontal="center" vertical="center"/>
    </xf>
    <xf numFmtId="166" fontId="5" fillId="5" borderId="0" xfId="0" applyNumberFormat="1" applyFont="1" applyFill="1" applyAlignment="1">
      <alignment vertical="center"/>
    </xf>
    <xf numFmtId="166" fontId="22" fillId="2" borderId="4" xfId="4" applyNumberFormat="1" applyFont="1" applyFill="1" applyBorder="1" applyAlignment="1" applyProtection="1">
      <alignment horizontal="center" vertical="center"/>
      <protection locked="0"/>
    </xf>
    <xf numFmtId="166" fontId="22" fillId="4" borderId="4" xfId="1" applyNumberFormat="1" applyFont="1" applyFill="1" applyBorder="1" applyAlignment="1" applyProtection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15" fontId="21" fillId="6" borderId="25" xfId="4" applyNumberFormat="1" applyFont="1" applyFill="1" applyBorder="1" applyAlignment="1" applyProtection="1">
      <alignment horizontal="left" vertical="center"/>
    </xf>
    <xf numFmtId="0" fontId="22" fillId="2" borderId="26" xfId="4" applyNumberFormat="1" applyFont="1" applyFill="1" applyBorder="1" applyAlignment="1" applyProtection="1">
      <alignment horizontal="left" vertical="center"/>
      <protection locked="0"/>
    </xf>
    <xf numFmtId="0" fontId="22" fillId="2" borderId="24" xfId="4" applyNumberFormat="1" applyFont="1" applyFill="1" applyBorder="1" applyAlignment="1" applyProtection="1">
      <alignment horizontal="left" vertical="center"/>
      <protection locked="0"/>
    </xf>
    <xf numFmtId="0" fontId="22" fillId="2" borderId="23" xfId="4" applyNumberFormat="1" applyFont="1" applyFill="1" applyBorder="1" applyAlignment="1" applyProtection="1">
      <alignment horizontal="center" vertical="center"/>
      <protection locked="0"/>
    </xf>
    <xf numFmtId="17" fontId="21" fillId="7" borderId="24" xfId="4" applyNumberFormat="1" applyFont="1" applyFill="1" applyBorder="1" applyAlignment="1" applyProtection="1">
      <alignment horizontal="center" vertical="center"/>
    </xf>
    <xf numFmtId="0" fontId="5" fillId="5" borderId="9" xfId="0" applyFont="1" applyFill="1" applyBorder="1" applyAlignment="1">
      <alignment vertical="center"/>
    </xf>
    <xf numFmtId="17" fontId="21" fillId="0" borderId="0" xfId="4" applyNumberFormat="1" applyFont="1" applyFill="1" applyBorder="1" applyAlignment="1" applyProtection="1">
      <alignment horizontal="center" vertical="center"/>
    </xf>
    <xf numFmtId="40" fontId="22" fillId="9" borderId="4" xfId="1" applyNumberFormat="1" applyFont="1" applyFill="1" applyBorder="1" applyAlignment="1" applyProtection="1">
      <alignment horizontal="center" vertical="center"/>
      <protection locked="0"/>
    </xf>
    <xf numFmtId="164" fontId="22" fillId="4" borderId="20" xfId="1" applyFont="1" applyFill="1" applyBorder="1" applyAlignment="1" applyProtection="1">
      <alignment horizontal="center" vertical="center"/>
    </xf>
    <xf numFmtId="40" fontId="22" fillId="9" borderId="4" xfId="5" applyNumberFormat="1" applyFont="1" applyFill="1" applyBorder="1" applyAlignment="1" applyProtection="1">
      <alignment horizontal="center" vertical="center"/>
      <protection locked="0"/>
    </xf>
    <xf numFmtId="168" fontId="22" fillId="4" borderId="20" xfId="5" applyNumberFormat="1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>
      <alignment vertical="center"/>
    </xf>
    <xf numFmtId="15" fontId="21" fillId="6" borderId="0" xfId="4" applyNumberFormat="1" applyFont="1" applyFill="1" applyBorder="1" applyAlignment="1" applyProtection="1">
      <alignment horizontal="left" vertical="center"/>
    </xf>
    <xf numFmtId="164" fontId="22" fillId="2" borderId="4" xfId="1" applyFont="1" applyFill="1" applyBorder="1" applyAlignment="1" applyProtection="1">
      <alignment vertical="center"/>
      <protection locked="0"/>
    </xf>
    <xf numFmtId="0" fontId="5" fillId="3" borderId="0" xfId="0" applyFont="1" applyFill="1" applyAlignment="1">
      <alignment vertical="center"/>
    </xf>
    <xf numFmtId="164" fontId="22" fillId="2" borderId="4" xfId="1" applyFont="1" applyFill="1" applyBorder="1" applyAlignment="1" applyProtection="1">
      <alignment horizontal="center" vertical="center"/>
      <protection locked="0"/>
    </xf>
    <xf numFmtId="167" fontId="22" fillId="9" borderId="4" xfId="2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vertical="center"/>
    </xf>
    <xf numFmtId="166" fontId="22" fillId="9" borderId="4" xfId="4" applyNumberFormat="1" applyFont="1" applyFill="1" applyBorder="1" applyAlignment="1" applyProtection="1">
      <alignment horizontal="center" vertical="center"/>
      <protection locked="0"/>
    </xf>
    <xf numFmtId="166" fontId="21" fillId="10" borderId="4" xfId="4" applyNumberFormat="1" applyFont="1" applyFill="1" applyBorder="1" applyAlignment="1" applyProtection="1">
      <alignment horizontal="left" vertical="center"/>
    </xf>
    <xf numFmtId="166" fontId="21" fillId="10" borderId="4" xfId="4" applyNumberFormat="1" applyFont="1" applyFill="1" applyBorder="1" applyAlignment="1" applyProtection="1">
      <alignment horizontal="center" vertical="center"/>
    </xf>
    <xf numFmtId="166" fontId="22" fillId="4" borderId="20" xfId="1" applyNumberFormat="1" applyFont="1" applyFill="1" applyBorder="1" applyAlignment="1" applyProtection="1">
      <alignment horizontal="center" vertical="center"/>
    </xf>
    <xf numFmtId="0" fontId="5" fillId="5" borderId="11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0" borderId="0" xfId="0" pivotButton="1" applyFont="1"/>
    <xf numFmtId="0" fontId="5" fillId="0" borderId="0" xfId="0" applyFont="1" applyAlignment="1">
      <alignment horizontal="left"/>
    </xf>
    <xf numFmtId="0" fontId="5" fillId="11" borderId="0" xfId="0" applyFont="1" applyFill="1" applyAlignment="1">
      <alignment horizontal="left"/>
    </xf>
    <xf numFmtId="0" fontId="5" fillId="11" borderId="0" xfId="0" applyFont="1" applyFill="1"/>
    <xf numFmtId="9" fontId="14" fillId="18" borderId="0" xfId="2" applyFont="1" applyFill="1" applyAlignment="1">
      <alignment horizontal="center" vertical="center" wrapText="1"/>
    </xf>
    <xf numFmtId="0" fontId="18" fillId="3" borderId="0" xfId="0" applyFont="1" applyFill="1"/>
    <xf numFmtId="9" fontId="14" fillId="3" borderId="0" xfId="2" applyFont="1" applyFill="1" applyAlignment="1">
      <alignment horizontal="center" vertical="center"/>
    </xf>
    <xf numFmtId="171" fontId="12" fillId="3" borderId="0" xfId="0" applyNumberFormat="1" applyFont="1" applyFill="1" applyAlignment="1">
      <alignment horizontal="center" vertical="center"/>
    </xf>
    <xf numFmtId="0" fontId="12" fillId="3" borderId="0" xfId="8" applyFont="1" applyFill="1" applyBorder="1" applyAlignment="1">
      <alignment horizontal="center" vertical="center" textRotation="90"/>
    </xf>
    <xf numFmtId="0" fontId="19" fillId="3" borderId="0" xfId="0" applyFont="1" applyFill="1" applyAlignment="1">
      <alignment horizontal="left" vertical="center"/>
    </xf>
    <xf numFmtId="164" fontId="20" fillId="3" borderId="0" xfId="1" applyFont="1" applyFill="1" applyAlignment="1">
      <alignment horizontal="center" vertical="center"/>
    </xf>
    <xf numFmtId="173" fontId="5" fillId="11" borderId="0" xfId="0" applyNumberFormat="1" applyFont="1" applyFill="1"/>
    <xf numFmtId="172" fontId="23" fillId="0" borderId="0" xfId="0" applyNumberFormat="1" applyFont="1"/>
    <xf numFmtId="2" fontId="8" fillId="2" borderId="1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170" fontId="0" fillId="3" borderId="0" xfId="0" applyNumberFormat="1" applyFill="1"/>
    <xf numFmtId="165" fontId="24" fillId="13" borderId="0" xfId="5" applyFont="1" applyFill="1" applyAlignment="1" applyProtection="1">
      <alignment vertical="center" wrapText="1"/>
    </xf>
    <xf numFmtId="165" fontId="24" fillId="13" borderId="0" xfId="5" applyFont="1" applyFill="1" applyAlignment="1" applyProtection="1">
      <alignment horizontal="center" vertical="center" wrapText="1"/>
    </xf>
    <xf numFmtId="165" fontId="24" fillId="13" borderId="0" xfId="5" applyFont="1" applyFill="1" applyAlignment="1" applyProtection="1">
      <alignment horizontal="center" wrapText="1"/>
    </xf>
    <xf numFmtId="165" fontId="25" fillId="8" borderId="19" xfId="5" applyFont="1" applyFill="1" applyBorder="1" applyAlignment="1" applyProtection="1">
      <alignment horizontal="center" vertical="center" wrapText="1"/>
    </xf>
    <xf numFmtId="0" fontId="26" fillId="0" borderId="0" xfId="0" applyFont="1" applyProtection="1">
      <protection locked="0"/>
    </xf>
    <xf numFmtId="165" fontId="24" fillId="13" borderId="18" xfId="5" applyFont="1" applyFill="1" applyBorder="1" applyAlignment="1" applyProtection="1">
      <alignment vertical="center" wrapText="1"/>
    </xf>
    <xf numFmtId="165" fontId="24" fillId="13" borderId="18" xfId="5" applyFont="1" applyFill="1" applyBorder="1" applyAlignment="1" applyProtection="1">
      <alignment horizontal="center" vertical="center" wrapText="1"/>
    </xf>
    <xf numFmtId="165" fontId="24" fillId="13" borderId="18" xfId="5" applyFont="1" applyFill="1" applyBorder="1" applyAlignment="1" applyProtection="1">
      <alignment horizontal="center" wrapText="1"/>
    </xf>
    <xf numFmtId="0" fontId="25" fillId="0" borderId="14" xfId="0" applyFont="1" applyBorder="1" applyAlignment="1" applyProtection="1">
      <alignment wrapText="1"/>
      <protection locked="0"/>
    </xf>
    <xf numFmtId="0" fontId="25" fillId="0" borderId="14" xfId="0" applyFont="1" applyBorder="1" applyAlignment="1" applyProtection="1">
      <alignment horizontal="center" wrapText="1"/>
      <protection locked="0"/>
    </xf>
    <xf numFmtId="0" fontId="5" fillId="4" borderId="0" xfId="0" applyFont="1" applyFill="1" applyAlignment="1" applyProtection="1">
      <alignment horizontal="center"/>
      <protection locked="0"/>
    </xf>
    <xf numFmtId="171" fontId="18" fillId="0" borderId="0" xfId="0" applyNumberFormat="1" applyFont="1" applyAlignment="1">
      <alignment horizontal="center" vertical="center"/>
    </xf>
    <xf numFmtId="164" fontId="13" fillId="2" borderId="0" xfId="1" applyFont="1" applyFill="1" applyBorder="1" applyAlignment="1">
      <alignment horizontal="center" vertical="center"/>
    </xf>
    <xf numFmtId="0" fontId="20" fillId="18" borderId="0" xfId="9" applyFont="1" applyAlignment="1">
      <alignment horizontal="center" vertical="center" wrapText="1"/>
    </xf>
    <xf numFmtId="0" fontId="20" fillId="3" borderId="0" xfId="0" applyFont="1" applyFill="1"/>
    <xf numFmtId="0" fontId="12" fillId="2" borderId="0" xfId="0" applyFont="1" applyFill="1"/>
    <xf numFmtId="164" fontId="12" fillId="2" borderId="0" xfId="1" applyFont="1" applyFill="1"/>
    <xf numFmtId="0" fontId="6" fillId="4" borderId="13" xfId="0" applyFont="1" applyFill="1" applyBorder="1" applyAlignment="1">
      <alignment horizontal="center" vertical="center" wrapText="1"/>
    </xf>
    <xf numFmtId="169" fontId="17" fillId="16" borderId="0" xfId="0" applyNumberFormat="1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center" vertical="center" wrapText="1"/>
    </xf>
    <xf numFmtId="10" fontId="5" fillId="0" borderId="0" xfId="2" applyNumberFormat="1" applyFont="1"/>
    <xf numFmtId="4" fontId="5" fillId="12" borderId="0" xfId="5" applyNumberFormat="1" applyFont="1" applyFill="1" applyBorder="1" applyAlignment="1" applyProtection="1">
      <alignment horizontal="center" vertical="center"/>
    </xf>
    <xf numFmtId="165" fontId="5" fillId="12" borderId="0" xfId="5" applyFont="1" applyFill="1" applyBorder="1" applyAlignment="1" applyProtection="1">
      <alignment horizontal="center" vertical="center"/>
    </xf>
    <xf numFmtId="165" fontId="25" fillId="8" borderId="0" xfId="5" applyFont="1" applyFill="1" applyBorder="1" applyAlignment="1" applyProtection="1">
      <alignment horizontal="center" vertical="center" wrapText="1"/>
    </xf>
    <xf numFmtId="0" fontId="0" fillId="17" borderId="32" xfId="8" applyFont="1" applyBorder="1" applyAlignment="1">
      <alignment horizontal="left" vertical="center"/>
    </xf>
    <xf numFmtId="164" fontId="5" fillId="0" borderId="0" xfId="1" applyFont="1" applyProtection="1">
      <protection locked="0"/>
    </xf>
    <xf numFmtId="0" fontId="8" fillId="2" borderId="1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20" fillId="2" borderId="31" xfId="0" applyFont="1" applyFill="1" applyBorder="1"/>
    <xf numFmtId="0" fontId="20" fillId="2" borderId="0" xfId="0" applyFont="1" applyFill="1"/>
    <xf numFmtId="14" fontId="8" fillId="2" borderId="28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Protection="1">
      <protection locked="0"/>
    </xf>
    <xf numFmtId="14" fontId="25" fillId="0" borderId="14" xfId="0" applyNumberFormat="1" applyFont="1" applyBorder="1" applyAlignment="1" applyProtection="1">
      <alignment wrapText="1"/>
      <protection locked="0"/>
    </xf>
    <xf numFmtId="14" fontId="8" fillId="2" borderId="13" xfId="0" applyNumberFormat="1" applyFont="1" applyFill="1" applyBorder="1" applyAlignment="1">
      <alignment horizontal="center" vertical="center" wrapText="1"/>
    </xf>
    <xf numFmtId="171" fontId="18" fillId="0" borderId="14" xfId="0" applyNumberFormat="1" applyFont="1" applyFill="1" applyBorder="1" applyAlignment="1">
      <alignment horizontal="center" vertical="center"/>
    </xf>
    <xf numFmtId="4" fontId="18" fillId="0" borderId="14" xfId="0" applyNumberFormat="1" applyFont="1" applyFill="1" applyBorder="1" applyAlignment="1">
      <alignment horizontal="center" vertical="center"/>
    </xf>
    <xf numFmtId="14" fontId="5" fillId="12" borderId="19" xfId="5" applyNumberFormat="1" applyFont="1" applyFill="1" applyBorder="1" applyAlignment="1" applyProtection="1">
      <alignment horizontal="center" vertical="center"/>
    </xf>
    <xf numFmtId="14" fontId="25" fillId="8" borderId="19" xfId="5" applyNumberFormat="1" applyFont="1" applyFill="1" applyBorder="1" applyAlignment="1" applyProtection="1">
      <alignment horizontal="center" vertical="center" wrapText="1"/>
    </xf>
    <xf numFmtId="171" fontId="18" fillId="0" borderId="0" xfId="0" applyNumberFormat="1" applyFont="1" applyFill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5" fillId="0" borderId="14" xfId="0" applyFont="1" applyBorder="1"/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22" fillId="9" borderId="3" xfId="4" applyNumberFormat="1" applyFont="1" applyFill="1" applyBorder="1" applyAlignment="1" applyProtection="1">
      <alignment horizontal="left" vertical="center"/>
      <protection locked="0"/>
    </xf>
    <xf numFmtId="0" fontId="22" fillId="9" borderId="24" xfId="4" applyNumberFormat="1" applyFont="1" applyFill="1" applyBorder="1" applyAlignment="1" applyProtection="1">
      <alignment horizontal="left" vertical="center"/>
      <protection locked="0"/>
    </xf>
    <xf numFmtId="0" fontId="22" fillId="9" borderId="23" xfId="4" applyNumberFormat="1" applyFont="1" applyFill="1" applyBorder="1" applyAlignment="1" applyProtection="1">
      <alignment horizontal="left" vertical="center"/>
      <protection locked="0"/>
    </xf>
    <xf numFmtId="0" fontId="7" fillId="5" borderId="0" xfId="0" applyFont="1" applyFill="1" applyAlignment="1">
      <alignment horizontal="right" vertical="center"/>
    </xf>
    <xf numFmtId="0" fontId="12" fillId="17" borderId="29" xfId="8" applyFont="1" applyBorder="1" applyAlignment="1">
      <alignment horizontal="center" vertical="center" textRotation="90" wrapText="1"/>
    </xf>
    <xf numFmtId="0" fontId="12" fillId="17" borderId="30" xfId="8" applyFont="1" applyBorder="1" applyAlignment="1">
      <alignment horizontal="center" vertical="center" textRotation="90"/>
    </xf>
    <xf numFmtId="0" fontId="12" fillId="17" borderId="29" xfId="8" applyFont="1" applyBorder="1" applyAlignment="1">
      <alignment horizontal="center" vertical="center" textRotation="90"/>
    </xf>
    <xf numFmtId="0" fontId="20" fillId="2" borderId="31" xfId="0" applyFont="1" applyFill="1" applyBorder="1" applyAlignment="1">
      <alignment horizontal="left"/>
    </xf>
    <xf numFmtId="0" fontId="20" fillId="2" borderId="0" xfId="0" applyFont="1" applyFill="1" applyAlignment="1">
      <alignment horizontal="left"/>
    </xf>
    <xf numFmtId="0" fontId="0" fillId="17" borderId="32" xfId="8" applyFont="1" applyBorder="1" applyAlignment="1">
      <alignment horizontal="left" vertical="center" wrapText="1"/>
    </xf>
    <xf numFmtId="0" fontId="0" fillId="17" borderId="0" xfId="8" applyFont="1" applyBorder="1" applyAlignment="1">
      <alignment horizontal="left" vertical="center" wrapText="1"/>
    </xf>
    <xf numFmtId="0" fontId="27" fillId="0" borderId="15" xfId="0" applyFont="1" applyBorder="1" applyAlignment="1" applyProtection="1">
      <alignment wrapText="1"/>
      <protection locked="0"/>
    </xf>
    <xf numFmtId="0" fontId="27" fillId="0" borderId="16" xfId="0" applyFont="1" applyBorder="1" applyAlignment="1" applyProtection="1">
      <alignment wrapText="1"/>
      <protection locked="0"/>
    </xf>
    <xf numFmtId="0" fontId="27" fillId="0" borderId="17" xfId="0" applyFont="1" applyBorder="1" applyAlignment="1" applyProtection="1">
      <alignment wrapText="1"/>
      <protection locked="0"/>
    </xf>
  </cellXfs>
  <cellStyles count="11">
    <cellStyle name="40% - Énfasis2" xfId="8" builtinId="35"/>
    <cellStyle name="40% - Énfasis5" xfId="9" builtinId="47"/>
    <cellStyle name="Millares" xfId="5" builtinId="3"/>
    <cellStyle name="Millares 5" xfId="4" xr:uid="{00000000-0005-0000-0000-000004000000}"/>
    <cellStyle name="Moneda" xfId="1" builtinId="4"/>
    <cellStyle name="Normal" xfId="0" builtinId="0"/>
    <cellStyle name="Normal 2" xfId="3" xr:uid="{00000000-0005-0000-0000-000007000000}"/>
    <cellStyle name="Normal 3" xfId="6" xr:uid="{00000000-0005-0000-0000-000008000000}"/>
    <cellStyle name="Normal 5" xfId="7" xr:uid="{00000000-0005-0000-0000-000009000000}"/>
    <cellStyle name="Normal 7" xfId="10" xr:uid="{00000000-0005-0000-0000-00000A000000}"/>
    <cellStyle name="Porcentaje" xfId="2" builtinId="5"/>
  </cellStyles>
  <dxfs count="24">
    <dxf>
      <font>
        <color rgb="FF006100"/>
      </font>
      <fill>
        <patternFill>
          <bgColor rgb="FFC6EFCE"/>
        </patternFill>
      </fill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Medium9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 Liquidador Gastronomico.xlsx]02. Liquidacion anual (NEW)!Tabla dinámica2</c:name>
    <c:fmtId val="0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 Liquidacion anual (NEW)'!$D$514:$D$515</c:f>
              <c:strCache>
                <c:ptCount val="1"/>
                <c:pt idx="0">
                  <c:v>1/1/2016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(NEW)'!$D$516:$D$526</c:f>
              <c:numCache>
                <c:formatCode>General</c:formatCode>
                <c:ptCount val="10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29</c:v>
                </c:pt>
                <c:pt idx="4">
                  <c:v>10</c:v>
                </c:pt>
                <c:pt idx="5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8-4E59-8E1B-E55C53C6B22A}"/>
            </c:ext>
          </c:extLst>
        </c:ser>
        <c:ser>
          <c:idx val="1"/>
          <c:order val="1"/>
          <c:tx>
            <c:strRef>
              <c:f>'02. Liquidacion anual (NEW)'!$E$514:$E$515</c:f>
              <c:strCache>
                <c:ptCount val="1"/>
                <c:pt idx="0">
                  <c:v>1/2/2016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(NEW)'!$E$516:$E$526</c:f>
              <c:numCache>
                <c:formatCode>General</c:formatCode>
                <c:ptCount val="10"/>
                <c:pt idx="0">
                  <c:v>27</c:v>
                </c:pt>
                <c:pt idx="1">
                  <c:v>28</c:v>
                </c:pt>
                <c:pt idx="2">
                  <c:v>11</c:v>
                </c:pt>
                <c:pt idx="3">
                  <c:v>17</c:v>
                </c:pt>
                <c:pt idx="4">
                  <c:v>10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8-4E59-8E1B-E55C53C6B22A}"/>
            </c:ext>
          </c:extLst>
        </c:ser>
        <c:ser>
          <c:idx val="2"/>
          <c:order val="2"/>
          <c:tx>
            <c:strRef>
              <c:f>'02. Liquidacion anual (NEW)'!$F$514:$F$515</c:f>
              <c:strCache>
                <c:ptCount val="1"/>
                <c:pt idx="0">
                  <c:v>1/3/2016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(NEW)'!$F$516:$F$526</c:f>
              <c:numCache>
                <c:formatCode>General</c:formatCode>
                <c:ptCount val="10"/>
                <c:pt idx="0">
                  <c:v>57</c:v>
                </c:pt>
                <c:pt idx="1">
                  <c:v>38</c:v>
                </c:pt>
                <c:pt idx="2">
                  <c:v>53</c:v>
                </c:pt>
                <c:pt idx="3">
                  <c:v>15</c:v>
                </c:pt>
                <c:pt idx="4">
                  <c:v>11</c:v>
                </c:pt>
                <c:pt idx="5">
                  <c:v>10</c:v>
                </c:pt>
                <c:pt idx="6">
                  <c:v>1</c:v>
                </c:pt>
                <c:pt idx="7">
                  <c:v>6</c:v>
                </c:pt>
                <c:pt idx="8">
                  <c:v>19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B8-4E59-8E1B-E55C53C6B22A}"/>
            </c:ext>
          </c:extLst>
        </c:ser>
        <c:ser>
          <c:idx val="3"/>
          <c:order val="3"/>
          <c:tx>
            <c:strRef>
              <c:f>'02. Liquidacion anual (NEW)'!$G$514:$G$515</c:f>
              <c:strCache>
                <c:ptCount val="1"/>
                <c:pt idx="0">
                  <c:v>1/4/2016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(NEW)'!$G$516:$G$526</c:f>
              <c:numCache>
                <c:formatCode>General</c:formatCode>
                <c:ptCount val="10"/>
                <c:pt idx="0">
                  <c:v>79</c:v>
                </c:pt>
                <c:pt idx="1">
                  <c:v>34</c:v>
                </c:pt>
                <c:pt idx="2">
                  <c:v>29</c:v>
                </c:pt>
                <c:pt idx="3">
                  <c:v>27</c:v>
                </c:pt>
                <c:pt idx="4">
                  <c:v>7</c:v>
                </c:pt>
                <c:pt idx="5">
                  <c:v>12</c:v>
                </c:pt>
                <c:pt idx="7">
                  <c:v>10</c:v>
                </c:pt>
                <c:pt idx="8">
                  <c:v>13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B8-4E59-8E1B-E55C53C6B22A}"/>
            </c:ext>
          </c:extLst>
        </c:ser>
        <c:ser>
          <c:idx val="4"/>
          <c:order val="4"/>
          <c:tx>
            <c:strRef>
              <c:f>'02. Liquidacion anual (NEW)'!$H$514:$H$515</c:f>
              <c:strCache>
                <c:ptCount val="1"/>
                <c:pt idx="0">
                  <c:v>1/5/2016</c:v>
                </c:pt>
              </c:strCache>
            </c:strRef>
          </c:tx>
          <c:spPr>
            <a:pattFill prst="narHorz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(NEW)'!$H$516:$H$526</c:f>
              <c:numCache>
                <c:formatCode>General</c:formatCode>
                <c:ptCount val="10"/>
                <c:pt idx="0">
                  <c:v>85</c:v>
                </c:pt>
                <c:pt idx="1">
                  <c:v>33</c:v>
                </c:pt>
                <c:pt idx="2">
                  <c:v>29</c:v>
                </c:pt>
                <c:pt idx="3">
                  <c:v>24</c:v>
                </c:pt>
                <c:pt idx="4">
                  <c:v>9</c:v>
                </c:pt>
                <c:pt idx="5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B8-4E59-8E1B-E55C53C6B22A}"/>
            </c:ext>
          </c:extLst>
        </c:ser>
        <c:ser>
          <c:idx val="5"/>
          <c:order val="5"/>
          <c:tx>
            <c:strRef>
              <c:f>'02. Liquidacion anual (NEW)'!$I$514:$I$515</c:f>
              <c:strCache>
                <c:ptCount val="1"/>
                <c:pt idx="0">
                  <c:v>1/6/2016</c:v>
                </c:pt>
              </c:strCache>
            </c:strRef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(NEW)'!$I$516:$I$526</c:f>
              <c:numCache>
                <c:formatCode>General</c:formatCode>
                <c:ptCount val="10"/>
                <c:pt idx="0">
                  <c:v>67</c:v>
                </c:pt>
                <c:pt idx="1">
                  <c:v>18</c:v>
                </c:pt>
                <c:pt idx="2">
                  <c:v>22</c:v>
                </c:pt>
                <c:pt idx="3">
                  <c:v>19</c:v>
                </c:pt>
                <c:pt idx="4">
                  <c:v>9</c:v>
                </c:pt>
                <c:pt idx="5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B8-4E59-8E1B-E55C53C6B22A}"/>
            </c:ext>
          </c:extLst>
        </c:ser>
        <c:ser>
          <c:idx val="6"/>
          <c:order val="6"/>
          <c:tx>
            <c:strRef>
              <c:f>'02. Liquidacion anual (NEW)'!$J$514:$J$515</c:f>
              <c:strCache>
                <c:ptCount val="1"/>
                <c:pt idx="0">
                  <c:v>1/7/2016</c:v>
                </c:pt>
              </c:strCache>
            </c:strRef>
          </c:tx>
          <c:spPr>
            <a:pattFill prst="narHorz">
              <a:fgClr>
                <a:schemeClr val="accent1">
                  <a:lumMod val="80000"/>
                  <a:lumOff val="20000"/>
                </a:schemeClr>
              </a:fgClr>
              <a:bgClr>
                <a:schemeClr val="accent1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80000"/>
                  <a:lumOff val="2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(NEW)'!$J$516:$J$526</c:f>
              <c:numCache>
                <c:formatCode>General</c:formatCode>
                <c:ptCount val="10"/>
                <c:pt idx="0">
                  <c:v>72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11</c:v>
                </c:pt>
                <c:pt idx="5">
                  <c:v>2</c:v>
                </c:pt>
                <c:pt idx="7">
                  <c:v>8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B8-4E59-8E1B-E55C53C6B22A}"/>
            </c:ext>
          </c:extLst>
        </c:ser>
        <c:ser>
          <c:idx val="7"/>
          <c:order val="7"/>
          <c:tx>
            <c:strRef>
              <c:f>'02. Liquidacion anual (NEW)'!$K$514:$K$515</c:f>
              <c:strCache>
                <c:ptCount val="1"/>
                <c:pt idx="0">
                  <c:v>1/8/2016</c:v>
                </c:pt>
              </c:strCache>
            </c:strRef>
          </c:tx>
          <c:spPr>
            <a:pattFill prst="narHorz">
              <a:fgClr>
                <a:schemeClr val="accent3">
                  <a:lumMod val="80000"/>
                  <a:lumOff val="20000"/>
                </a:schemeClr>
              </a:fgClr>
              <a:bgClr>
                <a:schemeClr val="accent3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80000"/>
                  <a:lumOff val="2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(NEW)'!$K$516:$K$526</c:f>
              <c:numCache>
                <c:formatCode>General</c:formatCode>
                <c:ptCount val="10"/>
                <c:pt idx="0">
                  <c:v>111</c:v>
                </c:pt>
                <c:pt idx="1">
                  <c:v>26</c:v>
                </c:pt>
                <c:pt idx="2">
                  <c:v>43</c:v>
                </c:pt>
                <c:pt idx="3">
                  <c:v>15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10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B8-4E59-8E1B-E55C53C6B22A}"/>
            </c:ext>
          </c:extLst>
        </c:ser>
        <c:ser>
          <c:idx val="8"/>
          <c:order val="8"/>
          <c:tx>
            <c:strRef>
              <c:f>'02. Liquidacion anual (NEW)'!$L$514:$L$515</c:f>
              <c:strCache>
                <c:ptCount val="1"/>
                <c:pt idx="0">
                  <c:v>1/9/2016</c:v>
                </c:pt>
              </c:strCache>
            </c:strRef>
          </c:tx>
          <c:spPr>
            <a:pattFill prst="narHorz">
              <a:fgClr>
                <a:schemeClr val="accent5">
                  <a:lumMod val="80000"/>
                  <a:lumOff val="20000"/>
                </a:schemeClr>
              </a:fgClr>
              <a:bgClr>
                <a:schemeClr val="accent5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80000"/>
                  <a:lumOff val="2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(NEW)'!$L$516:$L$526</c:f>
              <c:numCache>
                <c:formatCode>General</c:formatCode>
                <c:ptCount val="10"/>
                <c:pt idx="0">
                  <c:v>90</c:v>
                </c:pt>
                <c:pt idx="1">
                  <c:v>25</c:v>
                </c:pt>
                <c:pt idx="2">
                  <c:v>12</c:v>
                </c:pt>
                <c:pt idx="3">
                  <c:v>15</c:v>
                </c:pt>
                <c:pt idx="4">
                  <c:v>9</c:v>
                </c:pt>
                <c:pt idx="5">
                  <c:v>4</c:v>
                </c:pt>
                <c:pt idx="6">
                  <c:v>17</c:v>
                </c:pt>
                <c:pt idx="7">
                  <c:v>7</c:v>
                </c:pt>
                <c:pt idx="8">
                  <c:v>8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B8-4E59-8E1B-E55C53C6B22A}"/>
            </c:ext>
          </c:extLst>
        </c:ser>
        <c:ser>
          <c:idx val="9"/>
          <c:order val="9"/>
          <c:tx>
            <c:strRef>
              <c:f>'02. Liquidacion anual (NEW)'!$M$514:$M$515</c:f>
              <c:strCache>
                <c:ptCount val="1"/>
                <c:pt idx="0">
                  <c:v>1/10/2016</c:v>
                </c:pt>
              </c:strCache>
            </c:strRef>
          </c:tx>
          <c:spPr>
            <a:pattFill prst="narHorz">
              <a:fgClr>
                <a:schemeClr val="accent1">
                  <a:lumMod val="80000"/>
                </a:schemeClr>
              </a:fgClr>
              <a:bgClr>
                <a:schemeClr val="accent1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8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(NEW)'!$M$516:$M$526</c:f>
              <c:numCache>
                <c:formatCode>General</c:formatCode>
                <c:ptCount val="10"/>
                <c:pt idx="0">
                  <c:v>97</c:v>
                </c:pt>
                <c:pt idx="1">
                  <c:v>19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30</c:v>
                </c:pt>
                <c:pt idx="6">
                  <c:v>16</c:v>
                </c:pt>
                <c:pt idx="7">
                  <c:v>10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B8-4E59-8E1B-E55C53C6B22A}"/>
            </c:ext>
          </c:extLst>
        </c:ser>
        <c:ser>
          <c:idx val="10"/>
          <c:order val="10"/>
          <c:tx>
            <c:strRef>
              <c:f>'02. Liquidacion anual (NEW)'!$N$514:$N$515</c:f>
              <c:strCache>
                <c:ptCount val="1"/>
                <c:pt idx="0">
                  <c:v>1/11/2016</c:v>
                </c:pt>
              </c:strCache>
            </c:strRef>
          </c:tx>
          <c:spPr>
            <a:pattFill prst="narHorz">
              <a:fgClr>
                <a:schemeClr val="accent3">
                  <a:lumMod val="80000"/>
                </a:schemeClr>
              </a:fgClr>
              <a:bgClr>
                <a:schemeClr val="accent3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8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(NEW)'!$N$516:$N$526</c:f>
              <c:numCache>
                <c:formatCode>General</c:formatCode>
                <c:ptCount val="10"/>
                <c:pt idx="0">
                  <c:v>125</c:v>
                </c:pt>
                <c:pt idx="1">
                  <c:v>32</c:v>
                </c:pt>
                <c:pt idx="2">
                  <c:v>29</c:v>
                </c:pt>
                <c:pt idx="3">
                  <c:v>18</c:v>
                </c:pt>
                <c:pt idx="4">
                  <c:v>13</c:v>
                </c:pt>
                <c:pt idx="5">
                  <c:v>15</c:v>
                </c:pt>
                <c:pt idx="6">
                  <c:v>33</c:v>
                </c:pt>
                <c:pt idx="7">
                  <c:v>19</c:v>
                </c:pt>
                <c:pt idx="8">
                  <c:v>10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B8-4E59-8E1B-E55C53C6B22A}"/>
            </c:ext>
          </c:extLst>
        </c:ser>
        <c:ser>
          <c:idx val="11"/>
          <c:order val="11"/>
          <c:tx>
            <c:strRef>
              <c:f>'02. Liquidacion anual (NEW)'!$O$514:$O$515</c:f>
              <c:strCache>
                <c:ptCount val="1"/>
                <c:pt idx="0">
                  <c:v>1/12/2016</c:v>
                </c:pt>
              </c:strCache>
            </c:strRef>
          </c:tx>
          <c:spPr>
            <a:pattFill prst="narHorz">
              <a:fgClr>
                <a:schemeClr val="accent5">
                  <a:lumMod val="80000"/>
                </a:schemeClr>
              </a:fgClr>
              <a:bgClr>
                <a:schemeClr val="accent5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8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(NEW)'!$C$516:$C$526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(NEW)'!$O$516:$O$526</c:f>
              <c:numCache>
                <c:formatCode>General</c:formatCode>
                <c:ptCount val="10"/>
                <c:pt idx="0">
                  <c:v>104</c:v>
                </c:pt>
                <c:pt idx="1">
                  <c:v>27</c:v>
                </c:pt>
                <c:pt idx="2">
                  <c:v>18</c:v>
                </c:pt>
                <c:pt idx="3">
                  <c:v>19</c:v>
                </c:pt>
                <c:pt idx="4">
                  <c:v>14</c:v>
                </c:pt>
                <c:pt idx="5">
                  <c:v>14</c:v>
                </c:pt>
                <c:pt idx="6">
                  <c:v>39</c:v>
                </c:pt>
                <c:pt idx="7">
                  <c:v>11</c:v>
                </c:pt>
                <c:pt idx="8">
                  <c:v>16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B8-4E59-8E1B-E55C53C6B2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1129883152"/>
        <c:axId val="-1831230288"/>
      </c:barChart>
      <c:catAx>
        <c:axId val="-1129883152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31230288"/>
        <c:crosses val="autoZero"/>
        <c:auto val="1"/>
        <c:lblAlgn val="ctr"/>
        <c:lblOffset val="100"/>
        <c:noMultiLvlLbl val="0"/>
      </c:catAx>
      <c:valAx>
        <c:axId val="-1831230288"/>
        <c:scaling>
          <c:orientation val="minMax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12988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 Liquidador Gastronomico.xlsx]02. Liquidacion anual (NEW)!Tabla dinámica3</c:name>
    <c:fmtId val="5"/>
  </c:pivotSource>
  <c:chart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 Liquidacion anual (NEW)'!$D$550:$D$551</c:f>
              <c:strCache>
                <c:ptCount val="1"/>
                <c:pt idx="0">
                  <c:v>1/1/2016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(NEW)'!$C$552:$C$556</c:f>
              <c:strCache>
                <c:ptCount val="4"/>
                <c:pt idx="0">
                  <c:v>HOTELERA REGAL PACIFIC S.A.</c:v>
                </c:pt>
                <c:pt idx="1">
                  <c:v>CLARIDGE HOTEL S.A.</c:v>
                </c:pt>
                <c:pt idx="2">
                  <c:v>ALVEAR PALACE HOTEL S.A.</c:v>
                </c:pt>
                <c:pt idx="3">
                  <c:v>HRL HOTELES S.A.</c:v>
                </c:pt>
              </c:strCache>
            </c:strRef>
          </c:cat>
          <c:val>
            <c:numRef>
              <c:f>'02. Liquidacion anual (NEW)'!$D$552:$D$556</c:f>
              <c:numCache>
                <c:formatCode>General</c:formatCode>
                <c:ptCount val="4"/>
                <c:pt idx="0">
                  <c:v>31</c:v>
                </c:pt>
                <c:pt idx="1">
                  <c:v>10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8-41DC-B85B-3AB9DA39D2C9}"/>
            </c:ext>
          </c:extLst>
        </c:ser>
        <c:ser>
          <c:idx val="1"/>
          <c:order val="1"/>
          <c:tx>
            <c:strRef>
              <c:f>'02. Liquidacion anual (NEW)'!$E$550:$E$551</c:f>
              <c:strCache>
                <c:ptCount val="1"/>
                <c:pt idx="0">
                  <c:v>1/2/2016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(NEW)'!$C$552:$C$556</c:f>
              <c:strCache>
                <c:ptCount val="4"/>
                <c:pt idx="0">
                  <c:v>HOTELERA REGAL PACIFIC S.A.</c:v>
                </c:pt>
                <c:pt idx="1">
                  <c:v>CLARIDGE HOTEL S.A.</c:v>
                </c:pt>
                <c:pt idx="2">
                  <c:v>ALVEAR PALACE HOTEL S.A.</c:v>
                </c:pt>
                <c:pt idx="3">
                  <c:v>HRL HOTELES S.A.</c:v>
                </c:pt>
              </c:strCache>
            </c:strRef>
          </c:cat>
          <c:val>
            <c:numRef>
              <c:f>'02. Liquidacion anual (NEW)'!$E$552:$E$556</c:f>
              <c:numCache>
                <c:formatCode>General</c:formatCode>
                <c:ptCount val="4"/>
                <c:pt idx="0">
                  <c:v>27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C8-41DC-B85B-3AB9DA39D2C9}"/>
            </c:ext>
          </c:extLst>
        </c:ser>
        <c:ser>
          <c:idx val="2"/>
          <c:order val="2"/>
          <c:tx>
            <c:strRef>
              <c:f>'02. Liquidacion anual (NEW)'!$F$550:$F$551</c:f>
              <c:strCache>
                <c:ptCount val="1"/>
                <c:pt idx="0">
                  <c:v>1/3/2016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(NEW)'!$C$552:$C$556</c:f>
              <c:strCache>
                <c:ptCount val="4"/>
                <c:pt idx="0">
                  <c:v>HOTELERA REGAL PACIFIC S.A.</c:v>
                </c:pt>
                <c:pt idx="1">
                  <c:v>CLARIDGE HOTEL S.A.</c:v>
                </c:pt>
                <c:pt idx="2">
                  <c:v>ALVEAR PALACE HOTEL S.A.</c:v>
                </c:pt>
                <c:pt idx="3">
                  <c:v>HRL HOTELES S.A.</c:v>
                </c:pt>
              </c:strCache>
            </c:strRef>
          </c:cat>
          <c:val>
            <c:numRef>
              <c:f>'02. Liquidacion anual (NEW)'!$F$552:$F$556</c:f>
              <c:numCache>
                <c:formatCode>General</c:formatCode>
                <c:ptCount val="4"/>
                <c:pt idx="0">
                  <c:v>35</c:v>
                </c:pt>
                <c:pt idx="1">
                  <c:v>11</c:v>
                </c:pt>
                <c:pt idx="2">
                  <c:v>19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C8-41DC-B85B-3AB9DA39D2C9}"/>
            </c:ext>
          </c:extLst>
        </c:ser>
        <c:ser>
          <c:idx val="3"/>
          <c:order val="3"/>
          <c:tx>
            <c:strRef>
              <c:f>'02. Liquidacion anual (NEW)'!$G$550:$G$551</c:f>
              <c:strCache>
                <c:ptCount val="1"/>
                <c:pt idx="0">
                  <c:v>1/4/2016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(NEW)'!$C$552:$C$556</c:f>
              <c:strCache>
                <c:ptCount val="4"/>
                <c:pt idx="0">
                  <c:v>HOTELERA REGAL PACIFIC S.A.</c:v>
                </c:pt>
                <c:pt idx="1">
                  <c:v>CLARIDGE HOTEL S.A.</c:v>
                </c:pt>
                <c:pt idx="2">
                  <c:v>ALVEAR PALACE HOTEL S.A.</c:v>
                </c:pt>
                <c:pt idx="3">
                  <c:v>HRL HOTELES S.A.</c:v>
                </c:pt>
              </c:strCache>
            </c:strRef>
          </c:cat>
          <c:val>
            <c:numRef>
              <c:f>'02. Liquidacion anual (NEW)'!$G$552:$G$556</c:f>
              <c:numCache>
                <c:formatCode>General</c:formatCode>
                <c:ptCount val="4"/>
                <c:pt idx="0">
                  <c:v>32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C8-41DC-B85B-3AB9DA39D2C9}"/>
            </c:ext>
          </c:extLst>
        </c:ser>
        <c:ser>
          <c:idx val="4"/>
          <c:order val="4"/>
          <c:tx>
            <c:strRef>
              <c:f>'02. Liquidacion anual (NEW)'!$H$550:$H$551</c:f>
              <c:strCache>
                <c:ptCount val="1"/>
                <c:pt idx="0">
                  <c:v>1/5/2016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(NEW)'!$C$552:$C$556</c:f>
              <c:strCache>
                <c:ptCount val="4"/>
                <c:pt idx="0">
                  <c:v>HOTELERA REGAL PACIFIC S.A.</c:v>
                </c:pt>
                <c:pt idx="1">
                  <c:v>CLARIDGE HOTEL S.A.</c:v>
                </c:pt>
                <c:pt idx="2">
                  <c:v>ALVEAR PALACE HOTEL S.A.</c:v>
                </c:pt>
                <c:pt idx="3">
                  <c:v>HRL HOTELES S.A.</c:v>
                </c:pt>
              </c:strCache>
            </c:strRef>
          </c:cat>
          <c:val>
            <c:numRef>
              <c:f>'02. Liquidacion anual (NEW)'!$H$552:$H$556</c:f>
              <c:numCache>
                <c:formatCode>General</c:formatCode>
                <c:ptCount val="4"/>
                <c:pt idx="0">
                  <c:v>31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C8-41DC-B85B-3AB9DA39D2C9}"/>
            </c:ext>
          </c:extLst>
        </c:ser>
        <c:ser>
          <c:idx val="5"/>
          <c:order val="5"/>
          <c:tx>
            <c:strRef>
              <c:f>'02. Liquidacion anual (NEW)'!$I$550:$I$551</c:f>
              <c:strCache>
                <c:ptCount val="1"/>
                <c:pt idx="0">
                  <c:v>1/6/2016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(NEW)'!$C$552:$C$556</c:f>
              <c:strCache>
                <c:ptCount val="4"/>
                <c:pt idx="0">
                  <c:v>HOTELERA REGAL PACIFIC S.A.</c:v>
                </c:pt>
                <c:pt idx="1">
                  <c:v>CLARIDGE HOTEL S.A.</c:v>
                </c:pt>
                <c:pt idx="2">
                  <c:v>ALVEAR PALACE HOTEL S.A.</c:v>
                </c:pt>
                <c:pt idx="3">
                  <c:v>HRL HOTELES S.A.</c:v>
                </c:pt>
              </c:strCache>
            </c:strRef>
          </c:cat>
          <c:val>
            <c:numRef>
              <c:f>'02. Liquidacion anual (NEW)'!$I$552:$I$556</c:f>
              <c:numCache>
                <c:formatCode>General</c:formatCode>
                <c:ptCount val="4"/>
                <c:pt idx="0">
                  <c:v>18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C8-41DC-B85B-3AB9DA39D2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-1831235728"/>
        <c:axId val="-1831235184"/>
      </c:barChart>
      <c:catAx>
        <c:axId val="-18312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31235184"/>
        <c:crosses val="autoZero"/>
        <c:auto val="1"/>
        <c:lblAlgn val="ctr"/>
        <c:lblOffset val="100"/>
        <c:noMultiLvlLbl val="0"/>
      </c:catAx>
      <c:valAx>
        <c:axId val="-18312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312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 Liquidador Gastronomico.xlsx]02. Liquidacion anual (NEW)!Tabla dinámica4</c:name>
    <c:fmtId val="1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 Liquidacion anual (NEW)'!$D$584:$D$585</c:f>
              <c:strCache>
                <c:ptCount val="1"/>
                <c:pt idx="0">
                  <c:v>LIQUIDADOS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(NEW)'!$C$586:$C$596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(NEW)'!$D$586:$D$596</c:f>
              <c:numCache>
                <c:formatCode>General</c:formatCode>
                <c:ptCount val="10"/>
                <c:pt idx="1">
                  <c:v>303</c:v>
                </c:pt>
                <c:pt idx="4">
                  <c:v>123</c:v>
                </c:pt>
                <c:pt idx="7">
                  <c:v>96</c:v>
                </c:pt>
                <c:pt idx="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5-4BF5-8089-4F1249A4D530}"/>
            </c:ext>
          </c:extLst>
        </c:ser>
        <c:ser>
          <c:idx val="1"/>
          <c:order val="1"/>
          <c:tx>
            <c:strRef>
              <c:f>'02. Liquidacion anual (NEW)'!$E$584:$E$585</c:f>
              <c:strCache>
                <c:ptCount val="1"/>
                <c:pt idx="0">
                  <c:v>NO LIQUIDADOS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'02. Liquidacion anual (NEW)'!$C$586:$C$596</c:f>
              <c:strCache>
                <c:ptCount val="10"/>
                <c:pt idx="0">
                  <c:v>HOTELES SHERATON DE ARGENTINA S A C</c:v>
                </c:pt>
                <c:pt idx="1">
                  <c:v>HOTELERA REGAL PACIFIC S.A.</c:v>
                </c:pt>
                <c:pt idx="2">
                  <c:v>COMPAÑIA GENERAL DE COMERCIO E INDUSTRIA S A</c:v>
                </c:pt>
                <c:pt idx="3">
                  <c:v>ACCOR CPA S A</c:v>
                </c:pt>
                <c:pt idx="4">
                  <c:v>CLARIDGE HOTEL S.A.</c:v>
                </c:pt>
                <c:pt idx="5">
                  <c:v>FAGRAL SOCIEDAD ANONIMA COMERCIAL INDUSTRIAL E INMOBILIARIA</c:v>
                </c:pt>
                <c:pt idx="6">
                  <c:v>HOTELES Y GESTION SRL</c:v>
                </c:pt>
                <c:pt idx="7">
                  <c:v>HRL HOTELES S.A.</c:v>
                </c:pt>
                <c:pt idx="8">
                  <c:v>ALVEAR PALACE HOTEL S.A.</c:v>
                </c:pt>
                <c:pt idx="9">
                  <c:v>SAN CORRIENTES SA</c:v>
                </c:pt>
              </c:strCache>
            </c:strRef>
          </c:cat>
          <c:val>
            <c:numRef>
              <c:f>'02. Liquidacion anual (NEW)'!$E$586:$E$596</c:f>
              <c:numCache>
                <c:formatCode>General</c:formatCode>
                <c:ptCount val="10"/>
                <c:pt idx="0">
                  <c:v>943</c:v>
                </c:pt>
                <c:pt idx="1">
                  <c:v>25</c:v>
                </c:pt>
                <c:pt idx="2">
                  <c:v>298</c:v>
                </c:pt>
                <c:pt idx="3">
                  <c:v>232</c:v>
                </c:pt>
                <c:pt idx="4">
                  <c:v>3</c:v>
                </c:pt>
                <c:pt idx="5">
                  <c:v>113</c:v>
                </c:pt>
                <c:pt idx="6">
                  <c:v>113</c:v>
                </c:pt>
                <c:pt idx="7">
                  <c:v>11</c:v>
                </c:pt>
                <c:pt idx="8">
                  <c:v>18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5-4BF5-8089-4F1249A4D5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831234640"/>
        <c:axId val="-1831234096"/>
      </c:barChart>
      <c:catAx>
        <c:axId val="-183123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31234096"/>
        <c:crosses val="autoZero"/>
        <c:auto val="1"/>
        <c:lblAlgn val="ctr"/>
        <c:lblOffset val="100"/>
        <c:noMultiLvlLbl val="0"/>
      </c:catAx>
      <c:valAx>
        <c:axId val="-18312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83123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33617</xdr:colOff>
      <xdr:row>529</xdr:row>
      <xdr:rowOff>45944</xdr:rowOff>
    </xdr:from>
    <xdr:to>
      <xdr:col>15</xdr:col>
      <xdr:colOff>1131794</xdr:colOff>
      <xdr:row>543</xdr:row>
      <xdr:rowOff>122144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22411</xdr:colOff>
      <xdr:row>563</xdr:row>
      <xdr:rowOff>68355</xdr:rowOff>
    </xdr:from>
    <xdr:to>
      <xdr:col>17</xdr:col>
      <xdr:colOff>11206</xdr:colOff>
      <xdr:row>577</xdr:row>
      <xdr:rowOff>144555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145677</xdr:colOff>
      <xdr:row>581</xdr:row>
      <xdr:rowOff>68354</xdr:rowOff>
    </xdr:from>
    <xdr:to>
      <xdr:col>16</xdr:col>
      <xdr:colOff>33617</xdr:colOff>
      <xdr:row>604</xdr:row>
      <xdr:rowOff>179293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GL%20-%20GASTRONOMICOS-%20AHT%20201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2745.52450590278" createdVersion="5" refreshedVersion="5" minRefreshableVersion="3" recordCount="2988" xr:uid="{00000000-000A-0000-FFFF-FFFF5A000000}">
  <cacheSource type="worksheet">
    <worksheetSource ref="A100:BP1048576" sheet="03.Resumen de Liquidaciones" r:id="rId2"/>
  </cacheSource>
  <cacheFields count="68">
    <cacheField name="Nro mes" numFmtId="0">
      <sharedItems containsBlank="1" containsMixedTypes="1" containsNumber="1" containsInteger="1" minValue="1" maxValue="12"/>
    </cacheField>
    <cacheField name="Periodo" numFmtId="0">
      <sharedItems containsNonDate="0" containsDate="1" containsString="0" containsBlank="1" minDate="2016-01-01T00:00:00" maxDate="2016-12-02T00:00:00" count="13">
        <m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</sharedItems>
    </cacheField>
    <cacheField name="Estado" numFmtId="0">
      <sharedItems containsBlank="1" count="2">
        <m/>
        <s v="OK"/>
      </sharedItems>
    </cacheField>
    <cacheField name="Legajo" numFmtId="0">
      <sharedItems containsString="0" containsBlank="1" containsNumber="1" containsInteger="1" minValue="47397" maxValue="185803"/>
    </cacheField>
    <cacheField name="Apellido y Nombre" numFmtId="0">
      <sharedItems containsBlank="1"/>
    </cacheField>
    <cacheField name="CUIL" numFmtId="0">
      <sharedItems containsBlank="1"/>
    </cacheField>
    <cacheField name="F.R.P." numFmtId="0">
      <sharedItems containsDate="1" containsString="0" containsBlank="1" containsMixedTypes="1" minDate="2016-01-21T00:00:00" maxDate="1900-01-09T10:49:04"/>
    </cacheField>
    <cacheField name="Nro. Doc" numFmtId="0">
      <sharedItems containsString="0" containsBlank="1" containsNumber="1" containsInteger="1" minValue="12573728" maxValue="95644036"/>
    </cacheField>
    <cacheField name="Apellido" numFmtId="0">
      <sharedItems containsBlank="1"/>
    </cacheField>
    <cacheField name="Nombre" numFmtId="0">
      <sharedItems containsBlank="1"/>
    </cacheField>
    <cacheField name="Sexo" numFmtId="0">
      <sharedItems containsBlank="1"/>
    </cacheField>
    <cacheField name="F. Antigüedad" numFmtId="0">
      <sharedItems containsNonDate="0" containsString="0" containsBlank="1"/>
    </cacheField>
    <cacheField name="Ingreso" numFmtId="14">
      <sharedItems containsNonDate="0" containsDate="1" containsString="0" containsBlank="1" minDate="2010-04-13T00:00:00" maxDate="2017-01-01T00:00:00"/>
    </cacheField>
    <cacheField name="Egreso" numFmtId="14">
      <sharedItems containsNonDate="0" containsDate="1" containsString="0" containsBlank="1" minDate="2010-09-01T00:00:00" maxDate="2017-01-04T00:00:00"/>
    </cacheField>
    <cacheField name="FecBajaCAT" numFmtId="0">
      <sharedItems containsDate="1" containsString="0" containsBlank="1" containsMixedTypes="1" minDate="2011-04-14T00:00:00" maxDate="2016-09-30T00:00:00"/>
    </cacheField>
    <cacheField name="Convenio" numFmtId="0">
      <sharedItems containsBlank="1"/>
    </cacheField>
    <cacheField name="Categoría" numFmtId="0">
      <sharedItems containsBlank="1"/>
    </cacheField>
    <cacheField name="Cliente" numFmtId="0">
      <sharedItems containsBlank="1" count="21">
        <m/>
        <s v="COMPAÑIA GENERAL DE COMERCIO E INDUSTRIA S A"/>
        <s v="BERCA HOTELERA S.A."/>
        <s v="HOTELERA REGAL PACIFIC S.A."/>
        <s v="SAN CORRIENTES SA"/>
        <s v="HOTELES SHERATON DE ARGENTINA S A C"/>
        <s v="ACCOR CPA S A"/>
        <s v="FAGRAL SOCIEDAD ANONIMA COMERCIAL INDUSTRIAL E INMOBILIARIA"/>
        <s v="HCI S.A."/>
        <s v="CLARIDGE HOTEL S.A."/>
        <s v="ACCOR HOSPITALITY ARGENTINA S.A."/>
        <s v="HRL HOTELES S.A."/>
        <s v="ALVEAR PALACE HOTEL S.A."/>
        <s v="FIDEICOMISO HOTEL DE BAHIA GRANDE"/>
        <s v="TRIMOS S.A."/>
        <s v="NUEVAS FRONTERAS S.A."/>
        <s v="GESTION LABORAL S.A."/>
        <s v="HOTELES Y GESTION SRL"/>
        <s v="ARIEL DEL PLATA S.A."/>
        <s v="RADIO VISION JUJUY S.A."/>
        <s v="FUNDACION NATALI DAFNE FLEXER"/>
      </sharedItems>
    </cacheField>
    <cacheField name="Unidad" numFmtId="0">
      <sharedItems containsBlank="1"/>
    </cacheField>
    <cacheField name="U.O.Propia" numFmtId="0">
      <sharedItems containsBlank="1"/>
    </cacheField>
    <cacheField name="Calificación Profesional" numFmtId="0">
      <sharedItems containsBlank="1"/>
    </cacheField>
    <cacheField name="O Soc Codigo" numFmtId="0">
      <sharedItems containsString="0" containsBlank="1" containsNumber="1" containsInteger="1" minValue="406" maxValue="127505"/>
    </cacheField>
    <cacheField name="O Soc Nombre" numFmtId="0">
      <sharedItems containsBlank="1"/>
    </cacheField>
    <cacheField name="Zona" numFmtId="0">
      <sharedItems containsBlank="1"/>
    </cacheField>
    <cacheField name="Laboral Barrio" numFmtId="0">
      <sharedItems containsBlank="1"/>
    </cacheField>
    <cacheField name="Laboral CP" numFmtId="0">
      <sharedItems containsBlank="1" containsMixedTypes="1" containsNumber="1" containsInteger="1" minValue="1002" maxValue="4600"/>
    </cacheField>
    <cacheField name="Laboral Calle" numFmtId="0">
      <sharedItems containsBlank="1" containsMixedTypes="1" containsNumber="1" containsInteger="1" minValue="9" maxValue="1154"/>
    </cacheField>
    <cacheField name="Laboral Nro" numFmtId="0">
      <sharedItems containsString="0" containsBlank="1" containsNumber="1" containsInteger="1" minValue="181" maxValue="3125"/>
    </cacheField>
    <cacheField name="Laboral Piso" numFmtId="0">
      <sharedItems containsBlank="1" containsMixedTypes="1" containsNumber="1" containsInteger="1" minValue="1" maxValue="45"/>
    </cacheField>
    <cacheField name="Laboral Dpto" numFmtId="0">
      <sharedItems containsBlank="1" containsMixedTypes="1" containsNumber="1" containsInteger="1" minValue="1" maxValue="1437"/>
    </cacheField>
    <cacheField name="Laboral Localidad" numFmtId="0">
      <sharedItems containsBlank="1"/>
    </cacheField>
    <cacheField name="Laboral Provincia" numFmtId="0">
      <sharedItems containsBlank="1"/>
    </cacheField>
    <cacheField name="Centro de Costo" numFmtId="0">
      <sharedItems containsBlank="1"/>
    </cacheField>
    <cacheField name="Lugar de Pago" numFmtId="0">
      <sharedItems containsBlank="1"/>
    </cacheField>
    <cacheField name="Sector Interno" numFmtId="0">
      <sharedItems containsBlank="1"/>
    </cacheField>
    <cacheField name="Recibos" numFmtId="0">
      <sharedItems containsString="0" containsBlank="1" containsNumber="1" containsInteger="1" minValue="1" maxValue="8"/>
    </cacheField>
    <cacheField name="Legajos" numFmtId="0">
      <sharedItems containsString="0" containsBlank="1" containsNumber="1" containsInteger="1" minValue="1" maxValue="1"/>
    </cacheField>
    <cacheField name="Bruto" numFmtId="0">
      <sharedItems containsBlank="1" containsMixedTypes="1" containsNumber="1" minValue="-6288.85" maxValue="36983.360000000001"/>
    </cacheField>
    <cacheField name="Retenciones" numFmtId="0">
      <sharedItems containsBlank="1" containsMixedTypes="1" containsNumber="1" minValue="-1257.79" maxValue="7396.7"/>
    </cacheField>
    <cacheField name="Salario Familiar" numFmtId="0">
      <sharedItems containsBlank="1"/>
    </cacheField>
    <cacheField name="Exento" numFmtId="0">
      <sharedItems containsBlank="1" containsMixedTypes="1" containsNumber="1" minValue="21.58" maxValue="46441.59"/>
    </cacheField>
    <cacheField name="Neto" numFmtId="0">
      <sharedItems containsBlank="1" containsMixedTypes="1" containsNumber="1" minValue="-5031.0600000000004" maxValue="52474.84"/>
    </cacheField>
    <cacheField name="870 - Cuota Sindical (C)" numFmtId="0">
      <sharedItems containsBlank="1" containsMixedTypes="1" containsNumber="1" minValue="1.61" maxValue="687.68"/>
    </cacheField>
    <cacheField name="871 - Aporte Solidario (D)" numFmtId="0">
      <sharedItems containsBlank="1" containsMixedTypes="1" containsNumber="1" minValue="-125.78" maxValue="739.67"/>
    </cacheField>
    <cacheField name="872 - Federación" numFmtId="0">
      <sharedItems containsBlank="1"/>
    </cacheField>
    <cacheField name="873 - Ajuste Desc.Obra Social" numFmtId="0">
      <sharedItems containsBlank="1"/>
    </cacheField>
    <cacheField name="874 - Sindicato (D)" numFmtId="0">
      <sharedItems containsBlank="1"/>
    </cacheField>
    <cacheField name="875 - Sindicato (T)" numFmtId="0">
      <sharedItems containsBlank="1"/>
    </cacheField>
    <cacheField name="880 - Ajuste Sindicato" numFmtId="0">
      <sharedItems containsBlank="1"/>
    </cacheField>
    <cacheField name="900 - Seguro de Vida" numFmtId="0">
      <sharedItems containsBlank="1"/>
    </cacheField>
    <cacheField name="901 - Seguro CCT" numFmtId="0">
      <sharedItems containsBlank="1" containsMixedTypes="1" containsNumber="1" minValue="-62.89" maxValue="369.84"/>
    </cacheField>
    <cacheField name="903 - Seguro (C)" numFmtId="0">
      <sharedItems containsBlank="1" containsMixedTypes="1" containsNumber="1" minValue="0.48810000000000003" maxValue="214.6721"/>
    </cacheField>
    <cacheField name="911 - Desc. Ayuda Econ Mutual (No Gananc) Imp" numFmtId="0">
      <sharedItems containsBlank="1"/>
    </cacheField>
    <cacheField name="916 - Mutual(C)" numFmtId="0">
      <sharedItems containsBlank="1"/>
    </cacheField>
    <cacheField name="932 - Desc.Tarjeta Magnetica" numFmtId="0">
      <sharedItems containsBlank="1"/>
    </cacheField>
    <cacheField name="994 - Descuento Anticipo" numFmtId="0">
      <sharedItems containsBlank="1" containsMixedTypes="1" containsNumber="1" minValue="500" maxValue="3000"/>
    </cacheField>
    <cacheField name="995 - Descuento Anticipo (M)" numFmtId="0">
      <sharedItems containsBlank="1"/>
    </cacheField>
    <cacheField name="1200 - Contribución Patronal 1(C7)" numFmtId="0">
      <sharedItems containsBlank="1" containsMixedTypes="1" containsNumber="1" minValue="-125.78" maxValue="739.67"/>
    </cacheField>
    <cacheField name="1201 - Contribución Patronal 2 (C8)" numFmtId="0">
      <sharedItems containsBlank="1" containsMixedTypes="1" containsNumber="1" minValue="0.02" maxValue="120.18"/>
    </cacheField>
    <cacheField name="1202 - Contribución Patronal 3 (C9)" numFmtId="0">
      <sharedItems containsBlank="1" containsMixedTypes="1" containsNumber="1" minValue="39.72" maxValue="250"/>
    </cacheField>
    <cacheField name="1203 - Ajuste Contribución Patronal" numFmtId="0">
      <sharedItems containsBlank="1" containsMixedTypes="1" containsNumber="1" minValue="-99.33" maxValue="-1.07"/>
    </cacheField>
    <cacheField name="1204 - Aporte acuerdo NR" numFmtId="0">
      <sharedItems containsBlank="1"/>
    </cacheField>
    <cacheField name="1205 - Contribucion Patronal (T)(C7)" numFmtId="0">
      <sharedItems containsBlank="1"/>
    </cacheField>
    <cacheField name="1206 - Contribucion Patronal UOCRA(C8)" numFmtId="0">
      <sharedItems containsBlank="1"/>
    </cacheField>
    <cacheField name="1207 - Ajte. Contribucion Patronal UOCRA(C8)" numFmtId="0">
      <sharedItems containsBlank="1"/>
    </cacheField>
    <cacheField name="1212 - Contribución Patronal 4(C107)" numFmtId="0">
      <sharedItems containsBlank="1" containsMixedTypes="1" containsNumber="1" minValue="-62.89" maxValue="369.84"/>
    </cacheField>
    <cacheField name="1213 - Contribución Patronal 5" numFmtId="0">
      <sharedItems containsBlank="1" containsMixedTypes="1" containsNumber="1" containsInteger="1" minValue="250" maxValue="750"/>
    </cacheField>
    <cacheField name="TOTAL -" numFmtId="0">
      <sharedItems containsBlank="1" containsMixedTypes="1" containsNumber="1" minValue="-377.34" maxValue="4296.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8">
  <r>
    <m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  <s v="Importe"/>
  </r>
  <r>
    <n v="1"/>
    <x v="1"/>
    <x v="0"/>
    <n v="164217"/>
    <s v="ACCOLLA DARIO JOAQUIN"/>
    <s v="23-22367277-9"/>
    <d v="2016-02-08T00:00:00"/>
    <n v="22367277"/>
    <s v="ACCOLLA"/>
    <s v="DARIO JOAQUIN"/>
    <s v="M"/>
    <m/>
    <d v="2015-12-17T00:00:00"/>
    <d v="2016-02-01T00:00:00"/>
    <d v="2016-02-01T00:00:00"/>
    <s v="GASTRONOMICOS-Hoteles 4 y 5 Estrellas - 362/2003"/>
    <s v="Categoria 6"/>
    <x v="1"/>
    <s v="RESTAURANT"/>
    <s v="Centro"/>
    <s v="Camarero/a"/>
    <n v="108803"/>
    <s v="O.S.P.Gastronomico"/>
    <s v="Capital Federal"/>
    <m/>
    <n v="1005"/>
    <s v="ROMA"/>
    <n v="1005"/>
    <m/>
    <m/>
    <s v="CAPITAL FEDERAL"/>
    <s v="Capital Federal"/>
    <m/>
    <s v="U.O.Centro"/>
    <m/>
    <n v="2"/>
    <n v="1"/>
    <n v="1562.22"/>
    <n v="312.42"/>
    <m/>
    <m/>
    <n v="1249.8"/>
    <m/>
    <n v="31.24"/>
    <m/>
    <m/>
    <m/>
    <m/>
    <m/>
    <m/>
    <n v="15.62"/>
    <m/>
    <m/>
    <m/>
    <m/>
    <m/>
    <m/>
    <n v="31.24"/>
    <m/>
    <m/>
    <m/>
    <m/>
    <m/>
    <m/>
    <m/>
    <n v="15.62"/>
    <m/>
    <n v="93.72"/>
  </r>
  <r>
    <n v="1"/>
    <x v="1"/>
    <x v="0"/>
    <n v="118846"/>
    <s v="ACOSTA SUSANA BEATRIZ"/>
    <s v="27-32902543-3"/>
    <d v="2016-02-08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2"/>
    <n v="1"/>
    <n v="6463.48"/>
    <n v="1292.68"/>
    <m/>
    <m/>
    <n v="5170.8"/>
    <m/>
    <n v="129.27000000000001"/>
    <m/>
    <m/>
    <m/>
    <m/>
    <m/>
    <m/>
    <n v="64.63"/>
    <m/>
    <m/>
    <m/>
    <m/>
    <m/>
    <m/>
    <n v="129.27000000000001"/>
    <m/>
    <m/>
    <m/>
    <m/>
    <m/>
    <m/>
    <m/>
    <n v="64.63"/>
    <m/>
    <n v="387.8"/>
  </r>
  <r>
    <n v="1"/>
    <x v="1"/>
    <x v="1"/>
    <n v="161989"/>
    <s v="AGUERO DANIEL OSCAR"/>
    <s v="20-30502739-2"/>
    <d v="2016-02-01T00:00:00"/>
    <n v="30502739"/>
    <s v="AGUERO"/>
    <s v="DANIEL OSCAR"/>
    <s v="M"/>
    <m/>
    <d v="2015-11-19T00:00:00"/>
    <d v="2016-01-02T00:00:00"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ORELLO"/>
    <n v="764"/>
    <m/>
    <m/>
    <s v="CAPITAL FEDERAL"/>
    <s v="Capital Federal"/>
    <m/>
    <s v="U.O.Centro Paga Inplant"/>
    <m/>
    <n v="1"/>
    <n v="1"/>
    <n v="2970.64"/>
    <n v="594.13"/>
    <m/>
    <m/>
    <n v="2376.5100000000002"/>
    <m/>
    <n v="59.41"/>
    <m/>
    <m/>
    <m/>
    <m/>
    <m/>
    <m/>
    <n v="29.71"/>
    <m/>
    <m/>
    <m/>
    <m/>
    <m/>
    <m/>
    <n v="59.41"/>
    <m/>
    <m/>
    <m/>
    <m/>
    <m/>
    <m/>
    <m/>
    <n v="29.71"/>
    <m/>
    <n v="178.24"/>
  </r>
  <r>
    <n v="1"/>
    <x v="1"/>
    <x v="0"/>
    <n v="162860"/>
    <s v="AGUIRRE EMMNUEL JORGE"/>
    <s v="23-29929118-9"/>
    <d v="2016-02-08T00:00:00"/>
    <n v="29929118"/>
    <s v="AGUIRRE"/>
    <s v="EMMNUEL JORGE"/>
    <s v="M"/>
    <m/>
    <d v="2015-12-03T00:00:00"/>
    <m/>
    <m/>
    <s v="GASTRONOMICOS-Hoteles 4 y 5 Estrellas - 362/2003"/>
    <s v="Categoria 1"/>
    <x v="4"/>
    <s v="Unidad Base-GL"/>
    <s v="Centro"/>
    <s v="Tareas Generales"/>
    <n v="111704"/>
    <s v="OS  DE ENCARGADOS APUNTADORES MARITIMOS"/>
    <s v="Capital Federal"/>
    <m/>
    <n v="1004"/>
    <s v="MELGAR"/>
    <n v="474"/>
    <m/>
    <n v="1437"/>
    <s v="CAPITAL FEDERAL"/>
    <s v="Buenos Aires"/>
    <m/>
    <s v="U.O.Centro"/>
    <m/>
    <n v="1"/>
    <n v="1"/>
    <n v="3060.25"/>
    <n v="612.05999999999995"/>
    <m/>
    <m/>
    <n v="2448.19"/>
    <m/>
    <n v="61.21"/>
    <m/>
    <m/>
    <m/>
    <m/>
    <m/>
    <m/>
    <n v="30.6"/>
    <m/>
    <m/>
    <m/>
    <m/>
    <m/>
    <m/>
    <n v="61.21"/>
    <m/>
    <m/>
    <m/>
    <m/>
    <m/>
    <m/>
    <m/>
    <n v="30.6"/>
    <m/>
    <n v="183.62"/>
  </r>
  <r>
    <n v="1"/>
    <x v="1"/>
    <x v="0"/>
    <n v="164906"/>
    <s v="ALCOCER NATALIA FLORENCIA"/>
    <s v="27-40536139-1"/>
    <d v="2016-01-21T00:00:00"/>
    <n v="40536139"/>
    <s v="ALCOCER"/>
    <s v="NATALIA FLORENCIA"/>
    <s v="F"/>
    <m/>
    <d v="2015-12-23T00:00:00"/>
    <m/>
    <m/>
    <s v="GASTRONOMICOS-Hoteles 4 y 5 Estrellas - 362/2003"/>
    <s v="Categoria 3"/>
    <x v="5"/>
    <s v="Cocina"/>
    <s v="Centro"/>
    <s v="Ayudante de Cocina"/>
    <n v="108803"/>
    <s v="O.S.P.Gastronomico"/>
    <s v="Capital Federal"/>
    <m/>
    <n v="1104"/>
    <s v="MACEDONIO FERNANDEZ"/>
    <n v="1225"/>
    <m/>
    <m/>
    <s v="CAPITAL FEDERAL"/>
    <s v="Buenos Aires"/>
    <m/>
    <s v="U.O.Centro"/>
    <m/>
    <n v="1"/>
    <n v="1"/>
    <n v="1343.77"/>
    <n v="268.75"/>
    <m/>
    <m/>
    <n v="1075.02"/>
    <m/>
    <n v="26.88"/>
    <m/>
    <m/>
    <m/>
    <m/>
    <m/>
    <m/>
    <n v="13.44"/>
    <m/>
    <m/>
    <m/>
    <m/>
    <m/>
    <m/>
    <n v="26.88"/>
    <m/>
    <m/>
    <m/>
    <m/>
    <m/>
    <m/>
    <m/>
    <n v="13.44"/>
    <m/>
    <n v="80.64"/>
  </r>
  <r>
    <n v="1"/>
    <x v="1"/>
    <x v="0"/>
    <n v="163367"/>
    <s v="ALEGRE EMANUEL MARTIN"/>
    <s v="20-26353502-3"/>
    <d v="2016-01-21T00:00:00"/>
    <n v="26353502"/>
    <s v="ALEGRE"/>
    <s v="EMANUEL MARTIN"/>
    <s v="M"/>
    <m/>
    <d v="2015-11-20T00:00:00"/>
    <d v="2016-01-11T00:00:00"/>
    <m/>
    <s v="GASTRONOMICOS-Hoteles 4 y 5 Estrellas - 362/2003"/>
    <s v="Categoria 2"/>
    <x v="5"/>
    <s v="Bacheros"/>
    <s v="Centro"/>
    <s v="Bachero"/>
    <n v="126908"/>
    <s v="OS DE LOS MEDICOS DE LA CIUDAD DE BUENOS AIRES"/>
    <s v="Capital Federal"/>
    <m/>
    <n v="1104"/>
    <s v="CASACUBERTA"/>
    <n v="1225"/>
    <m/>
    <m/>
    <s v="CAPITAL FEDERAL"/>
    <s v="Buenos Aires"/>
    <m/>
    <s v="U.O.Centro"/>
    <m/>
    <n v="1"/>
    <n v="1"/>
    <n v="320.17"/>
    <n v="64.040000000000006"/>
    <m/>
    <m/>
    <n v="256.13"/>
    <m/>
    <n v="6.4"/>
    <m/>
    <m/>
    <m/>
    <m/>
    <m/>
    <m/>
    <n v="3.2"/>
    <m/>
    <m/>
    <m/>
    <m/>
    <m/>
    <m/>
    <n v="6.4"/>
    <m/>
    <m/>
    <m/>
    <m/>
    <m/>
    <m/>
    <m/>
    <n v="3.2"/>
    <m/>
    <n v="19.2"/>
  </r>
  <r>
    <n v="1"/>
    <x v="1"/>
    <x v="0"/>
    <n v="139738"/>
    <s v="ALEGRE FLAVIO RODRIGO"/>
    <s v="20-30462269-6"/>
    <d v="2016-02-08T00:00:00"/>
    <n v="30462269"/>
    <s v="ALEGRE"/>
    <s v="FLAVIO RODRIGO"/>
    <s v="M"/>
    <m/>
    <d v="2016-01-02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COMBAT. DE LOS POZOS"/>
    <n v="1005"/>
    <n v="3"/>
    <m/>
    <s v="CAPITAL FEDERAL"/>
    <s v="Capital Federal"/>
    <m/>
    <s v="U.O.Centro"/>
    <m/>
    <n v="6"/>
    <n v="1"/>
    <n v="7699.26"/>
    <n v="1533.69"/>
    <m/>
    <m/>
    <n v="6165.57"/>
    <m/>
    <n v="153.97999999999999"/>
    <m/>
    <m/>
    <m/>
    <m/>
    <m/>
    <m/>
    <n v="70.849999999999994"/>
    <m/>
    <m/>
    <m/>
    <m/>
    <m/>
    <m/>
    <n v="153.97999999999999"/>
    <n v="10.54"/>
    <m/>
    <m/>
    <m/>
    <m/>
    <m/>
    <m/>
    <n v="60.31"/>
    <m/>
    <n v="449.66"/>
  </r>
  <r>
    <n v="1"/>
    <x v="1"/>
    <x v="0"/>
    <n v="156318"/>
    <s v="ALMONTE MARIANELA"/>
    <s v="27-19029144-3"/>
    <d v="2016-02-08T00:00:00"/>
    <n v="19029144"/>
    <s v="ALMONTE"/>
    <s v="MARIANELA"/>
    <s v="F"/>
    <m/>
    <d v="2015-08-18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REMEDIO DE ESCALADA"/>
    <n v="474"/>
    <m/>
    <m/>
    <s v="CAPITAL FEDERAL"/>
    <s v="Buenos Aires"/>
    <m/>
    <s v="U.O.Centro"/>
    <m/>
    <n v="1"/>
    <n v="1"/>
    <n v="9324.83"/>
    <n v="1864.96"/>
    <m/>
    <m/>
    <n v="7459.87"/>
    <m/>
    <n v="186.5"/>
    <m/>
    <m/>
    <m/>
    <m/>
    <m/>
    <m/>
    <n v="93.25"/>
    <m/>
    <m/>
    <m/>
    <m/>
    <m/>
    <m/>
    <n v="186.5"/>
    <m/>
    <m/>
    <m/>
    <m/>
    <m/>
    <m/>
    <m/>
    <n v="93.25"/>
    <m/>
    <n v="559.5"/>
  </r>
  <r>
    <n v="1"/>
    <x v="1"/>
    <x v="0"/>
    <n v="163628"/>
    <s v="ALONSO LUCAS DARIO"/>
    <s v="23-31832633-9"/>
    <d v="2016-02-08T00:00:00"/>
    <n v="31832633"/>
    <s v="ALONSO"/>
    <s v="LUCAS DARIO"/>
    <s v="M"/>
    <m/>
    <d v="2015-12-24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MARIANO ACOSTA"/>
    <n v="1232"/>
    <m/>
    <m/>
    <s v="CAPITAL FEDERAL"/>
    <s v="Buenos Aires"/>
    <m/>
    <s v="U.O.Centro"/>
    <s v="Camareros Por Hora"/>
    <n v="1"/>
    <n v="1"/>
    <n v="1836.45"/>
    <n v="367.28"/>
    <m/>
    <m/>
    <n v="1469.17"/>
    <m/>
    <n v="36.729999999999997"/>
    <m/>
    <m/>
    <m/>
    <m/>
    <m/>
    <m/>
    <n v="18.36"/>
    <m/>
    <m/>
    <m/>
    <m/>
    <m/>
    <m/>
    <n v="36.729999999999997"/>
    <m/>
    <m/>
    <m/>
    <m/>
    <m/>
    <m/>
    <m/>
    <n v="18.36"/>
    <m/>
    <n v="110.18"/>
  </r>
  <r>
    <n v="1"/>
    <x v="1"/>
    <x v="0"/>
    <n v="156038"/>
    <s v="AMARILLA GLADIS NORMA"/>
    <s v="27-31471414-3"/>
    <d v="2016-02-08T00:00:00"/>
    <n v="31471414"/>
    <s v="AMARILLA"/>
    <s v="GLADIS NORMA"/>
    <s v="F"/>
    <m/>
    <d v="2015-12-03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SAN JAVIER"/>
    <n v="1005"/>
    <m/>
    <m/>
    <s v="CAPITAL FEDERAL"/>
    <s v="Capital Federal"/>
    <m/>
    <s v="U.O.Centro"/>
    <m/>
    <n v="2"/>
    <n v="1"/>
    <n v="17618.009999999998"/>
    <n v="3523.61"/>
    <m/>
    <m/>
    <n v="14094.4"/>
    <m/>
    <n v="352.37"/>
    <m/>
    <m/>
    <m/>
    <m/>
    <m/>
    <m/>
    <n v="176.18"/>
    <m/>
    <m/>
    <m/>
    <m/>
    <m/>
    <m/>
    <n v="352.37"/>
    <m/>
    <m/>
    <m/>
    <m/>
    <m/>
    <m/>
    <m/>
    <n v="176.18"/>
    <m/>
    <n v="1057.0999999999999"/>
  </r>
  <r>
    <n v="1"/>
    <x v="1"/>
    <x v="0"/>
    <n v="137716"/>
    <s v="AMARILLA MARIANELA SOLEDAD"/>
    <s v="23-35068319-4"/>
    <d v="2016-02-08T00:00:00"/>
    <n v="35068319"/>
    <s v="AMARILLA"/>
    <s v="MARIANELA SOLEDAD"/>
    <s v="F"/>
    <m/>
    <d v="2014-11-15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LACARRA"/>
    <n v="1232"/>
    <m/>
    <m/>
    <s v="CAPITAL FEDERAL"/>
    <s v="Buenos Aires"/>
    <m/>
    <s v="U.O.Centro"/>
    <s v="Mucama por Jornada"/>
    <n v="1"/>
    <n v="1"/>
    <n v="9107.85"/>
    <n v="1867.12"/>
    <m/>
    <m/>
    <n v="7240.73"/>
    <n v="227.7"/>
    <m/>
    <m/>
    <m/>
    <m/>
    <m/>
    <m/>
    <m/>
    <n v="91.08"/>
    <m/>
    <m/>
    <m/>
    <m/>
    <m/>
    <m/>
    <n v="182.16"/>
    <m/>
    <m/>
    <m/>
    <m/>
    <m/>
    <m/>
    <m/>
    <n v="91.08"/>
    <m/>
    <n v="592.02"/>
  </r>
  <r>
    <n v="1"/>
    <x v="1"/>
    <x v="0"/>
    <n v="161060"/>
    <s v="ARANDA JESICA AYELEN"/>
    <s v="27-34753238-5"/>
    <d v="2016-01-21T00:00:00"/>
    <n v="34753238"/>
    <s v="ARANDA"/>
    <s v="JESICA AYELEN"/>
    <s v="F"/>
    <m/>
    <d v="2015-11-15T00:00:00"/>
    <m/>
    <d v="2016-01-20T00:00:00"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PEDRO ECHAGUE"/>
    <n v="1225"/>
    <s v="PB"/>
    <n v="5"/>
    <s v="CAPITAL FEDERAL"/>
    <s v="Buenos Aires"/>
    <m/>
    <s v="U.O.Centro"/>
    <m/>
    <n v="1"/>
    <n v="1"/>
    <n v="514.71"/>
    <n v="102.94"/>
    <m/>
    <m/>
    <n v="411.77"/>
    <m/>
    <n v="10.29"/>
    <m/>
    <m/>
    <m/>
    <m/>
    <m/>
    <m/>
    <n v="5.15"/>
    <m/>
    <m/>
    <m/>
    <m/>
    <m/>
    <m/>
    <n v="10.29"/>
    <m/>
    <m/>
    <m/>
    <m/>
    <m/>
    <m/>
    <m/>
    <n v="5.15"/>
    <m/>
    <n v="30.88"/>
  </r>
  <r>
    <n v="1"/>
    <x v="1"/>
    <x v="0"/>
    <n v="134826"/>
    <s v="AREN ANALÍA EMILCE"/>
    <s v="27-25784997-5"/>
    <d v="2016-02-08T00:00:00"/>
    <n v="25784997"/>
    <s v="AREN"/>
    <s v="ANALÍA EMILCE"/>
    <s v="F"/>
    <m/>
    <d v="2016-01-02T00:00:00"/>
    <d v="2016-01-14T00:00:00"/>
    <m/>
    <s v="GASTRONOMICOS-Hoteles 4 y 5 Estrellas - 362/2003"/>
    <s v="Categoría 4"/>
    <x v="7"/>
    <s v="Unidad Base-GL"/>
    <s v="Centro"/>
    <s v="Tareas Generales"/>
    <n v="126908"/>
    <s v="OS DE LOS MEDICOS DE LA CIUDAD DE BUENOS AIRES"/>
    <s v="Capital Federal"/>
    <m/>
    <n v="1022"/>
    <s v="DILLON"/>
    <n v="181"/>
    <m/>
    <m/>
    <s v="CAPITAL FEDERAL"/>
    <s v="Capital Federal"/>
    <m/>
    <s v="U.O.Centro"/>
    <m/>
    <n v="2"/>
    <n v="1"/>
    <n v="444.03"/>
    <n v="88.8"/>
    <m/>
    <n v="2264.8000000000002"/>
    <n v="2620.0300000000002"/>
    <m/>
    <n v="8.8800000000000008"/>
    <m/>
    <m/>
    <m/>
    <m/>
    <m/>
    <m/>
    <n v="4.4400000000000004"/>
    <m/>
    <m/>
    <m/>
    <m/>
    <m/>
    <m/>
    <n v="8.8800000000000008"/>
    <m/>
    <m/>
    <m/>
    <m/>
    <m/>
    <m/>
    <m/>
    <n v="4.4400000000000004"/>
    <m/>
    <n v="26.64"/>
  </r>
  <r>
    <n v="1"/>
    <x v="1"/>
    <x v="0"/>
    <n v="139740"/>
    <s v="AREVALO PABLO DAVID"/>
    <s v="20-37897359-8"/>
    <d v="2016-02-08T00:00:00"/>
    <n v="37897359"/>
    <s v="AREVALO"/>
    <s v="PABLO DAVID"/>
    <s v="M"/>
    <m/>
    <d v="2015-08-1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UJAN"/>
    <n v="1005"/>
    <m/>
    <m/>
    <s v="CAPITAL FEDERAL"/>
    <s v="Capital Federal"/>
    <m/>
    <s v="U.O.Centro"/>
    <m/>
    <n v="2"/>
    <n v="1"/>
    <n v="2386.62"/>
    <n v="477.33"/>
    <m/>
    <m/>
    <n v="1909.29"/>
    <m/>
    <n v="47.73"/>
    <m/>
    <m/>
    <m/>
    <m/>
    <m/>
    <m/>
    <n v="23.87"/>
    <m/>
    <m/>
    <m/>
    <m/>
    <m/>
    <m/>
    <n v="47.73"/>
    <m/>
    <m/>
    <m/>
    <m/>
    <m/>
    <m/>
    <m/>
    <n v="23.87"/>
    <m/>
    <n v="143.19999999999999"/>
  </r>
  <r>
    <n v="1"/>
    <x v="1"/>
    <x v="0"/>
    <n v="166810"/>
    <s v="ARRIETA CLAUDIA ALEJANDRA"/>
    <s v="27-20538808-2"/>
    <d v="2016-02-08T00:00:00"/>
    <n v="20538808"/>
    <s v="ARRIETA"/>
    <s v="CLAUDIA ALEJANDRA"/>
    <s v="F"/>
    <m/>
    <d v="2016-01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RACAS"/>
    <n v="474"/>
    <m/>
    <m/>
    <s v="CAPITAL FEDERAL"/>
    <s v="Buenos Aires"/>
    <m/>
    <s v="U.O.Centro"/>
    <m/>
    <n v="1"/>
    <n v="1"/>
    <n v="2220.6999999999998"/>
    <n v="444.14"/>
    <m/>
    <m/>
    <n v="1776.56"/>
    <m/>
    <n v="44.41"/>
    <m/>
    <m/>
    <m/>
    <m/>
    <m/>
    <m/>
    <n v="22.21"/>
    <m/>
    <m/>
    <m/>
    <m/>
    <m/>
    <m/>
    <n v="44.41"/>
    <m/>
    <m/>
    <m/>
    <m/>
    <m/>
    <m/>
    <m/>
    <n v="22.21"/>
    <m/>
    <n v="133.24"/>
  </r>
  <r>
    <n v="1"/>
    <x v="1"/>
    <x v="0"/>
    <n v="162626"/>
    <s v="ARTAYETA NATALIA ADRIANA"/>
    <s v="27-26542833-4"/>
    <d v="2016-02-08T00:00:00"/>
    <n v="26542833"/>
    <s v="ARTAYETA"/>
    <s v="NATALIA ADRIANA"/>
    <s v="F"/>
    <m/>
    <d v="2016-01-01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ARMENIA"/>
    <n v="181"/>
    <m/>
    <m/>
    <s v="CAPITAL FEDERAL"/>
    <s v="Capital Federal"/>
    <m/>
    <s v="U.O.Centro"/>
    <m/>
    <n v="1"/>
    <n v="1"/>
    <n v="2246.85"/>
    <n v="449.38"/>
    <m/>
    <m/>
    <n v="1797.47"/>
    <m/>
    <n v="44.94"/>
    <m/>
    <m/>
    <m/>
    <m/>
    <m/>
    <m/>
    <n v="22.47"/>
    <m/>
    <m/>
    <m/>
    <m/>
    <m/>
    <m/>
    <n v="44.94"/>
    <m/>
    <m/>
    <m/>
    <m/>
    <m/>
    <m/>
    <m/>
    <n v="22.47"/>
    <m/>
    <n v="134.82"/>
  </r>
  <r>
    <n v="1"/>
    <x v="1"/>
    <x v="1"/>
    <n v="162574"/>
    <s v="BANEGAS PEREZ VICTOR GUSTAVO"/>
    <s v="20-47178337-5"/>
    <d v="2016-02-01T00:00:00"/>
    <n v="47178337"/>
    <s v="BANEGAS PEREZ"/>
    <s v="VICTOR GUSTAVO"/>
    <s v="M"/>
    <m/>
    <d v="2015-12-04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 RIVADAVIA"/>
    <n v="764"/>
    <n v="7"/>
    <s v="D"/>
    <s v="CAPITAL FEDERAL"/>
    <s v="Capital Federal"/>
    <m/>
    <s v="U.O.Centro"/>
    <m/>
    <n v="1"/>
    <n v="1"/>
    <n v="13521.69"/>
    <n v="2704.34"/>
    <m/>
    <m/>
    <n v="10817.35"/>
    <m/>
    <n v="270.43"/>
    <m/>
    <m/>
    <m/>
    <m/>
    <m/>
    <m/>
    <n v="135.22"/>
    <m/>
    <m/>
    <m/>
    <m/>
    <m/>
    <m/>
    <n v="270.43"/>
    <m/>
    <m/>
    <m/>
    <m/>
    <m/>
    <m/>
    <m/>
    <n v="135.22"/>
    <m/>
    <n v="811.3"/>
  </r>
  <r>
    <n v="1"/>
    <x v="1"/>
    <x v="0"/>
    <n v="155970"/>
    <s v="BARRIONUEVO SILVIA NOEMI"/>
    <s v="27-22804897-1"/>
    <d v="2016-02-08T00:00:00"/>
    <n v="22804897"/>
    <s v="BARRIONUEVO"/>
    <s v="SILVIA NOEMI"/>
    <s v="F"/>
    <m/>
    <d v="2015-09-0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AV COBO CURAPALIGUE"/>
    <n v="1232"/>
    <s v="A"/>
    <m/>
    <s v="CAPITAL FEDERAL"/>
    <s v="Buenos Aires"/>
    <m/>
    <s v="U.O.Centro"/>
    <s v="Camareros Por Hora"/>
    <n v="2"/>
    <n v="1"/>
    <n v="2978.75"/>
    <n v="595.74"/>
    <m/>
    <m/>
    <n v="2383.0100000000002"/>
    <m/>
    <n v="59.58"/>
    <m/>
    <m/>
    <m/>
    <m/>
    <m/>
    <m/>
    <n v="29.78"/>
    <m/>
    <m/>
    <m/>
    <m/>
    <m/>
    <m/>
    <n v="59.58"/>
    <n v="10.54"/>
    <m/>
    <m/>
    <m/>
    <m/>
    <m/>
    <m/>
    <n v="19.239999999999998"/>
    <m/>
    <n v="178.72"/>
  </r>
  <r>
    <n v="1"/>
    <x v="1"/>
    <x v="1"/>
    <n v="153657"/>
    <s v="BENITEZ LEONARDO RAMON"/>
    <s v="20-36457404-6"/>
    <d v="2016-02-01T00:00:00"/>
    <n v="36457404"/>
    <s v="BENITEZ"/>
    <s v="LEONARDO RAMON"/>
    <s v="M"/>
    <m/>
    <d v="2015-06-30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PUENTE MARQUEZ"/>
    <n v="764"/>
    <m/>
    <m/>
    <s v="CAPITAL FEDERAL"/>
    <s v="Capital Federal"/>
    <m/>
    <s v="U.O.Centro Paga Inplant"/>
    <m/>
    <n v="1"/>
    <n v="1"/>
    <n v="11428.23"/>
    <n v="2285.65"/>
    <m/>
    <m/>
    <n v="9142.58"/>
    <m/>
    <n v="228.56"/>
    <m/>
    <m/>
    <m/>
    <m/>
    <m/>
    <m/>
    <n v="114.28"/>
    <m/>
    <m/>
    <m/>
    <m/>
    <m/>
    <m/>
    <n v="228.56"/>
    <m/>
    <m/>
    <m/>
    <m/>
    <m/>
    <m/>
    <m/>
    <n v="114.28"/>
    <m/>
    <n v="685.68"/>
  </r>
  <r>
    <n v="1"/>
    <x v="1"/>
    <x v="0"/>
    <n v="163463"/>
    <s v="BERDEJA ARENAS CARLA SOLEDAD"/>
    <s v="23-38008990-4"/>
    <d v="2016-02-08T00:00:00"/>
    <n v="38008990"/>
    <s v="BERDEJA ARENAS"/>
    <s v="CARLA SOLEDAD"/>
    <s v="F"/>
    <m/>
    <d v="2015-12-11T00:00:00"/>
    <m/>
    <m/>
    <s v="GASTRONOMICOS-Hoteles 4 y 5 Estrellas - 362/2003"/>
    <s v="Categoria 6"/>
    <x v="4"/>
    <s v="Unidad Base-GL"/>
    <s v="Centro"/>
    <s v="Tareas Generales"/>
    <n v="108803"/>
    <s v="O.S.P.Gastronomico"/>
    <s v="Capital Federal"/>
    <m/>
    <n v="1004"/>
    <s v="ENTRE RIOS"/>
    <n v="474"/>
    <m/>
    <m/>
    <s v="CAPITAL FEDERAL"/>
    <s v="Buenos Aires"/>
    <m/>
    <s v="U.O.Centro"/>
    <m/>
    <n v="1"/>
    <n v="1"/>
    <n v="988.48"/>
    <n v="197.68"/>
    <m/>
    <m/>
    <n v="790.8"/>
    <m/>
    <n v="19.77"/>
    <m/>
    <m/>
    <m/>
    <m/>
    <m/>
    <m/>
    <n v="9.8800000000000008"/>
    <m/>
    <m/>
    <m/>
    <m/>
    <m/>
    <m/>
    <n v="19.77"/>
    <m/>
    <m/>
    <m/>
    <m/>
    <m/>
    <m/>
    <m/>
    <n v="9.8800000000000008"/>
    <m/>
    <n v="59.3"/>
  </r>
  <r>
    <n v="1"/>
    <x v="1"/>
    <x v="0"/>
    <n v="156037"/>
    <s v="BRAGA ERIKA GRACIELA"/>
    <s v="27-38026883-9"/>
    <d v="2016-02-08T00:00:00"/>
    <n v="38026883"/>
    <s v="BRAGA"/>
    <s v="ERIKA GRACIELA"/>
    <s v="F"/>
    <m/>
    <d v="2015-08-15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RIVADAVIA"/>
    <n v="1005"/>
    <n v="7"/>
    <s v="D"/>
    <s v="CAPITAL FEDERAL"/>
    <s v="Capital Federal"/>
    <m/>
    <s v="U.O.Centro"/>
    <m/>
    <n v="2"/>
    <n v="1"/>
    <n v="1562.22"/>
    <n v="312.42"/>
    <m/>
    <m/>
    <n v="1249.8"/>
    <m/>
    <n v="31.24"/>
    <m/>
    <m/>
    <m/>
    <m/>
    <m/>
    <m/>
    <n v="15.62"/>
    <m/>
    <m/>
    <m/>
    <m/>
    <m/>
    <m/>
    <n v="31.24"/>
    <m/>
    <m/>
    <m/>
    <m/>
    <m/>
    <m/>
    <m/>
    <n v="15.62"/>
    <m/>
    <n v="93.72"/>
  </r>
  <r>
    <n v="1"/>
    <x v="1"/>
    <x v="0"/>
    <n v="161236"/>
    <s v="BRIZUELA DUARTE ESTHER"/>
    <s v="27-94425030-7"/>
    <d v="2016-02-08T00:00:00"/>
    <n v="94425030"/>
    <s v="BRIZUELA DUARTE"/>
    <s v="ESTHER"/>
    <s v="F"/>
    <m/>
    <d v="2015-12-0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AVENIDA ESPAÑA"/>
    <n v="1225"/>
    <m/>
    <m/>
    <s v="CAPITAL FEDERAL"/>
    <s v="Buenos Aires"/>
    <m/>
    <s v="U.O.Centro"/>
    <m/>
    <n v="2"/>
    <n v="1"/>
    <n v="4117.72"/>
    <n v="823.56"/>
    <m/>
    <m/>
    <n v="3294.16"/>
    <m/>
    <n v="82.36"/>
    <m/>
    <m/>
    <m/>
    <m/>
    <m/>
    <m/>
    <n v="41.18"/>
    <m/>
    <m/>
    <m/>
    <m/>
    <m/>
    <m/>
    <n v="82.36"/>
    <m/>
    <m/>
    <m/>
    <m/>
    <m/>
    <m/>
    <m/>
    <n v="41.18"/>
    <m/>
    <n v="247.08"/>
  </r>
  <r>
    <n v="1"/>
    <x v="1"/>
    <x v="0"/>
    <n v="161926"/>
    <s v="BURGOS GRACIELA"/>
    <s v="27-21385119-0"/>
    <d v="2016-02-08T00:00:00"/>
    <n v="21385119"/>
    <s v="BURGOS"/>
    <s v="GRACIELA"/>
    <s v="F"/>
    <m/>
    <d v="2015-11-23T00:00:00"/>
    <d v="2016-01-08T00:00:00"/>
    <d v="2016-01-08T00:00:00"/>
    <s v="GASTRONOMICOS-Hoteles 4 y 5 Estrellas - 362/2003"/>
    <s v="Categoria 6"/>
    <x v="5"/>
    <s v="Gobernanta"/>
    <s v="Centro"/>
    <s v="Gobernant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1"/>
    <n v="1"/>
    <n v="5018.9799999999996"/>
    <n v="1003.8"/>
    <m/>
    <m/>
    <n v="4015.18"/>
    <m/>
    <n v="100.38"/>
    <m/>
    <m/>
    <m/>
    <m/>
    <m/>
    <m/>
    <n v="50.19"/>
    <m/>
    <m/>
    <m/>
    <m/>
    <m/>
    <m/>
    <n v="100.38"/>
    <m/>
    <m/>
    <m/>
    <m/>
    <m/>
    <m/>
    <m/>
    <n v="50.19"/>
    <m/>
    <n v="301.14"/>
  </r>
  <r>
    <n v="1"/>
    <x v="1"/>
    <x v="0"/>
    <n v="164254"/>
    <s v="BUSTILLO MARIANO"/>
    <s v="20-26096743-7"/>
    <d v="2016-02-08T00:00:00"/>
    <n v="26096743"/>
    <s v="BUSTILLO"/>
    <s v="MARIANO"/>
    <s v="M"/>
    <m/>
    <d v="2015-12-31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CORDOBA"/>
    <n v="1232"/>
    <n v="11"/>
    <s v="C"/>
    <s v="CAPITAL FEDERAL"/>
    <s v="Buenos Aires"/>
    <m/>
    <s v="U.O.Centro"/>
    <s v="Camareros Por Hora"/>
    <n v="2"/>
    <n v="1"/>
    <n v="1853.74"/>
    <n v="370.74"/>
    <m/>
    <m/>
    <n v="1483"/>
    <m/>
    <n v="37.07"/>
    <m/>
    <m/>
    <m/>
    <m/>
    <m/>
    <m/>
    <n v="18.54"/>
    <m/>
    <m/>
    <m/>
    <m/>
    <m/>
    <m/>
    <n v="37.07"/>
    <m/>
    <m/>
    <m/>
    <m/>
    <m/>
    <m/>
    <m/>
    <n v="18.54"/>
    <m/>
    <n v="111.22"/>
  </r>
  <r>
    <n v="1"/>
    <x v="1"/>
    <x v="0"/>
    <n v="161580"/>
    <s v="CAEIRO MAURO ALBERTO"/>
    <s v="20-30431921-7"/>
    <d v="2016-02-08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2"/>
    <n v="1"/>
    <n v="3008.5"/>
    <n v="601.67999999999995"/>
    <m/>
    <m/>
    <n v="2406.8200000000002"/>
    <m/>
    <n v="60.17"/>
    <m/>
    <m/>
    <m/>
    <m/>
    <m/>
    <m/>
    <n v="30.08"/>
    <m/>
    <m/>
    <m/>
    <m/>
    <m/>
    <m/>
    <n v="60.17"/>
    <m/>
    <m/>
    <m/>
    <m/>
    <m/>
    <m/>
    <m/>
    <n v="30.08"/>
    <m/>
    <n v="180.5"/>
  </r>
  <r>
    <n v="1"/>
    <x v="1"/>
    <x v="0"/>
    <n v="163383"/>
    <s v="CAÑETE SHEILA YAMILA"/>
    <s v="27-35905597-3"/>
    <d v="2016-02-08T00:00:00"/>
    <n v="35905597"/>
    <s v="CAÑETE"/>
    <s v="SHEILA YAMILA"/>
    <s v="F"/>
    <m/>
    <d v="2015-12-0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ACHABAL RODRIGUEZ"/>
    <n v="1225"/>
    <m/>
    <m/>
    <s v="CAPITAL FEDERAL"/>
    <s v="Buenos Aires"/>
    <m/>
    <s v="U.O.Centro"/>
    <m/>
    <n v="2"/>
    <n v="1"/>
    <n v="3603"/>
    <n v="720.6"/>
    <m/>
    <m/>
    <n v="2882.4"/>
    <m/>
    <n v="72.06"/>
    <m/>
    <m/>
    <m/>
    <m/>
    <m/>
    <m/>
    <n v="36.03"/>
    <m/>
    <m/>
    <m/>
    <m/>
    <m/>
    <m/>
    <n v="72.06"/>
    <m/>
    <m/>
    <m/>
    <m/>
    <m/>
    <m/>
    <m/>
    <n v="36.03"/>
    <m/>
    <n v="216.18"/>
  </r>
  <r>
    <n v="1"/>
    <x v="1"/>
    <x v="0"/>
    <n v="115106"/>
    <s v="CARDOZO ANALIA NOEMI"/>
    <s v="27-21934196-8"/>
    <d v="2016-02-08T00:00:00"/>
    <n v="21934196"/>
    <s v="CARDOZO"/>
    <s v="ANALIA NOEMI"/>
    <s v="F"/>
    <m/>
    <d v="2013-09-21T00:00:00"/>
    <m/>
    <m/>
    <s v="GASTRONOMICOS-Hoteles 4 y 5 Estrellas - 362/2003"/>
    <s v="Categoria 6"/>
    <x v="2"/>
    <s v="Unidad Principal"/>
    <s v="Centro"/>
    <s v="Mucama"/>
    <n v="108803"/>
    <s v="O.S.P.Gastronomico"/>
    <s v="Capital Federal"/>
    <m/>
    <n v="1008"/>
    <s v="MANZANA 2 TORRE D2"/>
    <n v="948"/>
    <s v="A"/>
    <m/>
    <s v="CAPITAL FEDERAL"/>
    <s v="Capital Federal"/>
    <m/>
    <s v="U.O.Centro"/>
    <m/>
    <n v="1"/>
    <n v="1"/>
    <n v="4231.99"/>
    <n v="846.4"/>
    <m/>
    <m/>
    <n v="3385.59"/>
    <m/>
    <n v="84.64"/>
    <m/>
    <m/>
    <m/>
    <m/>
    <m/>
    <m/>
    <n v="42.32"/>
    <m/>
    <m/>
    <m/>
    <m/>
    <m/>
    <m/>
    <n v="84.64"/>
    <m/>
    <m/>
    <m/>
    <m/>
    <m/>
    <m/>
    <m/>
    <n v="42.32"/>
    <m/>
    <n v="253.92"/>
  </r>
  <r>
    <n v="1"/>
    <x v="1"/>
    <x v="0"/>
    <n v="156033"/>
    <s v="CARDOZO EMILIANO DARIO"/>
    <s v="20-36164896-0"/>
    <d v="2016-02-08T00:00:00"/>
    <n v="36164896"/>
    <s v="CARDOZO"/>
    <s v="EMILIANO DARIO"/>
    <s v="M"/>
    <m/>
    <d v="2015-12-31T00:00:00"/>
    <m/>
    <m/>
    <s v="GASTRONOMICOS-Hoteles 4 y 5 Estrellas - 362/2003"/>
    <s v="Categoria 6"/>
    <x v="6"/>
    <s v="Unidad Base-GL"/>
    <s v="Centro"/>
    <s v="Tareas Generales"/>
    <n v="108803"/>
    <s v="O.S.P.Gastronomico"/>
    <s v="Capital Federal"/>
    <m/>
    <n v="1093"/>
    <s v="EUSEBIO VALDENEGRO"/>
    <n v="1232"/>
    <n v="1"/>
    <m/>
    <s v="CAPITAL FEDERAL"/>
    <s v="Buenos Aires"/>
    <m/>
    <s v="U.O.Centro"/>
    <m/>
    <n v="1"/>
    <n v="1"/>
    <n v="1377.35"/>
    <n v="275.47000000000003"/>
    <m/>
    <m/>
    <n v="1101.8800000000001"/>
    <m/>
    <n v="27.55"/>
    <m/>
    <m/>
    <m/>
    <m/>
    <m/>
    <m/>
    <n v="13.77"/>
    <m/>
    <m/>
    <m/>
    <m/>
    <m/>
    <m/>
    <n v="27.55"/>
    <m/>
    <m/>
    <m/>
    <m/>
    <m/>
    <m/>
    <m/>
    <n v="13.77"/>
    <m/>
    <n v="82.64"/>
  </r>
  <r>
    <n v="1"/>
    <x v="1"/>
    <x v="0"/>
    <n v="144180"/>
    <s v="CATALAN CRISTINA DEL CARMEN"/>
    <s v="27-31138041-4"/>
    <d v="2016-02-08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Mucama Por Hora"/>
    <n v="1"/>
    <n v="1"/>
    <n v="11105.02"/>
    <n v="2221"/>
    <m/>
    <m/>
    <n v="8884.02"/>
    <m/>
    <n v="222.1"/>
    <m/>
    <m/>
    <m/>
    <m/>
    <m/>
    <m/>
    <n v="111.05"/>
    <m/>
    <m/>
    <m/>
    <m/>
    <m/>
    <m/>
    <n v="222.1"/>
    <m/>
    <m/>
    <m/>
    <m/>
    <m/>
    <m/>
    <m/>
    <n v="111.05"/>
    <m/>
    <n v="666.3"/>
  </r>
  <r>
    <n v="1"/>
    <x v="1"/>
    <x v="0"/>
    <n v="164186"/>
    <s v="CEJAS GERARDO FABIAN"/>
    <s v="20-38845979-5"/>
    <d v="2016-02-08T00:00:00"/>
    <n v="38845979"/>
    <s v="CEJAS"/>
    <s v="GERARDO FABIAN"/>
    <s v="M"/>
    <m/>
    <d v="2015-12-17T00:00:00"/>
    <d v="2015-12-17T00:00:00"/>
    <m/>
    <s v="GASTRONOMICOS-Hoteles 4 y 5 Estrellas - 362/2003"/>
    <s v="Categoria 1"/>
    <x v="8"/>
    <s v="Unidad Base-GL"/>
    <s v="Centro"/>
    <s v="Tareas Generales"/>
    <n v="108803"/>
    <s v="O.S.P.Gastronomico"/>
    <s v="Capital Federal"/>
    <m/>
    <n v="1018"/>
    <s v="PUAN"/>
    <n v="1745"/>
    <m/>
    <m/>
    <s v="CAPITAL FEDERAL"/>
    <s v="Buenos Aires"/>
    <m/>
    <s v="U.O.Centro"/>
    <m/>
    <n v="1"/>
    <n v="1"/>
    <n v="457.56"/>
    <n v="91.52"/>
    <m/>
    <m/>
    <n v="366.04"/>
    <m/>
    <n v="9.15"/>
    <m/>
    <m/>
    <m/>
    <m/>
    <m/>
    <m/>
    <n v="4.58"/>
    <m/>
    <m/>
    <m/>
    <m/>
    <m/>
    <m/>
    <n v="9.15"/>
    <m/>
    <m/>
    <m/>
    <m/>
    <m/>
    <m/>
    <m/>
    <n v="4.58"/>
    <m/>
    <n v="27.46"/>
  </r>
  <r>
    <n v="1"/>
    <x v="1"/>
    <x v="0"/>
    <n v="158525"/>
    <s v="CELIBERTI YESICA ROMINA"/>
    <s v="27-35202883-0"/>
    <d v="2016-02-08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Mucama Por Hora"/>
    <n v="1"/>
    <n v="1"/>
    <n v="8328.77"/>
    <n v="1707.39"/>
    <m/>
    <m/>
    <n v="6621.38"/>
    <n v="208.22"/>
    <m/>
    <m/>
    <m/>
    <m/>
    <m/>
    <m/>
    <m/>
    <n v="83.29"/>
    <m/>
    <m/>
    <m/>
    <m/>
    <m/>
    <m/>
    <n v="166.58"/>
    <m/>
    <m/>
    <m/>
    <m/>
    <m/>
    <m/>
    <m/>
    <n v="83.29"/>
    <m/>
    <n v="541.38"/>
  </r>
  <r>
    <n v="1"/>
    <x v="1"/>
    <x v="1"/>
    <n v="162434"/>
    <s v="CENTURION NORMA BEATRIZ"/>
    <s v="27-27888691-9"/>
    <d v="2016-02-01T00:00:00"/>
    <n v="27888691"/>
    <s v="CENTURION"/>
    <s v="NORMA BEATRIZ"/>
    <s v="F"/>
    <m/>
    <d v="2015-12-01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HASCOMUS"/>
    <n v="764"/>
    <m/>
    <m/>
    <s v="CAPITAL FEDERAL"/>
    <s v="Capital Federal"/>
    <m/>
    <s v="U.O.Centro"/>
    <m/>
    <n v="1"/>
    <n v="1"/>
    <n v="3049.92"/>
    <n v="609.99"/>
    <m/>
    <m/>
    <n v="2439.9299999999998"/>
    <m/>
    <n v="61"/>
    <m/>
    <m/>
    <m/>
    <m/>
    <m/>
    <m/>
    <n v="30.5"/>
    <m/>
    <m/>
    <m/>
    <m/>
    <m/>
    <m/>
    <n v="61"/>
    <m/>
    <m/>
    <m/>
    <m/>
    <m/>
    <m/>
    <m/>
    <n v="30.5"/>
    <m/>
    <n v="183"/>
  </r>
  <r>
    <n v="1"/>
    <x v="1"/>
    <x v="0"/>
    <n v="165037"/>
    <s v="CETINA ORTIZ GINA MAYERLY"/>
    <s v="27-94451884-9"/>
    <d v="2016-02-08T00:00:00"/>
    <n v="94451884"/>
    <s v="CETINA ORTIZ"/>
    <s v="GINA MAYERLY"/>
    <s v="F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ESTADOS UNIDOS"/>
    <n v="1232"/>
    <m/>
    <m/>
    <s v="CAPITAL FEDERAL"/>
    <s v="Buenos Aires"/>
    <m/>
    <s v="U.O.Centro"/>
    <m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1"/>
    <n v="112977"/>
    <s v="CHACON NADIA DE LOS ANGELES"/>
    <s v="27-34151854-2"/>
    <d v="2016-02-08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1851.79"/>
    <n v="379.61"/>
    <m/>
    <m/>
    <n v="1472.18"/>
    <n v="46.29"/>
    <m/>
    <m/>
    <m/>
    <m/>
    <m/>
    <m/>
    <m/>
    <n v="18.52"/>
    <m/>
    <m/>
    <m/>
    <m/>
    <m/>
    <m/>
    <n v="37.04"/>
    <m/>
    <m/>
    <m/>
    <m/>
    <m/>
    <m/>
    <m/>
    <n v="18.52"/>
    <m/>
    <n v="120.37"/>
  </r>
  <r>
    <n v="1"/>
    <x v="1"/>
    <x v="0"/>
    <n v="164812"/>
    <s v="CHARLES SANDRA"/>
    <s v="27-95400425-8"/>
    <d v="2016-02-08T00:00:00"/>
    <n v="95400425"/>
    <s v="CHARLES"/>
    <s v="SANDRA"/>
    <s v="F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BOLIVAR"/>
    <n v="1232"/>
    <m/>
    <m/>
    <s v="CAPITAL FEDERAL"/>
    <s v="Buenos Aires"/>
    <m/>
    <s v="U.O.Centro"/>
    <m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1"/>
    <n v="165990"/>
    <s v="CION BEATRIZ  LILIANA"/>
    <s v="27-24432411-3"/>
    <d v="2016-02-01T00:00:00"/>
    <n v="24432411"/>
    <s v="CION"/>
    <s v="BEATRIZ  LILIANA"/>
    <s v="F"/>
    <m/>
    <d v="2016-0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RODO"/>
    <n v="764"/>
    <m/>
    <m/>
    <s v="CAPITAL FEDERAL"/>
    <s v="Capital Federal"/>
    <m/>
    <s v="U.O.Centro"/>
    <m/>
    <n v="1"/>
    <n v="1"/>
    <n v="4323.9399999999996"/>
    <n v="864.79"/>
    <m/>
    <m/>
    <n v="3459.15"/>
    <m/>
    <n v="86.48"/>
    <m/>
    <m/>
    <m/>
    <m/>
    <m/>
    <m/>
    <n v="43.24"/>
    <m/>
    <m/>
    <m/>
    <m/>
    <m/>
    <m/>
    <n v="86.48"/>
    <m/>
    <m/>
    <m/>
    <m/>
    <m/>
    <m/>
    <m/>
    <n v="43.24"/>
    <m/>
    <n v="259.44"/>
  </r>
  <r>
    <n v="1"/>
    <x v="1"/>
    <x v="1"/>
    <n v="164608"/>
    <s v="CLERICCETTI ANALIA BELEN"/>
    <s v="27-35139027-7"/>
    <d v="2016-02-01T00:00:00"/>
    <n v="35139027"/>
    <s v="CLERICCETTI"/>
    <s v="ANALIA BELEN"/>
    <s v="F"/>
    <m/>
    <d v="2015-12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MENDOZA"/>
    <n v="764"/>
    <m/>
    <m/>
    <s v="CAPITAL FEDERAL"/>
    <s v="Capital Federal"/>
    <m/>
    <s v="U.O.Centro"/>
    <m/>
    <n v="1"/>
    <n v="1"/>
    <n v="1307.9000000000001"/>
    <n v="261.58999999999997"/>
    <m/>
    <m/>
    <n v="1046.31"/>
    <m/>
    <n v="26.16"/>
    <m/>
    <m/>
    <m/>
    <m/>
    <m/>
    <m/>
    <n v="13.08"/>
    <m/>
    <m/>
    <m/>
    <m/>
    <m/>
    <m/>
    <n v="26.16"/>
    <m/>
    <m/>
    <m/>
    <m/>
    <m/>
    <m/>
    <m/>
    <n v="13.08"/>
    <m/>
    <n v="78.48"/>
  </r>
  <r>
    <n v="1"/>
    <x v="1"/>
    <x v="0"/>
    <n v="164258"/>
    <s v="CORDOBA JIMENEZ ISRAEL RAMON"/>
    <s v="20-95238754-6"/>
    <d v="2016-02-08T00:00:00"/>
    <n v="95238754"/>
    <s v="CORDOBA JIMENEZ"/>
    <s v="ISRAEL RAMON"/>
    <s v="M"/>
    <m/>
    <d v="2015-12-17T00:00:00"/>
    <d v="2016-01-05T00:00:00"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SALTA"/>
    <n v="1232"/>
    <m/>
    <m/>
    <s v="CAPITAL FEDERAL"/>
    <s v="Buenos Aires"/>
    <m/>
    <s v="U.O.Centro"/>
    <s v="Camareros Por Hora"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0"/>
    <n v="162205"/>
    <s v="DOMINGUEZ CABRERA CESAR FERNANDO"/>
    <s v="23-95304555-9"/>
    <d v="2016-02-08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2"/>
    <n v="1"/>
    <n v="5122.8"/>
    <n v="1024.56"/>
    <m/>
    <m/>
    <n v="4098.24"/>
    <m/>
    <n v="102.46"/>
    <m/>
    <m/>
    <m/>
    <m/>
    <m/>
    <m/>
    <n v="51.23"/>
    <m/>
    <m/>
    <m/>
    <m/>
    <m/>
    <m/>
    <n v="102.46"/>
    <m/>
    <m/>
    <m/>
    <m/>
    <m/>
    <m/>
    <m/>
    <n v="51.23"/>
    <m/>
    <n v="307.38"/>
  </r>
  <r>
    <n v="1"/>
    <x v="1"/>
    <x v="0"/>
    <n v="166685"/>
    <s v="DUARTE PICO EVA CLARINA"/>
    <s v="27-94661310-5"/>
    <d v="2016-02-02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2468.13"/>
    <n v="493.61"/>
    <m/>
    <m/>
    <n v="1974.52"/>
    <m/>
    <n v="49.36"/>
    <m/>
    <m/>
    <m/>
    <m/>
    <m/>
    <m/>
    <n v="24.68"/>
    <m/>
    <m/>
    <m/>
    <m/>
    <m/>
    <m/>
    <n v="49.36"/>
    <m/>
    <m/>
    <m/>
    <m/>
    <m/>
    <m/>
    <m/>
    <n v="24.68"/>
    <m/>
    <n v="148.08000000000001"/>
  </r>
  <r>
    <n v="1"/>
    <x v="1"/>
    <x v="0"/>
    <n v="138787"/>
    <s v="FERNANDEZ CLAUDIA"/>
    <s v="27-23472256-0"/>
    <d v="2016-02-08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Mucama por Jornada"/>
    <n v="1"/>
    <n v="1"/>
    <n v="13311.46"/>
    <n v="2662.28"/>
    <m/>
    <m/>
    <n v="10649.18"/>
    <m/>
    <n v="266.23"/>
    <m/>
    <m/>
    <m/>
    <m/>
    <m/>
    <m/>
    <n v="133.11000000000001"/>
    <m/>
    <m/>
    <m/>
    <m/>
    <m/>
    <m/>
    <n v="266.23"/>
    <m/>
    <m/>
    <m/>
    <m/>
    <m/>
    <m/>
    <m/>
    <n v="133.11000000000001"/>
    <m/>
    <n v="798.68"/>
  </r>
  <r>
    <n v="1"/>
    <x v="1"/>
    <x v="1"/>
    <n v="161938"/>
    <s v="FERNANDEZ JUAN ALBERTO"/>
    <s v="20-22996587-6"/>
    <d v="2016-02-01T00:00:00"/>
    <n v="22996587"/>
    <s v="FERNANDEZ"/>
    <s v="JUAN ALBERTO"/>
    <s v="M"/>
    <m/>
    <d v="2015-11-20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MARTIN GRASS"/>
    <n v="764"/>
    <m/>
    <m/>
    <s v="CAPITAL FEDERAL"/>
    <s v="Capital Federal"/>
    <m/>
    <s v="U.O.Centro Paga Inplant"/>
    <m/>
    <n v="1"/>
    <n v="1"/>
    <n v="2368.02"/>
    <n v="473.6"/>
    <m/>
    <m/>
    <n v="1894.42"/>
    <m/>
    <n v="47.36"/>
    <m/>
    <m/>
    <m/>
    <m/>
    <m/>
    <m/>
    <n v="23.68"/>
    <m/>
    <m/>
    <m/>
    <m/>
    <m/>
    <m/>
    <n v="47.36"/>
    <m/>
    <m/>
    <m/>
    <m/>
    <m/>
    <m/>
    <m/>
    <n v="23.68"/>
    <m/>
    <n v="142.08000000000001"/>
  </r>
  <r>
    <n v="1"/>
    <x v="1"/>
    <x v="1"/>
    <n v="162823"/>
    <s v="FORETIC IVANA"/>
    <s v="27-36930073-9"/>
    <d v="2016-02-01T00:00:00"/>
    <n v="36930073"/>
    <s v="FORETIC"/>
    <s v="IVANA"/>
    <s v="F"/>
    <m/>
    <d v="2015-12-03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RIVADAVIA"/>
    <n v="764"/>
    <m/>
    <m/>
    <s v="CAPITAL FEDERAL"/>
    <s v="Capital Federal"/>
    <m/>
    <s v="U.O.Centro"/>
    <m/>
    <n v="1"/>
    <n v="1"/>
    <n v="1681.6"/>
    <n v="336.33"/>
    <m/>
    <m/>
    <n v="1345.27"/>
    <m/>
    <n v="33.630000000000003"/>
    <m/>
    <m/>
    <m/>
    <m/>
    <m/>
    <m/>
    <n v="16.82"/>
    <m/>
    <m/>
    <m/>
    <m/>
    <m/>
    <m/>
    <n v="33.630000000000003"/>
    <m/>
    <m/>
    <m/>
    <m/>
    <m/>
    <m/>
    <m/>
    <n v="16.82"/>
    <m/>
    <n v="100.9"/>
  </r>
  <r>
    <n v="1"/>
    <x v="1"/>
    <x v="1"/>
    <n v="65418"/>
    <s v="GARAY ANGEL FAUSTINO"/>
    <s v="20-27725694-1"/>
    <d v="2016-02-08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18434.27"/>
    <n v="3779.03"/>
    <m/>
    <m/>
    <n v="14655.24"/>
    <n v="460.86"/>
    <m/>
    <m/>
    <m/>
    <m/>
    <m/>
    <m/>
    <m/>
    <n v="184.34"/>
    <m/>
    <m/>
    <m/>
    <m/>
    <m/>
    <m/>
    <n v="368.69"/>
    <m/>
    <m/>
    <m/>
    <m/>
    <m/>
    <m/>
    <m/>
    <n v="184.34"/>
    <m/>
    <n v="1198.23"/>
  </r>
  <r>
    <n v="1"/>
    <x v="1"/>
    <x v="0"/>
    <n v="160167"/>
    <s v="GARCIA GRACIELA SUSANA"/>
    <s v="27-28071456-4"/>
    <d v="2016-02-08T00:00:00"/>
    <n v="28071456"/>
    <s v="GARCIA"/>
    <s v="GRACIELA SUSANA"/>
    <s v="F"/>
    <m/>
    <d v="2015-10-28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GARZON"/>
    <n v="1232"/>
    <m/>
    <m/>
    <s v="CAPITAL FEDERAL"/>
    <s v="Buenos Aires"/>
    <m/>
    <s v="U.O.Centro"/>
    <s v="Camareros Por Hora"/>
    <n v="1"/>
    <n v="1"/>
    <n v="2031.79"/>
    <n v="406.36"/>
    <m/>
    <m/>
    <n v="1625.43"/>
    <m/>
    <n v="40.64"/>
    <m/>
    <m/>
    <m/>
    <m/>
    <m/>
    <m/>
    <n v="20.32"/>
    <m/>
    <m/>
    <m/>
    <m/>
    <m/>
    <m/>
    <n v="40.64"/>
    <m/>
    <m/>
    <m/>
    <m/>
    <m/>
    <m/>
    <m/>
    <n v="20.32"/>
    <m/>
    <n v="121.92"/>
  </r>
  <r>
    <n v="1"/>
    <x v="1"/>
    <x v="0"/>
    <n v="165034"/>
    <s v="GARCIA MARIANO ANDRES"/>
    <s v="20-33300665-1"/>
    <d v="2016-02-08T00:00:00"/>
    <n v="33300665"/>
    <s v="GARCIA"/>
    <s v="MARIANO ANDRES"/>
    <s v="M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HUMBOLDT"/>
    <n v="1232"/>
    <n v="1"/>
    <m/>
    <s v="CAPITAL FEDERAL"/>
    <s v="Buenos Aires"/>
    <m/>
    <s v="U.O.Centro"/>
    <m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0"/>
    <n v="164235"/>
    <s v="GAUTO ALVAREZ BEATRIZ"/>
    <s v="27-94488727-5"/>
    <d v="2016-02-08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Mucama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n v="9768.9500000000007"/>
    <n v="1953.79"/>
    <m/>
    <m/>
    <n v="7815.16"/>
    <m/>
    <n v="195.38"/>
    <m/>
    <m/>
    <m/>
    <m/>
    <m/>
    <m/>
    <n v="97.69"/>
    <m/>
    <m/>
    <m/>
    <m/>
    <m/>
    <m/>
    <n v="195.38"/>
    <m/>
    <m/>
    <m/>
    <m/>
    <m/>
    <m/>
    <m/>
    <n v="97.69"/>
    <m/>
    <n v="586.14"/>
  </r>
  <r>
    <n v="1"/>
    <x v="1"/>
    <x v="0"/>
    <n v="163391"/>
    <s v="GEREZ CASTELLANO CAROLINA DEL VALLE"/>
    <s v="27-27631338-5"/>
    <d v="2016-01-21T00:00:00"/>
    <n v="27631338"/>
    <s v="GEREZ CASTELLANO"/>
    <s v="CAROLINA DEL VALLE"/>
    <s v="F"/>
    <m/>
    <d v="2015-12-04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BACON"/>
    <n v="1225"/>
    <m/>
    <m/>
    <s v="CAPITAL FEDERAL"/>
    <s v="Buenos Aires"/>
    <m/>
    <s v="U.O.Centro"/>
    <m/>
    <n v="1"/>
    <n v="1"/>
    <n v="1504.25"/>
    <n v="300.86"/>
    <m/>
    <m/>
    <n v="1203.3900000000001"/>
    <m/>
    <n v="30.09"/>
    <m/>
    <m/>
    <m/>
    <m/>
    <m/>
    <m/>
    <n v="15.04"/>
    <m/>
    <m/>
    <m/>
    <m/>
    <m/>
    <m/>
    <n v="30.09"/>
    <m/>
    <m/>
    <m/>
    <m/>
    <m/>
    <m/>
    <m/>
    <n v="15.04"/>
    <m/>
    <n v="90.26"/>
  </r>
  <r>
    <n v="1"/>
    <x v="1"/>
    <x v="0"/>
    <n v="161163"/>
    <s v="GODOY DIEGO MARCELO"/>
    <s v="20-35763220-0"/>
    <d v="2016-02-08T00:00:00"/>
    <n v="35763220"/>
    <s v="GODOY"/>
    <s v="DIEGO MARCELO"/>
    <s v="M"/>
    <m/>
    <d v="2015-11-10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GUAMINI"/>
    <n v="1225"/>
    <m/>
    <m/>
    <s v="CAPITAL FEDERAL"/>
    <s v="Buenos Aires"/>
    <m/>
    <s v="U.O.Centro"/>
    <m/>
    <n v="2"/>
    <n v="1"/>
    <n v="3660.4"/>
    <n v="732.08"/>
    <m/>
    <m/>
    <n v="2928.32"/>
    <m/>
    <n v="73.209999999999994"/>
    <m/>
    <m/>
    <m/>
    <m/>
    <m/>
    <m/>
    <n v="36.61"/>
    <m/>
    <m/>
    <m/>
    <m/>
    <m/>
    <m/>
    <n v="73.209999999999994"/>
    <m/>
    <m/>
    <m/>
    <m/>
    <m/>
    <m/>
    <m/>
    <n v="36.61"/>
    <m/>
    <n v="219.64"/>
  </r>
  <r>
    <n v="1"/>
    <x v="1"/>
    <x v="1"/>
    <n v="152412"/>
    <s v="GOMEZ CRISTIAN DARIO"/>
    <s v="20-36484994-0"/>
    <d v="2016-02-01T00:00:00"/>
    <n v="36484994"/>
    <s v="GOMEZ"/>
    <s v="CRISTIAN DARIO"/>
    <s v="M"/>
    <m/>
    <d v="2015-06-11T00:00:00"/>
    <m/>
    <d v="2016-01-25T00:00:00"/>
    <s v="GASTRONOMICOS-Hoteles 4 y 5 Estrellas - 362/2003"/>
    <s v="Categoría 4"/>
    <x v="3"/>
    <s v="Unidad Principal"/>
    <s v="Centro"/>
    <s v="Tareas Generales"/>
    <n v="119203"/>
    <s v="OS  DE RELOJEROS Y JOYEROS"/>
    <s v="Capital Federal"/>
    <m/>
    <n v="1002"/>
    <s v="GENERAL MANSILLA"/>
    <n v="764"/>
    <m/>
    <m/>
    <s v="CAPITAL FEDERAL"/>
    <s v="Capital Federal"/>
    <m/>
    <s v="U.O.Centro Paga Inplant"/>
    <m/>
    <n v="1"/>
    <n v="1"/>
    <n v="18145.099999999999"/>
    <n v="3629.01"/>
    <m/>
    <m/>
    <n v="14516.09"/>
    <m/>
    <n v="362.9"/>
    <m/>
    <m/>
    <m/>
    <m/>
    <m/>
    <m/>
    <n v="181.45"/>
    <m/>
    <m/>
    <m/>
    <m/>
    <m/>
    <m/>
    <n v="362.9"/>
    <m/>
    <m/>
    <m/>
    <m/>
    <m/>
    <m/>
    <m/>
    <n v="181.45"/>
    <m/>
    <n v="1088.7"/>
  </r>
  <r>
    <n v="1"/>
    <x v="1"/>
    <x v="1"/>
    <n v="164986"/>
    <s v="GOMEZ MIGUEL ANGEL"/>
    <s v="20-40687394-4"/>
    <d v="2016-02-08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2"/>
    <n v="1"/>
    <n v="10214.719999999999"/>
    <n v="2042.94"/>
    <m/>
    <m/>
    <n v="8171.78"/>
    <m/>
    <n v="204.3"/>
    <m/>
    <m/>
    <m/>
    <m/>
    <m/>
    <m/>
    <n v="102.14"/>
    <m/>
    <m/>
    <m/>
    <m/>
    <m/>
    <m/>
    <n v="204.3"/>
    <m/>
    <m/>
    <m/>
    <m/>
    <m/>
    <m/>
    <m/>
    <n v="102.14"/>
    <m/>
    <n v="612.88"/>
  </r>
  <r>
    <n v="1"/>
    <x v="1"/>
    <x v="0"/>
    <n v="165040"/>
    <s v="GOMEZ GARCIA RAUL ANDRES"/>
    <s v="20-34955035-1"/>
    <d v="2016-02-08T00:00:00"/>
    <n v="34955035"/>
    <s v="GOMEZ GARCIA"/>
    <s v="RAUL ANDRES"/>
    <s v="M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José Gola 6010 2º C"/>
    <n v="1232"/>
    <s v="2º"/>
    <s v="C"/>
    <s v="CAPITAL FEDERAL"/>
    <s v="Buenos Aires"/>
    <m/>
    <s v="U.O.Centro"/>
    <m/>
    <n v="1"/>
    <n v="1"/>
    <n v="2330.38"/>
    <n v="466.07"/>
    <m/>
    <m/>
    <n v="1864.31"/>
    <m/>
    <n v="46.61"/>
    <m/>
    <m/>
    <m/>
    <m/>
    <m/>
    <m/>
    <n v="23.3"/>
    <m/>
    <m/>
    <m/>
    <m/>
    <m/>
    <m/>
    <n v="46.61"/>
    <m/>
    <m/>
    <m/>
    <m/>
    <m/>
    <m/>
    <m/>
    <n v="23.3"/>
    <m/>
    <n v="139.82"/>
  </r>
  <r>
    <n v="1"/>
    <x v="1"/>
    <x v="0"/>
    <n v="164841"/>
    <s v="GONZALES FERREYRA MARTIN ANTONIO"/>
    <s v="20-94916391-2"/>
    <d v="2016-02-08T00:00:00"/>
    <n v="94916391"/>
    <s v="GONZALES FERREYRA"/>
    <s v="MARTIN ANTONIO"/>
    <s v="M"/>
    <m/>
    <d v="2016-01-14T00:00:00"/>
    <m/>
    <m/>
    <s v="GASTRONOMICOS-Hoteles 4 y 5 Estrellas - 362/2003"/>
    <s v="Categoria 2"/>
    <x v="1"/>
    <s v="Cocina"/>
    <s v="Centro"/>
    <s v="Categoría 2"/>
    <n v="108803"/>
    <s v="O.S.P.Gastronomico"/>
    <s v="Capital Federal"/>
    <m/>
    <n v="1005"/>
    <s v="DR ENRIQUE FINOCHIETTO"/>
    <n v="1005"/>
    <m/>
    <m/>
    <s v="CAPITAL FEDERAL"/>
    <s v="Capital Federal"/>
    <m/>
    <s v="U.O.Centro"/>
    <m/>
    <n v="2"/>
    <n v="1"/>
    <n v="3078.58"/>
    <n v="615.72"/>
    <m/>
    <m/>
    <n v="2462.86"/>
    <m/>
    <n v="61.57"/>
    <m/>
    <m/>
    <m/>
    <m/>
    <m/>
    <m/>
    <n v="30.79"/>
    <m/>
    <m/>
    <m/>
    <m/>
    <m/>
    <m/>
    <n v="61.57"/>
    <m/>
    <m/>
    <m/>
    <m/>
    <m/>
    <m/>
    <m/>
    <n v="30.79"/>
    <m/>
    <n v="184.72"/>
  </r>
  <r>
    <n v="1"/>
    <x v="1"/>
    <x v="0"/>
    <n v="48107"/>
    <s v="GONZALEZ KARINA ELIZABETH"/>
    <s v="27-23467821-9"/>
    <d v="2016-02-08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14505"/>
    <s v="OS  DE PATRONES DE CABOTAJE DE RIOS Y PUERTOS"/>
    <s v="Capital Federal"/>
    <m/>
    <n v="1093"/>
    <s v="EL HORNERO"/>
    <n v="1232"/>
    <m/>
    <m/>
    <s v="CAPITAL FEDERAL"/>
    <s v="Buenos Aires"/>
    <m/>
    <s v="U.O.Centro"/>
    <s v="Mucama por Jornada"/>
    <n v="1"/>
    <n v="1"/>
    <n v="11209.65"/>
    <n v="2241.9299999999998"/>
    <m/>
    <m/>
    <n v="8967.7199999999993"/>
    <m/>
    <n v="224.19"/>
    <m/>
    <m/>
    <m/>
    <m/>
    <m/>
    <m/>
    <n v="112.1"/>
    <m/>
    <m/>
    <m/>
    <m/>
    <m/>
    <m/>
    <n v="224.19"/>
    <m/>
    <m/>
    <m/>
    <m/>
    <m/>
    <m/>
    <m/>
    <n v="112.1"/>
    <m/>
    <n v="672.58"/>
  </r>
  <r>
    <n v="1"/>
    <x v="1"/>
    <x v="0"/>
    <n v="164221"/>
    <s v="GONZALEZ MARIA LUJAN"/>
    <s v="27-36902344-1"/>
    <d v="2016-01-21T00:00:00"/>
    <n v="36902344"/>
    <s v="GONZALEZ"/>
    <s v="MARIA LUJAN"/>
    <s v="F"/>
    <m/>
    <d v="2015-12-23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RODRIGUEZ FLORES"/>
    <n v="1225"/>
    <m/>
    <m/>
    <s v="CAPITAL FEDERAL"/>
    <s v="Buenos Aires"/>
    <m/>
    <s v="U.O.Centro"/>
    <m/>
    <n v="1"/>
    <n v="1"/>
    <n v="1504.25"/>
    <n v="300.86"/>
    <m/>
    <m/>
    <n v="1203.3900000000001"/>
    <m/>
    <n v="30.09"/>
    <m/>
    <m/>
    <m/>
    <m/>
    <m/>
    <m/>
    <n v="15.04"/>
    <m/>
    <m/>
    <m/>
    <m/>
    <m/>
    <m/>
    <n v="30.09"/>
    <m/>
    <m/>
    <m/>
    <m/>
    <m/>
    <m/>
    <m/>
    <n v="15.04"/>
    <m/>
    <n v="90.26"/>
  </r>
  <r>
    <n v="1"/>
    <x v="1"/>
    <x v="1"/>
    <n v="164224"/>
    <s v="GONZALEZ SALOME NATALIA"/>
    <s v="27-35111714-7"/>
    <d v="2016-02-08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2"/>
    <n v="1"/>
    <n v="8866.8799999999992"/>
    <n v="1773.39"/>
    <m/>
    <m/>
    <n v="7093.49"/>
    <m/>
    <n v="177.34"/>
    <m/>
    <m/>
    <m/>
    <m/>
    <m/>
    <m/>
    <n v="88.67"/>
    <m/>
    <m/>
    <m/>
    <m/>
    <m/>
    <m/>
    <n v="177.34"/>
    <m/>
    <m/>
    <m/>
    <m/>
    <m/>
    <m/>
    <m/>
    <n v="88.67"/>
    <m/>
    <n v="532.02"/>
  </r>
  <r>
    <n v="1"/>
    <x v="1"/>
    <x v="1"/>
    <n v="136459"/>
    <s v="GONZALEZ VICTOR HUGO"/>
    <s v="20-37376573-3"/>
    <d v="2016-02-08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3"/>
    <n v="1"/>
    <n v="14414.31"/>
    <n v="5042.12"/>
    <m/>
    <m/>
    <n v="9372.19"/>
    <m/>
    <n v="288.27999999999997"/>
    <m/>
    <m/>
    <m/>
    <m/>
    <m/>
    <m/>
    <n v="144.15"/>
    <m/>
    <m/>
    <m/>
    <m/>
    <n v="2159.25"/>
    <m/>
    <n v="288.27999999999997"/>
    <m/>
    <m/>
    <m/>
    <m/>
    <m/>
    <m/>
    <m/>
    <n v="144.15"/>
    <m/>
    <n v="3024.11"/>
  </r>
  <r>
    <n v="1"/>
    <x v="1"/>
    <x v="1"/>
    <n v="160168"/>
    <s v="GOROSITO ORNELLA CECILIA"/>
    <s v="27-32738641-2"/>
    <d v="2016-02-01T00:00:00"/>
    <n v="32738641"/>
    <s v="GOROSITO"/>
    <s v="ORNELLA CECILIA"/>
    <s v="F"/>
    <m/>
    <d v="2016-01-05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J V GONZALEZ"/>
    <n v="764"/>
    <m/>
    <m/>
    <s v="CAPITAL FEDERAL"/>
    <s v="Capital Federal"/>
    <m/>
    <s v="U.O.Centro"/>
    <m/>
    <n v="1"/>
    <n v="1"/>
    <n v="1605.75"/>
    <n v="321.14999999999998"/>
    <m/>
    <m/>
    <n v="1284.5999999999999"/>
    <m/>
    <n v="32.119999999999997"/>
    <m/>
    <m/>
    <m/>
    <m/>
    <m/>
    <m/>
    <n v="16.059999999999999"/>
    <m/>
    <m/>
    <m/>
    <m/>
    <m/>
    <m/>
    <n v="32.119999999999997"/>
    <m/>
    <m/>
    <m/>
    <m/>
    <m/>
    <m/>
    <m/>
    <n v="16.059999999999999"/>
    <m/>
    <n v="96.36"/>
  </r>
  <r>
    <n v="1"/>
    <x v="1"/>
    <x v="0"/>
    <n v="157880"/>
    <s v="GRILLO PAMELA LORENA"/>
    <s v="27-25978678-4"/>
    <d v="2016-02-08T00:00:00"/>
    <n v="25978678"/>
    <s v="GRILLO"/>
    <s v="PAMELA LORENA"/>
    <s v="F"/>
    <m/>
    <d v="2015-09-20T00:00:00"/>
    <m/>
    <m/>
    <s v="GASTRONOMICOS-Hoteles 4 y 5 Estrellas - 362/2003"/>
    <s v="Categoría 4"/>
    <x v="4"/>
    <s v="Unidad Base-GL"/>
    <s v="Centro"/>
    <s v="Mucama"/>
    <n v="105804"/>
    <s v="O.S.Choferes de Camiones (Metropolitana)"/>
    <s v="Capital Federal"/>
    <m/>
    <n v="1004"/>
    <s v="RIO PILCOMAYO Nº 1276"/>
    <n v="474"/>
    <m/>
    <m/>
    <s v="CAPITAL FEDERAL"/>
    <s v="Buenos Aires"/>
    <m/>
    <s v="U.O.Centro"/>
    <m/>
    <n v="1"/>
    <n v="1"/>
    <n v="4884.43"/>
    <n v="976.88"/>
    <m/>
    <m/>
    <n v="3907.55"/>
    <m/>
    <n v="97.69"/>
    <m/>
    <m/>
    <m/>
    <m/>
    <m/>
    <m/>
    <n v="48.84"/>
    <m/>
    <m/>
    <m/>
    <m/>
    <m/>
    <m/>
    <n v="97.69"/>
    <m/>
    <m/>
    <m/>
    <m/>
    <m/>
    <m/>
    <m/>
    <n v="48.84"/>
    <m/>
    <n v="293.06"/>
  </r>
  <r>
    <n v="1"/>
    <x v="1"/>
    <x v="0"/>
    <n v="138788"/>
    <s v="GUIA VANESA DE LOS ANGELES"/>
    <s v="27-27988325-5"/>
    <d v="2016-02-08T00:00:00"/>
    <n v="27988325"/>
    <s v="GUIA"/>
    <s v="VANESA DE LOS ANGELES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GUAPEY"/>
    <n v="1232"/>
    <m/>
    <m/>
    <s v="CAPITAL FEDERAL"/>
    <s v="Buenos Aires"/>
    <m/>
    <s v="U.O.Centro"/>
    <s v="Mucama por Jornada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x v="0"/>
    <n v="162181"/>
    <s v="GUTIERREZ MAXIMILIANO FELIPE"/>
    <s v="20-34435965-3"/>
    <d v="2016-02-08T00:00:00"/>
    <n v="34435965"/>
    <s v="GUTIERREZ"/>
    <s v="MAXIMILIANO FELIPE"/>
    <s v="M"/>
    <m/>
    <d v="2015-11-25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JOSE INGENIEROS"/>
    <n v="1225"/>
    <m/>
    <m/>
    <s v="CAPITAL FEDERAL"/>
    <s v="Buenos Aires"/>
    <m/>
    <s v="U.O.Centro"/>
    <m/>
    <n v="3"/>
    <n v="1"/>
    <n v="8235.91"/>
    <n v="1647.19"/>
    <m/>
    <m/>
    <n v="6588.72"/>
    <m/>
    <n v="164.72"/>
    <m/>
    <m/>
    <m/>
    <m/>
    <m/>
    <m/>
    <n v="82.36"/>
    <m/>
    <m/>
    <m/>
    <m/>
    <m/>
    <m/>
    <n v="164.72"/>
    <m/>
    <m/>
    <m/>
    <m/>
    <m/>
    <m/>
    <m/>
    <n v="82.36"/>
    <m/>
    <n v="494.16"/>
  </r>
  <r>
    <n v="1"/>
    <x v="1"/>
    <x v="0"/>
    <n v="91102"/>
    <s v="GUTIERREZ TERESA OLIMPIA"/>
    <s v="27-14577614-2"/>
    <d v="2016-02-01T00:00:00"/>
    <n v="14577614"/>
    <s v="GUTIERREZ"/>
    <s v="TERESA OLIMPIA"/>
    <s v="F"/>
    <m/>
    <d v="2013-10-17T00:00:00"/>
    <d v="2015-06-30T00:00:00"/>
    <d v="2015-07-20T00:00:00"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LUIS VIALE"/>
    <n v="1584"/>
    <m/>
    <m/>
    <s v="CAPITAL FEDERAL"/>
    <s v="Capital Federal"/>
    <m/>
    <s v="U.O.Casa Central"/>
    <s v="Alvear Palace"/>
    <n v="1"/>
    <n v="1"/>
    <m/>
    <m/>
    <m/>
    <n v="2038.5"/>
    <n v="2038.5"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x v="1"/>
    <n v="77136"/>
    <s v="HAURET BELTRAN"/>
    <s v="20-31675095-9"/>
    <d v="2016-02-08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2"/>
    <n v="1"/>
    <n v="16510.11"/>
    <n v="3302.04"/>
    <m/>
    <m/>
    <n v="13208.07"/>
    <m/>
    <n v="330.2"/>
    <m/>
    <m/>
    <m/>
    <m/>
    <m/>
    <m/>
    <n v="165.1"/>
    <m/>
    <m/>
    <m/>
    <m/>
    <m/>
    <m/>
    <n v="330.2"/>
    <m/>
    <m/>
    <m/>
    <m/>
    <m/>
    <m/>
    <m/>
    <n v="165.1"/>
    <m/>
    <n v="990.6"/>
  </r>
  <r>
    <n v="1"/>
    <x v="1"/>
    <x v="0"/>
    <n v="157050"/>
    <s v="HERNANDEZ MARTA ISABEL"/>
    <s v="27-24789844-7"/>
    <d v="2016-02-08T00:00:00"/>
    <n v="24789844"/>
    <s v="HERNANDEZ"/>
    <s v="MARTA ISABEL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HELGUERA"/>
    <n v="1232"/>
    <m/>
    <m/>
    <s v="CAPITAL FEDERAL"/>
    <s v="Buenos Aires"/>
    <m/>
    <s v="U.O.Centro"/>
    <s v="Mucama Por Hora"/>
    <n v="1"/>
    <n v="1"/>
    <n v="11799.08"/>
    <n v="2418.81"/>
    <m/>
    <m/>
    <n v="9380.27"/>
    <n v="294.98"/>
    <m/>
    <m/>
    <m/>
    <m/>
    <m/>
    <m/>
    <m/>
    <n v="117.99"/>
    <m/>
    <m/>
    <m/>
    <m/>
    <m/>
    <m/>
    <n v="235.98"/>
    <m/>
    <m/>
    <m/>
    <m/>
    <m/>
    <m/>
    <m/>
    <n v="117.99"/>
    <m/>
    <n v="766.94"/>
  </r>
  <r>
    <n v="1"/>
    <x v="1"/>
    <x v="1"/>
    <n v="152999"/>
    <s v="INOJOSA NELSON RAUL"/>
    <s v="20-25995558-1"/>
    <d v="2016-02-01T00:00:00"/>
    <n v="25995558"/>
    <s v="INOJOSA"/>
    <s v="NELSON RAUL"/>
    <s v="M"/>
    <m/>
    <d v="2015-09-2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SARMIENTO"/>
    <n v="764"/>
    <s v="PB"/>
    <m/>
    <s v="CAPITAL FEDERAL"/>
    <s v="Capital Federal"/>
    <m/>
    <s v="U.O.Centro Paga Inplant"/>
    <m/>
    <n v="1"/>
    <n v="1"/>
    <n v="12423.48"/>
    <n v="2484.6799999999998"/>
    <m/>
    <m/>
    <n v="9938.7999999999993"/>
    <m/>
    <n v="248.47"/>
    <m/>
    <m/>
    <m/>
    <m/>
    <m/>
    <m/>
    <n v="124.23"/>
    <m/>
    <m/>
    <m/>
    <m/>
    <m/>
    <m/>
    <n v="248.47"/>
    <m/>
    <m/>
    <m/>
    <m/>
    <m/>
    <m/>
    <m/>
    <n v="124.23"/>
    <m/>
    <n v="745.4"/>
  </r>
  <r>
    <n v="1"/>
    <x v="1"/>
    <x v="0"/>
    <n v="162546"/>
    <s v="IRIBARREN CASARETTO ROCIO MARIEL"/>
    <s v="27-36377256-6"/>
    <d v="2016-02-01T00:00:00"/>
    <n v="36377256"/>
    <s v="IRIBARREN CASARETTO"/>
    <s v="ROCIO MARIEL"/>
    <s v="F"/>
    <m/>
    <d v="2015-12-03T00:00:00"/>
    <d v="2016-01-30T00:00:00"/>
    <m/>
    <s v="GASTRONOMICOS-Hoteles 4 y 5 Estrellas - 362/2003"/>
    <s v="Categoría 4"/>
    <x v="13"/>
    <s v="Unidad Base-GL"/>
    <s v="San Isidro"/>
    <s v="Mucama"/>
    <n v="108803"/>
    <s v="O.S.P.Gastronomico"/>
    <s v="Buenos Aires - Tigre"/>
    <s v="Nordelta"/>
    <n v="1648"/>
    <s v="HUMAITA Y MONTEAGUDO"/>
    <n v="240"/>
    <m/>
    <m/>
    <s v="TIGRE"/>
    <s v="Buenos Aires"/>
    <m/>
    <s v="U.O.San Isidro"/>
    <m/>
    <n v="1"/>
    <n v="1"/>
    <n v="13260.94"/>
    <n v="2652.19"/>
    <m/>
    <m/>
    <n v="10608.75"/>
    <m/>
    <n v="265.22000000000003"/>
    <m/>
    <m/>
    <m/>
    <m/>
    <m/>
    <m/>
    <n v="132.61000000000001"/>
    <m/>
    <m/>
    <m/>
    <m/>
    <m/>
    <m/>
    <n v="265.22000000000003"/>
    <m/>
    <m/>
    <m/>
    <m/>
    <m/>
    <m/>
    <m/>
    <n v="132.61000000000001"/>
    <m/>
    <n v="795.66"/>
  </r>
  <r>
    <n v="1"/>
    <x v="1"/>
    <x v="0"/>
    <n v="155922"/>
    <s v="JANNON LUIS AUGUSTO"/>
    <s v="20-32336089-9"/>
    <d v="2016-02-08T00:00:00"/>
    <n v="32336089"/>
    <s v="JANNON"/>
    <s v="LUIS AUGUSTO"/>
    <s v="M"/>
    <m/>
    <d v="2015-08-11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2"/>
    <n v="1"/>
    <n v="8403.02"/>
    <n v="1680.6"/>
    <m/>
    <m/>
    <n v="6722.42"/>
    <m/>
    <n v="168.06"/>
    <m/>
    <m/>
    <m/>
    <m/>
    <m/>
    <m/>
    <n v="84.03"/>
    <m/>
    <m/>
    <m/>
    <m/>
    <m/>
    <m/>
    <n v="168.06"/>
    <m/>
    <m/>
    <m/>
    <m/>
    <m/>
    <m/>
    <m/>
    <n v="84.03"/>
    <m/>
    <n v="504.18"/>
  </r>
  <r>
    <n v="1"/>
    <x v="1"/>
    <x v="0"/>
    <n v="163399"/>
    <s v="KLIGER DAMIAN"/>
    <s v="20-35957456-9"/>
    <d v="2016-02-08T00:00:00"/>
    <n v="35957456"/>
    <s v="KLIGER"/>
    <s v="DAMIAN"/>
    <s v="M"/>
    <m/>
    <d v="2015-12-09T00:00:00"/>
    <d v="2016-01-31T00:00:00"/>
    <d v="2016-01-31T00:00:00"/>
    <s v="GASTRONOMICOS-Hoteles 4 y 5 Estrellas - 362/2003"/>
    <s v="Categoria 3"/>
    <x v="5"/>
    <s v="Administracion"/>
    <s v="Centro"/>
    <s v="Administrativo/a"/>
    <n v="108803"/>
    <s v="O.S.P.Gastronomico"/>
    <s v="Capital Federal"/>
    <m/>
    <n v="1104"/>
    <s v="TRONADOR"/>
    <n v="1225"/>
    <m/>
    <m/>
    <s v="CAPITAL FEDERAL"/>
    <s v="Buenos Aires"/>
    <m/>
    <s v="U.O.Centro"/>
    <m/>
    <n v="2"/>
    <n v="1"/>
    <n v="11271.2"/>
    <n v="2254.2399999999998"/>
    <m/>
    <m/>
    <n v="9016.9599999999991"/>
    <m/>
    <n v="225.42"/>
    <m/>
    <m/>
    <m/>
    <m/>
    <m/>
    <m/>
    <n v="112.71"/>
    <m/>
    <m/>
    <m/>
    <m/>
    <m/>
    <m/>
    <n v="225.42"/>
    <m/>
    <m/>
    <m/>
    <m/>
    <m/>
    <m/>
    <m/>
    <n v="112.71"/>
    <m/>
    <n v="676.26"/>
  </r>
  <r>
    <n v="1"/>
    <x v="1"/>
    <x v="0"/>
    <n v="161056"/>
    <s v="KOHLER LOPEZ EVANY MIGUELINA"/>
    <s v="27-94760662-5"/>
    <d v="2016-02-08T00:00:00"/>
    <n v="94760662"/>
    <s v="KOHLER LOPEZ"/>
    <s v="EVANY MIGUELINA"/>
    <s v="F"/>
    <m/>
    <d v="2015-11-15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PAVON"/>
    <n v="1225"/>
    <s v="PB"/>
    <s v="C"/>
    <s v="CAPITAL FEDERAL"/>
    <s v="Buenos Aires"/>
    <m/>
    <s v="U.O.Centro"/>
    <m/>
    <n v="2"/>
    <n v="1"/>
    <n v="6691.28"/>
    <n v="1338.26"/>
    <m/>
    <m/>
    <n v="5353.02"/>
    <m/>
    <n v="133.83000000000001"/>
    <m/>
    <m/>
    <m/>
    <m/>
    <m/>
    <m/>
    <n v="66.91"/>
    <m/>
    <m/>
    <m/>
    <m/>
    <m/>
    <m/>
    <n v="133.83000000000001"/>
    <m/>
    <m/>
    <m/>
    <m/>
    <m/>
    <m/>
    <m/>
    <n v="66.91"/>
    <m/>
    <n v="401.48"/>
  </r>
  <r>
    <n v="1"/>
    <x v="1"/>
    <x v="0"/>
    <n v="162317"/>
    <s v="LARGOSTA CARLOS EDUARDO"/>
    <s v="20-95236656-5"/>
    <d v="2016-02-08T00:00:00"/>
    <n v="95236656"/>
    <s v="LARGOSTA"/>
    <s v="CARLOS EDUARDO"/>
    <s v="M"/>
    <m/>
    <d v="2015-12-31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QUITO"/>
    <n v="1232"/>
    <m/>
    <m/>
    <s v="CAPITAL FEDERAL"/>
    <s v="Buenos Aires"/>
    <m/>
    <s v="U.O.Centro"/>
    <m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1"/>
    <n v="166016"/>
    <s v="LOPEZ BILLERI MARIA ANTONELLA"/>
    <s v="27-36157606-9"/>
    <d v="2016-02-08T00:00:00"/>
    <n v="36157606"/>
    <s v="LOPEZ BILLERI"/>
    <s v="MARIA ANTONELLA"/>
    <s v="F"/>
    <m/>
    <d v="2016-01-10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IRIGOYEN"/>
    <n v="535"/>
    <m/>
    <m/>
    <s v="CAPITAL FEDERAL"/>
    <s v="Capital Federal"/>
    <m/>
    <s v="U.O.Centro"/>
    <m/>
    <n v="1"/>
    <n v="1"/>
    <n v="6691.97"/>
    <n v="1338.4"/>
    <m/>
    <m/>
    <n v="5353.57"/>
    <m/>
    <n v="133.84"/>
    <m/>
    <m/>
    <m/>
    <m/>
    <m/>
    <m/>
    <n v="66.92"/>
    <m/>
    <m/>
    <m/>
    <m/>
    <m/>
    <m/>
    <n v="133.84"/>
    <m/>
    <m/>
    <m/>
    <m/>
    <m/>
    <m/>
    <m/>
    <n v="66.92"/>
    <m/>
    <n v="401.52"/>
  </r>
  <r>
    <n v="1"/>
    <x v="1"/>
    <x v="1"/>
    <n v="158697"/>
    <s v="LOZA ALDANA ROMINA"/>
    <s v="27-29774261-8"/>
    <d v="2016-02-01T00:00:00"/>
    <n v="29774261"/>
    <s v="LOZA"/>
    <s v="ALDANA ROMINA"/>
    <s v="F"/>
    <m/>
    <d v="2015-10-0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INGENIERO HUERGO"/>
    <n v="764"/>
    <s v="PB"/>
    <m/>
    <s v="CAPITAL FEDERAL"/>
    <s v="Capital Federal"/>
    <m/>
    <s v="U.O.Centro Paga Inplant"/>
    <m/>
    <n v="1"/>
    <n v="1"/>
    <n v="3165.74"/>
    <n v="633.14"/>
    <m/>
    <m/>
    <n v="2532.6"/>
    <m/>
    <n v="63.31"/>
    <m/>
    <m/>
    <m/>
    <m/>
    <m/>
    <m/>
    <n v="31.66"/>
    <m/>
    <m/>
    <m/>
    <m/>
    <m/>
    <m/>
    <n v="63.31"/>
    <m/>
    <m/>
    <m/>
    <m/>
    <m/>
    <m/>
    <m/>
    <n v="31.66"/>
    <m/>
    <n v="189.94"/>
  </r>
  <r>
    <n v="1"/>
    <x v="1"/>
    <x v="1"/>
    <n v="147835"/>
    <s v="LUQUE JAVIER ANTONIO"/>
    <s v="20-37023577-6"/>
    <d v="2016-02-08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2"/>
    <n v="1"/>
    <n v="11861.76"/>
    <n v="2372.34"/>
    <m/>
    <m/>
    <n v="9489.42"/>
    <m/>
    <n v="237.24"/>
    <m/>
    <m/>
    <m/>
    <m/>
    <m/>
    <m/>
    <n v="118.61"/>
    <m/>
    <m/>
    <m/>
    <m/>
    <m/>
    <m/>
    <n v="237.24"/>
    <m/>
    <m/>
    <m/>
    <m/>
    <m/>
    <m/>
    <m/>
    <n v="118.61"/>
    <m/>
    <n v="711.7"/>
  </r>
  <r>
    <n v="1"/>
    <x v="1"/>
    <x v="0"/>
    <n v="159373"/>
    <s v="LUTEROTTI RITA ANTONIA"/>
    <s v="27-20879305-0"/>
    <d v="2016-02-08T00:00:00"/>
    <n v="20879305"/>
    <s v="LUTEROTTI"/>
    <s v="RITA ANTONIA"/>
    <s v="F"/>
    <m/>
    <d v="2015-10-28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55"/>
    <s v="CANALE"/>
    <n v="1549"/>
    <m/>
    <m/>
    <s v="CAPITAL FEDERAL"/>
    <s v="Buenos Aires"/>
    <m/>
    <s v="U.O.Centro"/>
    <s v="Camareros Por Hora"/>
    <n v="1"/>
    <n v="1"/>
    <n v="1530.38"/>
    <n v="306.07"/>
    <m/>
    <m/>
    <n v="1224.31"/>
    <m/>
    <n v="30.61"/>
    <m/>
    <m/>
    <m/>
    <m/>
    <m/>
    <m/>
    <n v="15.3"/>
    <m/>
    <m/>
    <m/>
    <m/>
    <m/>
    <m/>
    <n v="30.61"/>
    <m/>
    <m/>
    <m/>
    <m/>
    <m/>
    <m/>
    <m/>
    <n v="15.3"/>
    <m/>
    <n v="91.82"/>
  </r>
  <r>
    <n v="1"/>
    <x v="1"/>
    <x v="0"/>
    <n v="140011"/>
    <s v="MAIDANA KAREN VALERIA"/>
    <s v="27-35950792-0"/>
    <d v="2016-02-08T00:00:00"/>
    <n v="35950792"/>
    <s v="MAIDANA"/>
    <s v="KAREN VALERIA"/>
    <s v="F"/>
    <m/>
    <d v="2016-01-01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MARIA MORENO"/>
    <n v="1232"/>
    <s v="PB"/>
    <m/>
    <s v="CAPITAL FEDERAL"/>
    <s v="Buenos Aires"/>
    <m/>
    <s v="U.O.Centro"/>
    <m/>
    <n v="1"/>
    <n v="1"/>
    <n v="1530.38"/>
    <n v="306.07"/>
    <m/>
    <m/>
    <n v="1224.31"/>
    <m/>
    <n v="30.61"/>
    <m/>
    <m/>
    <m/>
    <m/>
    <m/>
    <m/>
    <n v="15.3"/>
    <m/>
    <m/>
    <m/>
    <m/>
    <m/>
    <m/>
    <n v="30.61"/>
    <m/>
    <m/>
    <m/>
    <m/>
    <m/>
    <m/>
    <m/>
    <n v="15.3"/>
    <m/>
    <n v="91.82"/>
  </r>
  <r>
    <n v="1"/>
    <x v="1"/>
    <x v="0"/>
    <n v="161053"/>
    <s v="MAIDANA PAULA ALEJANDRA"/>
    <s v="27-37052643-0"/>
    <d v="2016-01-21T00:00:00"/>
    <n v="37052643"/>
    <s v="MAIDANA"/>
    <s v="PAULA ALEJANDRA"/>
    <s v="F"/>
    <m/>
    <d v="2015-11-10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n v="540"/>
    <n v="1225"/>
    <m/>
    <m/>
    <s v="CAPITAL FEDERAL"/>
    <s v="Buenos Aires"/>
    <m/>
    <s v="U.O.Centro"/>
    <m/>
    <n v="1"/>
    <n v="1"/>
    <n v="1544.14"/>
    <n v="308.82"/>
    <m/>
    <m/>
    <n v="1235.32"/>
    <m/>
    <n v="30.88"/>
    <m/>
    <m/>
    <m/>
    <m/>
    <m/>
    <m/>
    <n v="15.44"/>
    <m/>
    <m/>
    <m/>
    <m/>
    <m/>
    <m/>
    <n v="30.88"/>
    <m/>
    <m/>
    <m/>
    <m/>
    <m/>
    <m/>
    <m/>
    <n v="15.44"/>
    <m/>
    <n v="92.64"/>
  </r>
  <r>
    <n v="1"/>
    <x v="1"/>
    <x v="1"/>
    <n v="152233"/>
    <s v="MARGHETICH SERGIO VIRGILIO"/>
    <s v="20-21090363-2"/>
    <d v="2016-02-08T00:00:00"/>
    <n v="21090363"/>
    <s v="MARGHETICH"/>
    <s v="SERGIO VIRGILIO"/>
    <s v="M"/>
    <m/>
    <d v="2015-12-01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ATAMARCA"/>
    <n v="535"/>
    <m/>
    <m/>
    <s v="CAPITAL FEDERAL"/>
    <s v="Capital Federal"/>
    <m/>
    <s v="U.O.Centro Paga Inplant"/>
    <s v="EXPLOTADORA CONCORDE - MOZOS Y PEONES"/>
    <n v="1"/>
    <n v="1"/>
    <n v="22614.67"/>
    <n v="4522.93"/>
    <m/>
    <m/>
    <n v="18091.740000000002"/>
    <m/>
    <n v="452.29"/>
    <m/>
    <m/>
    <m/>
    <m/>
    <m/>
    <m/>
    <n v="226.15"/>
    <m/>
    <m/>
    <m/>
    <m/>
    <m/>
    <m/>
    <n v="452.29"/>
    <m/>
    <m/>
    <m/>
    <m/>
    <m/>
    <m/>
    <m/>
    <n v="226.15"/>
    <m/>
    <n v="1356.88"/>
  </r>
  <r>
    <n v="1"/>
    <x v="1"/>
    <x v="1"/>
    <n v="143423"/>
    <s v="MARQUEZ LAURA MABEL"/>
    <s v="27-26174399-5"/>
    <d v="2016-02-01T00:00:00"/>
    <n v="26174399"/>
    <s v="MARQUEZ"/>
    <s v="LAURA MABEL"/>
    <s v="F"/>
    <m/>
    <d v="2015-01-20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n v="1002"/>
    <s v="PUEYRREDON"/>
    <n v="764"/>
    <n v="1"/>
    <s v="A"/>
    <s v="CAPITAL FEDERAL"/>
    <s v="Capital Federal"/>
    <m/>
    <s v="U.O.Centro Paga Inplant"/>
    <m/>
    <n v="1"/>
    <n v="1"/>
    <n v="4406.18"/>
    <n v="881.24"/>
    <m/>
    <m/>
    <n v="3524.94"/>
    <m/>
    <n v="88.12"/>
    <m/>
    <m/>
    <m/>
    <m/>
    <m/>
    <m/>
    <n v="44.06"/>
    <m/>
    <m/>
    <m/>
    <m/>
    <m/>
    <m/>
    <n v="88.12"/>
    <m/>
    <m/>
    <m/>
    <m/>
    <m/>
    <m/>
    <m/>
    <n v="44.06"/>
    <m/>
    <n v="264.36"/>
  </r>
  <r>
    <n v="1"/>
    <x v="1"/>
    <x v="1"/>
    <n v="122290"/>
    <s v="MARTINEZ EZEQUIEL FACUNDO"/>
    <s v="20-28328215-6"/>
    <d v="2016-02-08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2811.3"/>
    <n v="2626.31"/>
    <m/>
    <m/>
    <n v="10184.99"/>
    <n v="320.27999999999997"/>
    <m/>
    <m/>
    <m/>
    <m/>
    <m/>
    <m/>
    <m/>
    <n v="128.11000000000001"/>
    <m/>
    <m/>
    <m/>
    <m/>
    <m/>
    <m/>
    <n v="256.23"/>
    <m/>
    <m/>
    <m/>
    <m/>
    <m/>
    <m/>
    <m/>
    <n v="128.11000000000001"/>
    <m/>
    <n v="832.73"/>
  </r>
  <r>
    <n v="1"/>
    <x v="1"/>
    <x v="0"/>
    <n v="155981"/>
    <s v="MARTINEZ GABRIEL ALFREDO"/>
    <s v="20-26702400-7"/>
    <d v="2016-02-08T00:00:00"/>
    <n v="26702400"/>
    <s v="MARTINEZ"/>
    <s v="GABRIEL ALFREDO"/>
    <s v="M"/>
    <m/>
    <d v="2016-01-02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ING- CHAPEAUROUGE"/>
    <n v="1005"/>
    <m/>
    <m/>
    <s v="CAPITAL FEDERAL"/>
    <s v="Capital Federal"/>
    <m/>
    <s v="U.O.Centro"/>
    <m/>
    <n v="2"/>
    <n v="1"/>
    <n v="1388.61"/>
    <n v="277.73"/>
    <m/>
    <m/>
    <n v="1110.8800000000001"/>
    <m/>
    <n v="27.77"/>
    <m/>
    <m/>
    <m/>
    <m/>
    <m/>
    <m/>
    <n v="13.89"/>
    <m/>
    <m/>
    <m/>
    <m/>
    <m/>
    <m/>
    <n v="27.77"/>
    <m/>
    <m/>
    <m/>
    <m/>
    <m/>
    <m/>
    <m/>
    <n v="13.89"/>
    <m/>
    <n v="83.32"/>
  </r>
  <r>
    <n v="1"/>
    <x v="1"/>
    <x v="1"/>
    <n v="126586"/>
    <s v="MEDINA ANTONIO SAMUEL"/>
    <s v="23-31641343-9"/>
    <d v="2016-02-08T00:00:00"/>
    <n v="31641343"/>
    <s v="MEDINA"/>
    <s v="ANTONIO SAMUEL"/>
    <s v="M"/>
    <m/>
    <d v="2015-03-02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REPUBLICA ARGENTINA"/>
    <n v="507"/>
    <s v="PB"/>
    <n v="2"/>
    <s v="CAPITAL FEDERAL"/>
    <s v="Capital Federal"/>
    <m/>
    <s v="U.O.Centro Paga Inplant"/>
    <m/>
    <n v="3"/>
    <n v="1"/>
    <n v="11134.04"/>
    <n v="2282.4699999999998"/>
    <m/>
    <m/>
    <n v="8851.57"/>
    <n v="278.36"/>
    <m/>
    <m/>
    <m/>
    <m/>
    <m/>
    <m/>
    <m/>
    <n v="111.34"/>
    <m/>
    <m/>
    <m/>
    <m/>
    <m/>
    <m/>
    <n v="222.68"/>
    <m/>
    <m/>
    <m/>
    <m/>
    <m/>
    <m/>
    <m/>
    <n v="111.34"/>
    <m/>
    <n v="723.72"/>
  </r>
  <r>
    <n v="1"/>
    <x v="1"/>
    <x v="0"/>
    <n v="163371"/>
    <s v="MEZA PIZARRO CHRISTIAN MERVEN"/>
    <s v="20-92327011-7"/>
    <d v="2016-02-08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3"/>
    <n v="1"/>
    <n v="11526.31"/>
    <n v="2305.2600000000002"/>
    <m/>
    <m/>
    <n v="9221.0499999999993"/>
    <m/>
    <n v="230.52"/>
    <m/>
    <m/>
    <m/>
    <m/>
    <m/>
    <m/>
    <n v="115.26"/>
    <m/>
    <m/>
    <m/>
    <m/>
    <m/>
    <m/>
    <n v="230.52"/>
    <m/>
    <m/>
    <m/>
    <m/>
    <m/>
    <m/>
    <m/>
    <n v="115.26"/>
    <m/>
    <n v="691.56"/>
  </r>
  <r>
    <n v="1"/>
    <x v="1"/>
    <x v="0"/>
    <n v="161131"/>
    <s v="MONGELOS  FLORENCIANI LUIS"/>
    <s v="23-95267488-9"/>
    <d v="2016-02-08T00:00:00"/>
    <n v="95267488"/>
    <s v="MONGELOS  FLORENCIANI"/>
    <s v="LUIS"/>
    <s v="M"/>
    <m/>
    <d v="2015-11-12T00:00:00"/>
    <m/>
    <d v="2016-01-15T00:00:00"/>
    <s v="GASTRONOMICOS-Hoteles 4 y 5 Estrellas - 362/2003"/>
    <s v="Categoria 1"/>
    <x v="14"/>
    <s v="Unidad Base-GL"/>
    <s v="Centro"/>
    <s v="Tareas Generales"/>
    <n v="108803"/>
    <s v="O.S.P.Gastronomico"/>
    <s v="Capital Federal"/>
    <m/>
    <n v="1095"/>
    <s v="JUAN DE GARAY"/>
    <n v="645"/>
    <m/>
    <m/>
    <s v="CAPITAL FEDERAL"/>
    <s v="Capital Federal"/>
    <m/>
    <s v="U.O.Centro"/>
    <m/>
    <n v="1"/>
    <n v="1"/>
    <n v="6538.83"/>
    <n v="1307.76"/>
    <m/>
    <m/>
    <n v="5231.07"/>
    <m/>
    <n v="130.78"/>
    <m/>
    <m/>
    <m/>
    <m/>
    <m/>
    <m/>
    <n v="65.39"/>
    <m/>
    <m/>
    <m/>
    <m/>
    <m/>
    <m/>
    <n v="130.78"/>
    <m/>
    <m/>
    <m/>
    <m/>
    <m/>
    <m/>
    <m/>
    <n v="65.39"/>
    <m/>
    <n v="392.34"/>
  </r>
  <r>
    <n v="1"/>
    <x v="1"/>
    <x v="1"/>
    <n v="165985"/>
    <s v="MONTENEGRO MAXIMILIANO PAUL"/>
    <s v="24-33466210-8"/>
    <d v="2016-02-01T00:00:00"/>
    <n v="33466210"/>
    <s v="MONTENEGRO"/>
    <s v="MAXIMILIANO PAUL"/>
    <s v="M"/>
    <m/>
    <d v="2016-0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INDEPENDENCIA"/>
    <n v="764"/>
    <s v="PB"/>
    <n v="3"/>
    <s v="CAPITAL FEDERAL"/>
    <s v="Capital Federal"/>
    <m/>
    <s v="U.O.Centro"/>
    <m/>
    <n v="1"/>
    <n v="1"/>
    <n v="5404.92"/>
    <n v="1080.99"/>
    <m/>
    <m/>
    <n v="4323.93"/>
    <m/>
    <n v="108.1"/>
    <m/>
    <m/>
    <m/>
    <m/>
    <m/>
    <m/>
    <n v="54.05"/>
    <m/>
    <m/>
    <m/>
    <m/>
    <m/>
    <m/>
    <n v="108.1"/>
    <m/>
    <m/>
    <m/>
    <m/>
    <m/>
    <m/>
    <m/>
    <n v="54.05"/>
    <m/>
    <n v="324.3"/>
  </r>
  <r>
    <n v="1"/>
    <x v="1"/>
    <x v="1"/>
    <n v="164605"/>
    <s v="MORENO DELGADO AMARTJIA CAROLINA"/>
    <s v="27-95499577-7"/>
    <d v="2016-02-01T00:00:00"/>
    <n v="95499577"/>
    <s v="MORENO DELGADO"/>
    <s v="AMARTJIA CAROLINA"/>
    <s v="F"/>
    <m/>
    <d v="2015-12-3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PUJOL"/>
    <n v="764"/>
    <m/>
    <m/>
    <s v="CAPITAL FEDERAL"/>
    <s v="Capital Federal"/>
    <m/>
    <s v="U.O.Centro"/>
    <m/>
    <n v="1"/>
    <n v="1"/>
    <n v="1766.34"/>
    <n v="353.27"/>
    <m/>
    <m/>
    <n v="1413.07"/>
    <m/>
    <n v="35.33"/>
    <m/>
    <m/>
    <m/>
    <m/>
    <m/>
    <m/>
    <n v="17.66"/>
    <m/>
    <m/>
    <m/>
    <m/>
    <m/>
    <m/>
    <n v="35.33"/>
    <m/>
    <m/>
    <m/>
    <m/>
    <m/>
    <m/>
    <m/>
    <n v="17.66"/>
    <m/>
    <n v="105.98"/>
  </r>
  <r>
    <n v="1"/>
    <x v="1"/>
    <x v="1"/>
    <n v="152586"/>
    <s v="MUSTAFA SILVIO ROBERTO"/>
    <s v="23-31539279-9"/>
    <d v="2016-02-08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3"/>
    <n v="1"/>
    <n v="12267.33"/>
    <n v="3514.8"/>
    <m/>
    <m/>
    <n v="8752.5300000000007"/>
    <n v="306.69"/>
    <m/>
    <m/>
    <m/>
    <m/>
    <m/>
    <m/>
    <m/>
    <n v="122.67"/>
    <m/>
    <m/>
    <m/>
    <m/>
    <n v="1000"/>
    <m/>
    <n v="245.34"/>
    <m/>
    <m/>
    <m/>
    <m/>
    <m/>
    <m/>
    <m/>
    <n v="122.67"/>
    <m/>
    <n v="1797.37"/>
  </r>
  <r>
    <n v="1"/>
    <x v="1"/>
    <x v="1"/>
    <n v="167195"/>
    <s v="NOYA LUCAS MARIANO"/>
    <s v="20-27755444-6"/>
    <d v="2016-02-08T00:00:00"/>
    <n v="27755444"/>
    <s v="NOYA"/>
    <s v="LUCAS MARIANO"/>
    <s v="M"/>
    <m/>
    <d v="2016-01-27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Cerrito"/>
    <n v="535"/>
    <m/>
    <m/>
    <s v="CAPITAL FEDERAL"/>
    <s v="Capital Federal"/>
    <m/>
    <s v="U.O.Centro"/>
    <m/>
    <n v="1"/>
    <n v="1"/>
    <n v="2007.6"/>
    <n v="401.53"/>
    <m/>
    <m/>
    <n v="1606.07"/>
    <m/>
    <n v="40.15"/>
    <m/>
    <m/>
    <m/>
    <m/>
    <m/>
    <m/>
    <n v="20.079999999999998"/>
    <m/>
    <m/>
    <m/>
    <m/>
    <m/>
    <m/>
    <n v="40.15"/>
    <m/>
    <m/>
    <m/>
    <m/>
    <m/>
    <m/>
    <m/>
    <n v="20.079999999999998"/>
    <m/>
    <n v="120.46"/>
  </r>
  <r>
    <n v="1"/>
    <x v="1"/>
    <x v="1"/>
    <n v="162147"/>
    <s v="NUÑEZ ANA MARIA"/>
    <s v="27-18222886-4"/>
    <d v="2016-02-01T00:00:00"/>
    <n v="18222886"/>
    <s v="NUÑEZ"/>
    <s v="ANA MARIA"/>
    <s v="F"/>
    <m/>
    <d v="2015-1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ALLE 114"/>
    <n v="764"/>
    <m/>
    <m/>
    <s v="CAPITAL FEDERAL"/>
    <s v="Capital Federal"/>
    <m/>
    <s v="U.O.Centro"/>
    <m/>
    <n v="1"/>
    <n v="1"/>
    <n v="11775.02"/>
    <n v="3355"/>
    <m/>
    <m/>
    <n v="8420.02"/>
    <m/>
    <n v="235.5"/>
    <m/>
    <m/>
    <m/>
    <m/>
    <m/>
    <m/>
    <n v="117.75"/>
    <m/>
    <m/>
    <m/>
    <m/>
    <n v="1000"/>
    <m/>
    <n v="235.5"/>
    <m/>
    <m/>
    <m/>
    <m/>
    <m/>
    <m/>
    <m/>
    <n v="117.75"/>
    <m/>
    <n v="1706.5"/>
  </r>
  <r>
    <n v="1"/>
    <x v="1"/>
    <x v="0"/>
    <n v="70391"/>
    <s v="NUÑEZ PAOLA GABRIELA"/>
    <s v="23-21761147-4"/>
    <d v="2016-02-08T00:00:00"/>
    <n v="21761147"/>
    <s v="NUÑEZ"/>
    <s v="PAOLA GABRIELA"/>
    <s v="F"/>
    <m/>
    <d v="2015-11-2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ZAPALERI"/>
    <n v="1225"/>
    <m/>
    <m/>
    <s v="CAPITAL FEDERAL"/>
    <s v="Buenos Aires"/>
    <m/>
    <s v="U.O.Centro"/>
    <m/>
    <n v="3"/>
    <n v="1"/>
    <n v="5250.13"/>
    <n v="1050.02"/>
    <m/>
    <m/>
    <n v="4200.1099999999997"/>
    <m/>
    <n v="105"/>
    <m/>
    <m/>
    <m/>
    <m/>
    <m/>
    <m/>
    <n v="52.5"/>
    <m/>
    <m/>
    <m/>
    <m/>
    <m/>
    <m/>
    <n v="105"/>
    <m/>
    <m/>
    <m/>
    <m/>
    <m/>
    <m/>
    <m/>
    <n v="52.5"/>
    <m/>
    <n v="315"/>
  </r>
  <r>
    <n v="1"/>
    <x v="1"/>
    <x v="0"/>
    <n v="162167"/>
    <s v="OCANTOS MARIA FERNANDA"/>
    <s v="20-26587101-2"/>
    <d v="2016-01-21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1"/>
    <n v="1"/>
    <n v="1504.25"/>
    <n v="300.86"/>
    <m/>
    <m/>
    <n v="1203.3900000000001"/>
    <m/>
    <n v="30.09"/>
    <m/>
    <m/>
    <m/>
    <m/>
    <m/>
    <m/>
    <n v="15.04"/>
    <m/>
    <m/>
    <m/>
    <m/>
    <m/>
    <m/>
    <n v="30.09"/>
    <m/>
    <m/>
    <m/>
    <m/>
    <m/>
    <m/>
    <m/>
    <n v="15.04"/>
    <m/>
    <n v="90.26"/>
  </r>
  <r>
    <n v="1"/>
    <x v="1"/>
    <x v="0"/>
    <n v="156371"/>
    <s v="OJEDA HECTOR ALBERTO"/>
    <s v="20-27373033-9"/>
    <d v="2016-02-08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3"/>
    <n v="1"/>
    <n v="11625.31"/>
    <n v="2325.08"/>
    <m/>
    <m/>
    <n v="9300.23"/>
    <m/>
    <n v="232.51"/>
    <m/>
    <m/>
    <m/>
    <m/>
    <m/>
    <m/>
    <n v="116.25"/>
    <m/>
    <m/>
    <m/>
    <m/>
    <m/>
    <m/>
    <n v="232.51"/>
    <m/>
    <m/>
    <m/>
    <m/>
    <m/>
    <m/>
    <m/>
    <n v="116.25"/>
    <m/>
    <n v="697.52"/>
  </r>
  <r>
    <n v="1"/>
    <x v="1"/>
    <x v="0"/>
    <n v="156032"/>
    <s v="OJEDA VALERIA NOEMI"/>
    <s v="27-33485754-4"/>
    <d v="2016-02-08T00:00:00"/>
    <n v="33485754"/>
    <s v="OJEDA"/>
    <s v="VALERIA NOEMI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2"/>
    <n v="1"/>
    <n v="1171.6199999999999"/>
    <n v="234.33"/>
    <m/>
    <m/>
    <n v="937.29"/>
    <m/>
    <n v="23.43"/>
    <m/>
    <m/>
    <m/>
    <m/>
    <m/>
    <m/>
    <n v="11.72"/>
    <m/>
    <m/>
    <m/>
    <m/>
    <m/>
    <m/>
    <n v="23.43"/>
    <m/>
    <m/>
    <m/>
    <m/>
    <m/>
    <m/>
    <m/>
    <n v="11.72"/>
    <m/>
    <n v="70.3"/>
  </r>
  <r>
    <n v="1"/>
    <x v="1"/>
    <x v="0"/>
    <n v="138789"/>
    <s v="OLIVA LILIANA ALEJANDRA"/>
    <s v="27-25730976-8"/>
    <d v="2016-02-08T00:00:0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Mucama por Jornada"/>
    <n v="1"/>
    <n v="1"/>
    <n v="13311.46"/>
    <n v="2662.28"/>
    <m/>
    <m/>
    <n v="10649.18"/>
    <m/>
    <n v="266.23"/>
    <m/>
    <m/>
    <m/>
    <m/>
    <m/>
    <m/>
    <n v="133.11000000000001"/>
    <m/>
    <m/>
    <m/>
    <m/>
    <m/>
    <m/>
    <n v="266.23"/>
    <m/>
    <m/>
    <m/>
    <m/>
    <m/>
    <m/>
    <m/>
    <n v="133.11000000000001"/>
    <m/>
    <n v="798.68"/>
  </r>
  <r>
    <n v="1"/>
    <x v="1"/>
    <x v="0"/>
    <n v="135237"/>
    <s v="ORELLANO JUANA MARIA"/>
    <s v="27-27696157-3"/>
    <d v="2016-02-08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Mucama por Jornada"/>
    <n v="1"/>
    <n v="1"/>
    <n v="11209.65"/>
    <n v="2297.98"/>
    <m/>
    <m/>
    <n v="8911.67"/>
    <n v="280.24"/>
    <m/>
    <m/>
    <m/>
    <m/>
    <m/>
    <m/>
    <m/>
    <n v="112.1"/>
    <m/>
    <m/>
    <m/>
    <m/>
    <m/>
    <m/>
    <n v="224.19"/>
    <m/>
    <m/>
    <m/>
    <m/>
    <m/>
    <m/>
    <m/>
    <n v="112.1"/>
    <m/>
    <n v="728.63"/>
  </r>
  <r>
    <n v="1"/>
    <x v="1"/>
    <x v="1"/>
    <n v="155309"/>
    <s v="ORTIZ MARIA FLORENCIA"/>
    <s v="27-31135303-4"/>
    <d v="2016-02-01T00:00:00"/>
    <n v="31135303"/>
    <s v="ORTIZ"/>
    <s v="MARIA FLORENCIA"/>
    <s v="F"/>
    <m/>
    <d v="2015-08-1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n v="27"/>
    <n v="764"/>
    <m/>
    <m/>
    <s v="CAPITAL FEDERAL"/>
    <s v="Capital Federal"/>
    <m/>
    <s v="U.O.Centro Paga Inplant"/>
    <m/>
    <n v="1"/>
    <n v="1"/>
    <n v="10887.06"/>
    <n v="2177.41"/>
    <m/>
    <m/>
    <n v="8709.65"/>
    <m/>
    <n v="217.74"/>
    <m/>
    <m/>
    <m/>
    <m/>
    <m/>
    <m/>
    <n v="108.87"/>
    <m/>
    <m/>
    <m/>
    <m/>
    <m/>
    <m/>
    <n v="217.74"/>
    <m/>
    <m/>
    <m/>
    <m/>
    <m/>
    <m/>
    <m/>
    <n v="108.87"/>
    <m/>
    <n v="653.22"/>
  </r>
  <r>
    <n v="1"/>
    <x v="1"/>
    <x v="0"/>
    <n v="157214"/>
    <s v="OVANDO CRISTINA ESMERALDA"/>
    <s v="27-23150734-0"/>
    <d v="2016-02-08T00:00:00"/>
    <n v="23150734"/>
    <s v="OVANDO"/>
    <s v="CRISTINA ESMERALDA"/>
    <s v="F"/>
    <m/>
    <d v="2015-09-07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VENEZUELA"/>
    <n v="1232"/>
    <m/>
    <m/>
    <s v="CAPITAL FEDERAL"/>
    <s v="Buenos Aires"/>
    <m/>
    <s v="U.O.Centro"/>
    <s v="Mucama Por Hora"/>
    <n v="1"/>
    <n v="1"/>
    <n v="5552.51"/>
    <n v="1110.52"/>
    <m/>
    <m/>
    <n v="4441.99"/>
    <m/>
    <n v="111.05"/>
    <m/>
    <m/>
    <m/>
    <m/>
    <m/>
    <m/>
    <n v="55.53"/>
    <m/>
    <m/>
    <m/>
    <m/>
    <m/>
    <m/>
    <n v="111.05"/>
    <m/>
    <m/>
    <m/>
    <m/>
    <m/>
    <m/>
    <m/>
    <n v="55.53"/>
    <m/>
    <n v="333.16"/>
  </r>
  <r>
    <n v="1"/>
    <x v="1"/>
    <x v="0"/>
    <n v="157576"/>
    <s v="OVEJERO INES CRISTINA"/>
    <s v="27-22982574-2"/>
    <d v="2016-02-08T00:00:00"/>
    <n v="22982574"/>
    <s v="OVEJERO"/>
    <s v="INES CRISTINA"/>
    <s v="F"/>
    <m/>
    <d v="2015-09-3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A. GIRARDOT"/>
    <n v="1232"/>
    <m/>
    <m/>
    <s v="CAPITAL FEDERAL"/>
    <s v="Buenos Aires"/>
    <m/>
    <s v="U.O.Centro"/>
    <s v="Camareros Por Hora"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0"/>
    <n v="99782"/>
    <s v="PAREDES SANCHEZ TATIANA NOELIA"/>
    <s v="27-94745086-2"/>
    <d v="2016-02-01T00:00:00"/>
    <n v="94745086"/>
    <s v="PAREDES SANCHEZ"/>
    <s v="TATIANA NOELIA"/>
    <s v="F"/>
    <m/>
    <d v="2015-02-18T00:00:00"/>
    <d v="2015-12-22T00:00:00"/>
    <d v="2015-12-22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VENEZUELA"/>
    <n v="764"/>
    <n v="1"/>
    <n v="10"/>
    <s v="CAPITAL FEDERAL"/>
    <s v="Capital Federal"/>
    <m/>
    <s v="U.O.Centro Paga Inplant"/>
    <m/>
    <n v="1"/>
    <n v="1"/>
    <n v="1308.51"/>
    <n v="261.72000000000003"/>
    <m/>
    <n v="3397.5"/>
    <n v="4444.29"/>
    <m/>
    <n v="26.17"/>
    <m/>
    <m/>
    <m/>
    <m/>
    <m/>
    <m/>
    <n v="13.09"/>
    <m/>
    <m/>
    <m/>
    <m/>
    <m/>
    <m/>
    <n v="26.17"/>
    <m/>
    <m/>
    <m/>
    <m/>
    <m/>
    <m/>
    <m/>
    <n v="13.09"/>
    <m/>
    <n v="78.52"/>
  </r>
  <r>
    <n v="1"/>
    <x v="1"/>
    <x v="0"/>
    <n v="161159"/>
    <s v="PARISI GABRIEL DARIO"/>
    <s v="20-34384166-4"/>
    <d v="2016-02-08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8235.9"/>
    <n v="1647.19"/>
    <m/>
    <m/>
    <n v="6588.71"/>
    <m/>
    <n v="164.72"/>
    <m/>
    <m/>
    <m/>
    <m/>
    <m/>
    <m/>
    <n v="82.36"/>
    <m/>
    <m/>
    <m/>
    <m/>
    <m/>
    <m/>
    <n v="164.72"/>
    <m/>
    <m/>
    <m/>
    <m/>
    <m/>
    <m/>
    <m/>
    <n v="82.36"/>
    <m/>
    <n v="494.16"/>
  </r>
  <r>
    <n v="1"/>
    <x v="1"/>
    <x v="1"/>
    <n v="164237"/>
    <s v="PAZ ERIKA GERALDINE"/>
    <s v="27-38624750-7"/>
    <d v="2016-02-01T00:00:00"/>
    <n v="38624750"/>
    <s v="PAZ"/>
    <s v="ERIKA GERALDINE"/>
    <s v="F"/>
    <m/>
    <d v="2015-12-18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SPIRO"/>
    <n v="764"/>
    <m/>
    <m/>
    <s v="CAPITAL FEDERAL"/>
    <s v="Capital Federal"/>
    <m/>
    <s v="U.O.Centro"/>
    <m/>
    <n v="1"/>
    <n v="1"/>
    <n v="3363.2"/>
    <n v="672.64"/>
    <m/>
    <m/>
    <n v="2690.56"/>
    <m/>
    <n v="67.260000000000005"/>
    <m/>
    <m/>
    <m/>
    <m/>
    <m/>
    <m/>
    <n v="33.630000000000003"/>
    <m/>
    <m/>
    <m/>
    <m/>
    <m/>
    <m/>
    <n v="67.260000000000005"/>
    <m/>
    <m/>
    <m/>
    <m/>
    <m/>
    <m/>
    <m/>
    <n v="33.630000000000003"/>
    <m/>
    <n v="201.78"/>
  </r>
  <r>
    <n v="1"/>
    <x v="1"/>
    <x v="0"/>
    <n v="164321"/>
    <s v="PAZ WALTER RICARDO"/>
    <s v="20-28305441-2"/>
    <d v="2016-02-08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6386.41"/>
    <n v="3277.27"/>
    <m/>
    <m/>
    <n v="13109.14"/>
    <m/>
    <n v="327.73"/>
    <m/>
    <m/>
    <m/>
    <m/>
    <m/>
    <m/>
    <n v="163.86"/>
    <m/>
    <m/>
    <m/>
    <m/>
    <m/>
    <m/>
    <n v="327.73"/>
    <m/>
    <m/>
    <m/>
    <m/>
    <m/>
    <m/>
    <m/>
    <n v="163.86"/>
    <m/>
    <n v="983.18"/>
  </r>
  <r>
    <n v="1"/>
    <x v="1"/>
    <x v="1"/>
    <n v="160317"/>
    <s v="PEDROZO GUSTAVO ADOLFO"/>
    <s v="20-23447148-2"/>
    <d v="2016-02-01T00:00:00"/>
    <n v="23447148"/>
    <s v="PEDROZO"/>
    <s v="GUSTAVO ADOLFO"/>
    <s v="M"/>
    <m/>
    <d v="2015-10-3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ALLE 853"/>
    <n v="764"/>
    <m/>
    <m/>
    <s v="CAPITAL FEDERAL"/>
    <s v="Capital Federal"/>
    <m/>
    <s v="U.O.Centro Paga Inplant"/>
    <m/>
    <n v="1"/>
    <n v="1"/>
    <n v="10364.34"/>
    <n v="2072.87"/>
    <m/>
    <m/>
    <n v="8291.4699999999993"/>
    <m/>
    <n v="207.29"/>
    <m/>
    <m/>
    <m/>
    <m/>
    <m/>
    <m/>
    <n v="103.64"/>
    <m/>
    <m/>
    <m/>
    <m/>
    <m/>
    <m/>
    <n v="207.29"/>
    <m/>
    <m/>
    <m/>
    <m/>
    <m/>
    <m/>
    <m/>
    <n v="103.64"/>
    <m/>
    <n v="621.86"/>
  </r>
  <r>
    <n v="1"/>
    <x v="1"/>
    <x v="0"/>
    <n v="155712"/>
    <s v="PERALTA DE KEMMETER PABLO ADRIAN"/>
    <s v="20-38404684-4"/>
    <d v="2016-02-08T00:00:00"/>
    <n v="38404684"/>
    <s v="PERALTA DE KEMMETER"/>
    <s v="PABLO ADRIAN"/>
    <s v="M"/>
    <m/>
    <d v="2015-08-11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2"/>
    <n v="1"/>
    <n v="7868.94"/>
    <n v="1573.79"/>
    <m/>
    <m/>
    <n v="6295.15"/>
    <m/>
    <n v="157.38"/>
    <m/>
    <m/>
    <m/>
    <m/>
    <m/>
    <m/>
    <n v="78.69"/>
    <m/>
    <m/>
    <m/>
    <m/>
    <m/>
    <m/>
    <n v="157.38"/>
    <m/>
    <m/>
    <m/>
    <m/>
    <m/>
    <m/>
    <m/>
    <n v="78.69"/>
    <m/>
    <n v="472.14"/>
  </r>
  <r>
    <n v="1"/>
    <x v="1"/>
    <x v="1"/>
    <n v="65369"/>
    <s v="PEREZ RUBEN HORACIO"/>
    <s v="20-28042935-0"/>
    <d v="2016-02-08T00:00:0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841.73"/>
    <n v="168.34"/>
    <m/>
    <m/>
    <n v="673.39"/>
    <m/>
    <n v="16.829999999999998"/>
    <m/>
    <m/>
    <m/>
    <m/>
    <m/>
    <m/>
    <n v="8.42"/>
    <m/>
    <m/>
    <m/>
    <m/>
    <m/>
    <m/>
    <n v="16.829999999999998"/>
    <m/>
    <m/>
    <m/>
    <m/>
    <m/>
    <m/>
    <m/>
    <n v="8.42"/>
    <m/>
    <n v="50.5"/>
  </r>
  <r>
    <n v="1"/>
    <x v="1"/>
    <x v="0"/>
    <n v="161870"/>
    <s v="PETRONE VICENTE"/>
    <s v="20-27146024-5"/>
    <d v="2016-02-08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2"/>
    <n v="1"/>
    <n v="4681.47"/>
    <n v="936.32"/>
    <m/>
    <m/>
    <n v="3745.15"/>
    <m/>
    <n v="93.63"/>
    <m/>
    <m/>
    <m/>
    <m/>
    <m/>
    <m/>
    <n v="46.82"/>
    <m/>
    <m/>
    <m/>
    <m/>
    <m/>
    <m/>
    <n v="93.63"/>
    <m/>
    <m/>
    <m/>
    <m/>
    <m/>
    <m/>
    <m/>
    <n v="46.82"/>
    <m/>
    <n v="280.89999999999998"/>
  </r>
  <r>
    <n v="1"/>
    <x v="1"/>
    <x v="1"/>
    <n v="165179"/>
    <s v="PINEDA ROSALES GREGORY JOSE"/>
    <s v="20-95469400-4"/>
    <d v="2016-02-01T00:00:00"/>
    <n v="95469400"/>
    <s v="PINEDA ROSALES"/>
    <s v="GREGORY JOSE"/>
    <s v="M"/>
    <m/>
    <d v="2016-01-0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AN JUAN"/>
    <n v="764"/>
    <m/>
    <m/>
    <s v="CAPITAL FEDERAL"/>
    <s v="Capital Federal"/>
    <m/>
    <s v="U.O.Centro"/>
    <m/>
    <n v="1"/>
    <n v="1"/>
    <n v="3733.37"/>
    <n v="746.67"/>
    <m/>
    <m/>
    <n v="2986.7"/>
    <m/>
    <n v="74.67"/>
    <m/>
    <m/>
    <m/>
    <m/>
    <m/>
    <m/>
    <n v="37.33"/>
    <m/>
    <m/>
    <m/>
    <m/>
    <m/>
    <m/>
    <n v="74.67"/>
    <m/>
    <m/>
    <m/>
    <m/>
    <m/>
    <m/>
    <m/>
    <n v="37.33"/>
    <m/>
    <n v="224"/>
  </r>
  <r>
    <n v="1"/>
    <x v="1"/>
    <x v="1"/>
    <n v="62941"/>
    <s v="POGONZA ANDREA GISELLE"/>
    <s v="27-32522930-1"/>
    <d v="2016-02-08T00:00:0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1"/>
    <n v="1"/>
    <n v="14898.52"/>
    <n v="3054.21"/>
    <m/>
    <m/>
    <n v="11844.31"/>
    <n v="372.46"/>
    <m/>
    <m/>
    <m/>
    <m/>
    <m/>
    <m/>
    <m/>
    <n v="148.99"/>
    <m/>
    <m/>
    <m/>
    <m/>
    <m/>
    <m/>
    <n v="297.97000000000003"/>
    <m/>
    <m/>
    <m/>
    <m/>
    <m/>
    <m/>
    <m/>
    <n v="148.99"/>
    <m/>
    <n v="968.41"/>
  </r>
  <r>
    <n v="1"/>
    <x v="1"/>
    <x v="1"/>
    <n v="164606"/>
    <s v="QUINTANA VLADIMIR EZEQUIEL"/>
    <s v="20-37870204-7"/>
    <d v="2016-02-02T00:00:00"/>
    <n v="37870204"/>
    <s v="QUINTANA"/>
    <s v="VLADIMIR EZEQUIEL"/>
    <s v="M"/>
    <m/>
    <d v="2015-12-25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PASTEUR"/>
    <n v="764"/>
    <n v="2"/>
    <m/>
    <s v="CAPITAL FEDERAL"/>
    <s v="Capital Federal"/>
    <m/>
    <s v="U.O.Centro"/>
    <m/>
    <n v="3"/>
    <n v="1"/>
    <n v="7346.13"/>
    <n v="1469.25"/>
    <m/>
    <m/>
    <n v="5876.88"/>
    <m/>
    <n v="146.91999999999999"/>
    <m/>
    <m/>
    <m/>
    <m/>
    <m/>
    <m/>
    <n v="73.47"/>
    <m/>
    <m/>
    <m/>
    <m/>
    <m/>
    <m/>
    <n v="146.91999999999999"/>
    <m/>
    <m/>
    <m/>
    <m/>
    <m/>
    <m/>
    <m/>
    <n v="73.47"/>
    <m/>
    <n v="440.78"/>
  </r>
  <r>
    <n v="1"/>
    <x v="1"/>
    <x v="0"/>
    <n v="134996"/>
    <s v="RAVERA MARIA"/>
    <s v="27-27860600-2"/>
    <d v="2016-02-08T00:00:00"/>
    <n v="27860600"/>
    <s v="RAVERA"/>
    <s v="MARIA"/>
    <s v="F"/>
    <m/>
    <d v="2015-04-17T00:00:00"/>
    <m/>
    <m/>
    <s v="GASTRONOMICOS-Hoteles 4 y 5 Estrellas - 362/2003"/>
    <s v="Categoria 6"/>
    <x v="6"/>
    <s v="NUEVOS INGRESOS"/>
    <s v="Centro"/>
    <s v="Camarero/a"/>
    <n v="126205"/>
    <s v="O.S.Emp.Comercio y Act.Civiles"/>
    <s v="Capital Federal"/>
    <m/>
    <n v="1093"/>
    <s v="TACUARI"/>
    <n v="1232"/>
    <n v="1"/>
    <s v="C"/>
    <s v="CAPITAL FEDERAL"/>
    <s v="Buenos Aires"/>
    <m/>
    <s v="U.O.Centro"/>
    <s v="Camareros Por Hora"/>
    <n v="1"/>
    <n v="1"/>
    <n v="2507.0300000000002"/>
    <n v="501.4"/>
    <m/>
    <m/>
    <n v="2005.63"/>
    <m/>
    <n v="50.14"/>
    <m/>
    <m/>
    <m/>
    <m/>
    <m/>
    <m/>
    <n v="25.07"/>
    <m/>
    <m/>
    <m/>
    <m/>
    <m/>
    <m/>
    <n v="50.14"/>
    <m/>
    <m/>
    <m/>
    <m/>
    <m/>
    <m/>
    <m/>
    <n v="25.07"/>
    <m/>
    <n v="150.41999999999999"/>
  </r>
  <r>
    <n v="1"/>
    <x v="1"/>
    <x v="0"/>
    <n v="162333"/>
    <s v="RIOS MARIA ROSA"/>
    <s v="27-26405230-6"/>
    <d v="2016-01-21T00:00:00"/>
    <n v="26405230"/>
    <s v="RIOS"/>
    <s v="MARIA ROSA"/>
    <s v="F"/>
    <m/>
    <d v="2015-11-28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OLLEDO"/>
    <n v="1005"/>
    <m/>
    <m/>
    <s v="CAPITAL FEDERAL"/>
    <s v="Capital Federal"/>
    <m/>
    <s v="U.O.Centro"/>
    <m/>
    <n v="1"/>
    <n v="1"/>
    <n v="1605.54"/>
    <n v="321.12"/>
    <m/>
    <m/>
    <n v="1284.42"/>
    <m/>
    <n v="32.11"/>
    <m/>
    <m/>
    <m/>
    <m/>
    <m/>
    <m/>
    <n v="16.059999999999999"/>
    <m/>
    <m/>
    <m/>
    <m/>
    <m/>
    <m/>
    <n v="32.11"/>
    <m/>
    <m/>
    <m/>
    <m/>
    <m/>
    <m/>
    <m/>
    <n v="16.059999999999999"/>
    <m/>
    <n v="96.34"/>
  </r>
  <r>
    <n v="1"/>
    <x v="1"/>
    <x v="1"/>
    <n v="164261"/>
    <s v="ROBELEK CARLOS ALEJANDRO"/>
    <s v="20-23256846-2"/>
    <d v="2016-02-01T00:00:00"/>
    <n v="23256846"/>
    <s v="ROBELEK"/>
    <s v="CARLOS ALEJANDRO"/>
    <s v="M"/>
    <m/>
    <d v="2015-12-16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UDAMERICA"/>
    <n v="764"/>
    <m/>
    <m/>
    <s v="CAPITAL FEDERAL"/>
    <s v="Capital Federal"/>
    <m/>
    <s v="U.O.Centro"/>
    <m/>
    <n v="1"/>
    <n v="1"/>
    <n v="16338.54"/>
    <n v="3267.72"/>
    <m/>
    <m/>
    <n v="13070.82"/>
    <m/>
    <n v="326.77"/>
    <m/>
    <m/>
    <m/>
    <m/>
    <m/>
    <m/>
    <n v="163.38999999999999"/>
    <m/>
    <m/>
    <m/>
    <m/>
    <m/>
    <m/>
    <n v="326.77"/>
    <m/>
    <m/>
    <m/>
    <m/>
    <m/>
    <m/>
    <m/>
    <n v="163.38999999999999"/>
    <m/>
    <n v="980.32"/>
  </r>
  <r>
    <n v="1"/>
    <x v="1"/>
    <x v="1"/>
    <n v="162826"/>
    <s v="RODRIGUEZ CLAUDIO ALEJANDRO"/>
    <s v="20-28807969-3"/>
    <d v="2016-02-01T00:00:00"/>
    <n v="28807969"/>
    <s v="RODRIGUEZ"/>
    <s v="CLAUDIO ALEJANDRO"/>
    <s v="M"/>
    <m/>
    <d v="2015-12-03T00:00:00"/>
    <m/>
    <m/>
    <s v="GASTRONOMICOS-Hoteles 4 y 5 Estrellas - 362/2003"/>
    <s v="Categoria 1"/>
    <x v="3"/>
    <s v="Unidad Principal"/>
    <s v="Centro"/>
    <s v="Tareas Generales"/>
    <n v="127406"/>
    <s v="O.S.Obreros y empleados tintoreros, sombrerero y lavanderos"/>
    <s v="Capital Federal"/>
    <m/>
    <n v="1002"/>
    <s v="JOSE IGNACIO RUCCI"/>
    <n v="764"/>
    <m/>
    <m/>
    <s v="CAPITAL FEDERAL"/>
    <s v="Capital Federal"/>
    <m/>
    <s v="U.O.Centro"/>
    <m/>
    <n v="1"/>
    <n v="1"/>
    <n v="11702.78"/>
    <n v="2340.56"/>
    <m/>
    <m/>
    <n v="9362.2199999999993"/>
    <m/>
    <n v="234.06"/>
    <m/>
    <m/>
    <m/>
    <m/>
    <m/>
    <m/>
    <n v="117.03"/>
    <m/>
    <m/>
    <m/>
    <m/>
    <m/>
    <m/>
    <n v="234.06"/>
    <m/>
    <m/>
    <m/>
    <m/>
    <m/>
    <m/>
    <m/>
    <n v="117.03"/>
    <m/>
    <n v="702.18"/>
  </r>
  <r>
    <n v="1"/>
    <x v="1"/>
    <x v="0"/>
    <n v="146771"/>
    <s v="RODRIGUEZ CONTRERAS LUZ ADELA"/>
    <s v="23-95303644-4"/>
    <d v="2016-02-08T00:00:00"/>
    <n v="95303644"/>
    <s v="RODRIGUEZ CONTRERAS"/>
    <s v="LUZ ADELA"/>
    <s v="F"/>
    <m/>
    <d v="2016-01-01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TUCUMAN"/>
    <n v="181"/>
    <m/>
    <m/>
    <s v="CAPITAL FEDERAL"/>
    <s v="Capital Federal"/>
    <m/>
    <s v="U.O.Centro"/>
    <m/>
    <n v="1"/>
    <n v="1"/>
    <n v="1385.41"/>
    <n v="277.08"/>
    <m/>
    <m/>
    <n v="1108.33"/>
    <m/>
    <n v="27.71"/>
    <m/>
    <m/>
    <m/>
    <m/>
    <m/>
    <m/>
    <n v="13.85"/>
    <m/>
    <m/>
    <m/>
    <m/>
    <m/>
    <m/>
    <n v="27.71"/>
    <m/>
    <m/>
    <m/>
    <m/>
    <m/>
    <m/>
    <m/>
    <n v="13.85"/>
    <m/>
    <n v="83.12"/>
  </r>
  <r>
    <n v="1"/>
    <x v="1"/>
    <x v="0"/>
    <n v="166834"/>
    <s v="ROMANO FERNANDO LUCAS"/>
    <s v="20-36688426-3"/>
    <d v="2016-02-08T00:00:00"/>
    <n v="36688426"/>
    <s v="ROMANO"/>
    <s v="FERNANDO LUCAS"/>
    <s v="M"/>
    <m/>
    <d v="2016-01-2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MIGUELETE"/>
    <n v="1005"/>
    <s v="2°"/>
    <s v="B"/>
    <s v="CAPITAL FEDERAL"/>
    <s v="Capital Federal"/>
    <m/>
    <s v="U.O.Centro"/>
    <m/>
    <n v="1"/>
    <n v="1"/>
    <n v="1379.21"/>
    <n v="275.83999999999997"/>
    <m/>
    <m/>
    <n v="1103.3699999999999"/>
    <m/>
    <n v="27.58"/>
    <m/>
    <m/>
    <m/>
    <m/>
    <m/>
    <m/>
    <n v="13.79"/>
    <m/>
    <m/>
    <m/>
    <m/>
    <m/>
    <m/>
    <n v="27.58"/>
    <m/>
    <m/>
    <m/>
    <m/>
    <m/>
    <m/>
    <m/>
    <n v="13.79"/>
    <m/>
    <n v="82.74"/>
  </r>
  <r>
    <n v="1"/>
    <x v="1"/>
    <x v="0"/>
    <n v="157720"/>
    <s v="RONDAN GUILLERMO"/>
    <s v="20-36948779-6"/>
    <d v="2016-02-08T00:00:00"/>
    <n v="36948779"/>
    <s v="RONDAN"/>
    <s v="GUILLERMO"/>
    <s v="M"/>
    <m/>
    <d v="2015-09-15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ZAPIOLA"/>
    <n v="1005"/>
    <m/>
    <m/>
    <s v="CAPITAL FEDERAL"/>
    <s v="Capital Federal"/>
    <m/>
    <s v="U.O.Centro"/>
    <m/>
    <n v="2"/>
    <n v="1"/>
    <n v="1964.9"/>
    <n v="392.98"/>
    <m/>
    <m/>
    <n v="1571.92"/>
    <m/>
    <n v="39.299999999999997"/>
    <m/>
    <m/>
    <m/>
    <m/>
    <m/>
    <m/>
    <n v="19.649999999999999"/>
    <m/>
    <m/>
    <m/>
    <m/>
    <m/>
    <m/>
    <n v="39.299999999999997"/>
    <m/>
    <m/>
    <m/>
    <m/>
    <m/>
    <m/>
    <m/>
    <n v="19.649999999999999"/>
    <m/>
    <n v="117.9"/>
  </r>
  <r>
    <n v="1"/>
    <x v="1"/>
    <x v="1"/>
    <n v="164607"/>
    <s v="ROSON HILEN"/>
    <s v="27-34146111-7"/>
    <d v="2016-02-01T00:00:00"/>
    <n v="34146111"/>
    <s v="ROSON"/>
    <s v="HILEN"/>
    <s v="F"/>
    <m/>
    <d v="2015-12-3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FRANCISCO ACUÑA DE FIGUEROA"/>
    <n v="764"/>
    <n v="4"/>
    <s v="D"/>
    <s v="CAPITAL FEDERAL"/>
    <s v="Capital Federal"/>
    <m/>
    <s v="U.O.Centro"/>
    <m/>
    <n v="1"/>
    <n v="1"/>
    <n v="4295.3999999999996"/>
    <n v="859.07"/>
    <m/>
    <m/>
    <n v="3436.33"/>
    <m/>
    <n v="85.91"/>
    <m/>
    <m/>
    <m/>
    <m/>
    <m/>
    <m/>
    <n v="42.95"/>
    <m/>
    <m/>
    <m/>
    <m/>
    <m/>
    <m/>
    <n v="85.91"/>
    <m/>
    <m/>
    <m/>
    <m/>
    <m/>
    <m/>
    <m/>
    <n v="42.95"/>
    <m/>
    <n v="257.72000000000003"/>
  </r>
  <r>
    <n v="1"/>
    <x v="1"/>
    <x v="1"/>
    <n v="161405"/>
    <s v="RUIZ MIRYAM ELIZABETH"/>
    <s v="27-28162946-3"/>
    <d v="2016-02-01T00:00:00"/>
    <n v="28162946"/>
    <s v="RUIZ"/>
    <s v="MIRYAM ELIZABETH"/>
    <s v="F"/>
    <m/>
    <d v="2015-11-1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INISTRO BRIN"/>
    <n v="764"/>
    <s v="1°"/>
    <s v="B"/>
    <s v="CAPITAL FEDERAL"/>
    <s v="Capital Federal"/>
    <m/>
    <s v="U.O.Centro Paga Inplant"/>
    <m/>
    <n v="1"/>
    <n v="1"/>
    <n v="1605.75"/>
    <n v="321.14999999999998"/>
    <m/>
    <m/>
    <n v="1284.5999999999999"/>
    <m/>
    <n v="32.119999999999997"/>
    <m/>
    <m/>
    <m/>
    <m/>
    <m/>
    <m/>
    <n v="16.059999999999999"/>
    <m/>
    <m/>
    <m/>
    <m/>
    <m/>
    <m/>
    <n v="32.119999999999997"/>
    <m/>
    <m/>
    <m/>
    <m/>
    <m/>
    <m/>
    <m/>
    <n v="16.059999999999999"/>
    <m/>
    <n v="96.36"/>
  </r>
  <r>
    <n v="1"/>
    <x v="1"/>
    <x v="0"/>
    <n v="146415"/>
    <s v="RUIZ DIAZ JORGE GUSTAVO"/>
    <s v="20-34079280-8"/>
    <d v="2016-02-02T00:00:00"/>
    <n v="34079280"/>
    <s v="RUIZ DIAZ"/>
    <s v="JORGE GUSTAVO"/>
    <s v="M"/>
    <m/>
    <d v="2015-08-19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MZA 56"/>
    <n v="841"/>
    <n v="3"/>
    <s v="D"/>
    <s v="CAPITAL FEDERAL"/>
    <s v="Buenos Aires"/>
    <m/>
    <s v="U.O.Centro"/>
    <m/>
    <n v="1"/>
    <n v="1"/>
    <n v="6766.2"/>
    <n v="2853.24"/>
    <m/>
    <m/>
    <n v="3912.96"/>
    <m/>
    <n v="135.32"/>
    <m/>
    <m/>
    <m/>
    <m/>
    <m/>
    <m/>
    <n v="67.66"/>
    <m/>
    <m/>
    <m/>
    <m/>
    <n v="1500"/>
    <m/>
    <n v="135.32"/>
    <m/>
    <m/>
    <m/>
    <m/>
    <m/>
    <m/>
    <m/>
    <n v="67.66"/>
    <m/>
    <n v="1905.96"/>
  </r>
  <r>
    <n v="1"/>
    <x v="1"/>
    <x v="1"/>
    <n v="166120"/>
    <s v="SALVA MONICA SOLEDAD"/>
    <s v="27-29486094-6"/>
    <d v="2016-02-01T00:00:00"/>
    <n v="29486094"/>
    <s v="SALVA"/>
    <s v="MONICA SOLEDAD"/>
    <s v="F"/>
    <m/>
    <d v="2016-01-13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LAFUENTE"/>
    <n v="764"/>
    <m/>
    <m/>
    <s v="CAPITAL FEDERAL"/>
    <s v="Capital Federal"/>
    <m/>
    <s v="U.O.Centro"/>
    <m/>
    <n v="1"/>
    <n v="1"/>
    <n v="1324.76"/>
    <n v="264.95"/>
    <m/>
    <m/>
    <n v="1059.81"/>
    <m/>
    <n v="26.5"/>
    <m/>
    <m/>
    <m/>
    <m/>
    <m/>
    <m/>
    <n v="13.25"/>
    <m/>
    <m/>
    <m/>
    <m/>
    <m/>
    <m/>
    <n v="26.5"/>
    <m/>
    <m/>
    <m/>
    <m/>
    <m/>
    <m/>
    <m/>
    <n v="13.25"/>
    <m/>
    <n v="79.5"/>
  </r>
  <r>
    <n v="1"/>
    <x v="1"/>
    <x v="0"/>
    <n v="156036"/>
    <s v="SANCHEZ MAIRA LUZ"/>
    <s v="27-35185133-9"/>
    <d v="2016-01-21T00:00:00"/>
    <n v="35185133"/>
    <s v="SANCHEZ"/>
    <s v="MAIRA LUZ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ONCEPCION"/>
    <n v="1005"/>
    <m/>
    <m/>
    <s v="CAPITAL FEDERAL"/>
    <s v="Capital Federal"/>
    <m/>
    <s v="U.O.Centro"/>
    <m/>
    <n v="1"/>
    <n v="1"/>
    <n v="390.54"/>
    <n v="78.12"/>
    <m/>
    <m/>
    <n v="312.42"/>
    <m/>
    <n v="7.81"/>
    <m/>
    <m/>
    <m/>
    <m/>
    <m/>
    <m/>
    <n v="3.91"/>
    <m/>
    <m/>
    <m/>
    <m/>
    <m/>
    <m/>
    <n v="7.81"/>
    <m/>
    <m/>
    <m/>
    <m/>
    <m/>
    <m/>
    <m/>
    <n v="3.91"/>
    <m/>
    <n v="23.44"/>
  </r>
  <r>
    <n v="1"/>
    <x v="1"/>
    <x v="0"/>
    <n v="156459"/>
    <s v="SANCHEZ ROSANA"/>
    <s v="27-23606497-8"/>
    <d v="2016-02-08T00:00:00"/>
    <n v="23606497"/>
    <s v="SANCHEZ"/>
    <s v="ROSANA"/>
    <s v="F"/>
    <m/>
    <d v="2015-08-2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V CORRIENTES"/>
    <n v="1005"/>
    <m/>
    <m/>
    <s v="CAPITAL FEDERAL"/>
    <s v="Capital Federal"/>
    <m/>
    <s v="U.O.Centro"/>
    <m/>
    <n v="3"/>
    <n v="1"/>
    <n v="3902.39"/>
    <n v="780.48"/>
    <m/>
    <m/>
    <n v="3121.91"/>
    <m/>
    <n v="78.05"/>
    <m/>
    <m/>
    <m/>
    <m/>
    <m/>
    <m/>
    <n v="39.03"/>
    <m/>
    <m/>
    <m/>
    <m/>
    <m/>
    <m/>
    <n v="78.05"/>
    <n v="15.16"/>
    <m/>
    <m/>
    <m/>
    <m/>
    <m/>
    <m/>
    <n v="23.87"/>
    <m/>
    <n v="234.16"/>
  </r>
  <r>
    <n v="1"/>
    <x v="1"/>
    <x v="0"/>
    <n v="161286"/>
    <s v="SANTIVAÑEZ CABALLERO MARIA REINA ISABEL"/>
    <s v="27-94726316-7"/>
    <d v="2016-02-08T00:00:00"/>
    <n v="94726316"/>
    <s v="SANTIVAÑEZ CABALLERO"/>
    <s v="MARIA REINA ISABEL"/>
    <s v="F"/>
    <m/>
    <d v="2015-11-27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EVA PERON"/>
    <n v="1225"/>
    <m/>
    <m/>
    <s v="CAPITAL FEDERAL"/>
    <s v="Buenos Aires"/>
    <m/>
    <s v="U.O.Centro"/>
    <m/>
    <n v="2"/>
    <n v="1"/>
    <n v="2573.5700000000002"/>
    <n v="514.70000000000005"/>
    <m/>
    <m/>
    <n v="2058.87"/>
    <m/>
    <n v="51.47"/>
    <m/>
    <m/>
    <m/>
    <m/>
    <m/>
    <m/>
    <n v="25.73"/>
    <m/>
    <m/>
    <m/>
    <m/>
    <m/>
    <m/>
    <n v="51.47"/>
    <m/>
    <m/>
    <m/>
    <m/>
    <m/>
    <m/>
    <m/>
    <n v="25.73"/>
    <m/>
    <n v="154.4"/>
  </r>
  <r>
    <n v="1"/>
    <x v="1"/>
    <x v="0"/>
    <n v="164903"/>
    <s v="SANTO LEANDRO"/>
    <s v="20-39458602-2"/>
    <d v="2016-01-21T00:00:00"/>
    <n v="39458602"/>
    <s v="SANTO"/>
    <s v="LEANDRO"/>
    <s v="M"/>
    <m/>
    <d v="2015-12-23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AMERICA"/>
    <n v="1225"/>
    <m/>
    <m/>
    <s v="CAPITAL FEDERAL"/>
    <s v="Buenos Aires"/>
    <m/>
    <s v="U.O.Centro"/>
    <m/>
    <n v="1"/>
    <n v="1"/>
    <n v="1504.25"/>
    <n v="300.86"/>
    <m/>
    <m/>
    <n v="1203.3900000000001"/>
    <m/>
    <n v="30.09"/>
    <m/>
    <m/>
    <m/>
    <m/>
    <m/>
    <m/>
    <n v="15.04"/>
    <m/>
    <m/>
    <m/>
    <m/>
    <m/>
    <m/>
    <n v="30.09"/>
    <m/>
    <m/>
    <m/>
    <m/>
    <m/>
    <m/>
    <m/>
    <n v="15.04"/>
    <m/>
    <n v="90.26"/>
  </r>
  <r>
    <n v="1"/>
    <x v="1"/>
    <x v="0"/>
    <n v="163422"/>
    <s v="SAUCEDO BETIANA MAGALI"/>
    <s v="23-38354831-4"/>
    <d v="2016-01-21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1"/>
    <n v="1"/>
    <n v="1504.25"/>
    <n v="300.86"/>
    <m/>
    <m/>
    <n v="1203.3900000000001"/>
    <m/>
    <n v="30.09"/>
    <m/>
    <m/>
    <m/>
    <m/>
    <m/>
    <m/>
    <n v="15.04"/>
    <m/>
    <m/>
    <m/>
    <m/>
    <m/>
    <m/>
    <n v="30.09"/>
    <m/>
    <m/>
    <m/>
    <m/>
    <m/>
    <m/>
    <m/>
    <n v="15.04"/>
    <m/>
    <n v="90.26"/>
  </r>
  <r>
    <n v="1"/>
    <x v="1"/>
    <x v="0"/>
    <n v="157784"/>
    <s v="SAUCEDO MARCELA"/>
    <s v="27-33197318-7"/>
    <d v="2016-02-08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Mucama Por Hora"/>
    <n v="1"/>
    <n v="1"/>
    <n v="11799.08"/>
    <n v="2418.81"/>
    <m/>
    <m/>
    <n v="9380.27"/>
    <n v="294.98"/>
    <m/>
    <m/>
    <m/>
    <m/>
    <m/>
    <m/>
    <m/>
    <n v="117.99"/>
    <m/>
    <m/>
    <m/>
    <m/>
    <m/>
    <m/>
    <n v="235.98"/>
    <m/>
    <m/>
    <m/>
    <m/>
    <m/>
    <m/>
    <m/>
    <n v="117.99"/>
    <m/>
    <n v="766.94"/>
  </r>
  <r>
    <n v="1"/>
    <x v="1"/>
    <x v="1"/>
    <n v="160863"/>
    <s v="SEQUEIRA GRACIELA ESTER"/>
    <s v="23-25848251-4"/>
    <d v="2016-02-01T00:00:00"/>
    <n v="25848251"/>
    <s v="SEQUEIRA"/>
    <s v="GRACIELA ESTER"/>
    <s v="F"/>
    <m/>
    <d v="2015-11-07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BRAHAM"/>
    <n v="764"/>
    <m/>
    <n v="22"/>
    <s v="CAPITAL FEDERAL"/>
    <s v="Capital Federal"/>
    <m/>
    <s v="U.O.Centro Paga Inplant"/>
    <m/>
    <n v="1"/>
    <n v="1"/>
    <n v="10964.27"/>
    <n v="2192.86"/>
    <m/>
    <m/>
    <n v="8771.41"/>
    <m/>
    <n v="219.29"/>
    <m/>
    <m/>
    <m/>
    <m/>
    <m/>
    <m/>
    <n v="109.64"/>
    <m/>
    <m/>
    <m/>
    <m/>
    <m/>
    <m/>
    <n v="219.29"/>
    <m/>
    <m/>
    <m/>
    <m/>
    <m/>
    <m/>
    <m/>
    <n v="109.64"/>
    <m/>
    <n v="657.86"/>
  </r>
  <r>
    <n v="1"/>
    <x v="1"/>
    <x v="0"/>
    <n v="135060"/>
    <s v="SILES MURIEL KARLA"/>
    <s v="27-93985208-0"/>
    <d v="2016-02-08T00:00:00"/>
    <n v="93985208"/>
    <s v="SILES MURIEL"/>
    <s v="KARLA"/>
    <s v="F"/>
    <m/>
    <d v="2015-11-2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IGUAZU"/>
    <n v="1225"/>
    <n v="2"/>
    <m/>
    <s v="CAPITAL FEDERAL"/>
    <s v="Buenos Aires"/>
    <m/>
    <s v="U.O.Centro"/>
    <m/>
    <n v="2"/>
    <n v="1"/>
    <n v="2058.86"/>
    <n v="411.76"/>
    <m/>
    <m/>
    <n v="1647.1"/>
    <m/>
    <n v="41.18"/>
    <m/>
    <m/>
    <m/>
    <m/>
    <m/>
    <m/>
    <n v="20.58"/>
    <m/>
    <m/>
    <m/>
    <m/>
    <m/>
    <m/>
    <n v="41.18"/>
    <m/>
    <m/>
    <m/>
    <m/>
    <m/>
    <m/>
    <m/>
    <n v="20.58"/>
    <m/>
    <n v="123.52"/>
  </r>
  <r>
    <n v="1"/>
    <x v="1"/>
    <x v="0"/>
    <n v="162174"/>
    <s v="SOLIS NATALIA CAROLINA"/>
    <s v="27-30425417-9"/>
    <d v="2016-02-08T00:00:00"/>
    <n v="30425417"/>
    <s v="SOLIS"/>
    <s v="NATALIA CAROLINA"/>
    <s v="F"/>
    <m/>
    <d v="2015-11-28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CHAVEZ"/>
    <n v="1225"/>
    <m/>
    <m/>
    <s v="CAPITAL FEDERAL"/>
    <s v="Buenos Aires"/>
    <m/>
    <s v="U.O.Centro"/>
    <m/>
    <n v="1"/>
    <n v="1"/>
    <n v="514.71"/>
    <n v="102.94"/>
    <m/>
    <m/>
    <n v="411.77"/>
    <m/>
    <n v="10.29"/>
    <m/>
    <m/>
    <m/>
    <m/>
    <m/>
    <m/>
    <n v="5.15"/>
    <m/>
    <m/>
    <m/>
    <m/>
    <m/>
    <m/>
    <n v="10.29"/>
    <m/>
    <m/>
    <m/>
    <m/>
    <m/>
    <m/>
    <m/>
    <n v="5.15"/>
    <m/>
    <n v="30.88"/>
  </r>
  <r>
    <n v="1"/>
    <x v="1"/>
    <x v="0"/>
    <n v="162176"/>
    <s v="SOMMA GABRIELA ALEJANDRA"/>
    <s v="27-31822042-0"/>
    <d v="2016-02-08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1"/>
    <n v="1"/>
    <n v="752.12"/>
    <n v="150.41"/>
    <m/>
    <m/>
    <n v="601.71"/>
    <m/>
    <n v="15.04"/>
    <m/>
    <m/>
    <m/>
    <m/>
    <m/>
    <m/>
    <n v="7.52"/>
    <m/>
    <m/>
    <m/>
    <m/>
    <m/>
    <m/>
    <n v="15.04"/>
    <m/>
    <m/>
    <m/>
    <m/>
    <m/>
    <m/>
    <m/>
    <n v="7.52"/>
    <m/>
    <n v="45.12"/>
  </r>
  <r>
    <n v="1"/>
    <x v="1"/>
    <x v="1"/>
    <n v="154462"/>
    <s v="SOTELO DAMARIS ROXANA"/>
    <s v="27-38100104-6"/>
    <d v="2016-02-01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"/>
    <m/>
    <n v="1"/>
    <n v="1"/>
    <n v="6132.98"/>
    <n v="1226.5999999999999"/>
    <m/>
    <m/>
    <n v="4906.38"/>
    <m/>
    <n v="122.66"/>
    <m/>
    <m/>
    <m/>
    <m/>
    <m/>
    <m/>
    <n v="61.33"/>
    <m/>
    <m/>
    <m/>
    <m/>
    <m/>
    <m/>
    <n v="122.66"/>
    <m/>
    <m/>
    <m/>
    <m/>
    <m/>
    <m/>
    <m/>
    <n v="61.33"/>
    <m/>
    <n v="367.98"/>
  </r>
  <r>
    <n v="1"/>
    <x v="1"/>
    <x v="1"/>
    <n v="155021"/>
    <s v="SOTO PENAYO FATIMA CONCEPCION"/>
    <s v="27-94441710-4"/>
    <d v="2016-02-01T00:00:00"/>
    <n v="94441710"/>
    <s v="SOTO PENAYO"/>
    <s v="FATIMA CONCEPCION"/>
    <s v="F"/>
    <m/>
    <d v="2015-07-28T00:00:00"/>
    <m/>
    <m/>
    <s v="GASTRONOMICOS-Hoteles 4 y 5 Estrellas - 362/2003"/>
    <s v="Categoría 4"/>
    <x v="3"/>
    <s v="Unidad Principal"/>
    <s v="Centro"/>
    <s v="Tareas Generales"/>
    <n v="126205"/>
    <s v="O.S.Emp.Comercio y Act.Civiles"/>
    <s v="Capital Federal"/>
    <m/>
    <n v="1002"/>
    <s v="SARAVIA"/>
    <n v="764"/>
    <m/>
    <m/>
    <s v="CAPITAL FEDERAL"/>
    <s v="Capital Federal"/>
    <m/>
    <s v="U.O.Centro Paga Inplant"/>
    <m/>
    <n v="1"/>
    <n v="1"/>
    <n v="11234.53"/>
    <n v="2246.92"/>
    <m/>
    <m/>
    <n v="8987.61"/>
    <m/>
    <n v="224.69"/>
    <m/>
    <m/>
    <m/>
    <m/>
    <m/>
    <m/>
    <n v="112.35"/>
    <m/>
    <m/>
    <m/>
    <m/>
    <m/>
    <m/>
    <n v="224.69"/>
    <m/>
    <m/>
    <m/>
    <m/>
    <m/>
    <m/>
    <m/>
    <n v="112.35"/>
    <m/>
    <n v="674.08"/>
  </r>
  <r>
    <n v="1"/>
    <x v="1"/>
    <x v="0"/>
    <n v="155979"/>
    <s v="SOULE ROMINA SOLEDAD"/>
    <s v="23-34390010-4"/>
    <d v="2016-02-08T00:00:00"/>
    <n v="34390010"/>
    <s v="SOULE"/>
    <s v="ROMINA SOLEDAD"/>
    <s v="F"/>
    <m/>
    <d v="2015-08-15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CHACO"/>
    <n v="1005"/>
    <n v="1"/>
    <s v="A"/>
    <s v="CAPITAL FEDERAL"/>
    <s v="Capital Federal"/>
    <m/>
    <s v="U.O.Centro"/>
    <m/>
    <n v="1"/>
    <n v="1"/>
    <n v="781.11"/>
    <n v="156.21"/>
    <m/>
    <m/>
    <n v="624.9"/>
    <m/>
    <n v="15.62"/>
    <m/>
    <m/>
    <m/>
    <m/>
    <m/>
    <m/>
    <n v="7.81"/>
    <m/>
    <m/>
    <m/>
    <m/>
    <m/>
    <m/>
    <n v="15.62"/>
    <m/>
    <m/>
    <m/>
    <m/>
    <m/>
    <m/>
    <m/>
    <n v="7.81"/>
    <m/>
    <n v="46.86"/>
  </r>
  <r>
    <n v="1"/>
    <x v="1"/>
    <x v="0"/>
    <n v="162209"/>
    <s v="STOCKL BRENDA JENNIFER"/>
    <s v="27-37769971-3"/>
    <d v="2016-02-08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2"/>
    <n v="1"/>
    <n v="4512.76"/>
    <n v="902.56"/>
    <m/>
    <m/>
    <n v="3610.2"/>
    <m/>
    <n v="90.25"/>
    <m/>
    <m/>
    <m/>
    <m/>
    <m/>
    <m/>
    <n v="45.13"/>
    <m/>
    <m/>
    <m/>
    <m/>
    <m/>
    <m/>
    <n v="90.25"/>
    <m/>
    <m/>
    <m/>
    <m/>
    <m/>
    <m/>
    <m/>
    <n v="45.13"/>
    <m/>
    <n v="270.76"/>
  </r>
  <r>
    <n v="1"/>
    <x v="1"/>
    <x v="0"/>
    <n v="163373"/>
    <s v="TIRIMACO DANIELA SOLEDAD"/>
    <s v="27-36177011-6"/>
    <d v="2016-02-08T00:00:00"/>
    <n v="36177011"/>
    <s v="TIRIMACO"/>
    <s v="DANIELA SOLEDAD"/>
    <s v="F"/>
    <m/>
    <d v="2015-12-15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SMERALDA"/>
    <n v="474"/>
    <m/>
    <m/>
    <s v="CAPITAL FEDERAL"/>
    <s v="Buenos Aires"/>
    <m/>
    <s v="U.O.Centro"/>
    <m/>
    <n v="1"/>
    <n v="1"/>
    <n v="888.08"/>
    <n v="177.61"/>
    <m/>
    <m/>
    <n v="710.47"/>
    <m/>
    <n v="17.760000000000002"/>
    <m/>
    <m/>
    <m/>
    <m/>
    <m/>
    <m/>
    <n v="8.8800000000000008"/>
    <m/>
    <m/>
    <m/>
    <m/>
    <m/>
    <m/>
    <n v="17.760000000000002"/>
    <m/>
    <m/>
    <m/>
    <m/>
    <m/>
    <m/>
    <m/>
    <n v="8.8800000000000008"/>
    <m/>
    <n v="53.28"/>
  </r>
  <r>
    <n v="1"/>
    <x v="1"/>
    <x v="0"/>
    <n v="161179"/>
    <s v="TORRES CLAUDIA ANDREA"/>
    <s v="27-30236589-5"/>
    <d v="2016-02-08T00:00:00"/>
    <n v="30236589"/>
    <s v="TORRES"/>
    <s v="CLAUDIA ANDREA"/>
    <s v="F"/>
    <m/>
    <d v="2015-11-15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SUECIA"/>
    <n v="1225"/>
    <m/>
    <m/>
    <s v="CAPITAL FEDERAL"/>
    <s v="Buenos Aires"/>
    <m/>
    <s v="U.O.Centro"/>
    <m/>
    <n v="3"/>
    <n v="1"/>
    <n v="7720.7"/>
    <n v="1544.13"/>
    <m/>
    <m/>
    <n v="6176.57"/>
    <m/>
    <n v="154.41"/>
    <m/>
    <m/>
    <m/>
    <m/>
    <m/>
    <m/>
    <n v="77.209999999999994"/>
    <m/>
    <m/>
    <m/>
    <m/>
    <m/>
    <m/>
    <n v="154.41"/>
    <m/>
    <m/>
    <m/>
    <m/>
    <m/>
    <m/>
    <m/>
    <n v="77.209999999999994"/>
    <m/>
    <n v="463.24"/>
  </r>
  <r>
    <n v="1"/>
    <x v="1"/>
    <x v="0"/>
    <n v="165162"/>
    <s v="TORRES VERONICA ALEJANDRA"/>
    <s v="23-25413259-4"/>
    <d v="2016-02-08T00:00:00"/>
    <n v="25413259"/>
    <s v="TORRES"/>
    <s v="VERONICA ALEJANDRA"/>
    <s v="F"/>
    <m/>
    <d v="2016-01-02T00:00:00"/>
    <d v="2016-01-07T00:00:00"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Avenida General José María Zapiola 522"/>
    <n v="181"/>
    <m/>
    <m/>
    <s v="CAPITAL FEDERAL"/>
    <s v="Capital Federal"/>
    <m/>
    <s v="U.O.Centro"/>
    <m/>
    <n v="1"/>
    <n v="1"/>
    <n v="2246.85"/>
    <n v="449.38"/>
    <m/>
    <m/>
    <n v="1797.47"/>
    <m/>
    <n v="44.94"/>
    <m/>
    <m/>
    <m/>
    <m/>
    <m/>
    <m/>
    <n v="22.47"/>
    <m/>
    <m/>
    <m/>
    <m/>
    <m/>
    <m/>
    <n v="44.94"/>
    <m/>
    <m/>
    <m/>
    <m/>
    <m/>
    <m/>
    <m/>
    <n v="22.47"/>
    <m/>
    <n v="134.82"/>
  </r>
  <r>
    <n v="1"/>
    <x v="1"/>
    <x v="1"/>
    <n v="159131"/>
    <s v="VALEIRO MARIA SOLEDAD"/>
    <s v="23-27310730-4"/>
    <d v="2016-02-01T00:00:00"/>
    <n v="27310730"/>
    <s v="VALEIRO"/>
    <s v="MARIA SOLEDAD"/>
    <s v="F"/>
    <m/>
    <d v="2015-10-08T00:00:00"/>
    <m/>
    <m/>
    <s v="GASTRONOMICOS-Hoteles 4 y 5 Estrellas - 362/2003"/>
    <s v="Categoria 5"/>
    <x v="3"/>
    <s v="Unidad Principal"/>
    <s v="Centro"/>
    <s v="Tareas Generales"/>
    <n v="101604"/>
    <s v="O.S.P.Automovil Club Argentino*"/>
    <s v="Capital Federal"/>
    <m/>
    <n v="1002"/>
    <s v="GERVASIO POSADAS"/>
    <n v="764"/>
    <m/>
    <m/>
    <s v="CAPITAL FEDERAL"/>
    <s v="Capital Federal"/>
    <m/>
    <s v="U.O.Centro Paga Inplant"/>
    <m/>
    <n v="1"/>
    <n v="1"/>
    <n v="9112.64"/>
    <n v="1822.53"/>
    <m/>
    <m/>
    <n v="7290.11"/>
    <m/>
    <n v="182.25"/>
    <m/>
    <m/>
    <m/>
    <m/>
    <m/>
    <m/>
    <n v="91.13"/>
    <m/>
    <m/>
    <m/>
    <m/>
    <m/>
    <m/>
    <n v="182.25"/>
    <m/>
    <m/>
    <m/>
    <m/>
    <m/>
    <m/>
    <m/>
    <n v="91.13"/>
    <m/>
    <n v="546.76"/>
  </r>
  <r>
    <n v="1"/>
    <x v="1"/>
    <x v="1"/>
    <n v="161234"/>
    <s v="VEGA LUCIA"/>
    <s v="27-32007100-9"/>
    <d v="2016-02-08T00:00:00"/>
    <n v="32007100"/>
    <s v="VEGA"/>
    <s v="LUCIA"/>
    <s v="F"/>
    <m/>
    <d v="2016-01-01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FRENCH"/>
    <n v="1584"/>
    <m/>
    <m/>
    <s v="CAPITAL FEDERAL"/>
    <s v="Capital Federal"/>
    <m/>
    <s v="U.O.Centro"/>
    <s v="Alvear Palace"/>
    <n v="1"/>
    <n v="1"/>
    <n v="1621.49"/>
    <n v="324.27999999999997"/>
    <m/>
    <m/>
    <n v="1297.21"/>
    <m/>
    <n v="32.43"/>
    <m/>
    <m/>
    <m/>
    <m/>
    <m/>
    <m/>
    <n v="16.21"/>
    <m/>
    <m/>
    <m/>
    <m/>
    <m/>
    <m/>
    <n v="32.43"/>
    <m/>
    <m/>
    <m/>
    <m/>
    <m/>
    <m/>
    <m/>
    <n v="16.21"/>
    <m/>
    <n v="97.28"/>
  </r>
  <r>
    <n v="1"/>
    <x v="1"/>
    <x v="0"/>
    <n v="143424"/>
    <s v="VELASQUEZ NESTOR IGNACIO"/>
    <s v="20-30830390-0"/>
    <d v="2016-02-08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2"/>
    <n v="1"/>
    <n v="12629.39"/>
    <n v="2589.02"/>
    <m/>
    <m/>
    <n v="10040.370000000001"/>
    <n v="315.73"/>
    <m/>
    <m/>
    <m/>
    <m/>
    <m/>
    <m/>
    <m/>
    <n v="126.29"/>
    <m/>
    <m/>
    <m/>
    <m/>
    <m/>
    <m/>
    <n v="252.59"/>
    <m/>
    <m/>
    <m/>
    <m/>
    <m/>
    <m/>
    <m/>
    <n v="126.29"/>
    <m/>
    <n v="820.9"/>
  </r>
  <r>
    <n v="1"/>
    <x v="1"/>
    <x v="0"/>
    <n v="164249"/>
    <s v="VENTI ROMINA"/>
    <s v="27-93273813-4"/>
    <d v="2016-02-08T00:00:00"/>
    <n v="93273813"/>
    <s v="VENTI"/>
    <s v="ROMINA"/>
    <s v="F"/>
    <m/>
    <d v="2015-12-17T00:00:00"/>
    <m/>
    <m/>
    <s v="GASTRONOMICOS-Hoteles 4 y 5 Estrellas - 362/2003"/>
    <s v="Categoria 6"/>
    <x v="6"/>
    <s v="NUEVOS INGRESOS"/>
    <s v="Centro"/>
    <s v="Camarero/a"/>
    <n v="113809"/>
    <s v="OS  DE COMISARIOS NAVALES"/>
    <s v="Capital Federal"/>
    <m/>
    <n v="1093"/>
    <s v="CONDARCO"/>
    <n v="1232"/>
    <n v="4"/>
    <m/>
    <s v="CAPITAL FEDERAL"/>
    <s v="Buenos Aires"/>
    <m/>
    <s v="U.O.Centro"/>
    <s v="Camareros Por Hora"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1"/>
    <n v="154683"/>
    <s v="VERGARA GERARDO ANIBAL"/>
    <s v="20-23133676-2"/>
    <d v="2016-02-01T00:00:00"/>
    <n v="23133676"/>
    <s v="VERGARA"/>
    <s v="GERARDO ANIBAL"/>
    <s v="M"/>
    <m/>
    <d v="2015-07-2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V. GAONA"/>
    <n v="764"/>
    <m/>
    <m/>
    <s v="CAPITAL FEDERAL"/>
    <s v="Capital Federal"/>
    <m/>
    <s v="U.O.Centro Paga Inplant"/>
    <m/>
    <n v="1"/>
    <n v="1"/>
    <n v="14933.5"/>
    <n v="2986.72"/>
    <m/>
    <m/>
    <n v="11946.78"/>
    <m/>
    <n v="298.67"/>
    <m/>
    <m/>
    <m/>
    <m/>
    <m/>
    <m/>
    <n v="149.34"/>
    <m/>
    <m/>
    <m/>
    <m/>
    <m/>
    <m/>
    <n v="298.67"/>
    <m/>
    <m/>
    <m/>
    <m/>
    <m/>
    <m/>
    <m/>
    <n v="149.34"/>
    <m/>
    <n v="896.02"/>
  </r>
  <r>
    <n v="1"/>
    <x v="1"/>
    <x v="0"/>
    <n v="165038"/>
    <s v="VILLAMIZAR SANCHEZ DANIELA CAROLINA"/>
    <s v="27-95495285-7"/>
    <d v="2016-02-08T00:00:00"/>
    <n v="95495285"/>
    <s v="VILLAMIZAR SANCHEZ"/>
    <s v="DANIELA CAROLINA"/>
    <s v="F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COMBATE DE LOS POZOS"/>
    <n v="1232"/>
    <m/>
    <m/>
    <s v="CAPITAL FEDERAL"/>
    <s v="Buenos Aires"/>
    <m/>
    <s v="U.O.Centro"/>
    <m/>
    <n v="1"/>
    <n v="1"/>
    <n v="1412.15"/>
    <n v="282.42"/>
    <m/>
    <m/>
    <n v="1129.73"/>
    <m/>
    <n v="28.24"/>
    <m/>
    <m/>
    <m/>
    <m/>
    <m/>
    <m/>
    <n v="14.12"/>
    <m/>
    <m/>
    <m/>
    <m/>
    <m/>
    <m/>
    <n v="28.24"/>
    <m/>
    <m/>
    <m/>
    <m/>
    <m/>
    <m/>
    <m/>
    <n v="14.12"/>
    <m/>
    <n v="84.72"/>
  </r>
  <r>
    <n v="1"/>
    <x v="1"/>
    <x v="0"/>
    <n v="165035"/>
    <s v="VILLAROEL BARRIOS WILMER OLIVER"/>
    <s v="20-95503977-8"/>
    <d v="2016-02-08T00:00:00"/>
    <n v="95503977"/>
    <s v="VILLAROEL BARRIOS"/>
    <s v="WILMER OLIVER"/>
    <s v="M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COMBATE DE LOS POZOS"/>
    <n v="1232"/>
    <m/>
    <m/>
    <s v="CAPITAL FEDERAL"/>
    <s v="Buenos Aires"/>
    <m/>
    <s v="U.O.Centro"/>
    <m/>
    <n v="2"/>
    <n v="1"/>
    <n v="3339.06"/>
    <n v="667.81"/>
    <m/>
    <m/>
    <n v="2671.25"/>
    <m/>
    <n v="66.78"/>
    <m/>
    <m/>
    <m/>
    <m/>
    <m/>
    <m/>
    <n v="33.39"/>
    <m/>
    <m/>
    <m/>
    <m/>
    <m/>
    <m/>
    <n v="66.78"/>
    <m/>
    <m/>
    <m/>
    <m/>
    <m/>
    <m/>
    <m/>
    <n v="33.39"/>
    <m/>
    <n v="200.34"/>
  </r>
  <r>
    <n v="1"/>
    <x v="1"/>
    <x v="1"/>
    <n v="130773"/>
    <s v="WTOREK WALTER EZEQUIEL"/>
    <s v="20-30454246-3"/>
    <d v="2016-02-08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6750.32"/>
    <n v="3433.82"/>
    <m/>
    <m/>
    <n v="13316.5"/>
    <n v="418.76"/>
    <m/>
    <m/>
    <m/>
    <m/>
    <m/>
    <m/>
    <m/>
    <n v="167.5"/>
    <m/>
    <m/>
    <m/>
    <m/>
    <m/>
    <m/>
    <n v="335.01"/>
    <m/>
    <m/>
    <m/>
    <m/>
    <m/>
    <m/>
    <m/>
    <n v="167.5"/>
    <m/>
    <n v="1088.77"/>
  </r>
  <r>
    <n v="1"/>
    <x v="1"/>
    <x v="1"/>
    <n v="130538"/>
    <s v="ZAMORA MAXIMILIANO DAVID"/>
    <s v="20-33687121-3"/>
    <d v="2016-02-08T00:00:00"/>
    <n v="33687121"/>
    <s v="ZAMORA"/>
    <s v="MAXIMILIANO DAVID"/>
    <s v="M"/>
    <m/>
    <d v="2014-07-0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ECHAGUE"/>
    <n v="1584"/>
    <m/>
    <m/>
    <s v="CAPITAL FEDERAL"/>
    <s v="Capital Federal"/>
    <m/>
    <s v="U.O.Centro"/>
    <s v="Alvear Palace Art"/>
    <n v="1"/>
    <n v="1"/>
    <n v="5909.91"/>
    <n v="1181.99"/>
    <m/>
    <m/>
    <n v="4727.92"/>
    <m/>
    <n v="118.2"/>
    <m/>
    <m/>
    <m/>
    <m/>
    <m/>
    <m/>
    <n v="59.1"/>
    <m/>
    <m/>
    <m/>
    <m/>
    <m/>
    <m/>
    <n v="118.2"/>
    <m/>
    <m/>
    <m/>
    <m/>
    <m/>
    <m/>
    <m/>
    <n v="59.1"/>
    <m/>
    <n v="354.6"/>
  </r>
  <r>
    <n v="1"/>
    <x v="1"/>
    <x v="0"/>
    <n v="156235"/>
    <s v="ZENTENO CRISTIAN OSCAR"/>
    <s v="20-37675043-5"/>
    <d v="2016-02-08T00:00:00"/>
    <n v="37675043"/>
    <s v="ZENTENO"/>
    <s v="CRISTIAN OSCAR"/>
    <s v="M"/>
    <m/>
    <d v="2015-08-20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CAMPICHUELO"/>
    <n v="1005"/>
    <m/>
    <m/>
    <s v="CAPITAL FEDERAL"/>
    <s v="Capital Federal"/>
    <m/>
    <s v="U.O.Centro"/>
    <m/>
    <n v="3"/>
    <n v="1"/>
    <n v="4889.7700000000004"/>
    <n v="977.95"/>
    <m/>
    <m/>
    <n v="3911.82"/>
    <m/>
    <n v="97.79"/>
    <m/>
    <m/>
    <m/>
    <m/>
    <m/>
    <m/>
    <n v="48.9"/>
    <m/>
    <m/>
    <m/>
    <m/>
    <m/>
    <m/>
    <n v="97.79"/>
    <m/>
    <m/>
    <m/>
    <m/>
    <m/>
    <m/>
    <m/>
    <n v="48.9"/>
    <m/>
    <n v="293.38"/>
  </r>
  <r>
    <n v="1"/>
    <x v="1"/>
    <x v="0"/>
    <n v="164888"/>
    <s v="ZURCO IRINA BELEN"/>
    <s v="27-35930307-1"/>
    <d v="2016-01-21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1"/>
    <n v="1"/>
    <n v="1504.25"/>
    <n v="300.86"/>
    <m/>
    <m/>
    <n v="1203.3900000000001"/>
    <m/>
    <n v="30.09"/>
    <m/>
    <m/>
    <m/>
    <m/>
    <m/>
    <m/>
    <n v="15.04"/>
    <m/>
    <m/>
    <m/>
    <m/>
    <m/>
    <m/>
    <n v="30.09"/>
    <m/>
    <m/>
    <m/>
    <m/>
    <m/>
    <m/>
    <m/>
    <n v="15.04"/>
    <m/>
    <n v="90.26"/>
  </r>
  <r>
    <n v="2"/>
    <x v="2"/>
    <x v="0"/>
    <n v="118846"/>
    <s v="ACOSTA SUSANA BEATRIZ"/>
    <s v="27-32902543-3"/>
    <d v="2016-03-07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2"/>
    <n v="1"/>
    <n v="3419.45"/>
    <n v="683.88"/>
    <m/>
    <m/>
    <n v="2735.57"/>
    <m/>
    <n v="68.39"/>
    <m/>
    <m/>
    <m/>
    <m/>
    <m/>
    <m/>
    <n v="34.19"/>
    <m/>
    <m/>
    <m/>
    <m/>
    <m/>
    <m/>
    <n v="68.39"/>
    <m/>
    <m/>
    <m/>
    <m/>
    <m/>
    <m/>
    <m/>
    <n v="34.19"/>
    <m/>
    <n v="205.16"/>
  </r>
  <r>
    <n v="2"/>
    <x v="2"/>
    <x v="1"/>
    <n v="168830"/>
    <s v="AGUILERA GONZALEZ JORGE LUIS"/>
    <s v="20-35068007-2"/>
    <d v="2016-03-07T00:00:00"/>
    <n v="35068007"/>
    <s v="AGUILERA GONZALEZ"/>
    <s v="JORGE LUIS"/>
    <s v="M"/>
    <m/>
    <d v="2016-02-22T00:00:00"/>
    <m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440"/>
    <s v="avenida Caseros"/>
    <n v="1584"/>
    <s v="No"/>
    <s v="No"/>
    <s v="CAPITAL FEDERAL"/>
    <s v="Capital Federal"/>
    <m/>
    <s v="U.O.Centro"/>
    <s v="Alvear Palace"/>
    <n v="1"/>
    <n v="1"/>
    <n v="2615.8000000000002"/>
    <n v="523.16"/>
    <m/>
    <m/>
    <n v="2092.64"/>
    <m/>
    <n v="52.32"/>
    <m/>
    <m/>
    <m/>
    <m/>
    <m/>
    <m/>
    <n v="26.16"/>
    <m/>
    <m/>
    <m/>
    <m/>
    <m/>
    <m/>
    <n v="52.32"/>
    <m/>
    <m/>
    <m/>
    <m/>
    <m/>
    <m/>
    <m/>
    <n v="26.16"/>
    <m/>
    <n v="156.96"/>
  </r>
  <r>
    <n v="2"/>
    <x v="2"/>
    <x v="0"/>
    <n v="162860"/>
    <s v="AGUIRRE EMMNUEL JORGE"/>
    <s v="23-29929118-9"/>
    <d v="2016-03-07T00:00:00"/>
    <n v="29929118"/>
    <s v="AGUIRRE"/>
    <s v="EMMNUEL JORGE"/>
    <s v="M"/>
    <m/>
    <d v="2015-12-03T00:00:00"/>
    <m/>
    <m/>
    <s v="GASTRONOMICOS-Hoteles 4 y 5 Estrellas - 362/2003"/>
    <s v="Categoria 1"/>
    <x v="4"/>
    <s v="Unidad Base-GL"/>
    <s v="Centro"/>
    <s v="Tareas Generales"/>
    <n v="111704"/>
    <s v="OS  DE ENCARGADOS APUNTADORES MARITIMOS"/>
    <s v="Capital Federal"/>
    <m/>
    <n v="1004"/>
    <s v="MELGAR"/>
    <n v="474"/>
    <m/>
    <n v="1437"/>
    <s v="CAPITAL FEDERAL"/>
    <s v="Buenos Aires"/>
    <m/>
    <s v="U.O.Centro"/>
    <m/>
    <n v="1"/>
    <n v="1"/>
    <n v="382.53"/>
    <n v="76.52"/>
    <m/>
    <m/>
    <n v="306.01"/>
    <m/>
    <n v="7.65"/>
    <m/>
    <m/>
    <m/>
    <m/>
    <m/>
    <m/>
    <n v="3.83"/>
    <m/>
    <m/>
    <m/>
    <m/>
    <m/>
    <m/>
    <n v="7.65"/>
    <m/>
    <m/>
    <m/>
    <m/>
    <m/>
    <m/>
    <m/>
    <n v="3.83"/>
    <m/>
    <n v="22.96"/>
  </r>
  <r>
    <n v="2"/>
    <x v="2"/>
    <x v="0"/>
    <n v="168151"/>
    <s v="ALBORNOZ PABLO RICARDO"/>
    <s v="20-37442721-1"/>
    <d v="2016-03-07T00:00:00"/>
    <n v="37442721"/>
    <s v="ALBORNOZ"/>
    <s v="PABLO RICARDO"/>
    <s v="M"/>
    <m/>
    <d v="2016-02-04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BAHIA BLANCA"/>
    <n v="1005"/>
    <m/>
    <m/>
    <s v="CAPITAL FEDERAL"/>
    <s v="Capital Federal"/>
    <m/>
    <s v="U.O.Centro"/>
    <m/>
    <n v="3"/>
    <n v="1"/>
    <n v="5087.38"/>
    <n v="1017.47"/>
    <m/>
    <m/>
    <n v="4069.91"/>
    <m/>
    <n v="101.75"/>
    <m/>
    <m/>
    <m/>
    <m/>
    <m/>
    <m/>
    <n v="50.87"/>
    <m/>
    <m/>
    <m/>
    <m/>
    <m/>
    <m/>
    <n v="101.75"/>
    <m/>
    <m/>
    <m/>
    <m/>
    <m/>
    <m/>
    <m/>
    <n v="50.87"/>
    <m/>
    <n v="305.24"/>
  </r>
  <r>
    <n v="2"/>
    <x v="2"/>
    <x v="0"/>
    <n v="139738"/>
    <s v="ALEGRE FLAVIO RODRIGO"/>
    <s v="20-30462269-6"/>
    <d v="2016-03-07T00:00:00"/>
    <n v="30462269"/>
    <s v="ALEGRE"/>
    <s v="FLAVIO RODRIGO"/>
    <s v="M"/>
    <m/>
    <d v="2015-10-07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OMBAT. DE LOS POZOS"/>
    <n v="1005"/>
    <n v="3"/>
    <m/>
    <s v="CAPITAL FEDERAL"/>
    <s v="Capital Federal"/>
    <m/>
    <s v="U.O.Centro"/>
    <m/>
    <n v="4"/>
    <n v="1"/>
    <n v="4173.78"/>
    <n v="834.75"/>
    <m/>
    <m/>
    <n v="3339.03"/>
    <m/>
    <n v="83.47"/>
    <m/>
    <m/>
    <m/>
    <m/>
    <m/>
    <m/>
    <n v="41.74"/>
    <m/>
    <m/>
    <m/>
    <m/>
    <m/>
    <m/>
    <n v="83.47"/>
    <m/>
    <m/>
    <m/>
    <m/>
    <m/>
    <m/>
    <m/>
    <n v="41.74"/>
    <m/>
    <n v="250.42"/>
  </r>
  <r>
    <n v="2"/>
    <x v="2"/>
    <x v="0"/>
    <n v="168236"/>
    <s v="ALFONZO SEBASTIAN ALEJANDRO"/>
    <s v="20-34553164-6"/>
    <d v="2016-03-07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2"/>
    <n v="1"/>
    <n v="3660.41"/>
    <n v="732.07"/>
    <m/>
    <m/>
    <n v="2928.34"/>
    <m/>
    <n v="73.209999999999994"/>
    <m/>
    <m/>
    <m/>
    <m/>
    <m/>
    <m/>
    <n v="36.6"/>
    <m/>
    <m/>
    <m/>
    <m/>
    <m/>
    <m/>
    <n v="73.209999999999994"/>
    <m/>
    <m/>
    <m/>
    <m/>
    <m/>
    <m/>
    <m/>
    <n v="36.6"/>
    <m/>
    <n v="219.62"/>
  </r>
  <r>
    <n v="2"/>
    <x v="2"/>
    <x v="0"/>
    <n v="156318"/>
    <s v="ALMONTE MARIANELA"/>
    <s v="27-19029144-3"/>
    <d v="2016-03-07T00:00:00"/>
    <n v="19029144"/>
    <s v="ALMONTE"/>
    <s v="MARIANELA"/>
    <s v="F"/>
    <m/>
    <d v="2015-08-18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REMEDIO DE ESCALADA"/>
    <n v="474"/>
    <m/>
    <m/>
    <s v="CAPITAL FEDERAL"/>
    <s v="Buenos Aires"/>
    <m/>
    <s v="U.O.Centro"/>
    <m/>
    <n v="1"/>
    <n v="1"/>
    <n v="6216.55"/>
    <n v="1243.32"/>
    <m/>
    <m/>
    <n v="4973.2299999999996"/>
    <m/>
    <n v="124.33"/>
    <m/>
    <m/>
    <m/>
    <m/>
    <m/>
    <m/>
    <n v="62.17"/>
    <m/>
    <m/>
    <m/>
    <m/>
    <m/>
    <m/>
    <n v="124.33"/>
    <m/>
    <m/>
    <m/>
    <m/>
    <m/>
    <m/>
    <m/>
    <n v="62.17"/>
    <m/>
    <n v="373"/>
  </r>
  <r>
    <n v="2"/>
    <x v="2"/>
    <x v="0"/>
    <n v="156038"/>
    <s v="AMARILLA GLADIS NORMA"/>
    <s v="27-31471414-3"/>
    <d v="2016-03-07T00:00:00"/>
    <n v="31471414"/>
    <s v="AMARILLA"/>
    <s v="GLADIS NORMA"/>
    <s v="F"/>
    <m/>
    <d v="2015-12-03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SAN JAVIER"/>
    <n v="1005"/>
    <m/>
    <m/>
    <s v="CAPITAL FEDERAL"/>
    <s v="Capital Federal"/>
    <m/>
    <s v="U.O.Centro"/>
    <m/>
    <n v="2"/>
    <n v="1"/>
    <n v="14883.86"/>
    <n v="2976.75"/>
    <m/>
    <m/>
    <n v="11907.11"/>
    <m/>
    <n v="297.67"/>
    <m/>
    <m/>
    <m/>
    <m/>
    <m/>
    <m/>
    <n v="148.84"/>
    <m/>
    <m/>
    <m/>
    <m/>
    <m/>
    <m/>
    <n v="297.67"/>
    <m/>
    <m/>
    <m/>
    <m/>
    <m/>
    <m/>
    <m/>
    <n v="148.84"/>
    <m/>
    <n v="893.02"/>
  </r>
  <r>
    <n v="2"/>
    <x v="2"/>
    <x v="0"/>
    <n v="137716"/>
    <s v="AMARILLA MARIANELA SOLEDAD"/>
    <s v="23-35068319-4"/>
    <d v="2016-03-07T00:00:00"/>
    <n v="35068319"/>
    <s v="AMARILLA"/>
    <s v="MARIANELA SOLEDAD"/>
    <s v="F"/>
    <m/>
    <d v="2014-11-15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LACARRA"/>
    <n v="1232"/>
    <m/>
    <m/>
    <s v="CAPITAL FEDERAL"/>
    <s v="Buenos Aires"/>
    <m/>
    <s v="U.O.Centro"/>
    <s v="Mucama por Jornada"/>
    <n v="1"/>
    <n v="1"/>
    <n v="15413.27"/>
    <n v="3159.72"/>
    <m/>
    <m/>
    <n v="12253.55"/>
    <n v="385.33"/>
    <m/>
    <m/>
    <m/>
    <m/>
    <m/>
    <m/>
    <m/>
    <n v="154.13"/>
    <m/>
    <m/>
    <m/>
    <m/>
    <m/>
    <m/>
    <n v="308.27"/>
    <m/>
    <m/>
    <m/>
    <m/>
    <m/>
    <m/>
    <m/>
    <n v="154.13"/>
    <m/>
    <n v="1001.86"/>
  </r>
  <r>
    <n v="2"/>
    <x v="2"/>
    <x v="0"/>
    <n v="161060"/>
    <s v="ARANDA JESICA AYELEN"/>
    <s v="27-34753238-5"/>
    <d v="2016-02-22T00:00:00"/>
    <n v="34753238"/>
    <s v="ARANDA"/>
    <s v="JESICA AYELEN"/>
    <s v="F"/>
    <m/>
    <d v="2015-11-15T00:00:00"/>
    <d v="2016-01-20T00:00:00"/>
    <d v="2016-01-20T00:00:00"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PEDRO ECHAGUE"/>
    <n v="1225"/>
    <s v="PB"/>
    <n v="5"/>
    <s v="CAPITAL FEDERAL"/>
    <s v="Buenos Aires"/>
    <m/>
    <s v="U.O.Centro"/>
    <m/>
    <n v="1"/>
    <n v="1"/>
    <n v="1286.78"/>
    <n v="257.36"/>
    <m/>
    <m/>
    <n v="1029.42"/>
    <m/>
    <n v="25.74"/>
    <m/>
    <m/>
    <m/>
    <m/>
    <m/>
    <m/>
    <n v="12.87"/>
    <m/>
    <m/>
    <m/>
    <m/>
    <m/>
    <m/>
    <n v="25.74"/>
    <m/>
    <m/>
    <m/>
    <m/>
    <m/>
    <m/>
    <m/>
    <n v="12.87"/>
    <m/>
    <n v="77.22"/>
  </r>
  <r>
    <n v="2"/>
    <x v="2"/>
    <x v="0"/>
    <n v="134826"/>
    <s v="AREN ANALÍA EMILCE"/>
    <s v="27-25784997-5"/>
    <d v="2016-03-07T00:00:00"/>
    <n v="25784997"/>
    <s v="AREN"/>
    <s v="ANALÍA EMILCE"/>
    <s v="F"/>
    <m/>
    <d v="2014-10-02T00:00:00"/>
    <d v="2016-01-14T00:00:00"/>
    <d v="2016-01-14T00:00:00"/>
    <s v="GASTRONOMICOS-Hoteles 4 y 5 Estrellas - 362/2003"/>
    <s v="Categoría 4"/>
    <x v="6"/>
    <s v="Unidad Base-GL"/>
    <s v="Centro"/>
    <s v="Mucama"/>
    <n v="126908"/>
    <s v="OS DE LOS MEDICOS DE LA CIUDAD DE BUENOS AIRES"/>
    <s v="Capital Federal"/>
    <m/>
    <n v="1093"/>
    <s v="DILLON"/>
    <n v="1232"/>
    <m/>
    <m/>
    <s v="CAPITAL FEDERAL"/>
    <s v="Buenos Aires"/>
    <m/>
    <s v="U.O.Centro"/>
    <s v="Mucama por Jornada"/>
    <n v="1"/>
    <n v="1"/>
    <m/>
    <m/>
    <m/>
    <n v="2423.1799999999998"/>
    <n v="2423.1799999999998"/>
    <m/>
    <m/>
    <m/>
    <m/>
    <m/>
    <m/>
    <m/>
    <m/>
    <m/>
    <m/>
    <m/>
    <m/>
    <m/>
    <m/>
    <m/>
    <m/>
    <m/>
    <m/>
    <m/>
    <m/>
    <m/>
    <m/>
    <m/>
    <m/>
    <m/>
    <m/>
  </r>
  <r>
    <n v="2"/>
    <x v="2"/>
    <x v="0"/>
    <n v="166810"/>
    <s v="ARRIETA CLAUDIA ALEJANDRA"/>
    <s v="27-20538808-2"/>
    <d v="2016-03-07T00:00:00"/>
    <n v="20538808"/>
    <s v="ARRIETA"/>
    <s v="CLAUDIA ALEJANDRA"/>
    <s v="F"/>
    <m/>
    <d v="2016-01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RACAS"/>
    <n v="474"/>
    <m/>
    <m/>
    <s v="CAPITAL FEDERAL"/>
    <s v="Buenos Aires"/>
    <m/>
    <s v="U.O.Centro"/>
    <m/>
    <n v="1"/>
    <n v="1"/>
    <n v="4884.43"/>
    <n v="976.88"/>
    <m/>
    <m/>
    <n v="3907.55"/>
    <m/>
    <n v="97.69"/>
    <m/>
    <m/>
    <m/>
    <m/>
    <m/>
    <m/>
    <n v="48.84"/>
    <m/>
    <m/>
    <m/>
    <m/>
    <m/>
    <m/>
    <n v="97.69"/>
    <m/>
    <m/>
    <m/>
    <m/>
    <m/>
    <m/>
    <m/>
    <n v="48.84"/>
    <m/>
    <n v="293.06"/>
  </r>
  <r>
    <n v="2"/>
    <x v="2"/>
    <x v="1"/>
    <n v="162574"/>
    <s v="BANEGAS PEREZ VICTOR GUSTAVO"/>
    <s v="20-47178337-5"/>
    <d v="2016-03-01T00:00:00"/>
    <n v="47178337"/>
    <s v="BANEGAS PEREZ"/>
    <s v="VICTOR GUSTAVO"/>
    <s v="M"/>
    <m/>
    <d v="2015-12-04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 RIVADAVIA"/>
    <n v="764"/>
    <n v="7"/>
    <s v="D"/>
    <s v="CAPITAL FEDERAL"/>
    <s v="Capital Federal"/>
    <m/>
    <s v="U.O.Centro"/>
    <m/>
    <n v="1"/>
    <n v="1"/>
    <n v="12732.35"/>
    <n v="2546.4699999999998"/>
    <m/>
    <m/>
    <n v="10185.879999999999"/>
    <m/>
    <n v="254.65"/>
    <m/>
    <m/>
    <m/>
    <m/>
    <m/>
    <m/>
    <n v="127.32"/>
    <m/>
    <m/>
    <m/>
    <m/>
    <m/>
    <m/>
    <n v="254.65"/>
    <m/>
    <m/>
    <m/>
    <m/>
    <m/>
    <m/>
    <m/>
    <n v="127.32"/>
    <m/>
    <n v="763.94"/>
  </r>
  <r>
    <n v="2"/>
    <x v="2"/>
    <x v="0"/>
    <n v="155970"/>
    <s v="BARRIONUEVO SILVIA NOEMI"/>
    <s v="27-22804897-1"/>
    <d v="2016-03-07T00:00:00"/>
    <n v="22804897"/>
    <s v="BARRIONUEVO"/>
    <s v="SILVIA NOEMI"/>
    <s v="F"/>
    <m/>
    <d v="2015-09-0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AV COBO CURAPALIGUE"/>
    <n v="1232"/>
    <s v="A"/>
    <m/>
    <s v="CAPITAL FEDERAL"/>
    <s v="Buenos Aires"/>
    <m/>
    <s v="U.O.Centro"/>
    <s v="Camareros Por Hora"/>
    <n v="1"/>
    <n v="1"/>
    <n v="1671.35"/>
    <n v="334.27"/>
    <m/>
    <m/>
    <n v="1337.08"/>
    <m/>
    <n v="33.43"/>
    <m/>
    <m/>
    <m/>
    <m/>
    <m/>
    <m/>
    <n v="16.71"/>
    <m/>
    <m/>
    <m/>
    <m/>
    <m/>
    <m/>
    <n v="33.43"/>
    <m/>
    <m/>
    <m/>
    <m/>
    <m/>
    <m/>
    <m/>
    <n v="16.71"/>
    <m/>
    <n v="100.28"/>
  </r>
  <r>
    <n v="2"/>
    <x v="2"/>
    <x v="0"/>
    <n v="150709"/>
    <s v="BARRIOS NAHUEL ALEJANDRO"/>
    <s v="20-39155005-1"/>
    <d v="2016-03-07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1"/>
    <n v="1"/>
    <n v="5737.95"/>
    <n v="1147.5899999999999"/>
    <m/>
    <m/>
    <n v="4590.3599999999997"/>
    <m/>
    <n v="114.76"/>
    <m/>
    <m/>
    <m/>
    <m/>
    <m/>
    <m/>
    <n v="57.38"/>
    <m/>
    <m/>
    <m/>
    <m/>
    <m/>
    <m/>
    <n v="114.76"/>
    <m/>
    <m/>
    <m/>
    <m/>
    <m/>
    <m/>
    <m/>
    <n v="57.38"/>
    <m/>
    <n v="344.28"/>
  </r>
  <r>
    <n v="2"/>
    <x v="2"/>
    <x v="0"/>
    <n v="153657"/>
    <s v="BENITEZ LEONARDO RAMON"/>
    <s v="20-36457404-6"/>
    <d v="2016-03-07T00:00:00"/>
    <n v="36457404"/>
    <s v="BENITEZ"/>
    <s v="LEONARDO RAMON"/>
    <s v="M"/>
    <m/>
    <d v="2016-02-15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2"/>
    <n v="1"/>
    <n v="7401.4"/>
    <n v="1480.28"/>
    <m/>
    <m/>
    <n v="5921.12"/>
    <m/>
    <n v="148.03"/>
    <m/>
    <m/>
    <m/>
    <m/>
    <m/>
    <m/>
    <n v="74.02"/>
    <m/>
    <m/>
    <m/>
    <m/>
    <m/>
    <m/>
    <n v="148.03"/>
    <m/>
    <m/>
    <m/>
    <m/>
    <m/>
    <m/>
    <m/>
    <n v="74.02"/>
    <m/>
    <n v="444.1"/>
  </r>
  <r>
    <n v="2"/>
    <x v="2"/>
    <x v="0"/>
    <n v="163463"/>
    <s v="BERDEJA ARENAS CARLA SOLEDAD"/>
    <s v="23-38008990-4"/>
    <d v="2016-03-07T00:00:00"/>
    <n v="38008990"/>
    <s v="BERDEJA ARENAS"/>
    <s v="CARLA SOLEDAD"/>
    <s v="F"/>
    <m/>
    <d v="2015-12-11T00:00:00"/>
    <m/>
    <m/>
    <s v="GASTRONOMICOS-Hoteles 4 y 5 Estrellas - 362/2003"/>
    <s v="Categoria 6"/>
    <x v="4"/>
    <s v="Unidad Base-GL"/>
    <s v="Centro"/>
    <s v="Tareas Generales"/>
    <n v="108803"/>
    <s v="O.S.P.Gastronomico"/>
    <s v="Capital Federal"/>
    <m/>
    <n v="1004"/>
    <s v="ENTRE RIOS"/>
    <n v="474"/>
    <m/>
    <m/>
    <s v="CAPITAL FEDERAL"/>
    <s v="Buenos Aires"/>
    <m/>
    <s v="U.O.Centro"/>
    <m/>
    <n v="1"/>
    <n v="1"/>
    <n v="1482.72"/>
    <n v="296.54000000000002"/>
    <m/>
    <m/>
    <n v="1186.18"/>
    <m/>
    <n v="29.65"/>
    <m/>
    <m/>
    <m/>
    <m/>
    <m/>
    <m/>
    <n v="14.83"/>
    <m/>
    <m/>
    <m/>
    <m/>
    <m/>
    <m/>
    <n v="29.65"/>
    <m/>
    <m/>
    <m/>
    <m/>
    <m/>
    <m/>
    <m/>
    <n v="14.83"/>
    <m/>
    <n v="88.96"/>
  </r>
  <r>
    <n v="2"/>
    <x v="2"/>
    <x v="0"/>
    <n v="161236"/>
    <s v="BRIZUELA DUARTE ESTHER"/>
    <s v="27-94425030-7"/>
    <d v="2016-03-07T00:00:00"/>
    <n v="94425030"/>
    <s v="BRIZUELA DUARTE"/>
    <s v="ESTHER"/>
    <s v="F"/>
    <m/>
    <d v="2015-12-0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AVENIDA ESPAÑA"/>
    <n v="1225"/>
    <m/>
    <m/>
    <s v="CAPITAL FEDERAL"/>
    <s v="Buenos Aires"/>
    <m/>
    <s v="U.O.Centro"/>
    <m/>
    <n v="2"/>
    <n v="1"/>
    <n v="6691.28"/>
    <n v="1338.26"/>
    <m/>
    <m/>
    <n v="5353.02"/>
    <m/>
    <n v="133.83000000000001"/>
    <m/>
    <m/>
    <m/>
    <m/>
    <m/>
    <m/>
    <n v="66.91"/>
    <m/>
    <m/>
    <m/>
    <m/>
    <m/>
    <m/>
    <n v="133.83000000000001"/>
    <m/>
    <m/>
    <m/>
    <m/>
    <m/>
    <m/>
    <m/>
    <n v="66.91"/>
    <m/>
    <n v="401.48"/>
  </r>
  <r>
    <n v="2"/>
    <x v="2"/>
    <x v="0"/>
    <n v="162608"/>
    <s v="BURGOS DAISY ELENA"/>
    <s v="27-95255547-8"/>
    <d v="2016-03-07T00:00:00"/>
    <n v="95255547"/>
    <s v="BURGOS"/>
    <s v="DAISY ELENA"/>
    <s v="F"/>
    <m/>
    <d v="2016-02-18T00:00:00"/>
    <m/>
    <m/>
    <s v="GASTRONOMICOS-Hoteles 4 y 5 Estrellas - 362/2003"/>
    <s v="Categoría 4"/>
    <x v="4"/>
    <s v="Unidad Base-GL"/>
    <s v="Centro"/>
    <s v="Tareas Generales"/>
    <n v="108803"/>
    <s v="O.S.P.Gastronomico"/>
    <s v="Capital Federal"/>
    <m/>
    <n v="1004"/>
    <s v="IRIARTE"/>
    <n v="474"/>
    <m/>
    <m/>
    <s v="CAPITAL FEDERAL"/>
    <s v="Buenos Aires"/>
    <m/>
    <s v="U.O.Centro"/>
    <m/>
    <n v="1"/>
    <n v="1"/>
    <n v="3552.31"/>
    <n v="710.46"/>
    <m/>
    <m/>
    <n v="2841.85"/>
    <m/>
    <n v="71.05"/>
    <m/>
    <m/>
    <m/>
    <m/>
    <m/>
    <m/>
    <n v="35.520000000000003"/>
    <m/>
    <m/>
    <m/>
    <m/>
    <m/>
    <m/>
    <n v="71.05"/>
    <m/>
    <m/>
    <m/>
    <m/>
    <m/>
    <m/>
    <m/>
    <n v="35.520000000000003"/>
    <m/>
    <n v="213.14"/>
  </r>
  <r>
    <n v="2"/>
    <x v="2"/>
    <x v="0"/>
    <n v="164254"/>
    <s v="BUSTILLO MARIANO"/>
    <s v="20-26096743-7"/>
    <d v="2016-03-07T00:00:00"/>
    <n v="26096743"/>
    <s v="BUSTILLO"/>
    <s v="MARIANO"/>
    <s v="M"/>
    <m/>
    <d v="2015-12-31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CORDOBA"/>
    <n v="1232"/>
    <n v="11"/>
    <s v="C"/>
    <s v="CAPITAL FEDERAL"/>
    <s v="Buenos Aires"/>
    <m/>
    <s v="U.O.Centro"/>
    <s v="Camareros Por Hora"/>
    <n v="1"/>
    <n v="1"/>
    <n v="668.54"/>
    <n v="133.72"/>
    <m/>
    <m/>
    <n v="534.82000000000005"/>
    <m/>
    <n v="13.37"/>
    <m/>
    <m/>
    <m/>
    <m/>
    <m/>
    <m/>
    <n v="6.69"/>
    <m/>
    <m/>
    <m/>
    <m/>
    <m/>
    <m/>
    <n v="13.37"/>
    <m/>
    <m/>
    <m/>
    <m/>
    <m/>
    <m/>
    <m/>
    <n v="6.69"/>
    <m/>
    <n v="40.119999999999997"/>
  </r>
  <r>
    <n v="2"/>
    <x v="2"/>
    <x v="0"/>
    <n v="169320"/>
    <s v="CABAÑA MACARENA"/>
    <s v="27-38400897-1"/>
    <d v="2016-03-07T00:00:00"/>
    <n v="38400897"/>
    <s v="CABAÑA"/>
    <s v="MACARENA"/>
    <s v="F"/>
    <m/>
    <d v="2016-02-29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n v="1022"/>
    <s v="CUBA"/>
    <n v="181"/>
    <m/>
    <m/>
    <s v="CAPITAL FEDERAL"/>
    <s v="Capital Federal"/>
    <m/>
    <s v="U.O.Centro"/>
    <m/>
    <n v="1"/>
    <n v="1"/>
    <n v="523.9"/>
    <n v="104.79"/>
    <m/>
    <m/>
    <n v="419.11"/>
    <m/>
    <n v="10.48"/>
    <m/>
    <m/>
    <m/>
    <m/>
    <m/>
    <m/>
    <n v="5.24"/>
    <m/>
    <m/>
    <m/>
    <m/>
    <m/>
    <m/>
    <n v="10.48"/>
    <m/>
    <m/>
    <m/>
    <m/>
    <m/>
    <m/>
    <m/>
    <n v="5.24"/>
    <m/>
    <n v="31.44"/>
  </r>
  <r>
    <n v="2"/>
    <x v="2"/>
    <x v="0"/>
    <n v="161580"/>
    <s v="CAEIRO MAURO ALBERTO"/>
    <s v="20-30431921-7"/>
    <d v="2016-03-07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2"/>
    <n v="1"/>
    <n v="7521.27"/>
    <n v="1504.26"/>
    <m/>
    <m/>
    <n v="6017.01"/>
    <m/>
    <n v="150.41999999999999"/>
    <m/>
    <m/>
    <m/>
    <m/>
    <m/>
    <m/>
    <n v="75.22"/>
    <m/>
    <m/>
    <m/>
    <m/>
    <m/>
    <m/>
    <n v="150.41999999999999"/>
    <m/>
    <m/>
    <m/>
    <m/>
    <m/>
    <m/>
    <m/>
    <n v="75.22"/>
    <m/>
    <n v="451.28"/>
  </r>
  <r>
    <n v="2"/>
    <x v="2"/>
    <x v="0"/>
    <n v="163383"/>
    <s v="CAÑETE SHEILA YAMILA"/>
    <s v="27-35905597-3"/>
    <d v="2016-03-07T00:00:00"/>
    <n v="35905597"/>
    <s v="CAÑETE"/>
    <s v="SHEILA YAMILA"/>
    <s v="F"/>
    <m/>
    <d v="2015-12-0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ACHABAL RODRIGUEZ"/>
    <n v="1225"/>
    <m/>
    <m/>
    <s v="CAPITAL FEDERAL"/>
    <s v="Buenos Aires"/>
    <m/>
    <s v="U.O.Centro"/>
    <m/>
    <n v="2"/>
    <n v="1"/>
    <n v="4632.43"/>
    <n v="926.5"/>
    <m/>
    <m/>
    <n v="3705.93"/>
    <m/>
    <n v="92.65"/>
    <m/>
    <m/>
    <m/>
    <m/>
    <m/>
    <m/>
    <n v="46.33"/>
    <m/>
    <m/>
    <m/>
    <m/>
    <m/>
    <m/>
    <n v="92.65"/>
    <m/>
    <m/>
    <m/>
    <m/>
    <m/>
    <m/>
    <m/>
    <n v="46.33"/>
    <m/>
    <n v="277.95999999999998"/>
  </r>
  <r>
    <n v="2"/>
    <x v="2"/>
    <x v="0"/>
    <n v="115106"/>
    <s v="CARDOZO ANALIA NOEMI"/>
    <s v="27-21934196-8"/>
    <d v="2016-03-07T00:00:00"/>
    <n v="21934196"/>
    <s v="CARDOZO"/>
    <s v="ANALIA NOEMI"/>
    <s v="F"/>
    <m/>
    <d v="2013-09-21T00:00:00"/>
    <m/>
    <m/>
    <s v="GASTRONOMICOS-Hoteles 4 y 5 Estrellas - 362/2003"/>
    <s v="Categoria 6"/>
    <x v="2"/>
    <s v="Unidad Principal"/>
    <s v="Centro"/>
    <s v="Mucama"/>
    <n v="108803"/>
    <s v="O.S.P.Gastronomico"/>
    <s v="Capital Federal"/>
    <m/>
    <n v="1008"/>
    <s v="MANZANA 2 TORRE D2"/>
    <n v="948"/>
    <s v="A"/>
    <m/>
    <s v="CAPITAL FEDERAL"/>
    <s v="Capital Federal"/>
    <m/>
    <s v="U.O.Centro"/>
    <m/>
    <n v="3"/>
    <n v="1"/>
    <n v="10419.469999999999"/>
    <n v="2083.91"/>
    <m/>
    <m/>
    <n v="8335.56"/>
    <m/>
    <n v="208.38"/>
    <m/>
    <m/>
    <m/>
    <m/>
    <m/>
    <m/>
    <n v="104.2"/>
    <m/>
    <m/>
    <m/>
    <m/>
    <m/>
    <m/>
    <n v="208.38"/>
    <m/>
    <m/>
    <m/>
    <m/>
    <m/>
    <m/>
    <m/>
    <n v="104.2"/>
    <m/>
    <n v="625.16"/>
  </r>
  <r>
    <n v="2"/>
    <x v="2"/>
    <x v="1"/>
    <n v="169018"/>
    <s v="CASTILLO FIAMMA GIMENA"/>
    <s v="27-38009061-4"/>
    <d v="2016-03-01T00:00:00"/>
    <n v="38009061"/>
    <s v="CASTILLO"/>
    <s v="FIAMMA GIME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HUMBERTO PRIMO"/>
    <n v="764"/>
    <m/>
    <m/>
    <s v="CAPITAL FEDERAL"/>
    <s v="Capital Federal"/>
    <m/>
    <s v="U.O.Centro"/>
    <m/>
    <n v="1"/>
    <n v="1"/>
    <n v="308.83999999999997"/>
    <n v="61.78"/>
    <m/>
    <m/>
    <n v="247.06"/>
    <m/>
    <n v="6.18"/>
    <m/>
    <m/>
    <m/>
    <m/>
    <m/>
    <m/>
    <n v="3.09"/>
    <m/>
    <m/>
    <m/>
    <m/>
    <m/>
    <m/>
    <n v="6.18"/>
    <m/>
    <m/>
    <m/>
    <m/>
    <m/>
    <m/>
    <m/>
    <n v="3.09"/>
    <m/>
    <n v="18.54"/>
  </r>
  <r>
    <n v="2"/>
    <x v="2"/>
    <x v="0"/>
    <n v="163460"/>
    <s v="CASTRO JUAN MANUEL"/>
    <s v="20-34103204-1"/>
    <d v="2016-03-07T00:00:00"/>
    <n v="34103204"/>
    <s v="CASTRO"/>
    <s v="JUAN MANUEL"/>
    <s v="M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CONDARCO"/>
    <n v="1005"/>
    <m/>
    <m/>
    <s v="CAPITAL FEDERAL"/>
    <s v="Capital Federal"/>
    <m/>
    <s v="U.O.Centro"/>
    <m/>
    <n v="2"/>
    <n v="1"/>
    <n v="477.33"/>
    <n v="95.46"/>
    <m/>
    <m/>
    <n v="381.87"/>
    <m/>
    <n v="9.5399999999999991"/>
    <m/>
    <m/>
    <m/>
    <m/>
    <m/>
    <m/>
    <n v="4.7699999999999996"/>
    <m/>
    <m/>
    <m/>
    <m/>
    <m/>
    <m/>
    <n v="9.5399999999999991"/>
    <m/>
    <m/>
    <m/>
    <m/>
    <m/>
    <m/>
    <m/>
    <n v="4.7699999999999996"/>
    <m/>
    <n v="28.62"/>
  </r>
  <r>
    <n v="2"/>
    <x v="2"/>
    <x v="0"/>
    <n v="144180"/>
    <s v="CATALAN CRISTINA DEL CARMEN"/>
    <s v="27-31138041-4"/>
    <d v="2016-03-07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Mucama Por Hora"/>
    <n v="2"/>
    <n v="1"/>
    <n v="16265.26"/>
    <n v="3253.06"/>
    <m/>
    <m/>
    <n v="13012.2"/>
    <m/>
    <n v="325.31"/>
    <m/>
    <m/>
    <m/>
    <m/>
    <m/>
    <m/>
    <n v="162.65"/>
    <m/>
    <m/>
    <m/>
    <m/>
    <m/>
    <m/>
    <n v="325.31"/>
    <m/>
    <m/>
    <m/>
    <m/>
    <m/>
    <m/>
    <m/>
    <n v="162.65"/>
    <m/>
    <n v="975.92"/>
  </r>
  <r>
    <n v="2"/>
    <x v="2"/>
    <x v="0"/>
    <n v="158525"/>
    <s v="CELIBERTI YESICA ROMINA"/>
    <s v="27-35202883-0"/>
    <d v="2016-03-07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Mucama Por Hora"/>
    <n v="1"/>
    <n v="1"/>
    <n v="11799.08"/>
    <n v="2418.81"/>
    <m/>
    <m/>
    <n v="9380.27"/>
    <n v="294.98"/>
    <m/>
    <m/>
    <m/>
    <m/>
    <m/>
    <m/>
    <m/>
    <n v="117.99"/>
    <m/>
    <m/>
    <m/>
    <m/>
    <m/>
    <m/>
    <n v="235.98"/>
    <m/>
    <m/>
    <m/>
    <m/>
    <m/>
    <m/>
    <m/>
    <n v="117.99"/>
    <m/>
    <n v="766.94"/>
  </r>
  <r>
    <n v="2"/>
    <x v="2"/>
    <x v="0"/>
    <n v="162434"/>
    <s v="CENTURION NORMA BEATRIZ"/>
    <s v="27-27888691-9"/>
    <d v="2016-03-07T00:00:00"/>
    <n v="27888691"/>
    <s v="CENTURION"/>
    <s v="NORMA BEATRIZ"/>
    <s v="F"/>
    <m/>
    <d v="2016-02-28T00:00:00"/>
    <m/>
    <m/>
    <s v="GASTRONOMICOS-Hoteles 4 y 5 Estrellas - 362/2003"/>
    <s v="Categoría 4"/>
    <x v="4"/>
    <s v="Unidad Base-GL"/>
    <s v="Centro"/>
    <s v="Tareas Generales"/>
    <n v="108803"/>
    <s v="O.S.P.Gastronomico"/>
    <s v="Capital Federal"/>
    <m/>
    <n v="1004"/>
    <s v="CHASCOMUS"/>
    <n v="474"/>
    <m/>
    <m/>
    <s v="CAPITAL FEDERAL"/>
    <s v="Buenos Aires"/>
    <m/>
    <s v="U.O.Centro"/>
    <m/>
    <n v="1"/>
    <n v="1"/>
    <n v="222.02"/>
    <n v="44.4"/>
    <m/>
    <m/>
    <n v="177.62"/>
    <m/>
    <n v="4.4400000000000004"/>
    <m/>
    <m/>
    <m/>
    <m/>
    <m/>
    <m/>
    <n v="2.2200000000000002"/>
    <m/>
    <m/>
    <m/>
    <m/>
    <m/>
    <m/>
    <n v="4.4400000000000004"/>
    <m/>
    <m/>
    <m/>
    <m/>
    <m/>
    <m/>
    <m/>
    <n v="2.2200000000000002"/>
    <m/>
    <n v="13.32"/>
  </r>
  <r>
    <n v="2"/>
    <x v="2"/>
    <x v="1"/>
    <n v="112977"/>
    <s v="CHACON NADIA DE LOS ANGELES"/>
    <s v="27-34151854-2"/>
    <d v="2016-03-07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16575.689999999999"/>
    <n v="3398.02"/>
    <m/>
    <m/>
    <n v="13177.67"/>
    <n v="414.39"/>
    <m/>
    <m/>
    <m/>
    <m/>
    <m/>
    <m/>
    <m/>
    <n v="165.76"/>
    <m/>
    <m/>
    <m/>
    <m/>
    <m/>
    <m/>
    <n v="331.51"/>
    <m/>
    <m/>
    <m/>
    <m/>
    <m/>
    <m/>
    <m/>
    <n v="165.76"/>
    <m/>
    <n v="1077.42"/>
  </r>
  <r>
    <n v="2"/>
    <x v="2"/>
    <x v="1"/>
    <n v="165990"/>
    <s v="CION BEATRIZ  LILIANA"/>
    <s v="27-24432411-3"/>
    <d v="2016-03-01T00:00:00"/>
    <n v="24432411"/>
    <s v="CION"/>
    <s v="BEATRIZ  LILIANA"/>
    <s v="F"/>
    <m/>
    <d v="2016-0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RODO"/>
    <n v="764"/>
    <m/>
    <m/>
    <s v="CAPITAL FEDERAL"/>
    <s v="Capital Federal"/>
    <m/>
    <s v="U.O.Centro"/>
    <m/>
    <n v="1"/>
    <n v="1"/>
    <n v="4401.16"/>
    <n v="880.22"/>
    <m/>
    <m/>
    <n v="3520.94"/>
    <m/>
    <n v="88.02"/>
    <m/>
    <m/>
    <m/>
    <m/>
    <m/>
    <m/>
    <n v="44.01"/>
    <m/>
    <m/>
    <m/>
    <m/>
    <m/>
    <m/>
    <n v="88.02"/>
    <m/>
    <m/>
    <m/>
    <m/>
    <m/>
    <m/>
    <m/>
    <n v="44.01"/>
    <m/>
    <n v="264.06"/>
  </r>
  <r>
    <n v="2"/>
    <x v="2"/>
    <x v="1"/>
    <n v="164608"/>
    <s v="CLERICCETTI ANALIA BELEN"/>
    <s v="27-35139027-7"/>
    <d v="2016-03-01T00:00:00"/>
    <n v="35139027"/>
    <s v="CLERICCETTI"/>
    <s v="ANALIA BELEN"/>
    <s v="F"/>
    <m/>
    <d v="2015-12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MENDOZA"/>
    <n v="764"/>
    <m/>
    <m/>
    <s v="CAPITAL FEDERAL"/>
    <s v="Capital Federal"/>
    <m/>
    <s v="U.O.Centro"/>
    <m/>
    <n v="1"/>
    <n v="1"/>
    <n v="8183.73"/>
    <n v="1636.74"/>
    <m/>
    <m/>
    <n v="6546.99"/>
    <m/>
    <n v="163.66999999999999"/>
    <m/>
    <m/>
    <m/>
    <m/>
    <m/>
    <m/>
    <n v="81.84"/>
    <m/>
    <m/>
    <m/>
    <m/>
    <m/>
    <m/>
    <n v="163.66999999999999"/>
    <m/>
    <m/>
    <m/>
    <m/>
    <m/>
    <m/>
    <m/>
    <n v="81.84"/>
    <m/>
    <n v="491.02"/>
  </r>
  <r>
    <n v="2"/>
    <x v="2"/>
    <x v="0"/>
    <n v="148946"/>
    <s v="COSTILLA LUCA IVAN EMMANUEL"/>
    <s v="20-37993495-2"/>
    <d v="2016-03-07T00:00:00"/>
    <n v="37993495"/>
    <s v="COSTILLA LUCA"/>
    <s v="IVAN EMMANUEL"/>
    <s v="M"/>
    <m/>
    <d v="2015-08-0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ASTILLO"/>
    <n v="1005"/>
    <n v="2"/>
    <s v="B"/>
    <s v="CAPITAL FEDERAL"/>
    <s v="Capital Federal"/>
    <m/>
    <s v="U.O.Centro"/>
    <m/>
    <n v="2"/>
    <n v="1"/>
    <n v="737.69"/>
    <n v="147.54"/>
    <m/>
    <m/>
    <n v="590.15"/>
    <m/>
    <n v="14.75"/>
    <m/>
    <m/>
    <m/>
    <m/>
    <m/>
    <m/>
    <n v="7.38"/>
    <m/>
    <m/>
    <m/>
    <m/>
    <m/>
    <m/>
    <n v="14.75"/>
    <m/>
    <m/>
    <m/>
    <m/>
    <m/>
    <m/>
    <m/>
    <n v="7.38"/>
    <m/>
    <n v="44.26"/>
  </r>
  <r>
    <n v="2"/>
    <x v="2"/>
    <x v="0"/>
    <n v="162205"/>
    <s v="DOMINGUEZ CABRERA CESAR FERNANDO"/>
    <s v="23-95304555-9"/>
    <d v="2016-03-07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2"/>
    <n v="1"/>
    <n v="8324.5499999999993"/>
    <n v="1664.89"/>
    <m/>
    <m/>
    <n v="6659.66"/>
    <m/>
    <n v="166.49"/>
    <m/>
    <m/>
    <m/>
    <m/>
    <m/>
    <m/>
    <n v="83.24"/>
    <m/>
    <m/>
    <m/>
    <m/>
    <m/>
    <m/>
    <n v="166.49"/>
    <m/>
    <m/>
    <m/>
    <m/>
    <m/>
    <m/>
    <m/>
    <n v="83.24"/>
    <m/>
    <n v="499.46"/>
  </r>
  <r>
    <n v="2"/>
    <x v="2"/>
    <x v="0"/>
    <n v="166685"/>
    <s v="DUARTE PICO EVA CLARINA"/>
    <s v="27-94661310-5"/>
    <d v="2016-03-01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2533.48"/>
    <n v="2506.6799999999998"/>
    <m/>
    <m/>
    <n v="10026.799999999999"/>
    <m/>
    <n v="250.67"/>
    <m/>
    <m/>
    <m/>
    <m/>
    <m/>
    <m/>
    <n v="125.33"/>
    <m/>
    <m/>
    <m/>
    <m/>
    <m/>
    <m/>
    <n v="250.67"/>
    <m/>
    <m/>
    <m/>
    <m/>
    <m/>
    <m/>
    <m/>
    <n v="125.33"/>
    <m/>
    <n v="752"/>
  </r>
  <r>
    <n v="2"/>
    <x v="2"/>
    <x v="1"/>
    <n v="167729"/>
    <s v="ESPINDOLA FABIAN ARIEL"/>
    <s v="20-33899026-0"/>
    <d v="2016-03-07T00:00:00"/>
    <n v="33899026"/>
    <s v="ESPINDOLA"/>
    <s v="FABIAN ARIEL"/>
    <s v="M"/>
    <m/>
    <d v="2016-02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AGUERO"/>
    <n v="1584"/>
    <m/>
    <m/>
    <s v="CAPITAL FEDERAL"/>
    <s v="Capital Federal"/>
    <m/>
    <s v="U.O.Centro"/>
    <s v="Alvear Palace"/>
    <n v="2"/>
    <n v="1"/>
    <n v="3419.5"/>
    <n v="718.72"/>
    <m/>
    <n v="1319.34"/>
    <n v="4020.12"/>
    <m/>
    <n v="91.6"/>
    <m/>
    <m/>
    <m/>
    <m/>
    <m/>
    <m/>
    <n v="45.8"/>
    <m/>
    <m/>
    <m/>
    <m/>
    <m/>
    <m/>
    <n v="68.39"/>
    <n v="39.72"/>
    <n v="39.72"/>
    <m/>
    <m/>
    <m/>
    <m/>
    <m/>
    <n v="20.91"/>
    <m/>
    <n v="306.14"/>
  </r>
  <r>
    <n v="2"/>
    <x v="2"/>
    <x v="1"/>
    <n v="168279"/>
    <s v="ESPOSITO SERGIO DANIEL"/>
    <s v="20-27215970-0"/>
    <d v="2016-03-01T00:00:00"/>
    <n v="27215970"/>
    <s v="ESPOSITO"/>
    <s v="SERGIO DANIEL"/>
    <s v="M"/>
    <m/>
    <d v="2016-01-3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JO LAS CATONAS"/>
    <n v="764"/>
    <s v="B"/>
    <n v="6"/>
    <s v="CAPITAL FEDERAL"/>
    <s v="Capital Federal"/>
    <m/>
    <s v="U.O.Centro"/>
    <m/>
    <n v="1"/>
    <n v="1"/>
    <n v="14251.05"/>
    <n v="2850.21"/>
    <m/>
    <m/>
    <n v="11400.84"/>
    <m/>
    <n v="285.02"/>
    <m/>
    <m/>
    <m/>
    <m/>
    <m/>
    <m/>
    <n v="142.51"/>
    <m/>
    <m/>
    <m/>
    <m/>
    <m/>
    <m/>
    <n v="285.02"/>
    <m/>
    <m/>
    <m/>
    <m/>
    <m/>
    <m/>
    <m/>
    <n v="142.51"/>
    <m/>
    <n v="855.06"/>
  </r>
  <r>
    <n v="2"/>
    <x v="2"/>
    <x v="0"/>
    <n v="138787"/>
    <s v="FERNANDEZ CLAUDIA"/>
    <s v="27-23472256-0"/>
    <d v="2016-03-07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Mucama por Jornada"/>
    <n v="1"/>
    <n v="1"/>
    <n v="16113.88"/>
    <n v="3222.79"/>
    <m/>
    <m/>
    <n v="12891.09"/>
    <m/>
    <n v="322.27999999999997"/>
    <m/>
    <m/>
    <m/>
    <m/>
    <m/>
    <m/>
    <n v="161.13999999999999"/>
    <m/>
    <m/>
    <m/>
    <m/>
    <m/>
    <m/>
    <n v="322.27999999999997"/>
    <m/>
    <m/>
    <m/>
    <m/>
    <m/>
    <m/>
    <m/>
    <n v="161.13999999999999"/>
    <m/>
    <n v="966.84"/>
  </r>
  <r>
    <n v="2"/>
    <x v="2"/>
    <x v="1"/>
    <n v="162823"/>
    <s v="FORETIC IVANA"/>
    <s v="27-36930073-9"/>
    <d v="2016-03-01T00:00:00"/>
    <n v="36930073"/>
    <s v="FORETIC"/>
    <s v="IVANA"/>
    <s v="F"/>
    <m/>
    <d v="2015-12-03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RIVADAVIA"/>
    <n v="764"/>
    <m/>
    <m/>
    <s v="CAPITAL FEDERAL"/>
    <s v="Capital Federal"/>
    <m/>
    <s v="U.O.Centro"/>
    <m/>
    <n v="1"/>
    <n v="1"/>
    <n v="6165.83"/>
    <n v="1233.1600000000001"/>
    <m/>
    <m/>
    <n v="4932.67"/>
    <m/>
    <n v="123.32"/>
    <m/>
    <m/>
    <m/>
    <m/>
    <m/>
    <m/>
    <n v="61.66"/>
    <m/>
    <m/>
    <m/>
    <m/>
    <m/>
    <m/>
    <n v="123.32"/>
    <m/>
    <m/>
    <m/>
    <m/>
    <m/>
    <m/>
    <m/>
    <n v="61.66"/>
    <m/>
    <n v="369.96"/>
  </r>
  <r>
    <n v="2"/>
    <x v="2"/>
    <x v="0"/>
    <n v="162182"/>
    <s v="GABRIEL ERIKA"/>
    <s v="27-95479774-6"/>
    <d v="2016-02-22T00:00:00"/>
    <n v="95479774"/>
    <s v="GABRIEL"/>
    <s v="ERIKA"/>
    <s v="F"/>
    <m/>
    <d v="2015-12-04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BARTOLOME MITRE"/>
    <n v="1225"/>
    <n v="3"/>
    <n v="9"/>
    <s v="CAPITAL FEDERAL"/>
    <s v="Buenos Aires"/>
    <m/>
    <s v="U.O.Centro"/>
    <m/>
    <n v="1"/>
    <n v="1"/>
    <n v="376.07"/>
    <n v="75.209999999999994"/>
    <m/>
    <m/>
    <n v="300.86"/>
    <m/>
    <n v="7.52"/>
    <m/>
    <m/>
    <m/>
    <m/>
    <m/>
    <m/>
    <n v="3.76"/>
    <m/>
    <m/>
    <m/>
    <m/>
    <m/>
    <m/>
    <n v="7.52"/>
    <m/>
    <m/>
    <m/>
    <m/>
    <m/>
    <m/>
    <m/>
    <n v="3.76"/>
    <m/>
    <n v="22.56"/>
  </r>
  <r>
    <n v="2"/>
    <x v="2"/>
    <x v="1"/>
    <n v="65418"/>
    <s v="GARAY ANGEL FAUSTINO"/>
    <s v="20-27725694-1"/>
    <d v="2016-03-07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2"/>
    <n v="1"/>
    <n v="15286.85"/>
    <n v="3133.78"/>
    <m/>
    <m/>
    <n v="12153.07"/>
    <n v="382.17"/>
    <m/>
    <m/>
    <m/>
    <m/>
    <m/>
    <m/>
    <m/>
    <n v="152.86000000000001"/>
    <m/>
    <m/>
    <m/>
    <m/>
    <m/>
    <m/>
    <n v="305.74"/>
    <m/>
    <m/>
    <m/>
    <m/>
    <m/>
    <m/>
    <m/>
    <n v="152.86000000000001"/>
    <m/>
    <n v="993.63"/>
  </r>
  <r>
    <n v="2"/>
    <x v="2"/>
    <x v="0"/>
    <n v="160167"/>
    <s v="GARCIA GRACIELA SUSANA"/>
    <s v="27-28071456-4"/>
    <d v="2016-03-07T00:00:00"/>
    <n v="28071456"/>
    <s v="GARCIA"/>
    <s v="GRACIELA SUSANA"/>
    <s v="F"/>
    <m/>
    <d v="2015-10-28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GARZON"/>
    <n v="1232"/>
    <m/>
    <m/>
    <s v="CAPITAL FEDERAL"/>
    <s v="Buenos Aires"/>
    <m/>
    <s v="U.O.Centro"/>
    <s v="Camareros Por Hora"/>
    <n v="1"/>
    <n v="1"/>
    <n v="584.97"/>
    <n v="117"/>
    <m/>
    <m/>
    <n v="467.97"/>
    <m/>
    <n v="11.7"/>
    <m/>
    <m/>
    <m/>
    <m/>
    <m/>
    <m/>
    <n v="5.85"/>
    <m/>
    <m/>
    <m/>
    <m/>
    <m/>
    <m/>
    <n v="11.7"/>
    <m/>
    <m/>
    <m/>
    <m/>
    <m/>
    <m/>
    <m/>
    <n v="5.85"/>
    <m/>
    <n v="35.1"/>
  </r>
  <r>
    <n v="2"/>
    <x v="2"/>
    <x v="1"/>
    <n v="168293"/>
    <s v="GARCIA ROMINA VIVIANA"/>
    <s v="27-28027637-0"/>
    <d v="2016-03-07T00:00:00"/>
    <n v="28027637"/>
    <s v="GARCIA"/>
    <s v="ROMINA VIVIANA"/>
    <s v="F"/>
    <m/>
    <d v="2016-02-14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CAMPICHUELO"/>
    <n v="1891"/>
    <m/>
    <m/>
    <s v="CAPITAL FEDERAL"/>
    <s v="Capital Federal"/>
    <m/>
    <s v="U.O.Centro"/>
    <s v="Alvear Palace"/>
    <n v="2"/>
    <n v="1"/>
    <n v="9387.0300000000007"/>
    <n v="1877.4"/>
    <m/>
    <m/>
    <n v="7509.63"/>
    <m/>
    <n v="187.74"/>
    <m/>
    <m/>
    <m/>
    <m/>
    <m/>
    <m/>
    <n v="93.87"/>
    <m/>
    <m/>
    <m/>
    <m/>
    <m/>
    <m/>
    <n v="187.74"/>
    <m/>
    <m/>
    <m/>
    <m/>
    <m/>
    <m/>
    <m/>
    <n v="93.87"/>
    <m/>
    <n v="563.22"/>
  </r>
  <r>
    <n v="2"/>
    <x v="2"/>
    <x v="0"/>
    <n v="164235"/>
    <s v="GAUTO ALVAREZ BEATRIZ"/>
    <s v="27-94488727-5"/>
    <d v="2016-03-07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Mucama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n v="10546.02"/>
    <n v="2109.1999999999998"/>
    <m/>
    <m/>
    <n v="8436.82"/>
    <m/>
    <n v="210.92"/>
    <m/>
    <m/>
    <m/>
    <m/>
    <m/>
    <m/>
    <n v="105.46"/>
    <m/>
    <m/>
    <m/>
    <m/>
    <m/>
    <m/>
    <n v="210.92"/>
    <m/>
    <m/>
    <m/>
    <m/>
    <m/>
    <m/>
    <m/>
    <n v="105.46"/>
    <m/>
    <n v="632.76"/>
  </r>
  <r>
    <n v="2"/>
    <x v="2"/>
    <x v="0"/>
    <n v="152412"/>
    <s v="GOMEZ CRISTIAN DARIO"/>
    <s v="20-36484994-0"/>
    <d v="2016-02-29T00:00:00"/>
    <n v="36484994"/>
    <s v="GOMEZ"/>
    <s v="CRISTIAN DARIO"/>
    <s v="M"/>
    <m/>
    <d v="2015-06-11T00:00:00"/>
    <d v="2016-01-25T00:00:00"/>
    <d v="2016-01-25T00:00:00"/>
    <s v="GASTRONOMICOS-Hoteles 4 y 5 Estrellas - 362/2003"/>
    <s v="Categoría 4"/>
    <x v="3"/>
    <s v="Unidad Principal"/>
    <s v="Centro"/>
    <s v="Tareas Generales"/>
    <n v="119203"/>
    <s v="OS  DE RELOJEROS Y JOYEROS"/>
    <s v="Capital Federal"/>
    <m/>
    <n v="1002"/>
    <s v="GENERAL MANSILLA"/>
    <n v="764"/>
    <m/>
    <m/>
    <s v="CAPITAL FEDERAL"/>
    <s v="Capital Federal"/>
    <m/>
    <s v="U.O.Avellaneda"/>
    <m/>
    <n v="1"/>
    <n v="1"/>
    <n v="1310.4000000000001"/>
    <n v="262.07"/>
    <m/>
    <n v="2675.47"/>
    <n v="3723.8"/>
    <m/>
    <n v="26.21"/>
    <m/>
    <m/>
    <m/>
    <m/>
    <m/>
    <m/>
    <n v="13.1"/>
    <m/>
    <m/>
    <m/>
    <m/>
    <m/>
    <m/>
    <n v="26.21"/>
    <m/>
    <m/>
    <m/>
    <m/>
    <m/>
    <m/>
    <m/>
    <n v="13.1"/>
    <m/>
    <n v="78.62"/>
  </r>
  <r>
    <n v="2"/>
    <x v="2"/>
    <x v="1"/>
    <n v="164986"/>
    <s v="GOMEZ MIGUEL ANGEL"/>
    <s v="20-40687394-4"/>
    <d v="2016-03-07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1"/>
    <n v="1"/>
    <n v="7345.42"/>
    <n v="1469.08"/>
    <m/>
    <m/>
    <n v="5876.34"/>
    <m/>
    <n v="146.91"/>
    <m/>
    <m/>
    <m/>
    <m/>
    <m/>
    <m/>
    <n v="73.45"/>
    <m/>
    <m/>
    <m/>
    <m/>
    <m/>
    <m/>
    <n v="146.91"/>
    <m/>
    <m/>
    <m/>
    <m/>
    <m/>
    <m/>
    <m/>
    <n v="73.45"/>
    <m/>
    <n v="440.72"/>
  </r>
  <r>
    <n v="2"/>
    <x v="2"/>
    <x v="0"/>
    <n v="165040"/>
    <s v="GOMEZ GARCIA RAUL ANDRES"/>
    <s v="20-34955035-1"/>
    <d v="2016-03-07T00:00:00"/>
    <n v="34955035"/>
    <s v="GOMEZ GARCIA"/>
    <s v="RAUL ANDRES"/>
    <s v="M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José Gola 6010 2º C"/>
    <n v="1232"/>
    <s v="2º"/>
    <s v="C"/>
    <s v="CAPITAL FEDERAL"/>
    <s v="Buenos Aires"/>
    <m/>
    <s v="U.O.Centro"/>
    <s v="Camareros Por Hora"/>
    <n v="1"/>
    <n v="1"/>
    <n v="1002.81"/>
    <n v="200.56"/>
    <m/>
    <m/>
    <n v="802.25"/>
    <m/>
    <n v="20.059999999999999"/>
    <m/>
    <m/>
    <m/>
    <m/>
    <m/>
    <m/>
    <n v="10.029999999999999"/>
    <m/>
    <m/>
    <m/>
    <m/>
    <m/>
    <m/>
    <n v="20.059999999999999"/>
    <m/>
    <m/>
    <m/>
    <m/>
    <m/>
    <m/>
    <m/>
    <n v="10.029999999999999"/>
    <m/>
    <n v="60.18"/>
  </r>
  <r>
    <n v="2"/>
    <x v="2"/>
    <x v="0"/>
    <n v="48107"/>
    <s v="GONZALEZ KARINA ELIZABETH"/>
    <s v="27-23467821-9"/>
    <d v="2016-03-07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14505"/>
    <s v="OS  DE PATRONES DE CABOTAJE DE RIOS Y PUERTOS"/>
    <s v="Capital Federal"/>
    <m/>
    <n v="1093"/>
    <s v="EL HORNERO"/>
    <n v="1232"/>
    <m/>
    <m/>
    <s v="CAPITAL FEDERAL"/>
    <s v="Buenos Aires"/>
    <m/>
    <s v="U.O.Centro"/>
    <s v="Mucama por Jornada"/>
    <n v="1"/>
    <n v="1"/>
    <n v="16113.88"/>
    <n v="3222.79"/>
    <m/>
    <m/>
    <n v="12891.09"/>
    <m/>
    <n v="322.27999999999997"/>
    <m/>
    <m/>
    <m/>
    <m/>
    <m/>
    <m/>
    <n v="161.13999999999999"/>
    <m/>
    <m/>
    <m/>
    <m/>
    <m/>
    <m/>
    <n v="322.27999999999997"/>
    <m/>
    <m/>
    <m/>
    <m/>
    <m/>
    <m/>
    <m/>
    <n v="161.13999999999999"/>
    <m/>
    <n v="966.84"/>
  </r>
  <r>
    <n v="2"/>
    <x v="2"/>
    <x v="1"/>
    <n v="164224"/>
    <s v="GONZALEZ SALOME NATALIA"/>
    <s v="27-35111714-7"/>
    <d v="2016-03-07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5939.13"/>
    <n v="1187.81"/>
    <m/>
    <m/>
    <n v="4751.32"/>
    <m/>
    <n v="118.78"/>
    <m/>
    <m/>
    <m/>
    <m/>
    <m/>
    <m/>
    <n v="59.39"/>
    <m/>
    <m/>
    <m/>
    <m/>
    <m/>
    <m/>
    <n v="118.78"/>
    <m/>
    <m/>
    <m/>
    <m/>
    <m/>
    <m/>
    <m/>
    <n v="59.39"/>
    <m/>
    <n v="356.34"/>
  </r>
  <r>
    <n v="2"/>
    <x v="2"/>
    <x v="1"/>
    <n v="136459"/>
    <s v="GONZALEZ VICTOR HUGO"/>
    <s v="20-37376573-3"/>
    <d v="2016-03-07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1"/>
    <n v="1"/>
    <n v="14995.51"/>
    <n v="2999.12"/>
    <m/>
    <m/>
    <n v="11996.39"/>
    <m/>
    <n v="299.91000000000003"/>
    <m/>
    <m/>
    <m/>
    <m/>
    <m/>
    <m/>
    <n v="149.96"/>
    <m/>
    <m/>
    <m/>
    <m/>
    <m/>
    <m/>
    <n v="299.91000000000003"/>
    <m/>
    <m/>
    <m/>
    <m/>
    <m/>
    <m/>
    <m/>
    <n v="149.96"/>
    <m/>
    <n v="899.74"/>
  </r>
  <r>
    <n v="2"/>
    <x v="2"/>
    <x v="1"/>
    <n v="160168"/>
    <s v="GOROSITO ORNELLA CECILIA"/>
    <s v="27-32738641-2"/>
    <d v="2016-03-01T00:00:00"/>
    <n v="32738641"/>
    <s v="GOROSITO"/>
    <s v="ORNELLA CECILIA"/>
    <s v="F"/>
    <m/>
    <d v="2016-01-05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J V GONZALEZ"/>
    <n v="764"/>
    <m/>
    <m/>
    <s v="CAPITAL FEDERAL"/>
    <s v="Capital Federal"/>
    <m/>
    <s v="U.O.Centro"/>
    <m/>
    <n v="1"/>
    <n v="1"/>
    <n v="1405.04"/>
    <n v="281"/>
    <m/>
    <m/>
    <n v="1124.04"/>
    <m/>
    <n v="28.1"/>
    <m/>
    <m/>
    <m/>
    <m/>
    <m/>
    <m/>
    <n v="14.05"/>
    <m/>
    <m/>
    <m/>
    <m/>
    <m/>
    <m/>
    <n v="28.1"/>
    <m/>
    <m/>
    <m/>
    <m/>
    <m/>
    <m/>
    <m/>
    <n v="14.05"/>
    <m/>
    <n v="84.3"/>
  </r>
  <r>
    <n v="2"/>
    <x v="2"/>
    <x v="0"/>
    <n v="138783"/>
    <s v="GROSSO KARINA LAURA"/>
    <s v="27-22492261-8"/>
    <d v="2016-03-07T00:00:00"/>
    <n v="22492261"/>
    <s v="GROSSO"/>
    <s v="KARINA LAURA"/>
    <s v="F"/>
    <m/>
    <d v="2014-12-01T00:00:00"/>
    <d v="2015-09-11T00:00:00"/>
    <d v="2015-09-11T00:00:00"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ECHAURRI"/>
    <n v="1232"/>
    <m/>
    <m/>
    <s v="CAPITAL FEDERAL"/>
    <s v="Buenos Aires"/>
    <m/>
    <s v="U.O.Centro"/>
    <s v="Mucama por Jornada"/>
    <n v="1"/>
    <n v="1"/>
    <m/>
    <m/>
    <m/>
    <n v="1981.67"/>
    <n v="1981.67"/>
    <m/>
    <m/>
    <m/>
    <m/>
    <m/>
    <m/>
    <m/>
    <m/>
    <m/>
    <m/>
    <m/>
    <m/>
    <m/>
    <m/>
    <m/>
    <m/>
    <m/>
    <m/>
    <m/>
    <m/>
    <m/>
    <m/>
    <m/>
    <m/>
    <m/>
    <m/>
  </r>
  <r>
    <n v="2"/>
    <x v="2"/>
    <x v="0"/>
    <n v="138788"/>
    <s v="GUIA VANESA DE LOS ANGELES"/>
    <s v="27-27988325-5"/>
    <d v="2016-03-07T00:00:00"/>
    <n v="27988325"/>
    <s v="GUIA"/>
    <s v="VANESA DE LOS ANGELES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GUAPEY"/>
    <n v="1232"/>
    <m/>
    <m/>
    <s v="CAPITAL FEDERAL"/>
    <s v="Buenos Aires"/>
    <m/>
    <s v="U.O.Centro"/>
    <s v="Mucama por Jornada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x v="2"/>
    <x v="0"/>
    <n v="162181"/>
    <s v="GUTIERREZ MAXIMILIANO FELIPE"/>
    <s v="20-34435965-3"/>
    <d v="2016-03-07T00:00:00"/>
    <n v="34435965"/>
    <s v="GUTIERREZ"/>
    <s v="MAXIMILIANO FELIPE"/>
    <s v="M"/>
    <m/>
    <d v="2015-11-25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JOSE INGENIEROS"/>
    <n v="1225"/>
    <m/>
    <m/>
    <s v="CAPITAL FEDERAL"/>
    <s v="Buenos Aires"/>
    <m/>
    <s v="U.O.Centro"/>
    <m/>
    <n v="2"/>
    <n v="1"/>
    <n v="8235.9"/>
    <n v="1647.19"/>
    <m/>
    <m/>
    <n v="6588.71"/>
    <m/>
    <n v="164.72"/>
    <m/>
    <m/>
    <m/>
    <m/>
    <m/>
    <m/>
    <n v="82.36"/>
    <m/>
    <m/>
    <m/>
    <m/>
    <m/>
    <m/>
    <n v="164.72"/>
    <m/>
    <m/>
    <m/>
    <m/>
    <m/>
    <m/>
    <m/>
    <n v="82.36"/>
    <m/>
    <n v="494.16"/>
  </r>
  <r>
    <n v="2"/>
    <x v="2"/>
    <x v="1"/>
    <n v="77136"/>
    <s v="HAURET BELTRAN"/>
    <s v="20-31675095-9"/>
    <d v="2016-03-07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2"/>
    <n v="1"/>
    <n v="21014.41"/>
    <n v="4202.88"/>
    <m/>
    <m/>
    <n v="16811.53"/>
    <m/>
    <n v="420.29"/>
    <m/>
    <m/>
    <m/>
    <m/>
    <m/>
    <m/>
    <n v="210.14"/>
    <m/>
    <m/>
    <m/>
    <m/>
    <m/>
    <m/>
    <n v="420.29"/>
    <m/>
    <m/>
    <m/>
    <m/>
    <m/>
    <m/>
    <m/>
    <n v="210.14"/>
    <m/>
    <n v="1260.8599999999999"/>
  </r>
  <r>
    <n v="2"/>
    <x v="2"/>
    <x v="0"/>
    <n v="157050"/>
    <s v="HERNANDEZ MARTA ISABEL"/>
    <s v="27-24789844-7"/>
    <d v="2016-03-07T00:00:00"/>
    <n v="24789844"/>
    <s v="HERNANDEZ"/>
    <s v="MARTA ISABEL"/>
    <s v="F"/>
    <m/>
    <d v="2015-10-01T00:00:00"/>
    <d v="2016-02-21T00:00:00"/>
    <m/>
    <s v="GASTRONOMICOS-Hoteles 4 y 5 Estrellas - 362/2003"/>
    <s v="Categoría 4"/>
    <x v="16"/>
    <s v="Back Office"/>
    <s v="Back Office"/>
    <s v="Mucama"/>
    <n v="126205"/>
    <s v="O.S.Emp.Comercio y Act.Civiles"/>
    <s v="Buenos Aires - Almte. Brown"/>
    <m/>
    <n v="1019"/>
    <s v="HELGUERA"/>
    <n v="513"/>
    <m/>
    <m/>
    <s v="CAPITAL FEDERAL"/>
    <s v="Buenos Aires"/>
    <m/>
    <m/>
    <m/>
    <n v="2"/>
    <n v="1"/>
    <n v="10410.959999999999"/>
    <n v="2134.25"/>
    <m/>
    <n v="25887.360000000001"/>
    <n v="34164.07"/>
    <n v="260.27"/>
    <m/>
    <m/>
    <m/>
    <m/>
    <m/>
    <m/>
    <m/>
    <n v="104.11"/>
    <m/>
    <m/>
    <m/>
    <m/>
    <m/>
    <m/>
    <n v="208.22"/>
    <m/>
    <m/>
    <m/>
    <m/>
    <m/>
    <m/>
    <m/>
    <n v="104.11"/>
    <m/>
    <n v="676.71"/>
  </r>
  <r>
    <n v="2"/>
    <x v="2"/>
    <x v="1"/>
    <n v="152999"/>
    <s v="INOJOSA NELSON RAUL"/>
    <s v="20-25995558-1"/>
    <d v="2016-03-01T00:00:00"/>
    <n v="25995558"/>
    <s v="INOJOSA"/>
    <s v="NELSON RAUL"/>
    <s v="M"/>
    <m/>
    <d v="2015-09-2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SARMIENTO"/>
    <n v="764"/>
    <s v="PB"/>
    <m/>
    <s v="CAPITAL FEDERAL"/>
    <s v="Capital Federal"/>
    <m/>
    <s v="U.O.Centro Paga Inplant"/>
    <m/>
    <n v="1"/>
    <n v="1"/>
    <n v="8236.56"/>
    <n v="1647.32"/>
    <m/>
    <m/>
    <n v="6589.24"/>
    <m/>
    <n v="164.73"/>
    <m/>
    <m/>
    <m/>
    <m/>
    <m/>
    <m/>
    <n v="82.37"/>
    <m/>
    <m/>
    <m/>
    <m/>
    <m/>
    <m/>
    <n v="164.73"/>
    <m/>
    <m/>
    <m/>
    <m/>
    <m/>
    <m/>
    <m/>
    <n v="82.37"/>
    <m/>
    <n v="494.2"/>
  </r>
  <r>
    <n v="2"/>
    <x v="2"/>
    <x v="0"/>
    <n v="162546"/>
    <s v="IRIBARREN CASARETTO ROCIO MARIEL"/>
    <s v="27-36377256-6"/>
    <d v="2016-03-07T00:00:00"/>
    <n v="36377256"/>
    <s v="IRIBARREN CASARETTO"/>
    <s v="ROCIO MARIEL"/>
    <s v="F"/>
    <m/>
    <d v="2015-12-03T00:00:00"/>
    <m/>
    <d v="2016-03-01T00:00:00"/>
    <s v="GASTRONOMICOS-Hoteles 4 y 5 Estrellas - 362/2003"/>
    <s v="Categoría 4"/>
    <x v="17"/>
    <s v="Unidad Base-GL"/>
    <s v="San Isidro"/>
    <s v="Mucama"/>
    <n v="108803"/>
    <s v="O.S.P.Gastronomico"/>
    <s v="Buenos Aires - Gran Buenos Aires"/>
    <s v="Nordelta"/>
    <n v="1648"/>
    <s v="HUMAITA Y MONTEAGUDO"/>
    <n v="240"/>
    <m/>
    <m/>
    <s v="TIGRE"/>
    <s v="Buenos Aires"/>
    <m/>
    <s v="U.O.San Isidro"/>
    <m/>
    <n v="2"/>
    <n v="1"/>
    <n v="11912.51"/>
    <n v="2382.5100000000002"/>
    <m/>
    <m/>
    <n v="9530"/>
    <m/>
    <n v="238.25"/>
    <m/>
    <m/>
    <m/>
    <m/>
    <m/>
    <m/>
    <n v="119.13"/>
    <m/>
    <m/>
    <m/>
    <m/>
    <m/>
    <m/>
    <n v="238.25"/>
    <m/>
    <m/>
    <m/>
    <m/>
    <m/>
    <m/>
    <m/>
    <n v="119.13"/>
    <m/>
    <n v="714.76"/>
  </r>
  <r>
    <n v="2"/>
    <x v="2"/>
    <x v="0"/>
    <n v="155116"/>
    <s v="JAINIKOSKI ADRIANA ISABEL"/>
    <s v="27-28084488-3"/>
    <d v="2016-03-07T00:00:00"/>
    <n v="28084488"/>
    <s v="JAINIKOSKI"/>
    <s v="ADRIANA ISABEL"/>
    <s v="F"/>
    <m/>
    <d v="2015-11-01T00:00:00"/>
    <d v="2015-11-27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AV CAAGUAZU"/>
    <n v="474"/>
    <m/>
    <s v="B"/>
    <s v="CAPITAL FEDERAL"/>
    <s v="Buenos Aires"/>
    <m/>
    <s v="U.O.Casa Central"/>
    <m/>
    <n v="1"/>
    <n v="1"/>
    <n v="315.83999999999997"/>
    <n v="63.18"/>
    <m/>
    <m/>
    <n v="252.66"/>
    <m/>
    <n v="6.32"/>
    <m/>
    <m/>
    <m/>
    <m/>
    <m/>
    <m/>
    <n v="3.16"/>
    <m/>
    <m/>
    <m/>
    <m/>
    <m/>
    <m/>
    <n v="6.32"/>
    <m/>
    <m/>
    <m/>
    <m/>
    <m/>
    <m/>
    <m/>
    <n v="3.16"/>
    <m/>
    <n v="18.96"/>
  </r>
  <r>
    <n v="2"/>
    <x v="2"/>
    <x v="0"/>
    <n v="155922"/>
    <s v="JANNON LUIS AUGUSTO"/>
    <s v="20-32336089-9"/>
    <d v="2016-03-07T00:00:00"/>
    <n v="32336089"/>
    <s v="JANNON"/>
    <s v="LUIS AUGUSTO"/>
    <s v="M"/>
    <m/>
    <d v="2016-02-0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2"/>
    <n v="1"/>
    <n v="8867.26"/>
    <n v="1773.46"/>
    <m/>
    <m/>
    <n v="7093.8"/>
    <m/>
    <n v="177.35"/>
    <m/>
    <m/>
    <m/>
    <m/>
    <m/>
    <m/>
    <n v="88.67"/>
    <m/>
    <m/>
    <m/>
    <m/>
    <m/>
    <m/>
    <n v="177.35"/>
    <m/>
    <m/>
    <m/>
    <m/>
    <m/>
    <m/>
    <m/>
    <n v="88.67"/>
    <m/>
    <n v="532.04"/>
  </r>
  <r>
    <n v="2"/>
    <x v="2"/>
    <x v="1"/>
    <n v="168403"/>
    <s v="JUAREZ LILIANA MARCELA"/>
    <s v="27-23887293-1"/>
    <d v="2016-03-07T00:00:00"/>
    <n v="23887293"/>
    <s v="JUAREZ"/>
    <s v="LILIANA MARCELA"/>
    <s v="F"/>
    <m/>
    <d v="2016-02-14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LA RIOJA"/>
    <n v="1891"/>
    <m/>
    <m/>
    <s v="CAPITAL FEDERAL"/>
    <s v="Capital Federal"/>
    <m/>
    <s v="U.O.Centro"/>
    <s v="Alvear Palace"/>
    <n v="1"/>
    <n v="1"/>
    <n v="3088.53"/>
    <n v="617.72"/>
    <m/>
    <m/>
    <n v="2470.81"/>
    <m/>
    <n v="61.77"/>
    <m/>
    <m/>
    <m/>
    <m/>
    <m/>
    <m/>
    <n v="30.89"/>
    <m/>
    <m/>
    <m/>
    <m/>
    <m/>
    <m/>
    <n v="61.77"/>
    <m/>
    <m/>
    <m/>
    <m/>
    <m/>
    <m/>
    <m/>
    <n v="30.89"/>
    <m/>
    <n v="185.32"/>
  </r>
  <r>
    <n v="2"/>
    <x v="2"/>
    <x v="0"/>
    <n v="163399"/>
    <s v="KLIGER DAMIAN"/>
    <s v="20-35957456-9"/>
    <d v="2016-02-22T00:00:00"/>
    <n v="35957456"/>
    <s v="KLIGER"/>
    <s v="DAMIAN"/>
    <s v="M"/>
    <m/>
    <d v="2015-12-09T00:00:00"/>
    <d v="2016-01-31T00:00:00"/>
    <d v="2016-01-31T00:00:00"/>
    <s v="GASTRONOMICOS-Hoteles 4 y 5 Estrellas - 362/2003"/>
    <s v="Categoria 3"/>
    <x v="5"/>
    <s v="Administracion"/>
    <s v="Centro"/>
    <s v="Administrativo/a"/>
    <n v="108803"/>
    <s v="O.S.P.Gastronomico"/>
    <s v="Capital Federal"/>
    <m/>
    <n v="1104"/>
    <s v="TRONADOR"/>
    <n v="1225"/>
    <m/>
    <m/>
    <s v="CAPITAL FEDERAL"/>
    <s v="Buenos Aires"/>
    <m/>
    <s v="U.O.Centro"/>
    <m/>
    <n v="1"/>
    <n v="1"/>
    <n v="3985.28"/>
    <n v="797.06"/>
    <m/>
    <m/>
    <n v="3188.22"/>
    <m/>
    <n v="79.709999999999994"/>
    <m/>
    <m/>
    <m/>
    <m/>
    <m/>
    <m/>
    <n v="39.85"/>
    <m/>
    <m/>
    <m/>
    <m/>
    <m/>
    <m/>
    <n v="79.709999999999994"/>
    <m/>
    <m/>
    <m/>
    <m/>
    <m/>
    <m/>
    <m/>
    <n v="39.85"/>
    <m/>
    <n v="239.12"/>
  </r>
  <r>
    <n v="2"/>
    <x v="2"/>
    <x v="0"/>
    <n v="161056"/>
    <s v="KOHLER LOPEZ EVANY MIGUELINA"/>
    <s v="27-94760662-5"/>
    <d v="2016-03-07T00:00:00"/>
    <n v="94760662"/>
    <s v="KOHLER LOPEZ"/>
    <s v="EVANY MIGUELINA"/>
    <s v="F"/>
    <m/>
    <d v="2015-11-15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PAVON"/>
    <n v="1225"/>
    <s v="PB"/>
    <s v="C"/>
    <s v="CAPITAL FEDERAL"/>
    <s v="Buenos Aires"/>
    <m/>
    <s v="U.O.Centro"/>
    <m/>
    <n v="2"/>
    <n v="1"/>
    <n v="7720.71"/>
    <n v="1544.16"/>
    <m/>
    <m/>
    <n v="6176.55"/>
    <m/>
    <n v="154.41999999999999"/>
    <m/>
    <m/>
    <m/>
    <m/>
    <m/>
    <m/>
    <n v="77.209999999999994"/>
    <m/>
    <m/>
    <m/>
    <m/>
    <m/>
    <m/>
    <n v="154.41999999999999"/>
    <m/>
    <m/>
    <m/>
    <m/>
    <m/>
    <m/>
    <m/>
    <n v="77.209999999999994"/>
    <m/>
    <n v="463.26"/>
  </r>
  <r>
    <n v="2"/>
    <x v="2"/>
    <x v="0"/>
    <n v="162207"/>
    <s v="KOLTOWSKI ALICIA ANDREA"/>
    <s v="27-24905826-8"/>
    <d v="2016-03-07T00:00:00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AVENIDA MONTEVERDE"/>
    <n v="1225"/>
    <m/>
    <m/>
    <s v="CAPITAL FEDERAL"/>
    <s v="Buenos Aires"/>
    <m/>
    <s v="U.O.Centro"/>
    <m/>
    <n v="2"/>
    <n v="1"/>
    <n v="1880.32"/>
    <n v="376.07"/>
    <m/>
    <m/>
    <n v="1504.25"/>
    <m/>
    <n v="37.61"/>
    <m/>
    <m/>
    <m/>
    <m/>
    <m/>
    <m/>
    <n v="18.8"/>
    <m/>
    <m/>
    <m/>
    <m/>
    <m/>
    <m/>
    <n v="37.61"/>
    <m/>
    <m/>
    <m/>
    <m/>
    <m/>
    <m/>
    <m/>
    <n v="18.8"/>
    <m/>
    <n v="112.82"/>
  </r>
  <r>
    <n v="2"/>
    <x v="2"/>
    <x v="1"/>
    <n v="166016"/>
    <s v="LOPEZ BILLERI MARIA ANTONELLA"/>
    <s v="27-36157606-9"/>
    <d v="2016-03-07T00:00:00"/>
    <n v="36157606"/>
    <s v="LOPEZ BILLERI"/>
    <s v="MARIA ANTONELLA"/>
    <s v="F"/>
    <m/>
    <d v="2016-0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IRIGOYEN"/>
    <n v="535"/>
    <m/>
    <m/>
    <s v="CAPITAL FEDERAL"/>
    <s v="Capital Federal"/>
    <m/>
    <s v="U.O.Centro"/>
    <m/>
    <n v="1"/>
    <n v="1"/>
    <n v="10205.25"/>
    <n v="2041.06"/>
    <m/>
    <m/>
    <n v="8164.19"/>
    <m/>
    <n v="204.11"/>
    <m/>
    <m/>
    <m/>
    <m/>
    <m/>
    <m/>
    <n v="102.05"/>
    <m/>
    <m/>
    <m/>
    <m/>
    <m/>
    <m/>
    <n v="204.11"/>
    <m/>
    <m/>
    <m/>
    <m/>
    <m/>
    <m/>
    <m/>
    <n v="102.05"/>
    <m/>
    <n v="612.32000000000005"/>
  </r>
  <r>
    <n v="2"/>
    <x v="2"/>
    <x v="1"/>
    <n v="158697"/>
    <s v="LOZA ALDANA ROMINA"/>
    <s v="27-29774261-8"/>
    <d v="2016-03-01T00:00:00"/>
    <n v="29774261"/>
    <s v="LOZA"/>
    <s v="ALDANA ROMINA"/>
    <s v="F"/>
    <m/>
    <d v="2015-10-0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INGENIERO HUERGO"/>
    <n v="764"/>
    <s v="PB"/>
    <m/>
    <s v="CAPITAL FEDERAL"/>
    <s v="Capital Federal"/>
    <m/>
    <s v="U.O.Centro Paga Inplant"/>
    <m/>
    <n v="1"/>
    <n v="1"/>
    <n v="6331.49"/>
    <n v="1266.28"/>
    <m/>
    <m/>
    <n v="5065.21"/>
    <m/>
    <n v="126.63"/>
    <m/>
    <m/>
    <m/>
    <m/>
    <m/>
    <m/>
    <n v="63.31"/>
    <m/>
    <m/>
    <m/>
    <m/>
    <m/>
    <m/>
    <n v="126.63"/>
    <m/>
    <m/>
    <m/>
    <m/>
    <m/>
    <m/>
    <m/>
    <n v="63.31"/>
    <m/>
    <n v="379.88"/>
  </r>
  <r>
    <n v="2"/>
    <x v="2"/>
    <x v="0"/>
    <n v="168890"/>
    <s v="LUGO CARLOS ALBERTO"/>
    <s v="20-25399975-7"/>
    <d v="2016-03-07T00:00:00"/>
    <n v="25399975"/>
    <s v="LUGO"/>
    <s v="CARLOS ALBERTO"/>
    <s v="M"/>
    <m/>
    <d v="2016-02-24T00:00:00"/>
    <m/>
    <m/>
    <s v="GASTRONOMICOS-Hoteles 4 y 5 Estrellas - 362/2003"/>
    <s v="Categoria 3"/>
    <x v="6"/>
    <s v="NUEVOS INGRESOS"/>
    <s v="Centro"/>
    <s v="Tareas Generales"/>
    <n v="108803"/>
    <s v="O.S.P.Gastronomico"/>
    <s v="Capital Federal"/>
    <m/>
    <n v="1093"/>
    <s v="TENIENTE ORIGONE"/>
    <n v="1232"/>
    <m/>
    <m/>
    <s v="CAPITAL FEDERAL"/>
    <s v="Buenos Aires"/>
    <m/>
    <s v="U.O.Centro"/>
    <s v="Ayudante de cocina"/>
    <n v="1"/>
    <n v="1"/>
    <n v="3359.63"/>
    <n v="671.93"/>
    <m/>
    <m/>
    <n v="2687.7"/>
    <m/>
    <n v="67.19"/>
    <m/>
    <m/>
    <m/>
    <m/>
    <m/>
    <m/>
    <n v="33.6"/>
    <m/>
    <m/>
    <m/>
    <m/>
    <m/>
    <m/>
    <n v="67.19"/>
    <m/>
    <m/>
    <m/>
    <m/>
    <m/>
    <m/>
    <m/>
    <n v="33.6"/>
    <m/>
    <n v="201.58"/>
  </r>
  <r>
    <n v="2"/>
    <x v="2"/>
    <x v="1"/>
    <n v="147835"/>
    <s v="LUQUE JAVIER ANTONIO"/>
    <s v="20-37023577-6"/>
    <d v="2016-03-07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1"/>
    <n v="1"/>
    <n v="9884.7999999999993"/>
    <n v="1976.96"/>
    <m/>
    <m/>
    <n v="7907.84"/>
    <m/>
    <n v="197.7"/>
    <m/>
    <m/>
    <m/>
    <m/>
    <m/>
    <m/>
    <n v="98.85"/>
    <m/>
    <m/>
    <m/>
    <m/>
    <m/>
    <m/>
    <n v="197.7"/>
    <m/>
    <m/>
    <m/>
    <m/>
    <m/>
    <m/>
    <m/>
    <n v="98.85"/>
    <m/>
    <n v="593.1"/>
  </r>
  <r>
    <n v="2"/>
    <x v="2"/>
    <x v="1"/>
    <n v="143423"/>
    <s v="MARQUEZ LAURA MABEL"/>
    <s v="27-26174399-5"/>
    <d v="2016-03-01T00:00:00"/>
    <n v="26174399"/>
    <s v="MARQUEZ"/>
    <s v="LAURA MABEL"/>
    <s v="F"/>
    <m/>
    <d v="2015-01-20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n v="1002"/>
    <s v="PUEYRREDON"/>
    <n v="764"/>
    <n v="1"/>
    <s v="A"/>
    <s v="CAPITAL FEDERAL"/>
    <s v="Capital Federal"/>
    <m/>
    <s v="U.O.Centro Paga Inplant"/>
    <m/>
    <n v="1"/>
    <n v="1"/>
    <n v="16493.91"/>
    <n v="3298.79"/>
    <m/>
    <m/>
    <n v="13195.12"/>
    <m/>
    <n v="329.88"/>
    <m/>
    <m/>
    <m/>
    <m/>
    <m/>
    <m/>
    <n v="164.94"/>
    <m/>
    <m/>
    <m/>
    <m/>
    <m/>
    <m/>
    <n v="329.88"/>
    <m/>
    <m/>
    <m/>
    <m/>
    <m/>
    <m/>
    <m/>
    <n v="164.94"/>
    <m/>
    <n v="989.64"/>
  </r>
  <r>
    <n v="2"/>
    <x v="2"/>
    <x v="1"/>
    <n v="122290"/>
    <s v="MARTINEZ EZEQUIEL FACUNDO"/>
    <s v="20-28328215-6"/>
    <d v="2016-03-07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2"/>
    <n v="1"/>
    <n v="10809.59"/>
    <n v="2215.98"/>
    <m/>
    <m/>
    <n v="8593.61"/>
    <n v="270.24"/>
    <m/>
    <m/>
    <m/>
    <m/>
    <m/>
    <m/>
    <m/>
    <n v="108.1"/>
    <m/>
    <m/>
    <m/>
    <m/>
    <m/>
    <m/>
    <n v="216.19"/>
    <m/>
    <m/>
    <m/>
    <m/>
    <m/>
    <m/>
    <m/>
    <n v="108.1"/>
    <m/>
    <n v="702.63"/>
  </r>
  <r>
    <n v="2"/>
    <x v="2"/>
    <x v="1"/>
    <n v="152931"/>
    <s v="MARTINEZ KAREN"/>
    <s v="27-37827128-8"/>
    <d v="2016-03-07T00:00:0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1"/>
    <n v="1"/>
    <n v="12918.29"/>
    <n v="2583.66"/>
    <m/>
    <m/>
    <n v="10334.629999999999"/>
    <m/>
    <n v="258.37"/>
    <m/>
    <m/>
    <m/>
    <m/>
    <m/>
    <m/>
    <n v="129.18"/>
    <m/>
    <m/>
    <m/>
    <m/>
    <m/>
    <m/>
    <n v="258.37"/>
    <m/>
    <m/>
    <m/>
    <m/>
    <m/>
    <m/>
    <m/>
    <n v="129.18"/>
    <m/>
    <n v="775.1"/>
  </r>
  <r>
    <n v="2"/>
    <x v="2"/>
    <x v="1"/>
    <n v="126586"/>
    <s v="MEDINA ANTONIO SAMUEL"/>
    <s v="23-31641343-9"/>
    <d v="2016-03-07T00:00:00"/>
    <n v="31641343"/>
    <s v="MEDINA"/>
    <s v="ANTONIO SAMUEL"/>
    <s v="M"/>
    <m/>
    <d v="2015-03-02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REPUBLICA ARGENTINA"/>
    <n v="507"/>
    <s v="PB"/>
    <n v="2"/>
    <s v="CAPITAL FEDERAL"/>
    <s v="Capital Federal"/>
    <m/>
    <s v="U.O.Centro Paga Inplant"/>
    <m/>
    <n v="1"/>
    <n v="1"/>
    <n v="10778.04"/>
    <n v="2209.4899999999998"/>
    <m/>
    <m/>
    <n v="8568.5499999999993"/>
    <n v="269.45"/>
    <m/>
    <m/>
    <m/>
    <m/>
    <m/>
    <m/>
    <m/>
    <n v="107.78"/>
    <m/>
    <m/>
    <m/>
    <m/>
    <m/>
    <m/>
    <n v="215.56"/>
    <m/>
    <m/>
    <m/>
    <m/>
    <m/>
    <m/>
    <m/>
    <n v="107.78"/>
    <m/>
    <n v="700.57"/>
  </r>
  <r>
    <n v="2"/>
    <x v="2"/>
    <x v="0"/>
    <n v="161583"/>
    <s v="MEDINA EMILSE RAQUEL"/>
    <s v="27-36216142-3"/>
    <d v="2016-02-22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1"/>
    <n v="1"/>
    <n v="752.12"/>
    <n v="150.41"/>
    <m/>
    <m/>
    <n v="601.71"/>
    <m/>
    <n v="15.04"/>
    <m/>
    <m/>
    <m/>
    <m/>
    <m/>
    <m/>
    <n v="7.52"/>
    <m/>
    <m/>
    <m/>
    <m/>
    <m/>
    <m/>
    <n v="15.04"/>
    <m/>
    <m/>
    <m/>
    <m/>
    <m/>
    <m/>
    <m/>
    <n v="7.52"/>
    <m/>
    <n v="45.12"/>
  </r>
  <r>
    <n v="2"/>
    <x v="2"/>
    <x v="1"/>
    <n v="168289"/>
    <s v="MEDINA JESICA FABIANA"/>
    <s v="23-36214863-4"/>
    <d v="2016-03-01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"/>
    <m/>
    <n v="1"/>
    <n v="1"/>
    <n v="5906.82"/>
    <n v="1181.3599999999999"/>
    <m/>
    <m/>
    <n v="4725.46"/>
    <m/>
    <n v="118.14"/>
    <m/>
    <m/>
    <m/>
    <m/>
    <m/>
    <m/>
    <n v="59.07"/>
    <m/>
    <m/>
    <m/>
    <m/>
    <m/>
    <m/>
    <n v="118.14"/>
    <m/>
    <m/>
    <m/>
    <m/>
    <m/>
    <m/>
    <m/>
    <n v="59.07"/>
    <m/>
    <n v="354.42"/>
  </r>
  <r>
    <n v="2"/>
    <x v="2"/>
    <x v="0"/>
    <n v="163371"/>
    <s v="MEZA PIZARRO CHRISTIAN MERVEN"/>
    <s v="20-92327011-7"/>
    <d v="2016-03-07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2"/>
    <n v="1"/>
    <n v="9605.25"/>
    <n v="1921.04"/>
    <m/>
    <m/>
    <n v="7684.21"/>
    <m/>
    <n v="192.11"/>
    <m/>
    <m/>
    <m/>
    <m/>
    <m/>
    <m/>
    <n v="96.05"/>
    <m/>
    <m/>
    <m/>
    <m/>
    <m/>
    <m/>
    <n v="192.11"/>
    <m/>
    <m/>
    <m/>
    <m/>
    <m/>
    <m/>
    <m/>
    <n v="96.05"/>
    <m/>
    <n v="576.32000000000005"/>
  </r>
  <r>
    <n v="2"/>
    <x v="2"/>
    <x v="0"/>
    <n v="169349"/>
    <s v="MIÑO LUCILA NATALIA"/>
    <s v="27-35401614-7"/>
    <d v="2016-03-07T00:00:00"/>
    <n v="35401614"/>
    <s v="MIÑO"/>
    <s v="LUCILA NATALIA"/>
    <s v="M"/>
    <m/>
    <d v="2016-02-2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LA RIOJA"/>
    <n v="1225"/>
    <m/>
    <m/>
    <s v="CAPITAL FEDERAL"/>
    <s v="Buenos Aires"/>
    <m/>
    <s v="U.O.Centro"/>
    <m/>
    <n v="1"/>
    <n v="1"/>
    <n v="514.71"/>
    <n v="102.94"/>
    <m/>
    <m/>
    <n v="411.77"/>
    <m/>
    <n v="10.29"/>
    <m/>
    <m/>
    <m/>
    <m/>
    <m/>
    <m/>
    <n v="5.15"/>
    <m/>
    <m/>
    <m/>
    <m/>
    <m/>
    <m/>
    <n v="10.29"/>
    <m/>
    <m/>
    <m/>
    <m/>
    <m/>
    <m/>
    <m/>
    <n v="5.15"/>
    <m/>
    <n v="30.88"/>
  </r>
  <r>
    <n v="2"/>
    <x v="2"/>
    <x v="0"/>
    <n v="161131"/>
    <s v="MONGELOS  FLORENCIANI LUIS"/>
    <s v="23-95267488-9"/>
    <d v="2016-03-07T00:00:00"/>
    <n v="95267488"/>
    <s v="MONGELOS  FLORENCIANI"/>
    <s v="LUIS"/>
    <s v="M"/>
    <m/>
    <d v="2015-11-12T00:00:00"/>
    <d v="2015-12-27T00:00:00"/>
    <d v="2016-01-15T00:00:00"/>
    <s v="GASTRONOMICOS-Hoteles 4 y 5 Estrellas - 362/2003"/>
    <s v="Categoria 1"/>
    <x v="14"/>
    <s v="Unidad Base-GL"/>
    <s v="Centro"/>
    <s v="Tareas Generales"/>
    <n v="108803"/>
    <s v="O.S.P.Gastronomico"/>
    <s v="Capital Federal"/>
    <m/>
    <n v="1095"/>
    <s v="JUAN DE GARAY"/>
    <n v="645"/>
    <m/>
    <m/>
    <s v="CAPITAL FEDERAL"/>
    <s v="Capital Federal"/>
    <m/>
    <s v="U.O.Centro"/>
    <m/>
    <n v="1"/>
    <n v="1"/>
    <m/>
    <m/>
    <m/>
    <n v="213.05"/>
    <n v="213.05"/>
    <m/>
    <m/>
    <m/>
    <m/>
    <m/>
    <m/>
    <m/>
    <m/>
    <m/>
    <m/>
    <m/>
    <m/>
    <m/>
    <m/>
    <m/>
    <m/>
    <m/>
    <m/>
    <m/>
    <m/>
    <m/>
    <m/>
    <m/>
    <m/>
    <m/>
    <m/>
  </r>
  <r>
    <n v="2"/>
    <x v="2"/>
    <x v="1"/>
    <n v="165985"/>
    <s v="MONTENEGRO MAXIMILIANO PAUL"/>
    <s v="24-33466210-8"/>
    <d v="2016-03-01T00:00:00"/>
    <n v="33466210"/>
    <s v="MONTENEGRO"/>
    <s v="MAXIMILIANO PAUL"/>
    <s v="M"/>
    <m/>
    <d v="2016-01-12T00:00:00"/>
    <d v="2016-02-11T00:00:00"/>
    <d v="2016-02-17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INDEPENDENCIA"/>
    <n v="764"/>
    <s v="PB"/>
    <n v="3"/>
    <s v="CAPITAL FEDERAL"/>
    <s v="Capital Federal"/>
    <m/>
    <s v="U.O.Centro"/>
    <m/>
    <n v="1"/>
    <n v="1"/>
    <n v="3242.95"/>
    <n v="648.59"/>
    <m/>
    <m/>
    <n v="2594.36"/>
    <m/>
    <n v="64.86"/>
    <m/>
    <m/>
    <m/>
    <m/>
    <m/>
    <m/>
    <n v="32.43"/>
    <m/>
    <m/>
    <m/>
    <m/>
    <m/>
    <m/>
    <n v="64.86"/>
    <m/>
    <m/>
    <m/>
    <m/>
    <m/>
    <m/>
    <m/>
    <n v="32.43"/>
    <m/>
    <n v="194.58"/>
  </r>
  <r>
    <n v="2"/>
    <x v="2"/>
    <x v="1"/>
    <n v="152586"/>
    <s v="MUSTAFA SILVIO ROBERTO"/>
    <s v="23-31539279-9"/>
    <d v="2016-03-07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1"/>
    <n v="1"/>
    <n v="8793.57"/>
    <n v="1802.69"/>
    <m/>
    <m/>
    <n v="6990.88"/>
    <n v="219.84"/>
    <m/>
    <m/>
    <m/>
    <m/>
    <m/>
    <m/>
    <m/>
    <n v="87.94"/>
    <m/>
    <m/>
    <m/>
    <m/>
    <m/>
    <m/>
    <n v="175.87"/>
    <m/>
    <m/>
    <m/>
    <m/>
    <m/>
    <m/>
    <m/>
    <n v="87.94"/>
    <m/>
    <n v="571.59"/>
  </r>
  <r>
    <n v="2"/>
    <x v="2"/>
    <x v="1"/>
    <n v="162147"/>
    <s v="NUÑEZ ANA MARIA"/>
    <s v="27-18222886-4"/>
    <d v="2016-03-01T00:00:00"/>
    <n v="18222886"/>
    <s v="NUÑEZ"/>
    <s v="ANA MARIA"/>
    <s v="F"/>
    <m/>
    <d v="2015-1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ALLE 114"/>
    <n v="764"/>
    <m/>
    <m/>
    <s v="CAPITAL FEDERAL"/>
    <s v="Capital Federal"/>
    <m/>
    <s v="U.O.Centro"/>
    <m/>
    <n v="1"/>
    <n v="1"/>
    <n v="11041.48"/>
    <n v="2208.2800000000002"/>
    <m/>
    <m/>
    <n v="8833.2000000000007"/>
    <m/>
    <n v="220.83"/>
    <m/>
    <m/>
    <m/>
    <m/>
    <m/>
    <m/>
    <n v="110.41"/>
    <m/>
    <m/>
    <m/>
    <m/>
    <m/>
    <m/>
    <n v="220.83"/>
    <m/>
    <m/>
    <m/>
    <m/>
    <m/>
    <m/>
    <m/>
    <n v="110.41"/>
    <m/>
    <n v="662.48"/>
  </r>
  <r>
    <n v="2"/>
    <x v="2"/>
    <x v="0"/>
    <n v="70391"/>
    <s v="NUÑEZ PAOLA GABRIELA"/>
    <s v="23-21761147-4"/>
    <d v="2016-03-07T00:00:00"/>
    <n v="21761147"/>
    <s v="NUÑEZ"/>
    <s v="PAOLA GABRIELA"/>
    <s v="F"/>
    <m/>
    <d v="2015-11-2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ZAPALERI"/>
    <n v="1225"/>
    <m/>
    <m/>
    <s v="CAPITAL FEDERAL"/>
    <s v="Buenos Aires"/>
    <m/>
    <s v="U.O.Centro"/>
    <m/>
    <n v="2"/>
    <n v="1"/>
    <n v="6691.28"/>
    <n v="1338.26"/>
    <m/>
    <m/>
    <n v="5353.02"/>
    <m/>
    <n v="133.83000000000001"/>
    <m/>
    <m/>
    <m/>
    <m/>
    <m/>
    <m/>
    <n v="66.91"/>
    <m/>
    <m/>
    <m/>
    <m/>
    <m/>
    <m/>
    <n v="133.83000000000001"/>
    <m/>
    <m/>
    <m/>
    <m/>
    <m/>
    <m/>
    <m/>
    <n v="66.91"/>
    <m/>
    <n v="401.48"/>
  </r>
  <r>
    <n v="2"/>
    <x v="2"/>
    <x v="0"/>
    <n v="162167"/>
    <s v="OCANTOS MARIA FERNANDA"/>
    <s v="20-26587101-2"/>
    <d v="2016-03-07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2"/>
    <n v="1"/>
    <n v="4888.82"/>
    <n v="977.75"/>
    <m/>
    <m/>
    <n v="3911.07"/>
    <m/>
    <n v="97.78"/>
    <m/>
    <m/>
    <m/>
    <m/>
    <m/>
    <m/>
    <n v="48.88"/>
    <m/>
    <m/>
    <m/>
    <m/>
    <m/>
    <m/>
    <n v="97.78"/>
    <m/>
    <m/>
    <m/>
    <m/>
    <m/>
    <m/>
    <m/>
    <n v="48.88"/>
    <m/>
    <n v="293.32"/>
  </r>
  <r>
    <n v="2"/>
    <x v="2"/>
    <x v="0"/>
    <n v="156371"/>
    <s v="OJEDA HECTOR ALBERTO"/>
    <s v="20-27373033-9"/>
    <d v="2016-03-07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2"/>
    <n v="1"/>
    <n v="10622.31"/>
    <n v="2124.46"/>
    <m/>
    <m/>
    <n v="8497.85"/>
    <m/>
    <n v="212.44"/>
    <m/>
    <m/>
    <m/>
    <m/>
    <m/>
    <m/>
    <n v="106.23"/>
    <m/>
    <m/>
    <m/>
    <m/>
    <m/>
    <m/>
    <n v="212.44"/>
    <m/>
    <m/>
    <m/>
    <m/>
    <m/>
    <m/>
    <m/>
    <n v="106.23"/>
    <m/>
    <n v="637.34"/>
  </r>
  <r>
    <n v="2"/>
    <x v="2"/>
    <x v="1"/>
    <n v="168406"/>
    <s v="OJEDA TAMARA NOEMI"/>
    <s v="23-38121208-4"/>
    <d v="2016-03-07T00:00:00"/>
    <n v="38121208"/>
    <s v="OJEDA"/>
    <s v="TAMARA NOEMI"/>
    <s v="F"/>
    <m/>
    <d v="2016-02-14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440"/>
    <s v="LAS LILAS"/>
    <n v="1584"/>
    <m/>
    <m/>
    <s v="CAPITAL FEDERAL"/>
    <s v="Capital Federal"/>
    <m/>
    <s v="U.O.Centro"/>
    <s v="Alvear Palace"/>
    <n v="1"/>
    <n v="1"/>
    <n v="1158.2"/>
    <n v="231.64"/>
    <m/>
    <m/>
    <n v="926.56"/>
    <m/>
    <n v="23.16"/>
    <m/>
    <m/>
    <m/>
    <m/>
    <m/>
    <m/>
    <n v="11.58"/>
    <m/>
    <m/>
    <m/>
    <m/>
    <m/>
    <m/>
    <n v="23.16"/>
    <m/>
    <m/>
    <m/>
    <m/>
    <m/>
    <m/>
    <m/>
    <n v="11.58"/>
    <m/>
    <n v="69.48"/>
  </r>
  <r>
    <n v="2"/>
    <x v="2"/>
    <x v="0"/>
    <n v="156032"/>
    <s v="OJEDA VALERIA NOEMI"/>
    <s v="27-33485754-4"/>
    <d v="2016-03-07T00:00:00"/>
    <n v="33485754"/>
    <s v="OJEDA"/>
    <s v="VALERIA NOEMI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2"/>
    <n v="1"/>
    <n v="781.08"/>
    <n v="156.24"/>
    <m/>
    <m/>
    <n v="624.84"/>
    <m/>
    <n v="15.62"/>
    <m/>
    <m/>
    <m/>
    <m/>
    <m/>
    <m/>
    <n v="7.82"/>
    <m/>
    <m/>
    <m/>
    <m/>
    <m/>
    <m/>
    <n v="15.62"/>
    <m/>
    <m/>
    <m/>
    <m/>
    <m/>
    <m/>
    <m/>
    <n v="7.82"/>
    <m/>
    <n v="46.88"/>
  </r>
  <r>
    <n v="2"/>
    <x v="2"/>
    <x v="0"/>
    <n v="138789"/>
    <s v="OLIVA LILIANA ALEJANDRA"/>
    <s v="27-25730976-8"/>
    <d v="2016-03-07T00:00:0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Mucama por Jornada"/>
    <n v="1"/>
    <n v="1"/>
    <n v="16113.88"/>
    <n v="3222.79"/>
    <m/>
    <m/>
    <n v="12891.09"/>
    <m/>
    <n v="322.27999999999997"/>
    <m/>
    <m/>
    <m/>
    <m/>
    <m/>
    <m/>
    <n v="161.13999999999999"/>
    <m/>
    <m/>
    <m/>
    <m/>
    <m/>
    <m/>
    <n v="322.27999999999997"/>
    <m/>
    <m/>
    <m/>
    <m/>
    <m/>
    <m/>
    <m/>
    <n v="161.13999999999999"/>
    <m/>
    <n v="966.84"/>
  </r>
  <r>
    <n v="2"/>
    <x v="2"/>
    <x v="0"/>
    <n v="154895"/>
    <s v="OLIVERA FLORENCIA MALVINA"/>
    <s v="27-29669950-6"/>
    <d v="2016-03-07T00:00:00"/>
    <n v="29669950"/>
    <s v="OLIVERA"/>
    <s v="FLORENCIA MALVINA"/>
    <s v="F"/>
    <m/>
    <d v="2015-07-23T00:00:00"/>
    <d v="2016-02-03T00:00:00"/>
    <m/>
    <s v="GASTRONOMICOS-Hoteles 4 y 5 Estrellas - 362/2003"/>
    <s v="Categoría 4"/>
    <x v="16"/>
    <s v="Back Office"/>
    <s v="Back Office"/>
    <s v="Tareas Generales"/>
    <n v="126205"/>
    <s v="O.S.Emp.Comercio y Act.Civiles"/>
    <s v="Buenos Aires - Almte. Brown"/>
    <m/>
    <n v="1019"/>
    <s v="SAAVEDRA LAMAS"/>
    <n v="513"/>
    <m/>
    <m/>
    <s v="CAPITAL FEDERAL"/>
    <s v="Buenos Aires"/>
    <m/>
    <m/>
    <m/>
    <n v="2"/>
    <n v="1"/>
    <m/>
    <m/>
    <m/>
    <n v="35884.080000000002"/>
    <n v="35884.080000000002"/>
    <m/>
    <m/>
    <m/>
    <m/>
    <m/>
    <m/>
    <m/>
    <m/>
    <m/>
    <m/>
    <m/>
    <m/>
    <m/>
    <m/>
    <m/>
    <m/>
    <m/>
    <m/>
    <m/>
    <m/>
    <m/>
    <m/>
    <m/>
    <m/>
    <m/>
    <m/>
  </r>
  <r>
    <n v="2"/>
    <x v="2"/>
    <x v="0"/>
    <n v="135237"/>
    <s v="ORELLANO JUANA MARIA"/>
    <s v="27-27696157-3"/>
    <d v="2016-03-07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Mucama por Jornada"/>
    <n v="1"/>
    <n v="1"/>
    <n v="15413.27"/>
    <n v="3159.72"/>
    <m/>
    <m/>
    <n v="12253.55"/>
    <n v="385.33"/>
    <m/>
    <m/>
    <m/>
    <m/>
    <m/>
    <m/>
    <m/>
    <n v="154.13"/>
    <m/>
    <m/>
    <m/>
    <m/>
    <m/>
    <m/>
    <n v="308.27"/>
    <m/>
    <m/>
    <m/>
    <m/>
    <m/>
    <m/>
    <m/>
    <n v="154.13"/>
    <m/>
    <n v="1001.86"/>
  </r>
  <r>
    <n v="2"/>
    <x v="2"/>
    <x v="0"/>
    <n v="161186"/>
    <s v="ORTIZ ALEJANDRA"/>
    <s v="27-27510693-9"/>
    <d v="2016-03-07T00:00:00"/>
    <n v="27510693"/>
    <s v="ORTIZ"/>
    <s v="ALEJANDRA"/>
    <s v="F"/>
    <m/>
    <d v="2015-11-13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MAIPU"/>
    <n v="1225"/>
    <m/>
    <m/>
    <s v="CAPITAL FEDERAL"/>
    <s v="Buenos Aires"/>
    <m/>
    <s v="U.O.Centro"/>
    <m/>
    <n v="1"/>
    <n v="1"/>
    <n v="3088.28"/>
    <n v="617.66"/>
    <m/>
    <m/>
    <n v="2470.62"/>
    <m/>
    <n v="61.77"/>
    <m/>
    <m/>
    <m/>
    <m/>
    <m/>
    <m/>
    <n v="30.88"/>
    <m/>
    <m/>
    <m/>
    <m/>
    <m/>
    <m/>
    <n v="61.77"/>
    <m/>
    <m/>
    <m/>
    <m/>
    <m/>
    <m/>
    <m/>
    <n v="30.88"/>
    <m/>
    <n v="185.3"/>
  </r>
  <r>
    <n v="2"/>
    <x v="2"/>
    <x v="1"/>
    <n v="155309"/>
    <s v="ORTIZ MARIA FLORENCIA"/>
    <s v="27-31135303-4"/>
    <d v="2016-03-01T00:00:00"/>
    <n v="31135303"/>
    <s v="ORTIZ"/>
    <s v="MARIA FLORENCIA"/>
    <s v="F"/>
    <m/>
    <d v="2015-08-1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n v="27"/>
    <n v="764"/>
    <m/>
    <m/>
    <s v="CAPITAL FEDERAL"/>
    <s v="Capital Federal"/>
    <m/>
    <s v="U.O.Centro Paga Inplant"/>
    <m/>
    <n v="1"/>
    <n v="1"/>
    <n v="12662.97"/>
    <n v="2532.6"/>
    <m/>
    <m/>
    <n v="10130.370000000001"/>
    <m/>
    <n v="253.26"/>
    <m/>
    <m/>
    <m/>
    <m/>
    <m/>
    <m/>
    <n v="126.63"/>
    <m/>
    <m/>
    <m/>
    <m/>
    <m/>
    <m/>
    <n v="253.26"/>
    <m/>
    <m/>
    <m/>
    <m/>
    <m/>
    <m/>
    <m/>
    <n v="126.63"/>
    <m/>
    <n v="759.78"/>
  </r>
  <r>
    <n v="2"/>
    <x v="2"/>
    <x v="0"/>
    <n v="161159"/>
    <s v="PARISI GABRIEL DARIO"/>
    <s v="20-34384166-4"/>
    <d v="2016-03-07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6863.24"/>
    <n v="1372.65"/>
    <m/>
    <m/>
    <n v="5490.59"/>
    <m/>
    <n v="137.27000000000001"/>
    <m/>
    <m/>
    <m/>
    <m/>
    <m/>
    <m/>
    <n v="68.63"/>
    <m/>
    <m/>
    <m/>
    <m/>
    <m/>
    <m/>
    <n v="137.27000000000001"/>
    <m/>
    <m/>
    <m/>
    <m/>
    <m/>
    <m/>
    <m/>
    <n v="68.63"/>
    <m/>
    <n v="411.8"/>
  </r>
  <r>
    <n v="2"/>
    <x v="2"/>
    <x v="0"/>
    <n v="164321"/>
    <s v="PAZ WALTER RICARDO"/>
    <s v="20-28305441-2"/>
    <d v="2016-03-07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0845.01"/>
    <n v="2169"/>
    <m/>
    <m/>
    <n v="8676.01"/>
    <m/>
    <n v="216.9"/>
    <m/>
    <m/>
    <m/>
    <m/>
    <m/>
    <m/>
    <n v="108.45"/>
    <m/>
    <m/>
    <m/>
    <m/>
    <m/>
    <m/>
    <n v="216.9"/>
    <m/>
    <m/>
    <m/>
    <m/>
    <m/>
    <m/>
    <m/>
    <n v="108.45"/>
    <m/>
    <n v="650.70000000000005"/>
  </r>
  <r>
    <n v="2"/>
    <x v="2"/>
    <x v="1"/>
    <n v="160317"/>
    <s v="PEDROZO GUSTAVO ADOLFO"/>
    <s v="20-23447148-2"/>
    <d v="2016-03-01T00:00:00"/>
    <n v="23447148"/>
    <s v="PEDROZO"/>
    <s v="GUSTAVO ADOLFO"/>
    <s v="M"/>
    <m/>
    <d v="2015-10-3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ALLE 853"/>
    <n v="764"/>
    <m/>
    <m/>
    <s v="CAPITAL FEDERAL"/>
    <s v="Capital Federal"/>
    <m/>
    <s v="U.O.Centro Paga Inplant"/>
    <m/>
    <n v="1"/>
    <n v="1"/>
    <n v="7309.95"/>
    <n v="1461.99"/>
    <m/>
    <m/>
    <n v="5847.96"/>
    <m/>
    <n v="146.19999999999999"/>
    <m/>
    <m/>
    <m/>
    <m/>
    <m/>
    <m/>
    <n v="73.099999999999994"/>
    <m/>
    <m/>
    <m/>
    <m/>
    <m/>
    <m/>
    <n v="146.19999999999999"/>
    <m/>
    <m/>
    <m/>
    <m/>
    <m/>
    <m/>
    <m/>
    <n v="73.099999999999994"/>
    <m/>
    <n v="438.6"/>
  </r>
  <r>
    <n v="2"/>
    <x v="2"/>
    <x v="0"/>
    <n v="168239"/>
    <s v="PERALTA RICARDO FRANCISCO"/>
    <s v="20-35719331-2"/>
    <d v="2016-03-07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2"/>
    <n v="1"/>
    <n v="2745.31"/>
    <n v="549.07000000000005"/>
    <m/>
    <m/>
    <n v="2196.2399999999998"/>
    <m/>
    <n v="54.91"/>
    <m/>
    <m/>
    <m/>
    <m/>
    <m/>
    <m/>
    <n v="27.46"/>
    <m/>
    <m/>
    <m/>
    <m/>
    <m/>
    <m/>
    <n v="54.91"/>
    <m/>
    <m/>
    <m/>
    <m/>
    <m/>
    <m/>
    <m/>
    <n v="27.46"/>
    <m/>
    <n v="164.74"/>
  </r>
  <r>
    <n v="2"/>
    <x v="2"/>
    <x v="0"/>
    <n v="155712"/>
    <s v="PERALTA DE KEMMETER PABLO ADRIAN"/>
    <s v="20-38404684-4"/>
    <d v="2016-03-07T00:00:00"/>
    <n v="38404684"/>
    <s v="PERALTA DE KEMMETER"/>
    <s v="PABLO ADRIAN"/>
    <s v="M"/>
    <m/>
    <d v="2016-02-08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2"/>
    <n v="1"/>
    <n v="10142.73"/>
    <n v="2028.55"/>
    <m/>
    <m/>
    <n v="8114.18"/>
    <m/>
    <n v="202.86"/>
    <m/>
    <m/>
    <m/>
    <m/>
    <m/>
    <m/>
    <n v="101.43"/>
    <m/>
    <m/>
    <m/>
    <m/>
    <m/>
    <m/>
    <n v="202.86"/>
    <m/>
    <m/>
    <m/>
    <m/>
    <m/>
    <m/>
    <m/>
    <n v="101.43"/>
    <m/>
    <n v="608.58000000000004"/>
  </r>
  <r>
    <n v="2"/>
    <x v="2"/>
    <x v="1"/>
    <n v="65369"/>
    <s v="PEREZ RUBEN HORACIO"/>
    <s v="20-28042935-0"/>
    <d v="2016-03-07T00:00:0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1178.4100000000001"/>
    <n v="235.68"/>
    <m/>
    <m/>
    <n v="942.73"/>
    <m/>
    <n v="23.57"/>
    <m/>
    <m/>
    <m/>
    <m/>
    <m/>
    <m/>
    <n v="11.78"/>
    <m/>
    <m/>
    <m/>
    <m/>
    <m/>
    <m/>
    <n v="23.57"/>
    <m/>
    <m/>
    <m/>
    <m/>
    <m/>
    <m/>
    <m/>
    <n v="11.78"/>
    <m/>
    <n v="70.7"/>
  </r>
  <r>
    <n v="2"/>
    <x v="2"/>
    <x v="0"/>
    <n v="161870"/>
    <s v="PETRONE VICENTE"/>
    <s v="20-27146024-5"/>
    <d v="2016-03-07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2"/>
    <n v="1"/>
    <n v="4888.82"/>
    <n v="977.78"/>
    <m/>
    <m/>
    <n v="3911.04"/>
    <m/>
    <n v="97.78"/>
    <m/>
    <m/>
    <m/>
    <m/>
    <m/>
    <m/>
    <n v="48.89"/>
    <m/>
    <m/>
    <m/>
    <m/>
    <m/>
    <m/>
    <n v="97.78"/>
    <m/>
    <m/>
    <m/>
    <m/>
    <m/>
    <m/>
    <m/>
    <n v="48.89"/>
    <m/>
    <n v="293.33999999999997"/>
  </r>
  <r>
    <n v="2"/>
    <x v="2"/>
    <x v="1"/>
    <n v="165179"/>
    <s v="PINEDA ROSALES GREGORY JOSE"/>
    <s v="20-95469400-4"/>
    <d v="2016-03-01T00:00:00"/>
    <n v="95469400"/>
    <s v="PINEDA ROSALES"/>
    <s v="GREGORY JOSE"/>
    <s v="M"/>
    <m/>
    <d v="2016-01-0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AN JUAN"/>
    <n v="764"/>
    <m/>
    <m/>
    <s v="CAPITAL FEDERAL"/>
    <s v="Capital Federal"/>
    <m/>
    <s v="U.O.Centro"/>
    <m/>
    <n v="1"/>
    <n v="1"/>
    <n v="562.01"/>
    <n v="112.4"/>
    <m/>
    <m/>
    <n v="449.61"/>
    <m/>
    <n v="11.24"/>
    <m/>
    <m/>
    <m/>
    <m/>
    <m/>
    <m/>
    <n v="5.62"/>
    <m/>
    <m/>
    <m/>
    <m/>
    <m/>
    <m/>
    <n v="11.24"/>
    <m/>
    <m/>
    <m/>
    <m/>
    <m/>
    <m/>
    <m/>
    <n v="5.62"/>
    <m/>
    <n v="33.72"/>
  </r>
  <r>
    <n v="2"/>
    <x v="2"/>
    <x v="1"/>
    <n v="62941"/>
    <s v="POGONZA ANDREA GISELLE"/>
    <s v="27-32522930-1"/>
    <d v="2016-03-07T00:00:0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2"/>
    <n v="1"/>
    <n v="14272.6"/>
    <n v="2925.88"/>
    <m/>
    <m/>
    <n v="11346.72"/>
    <n v="356.81"/>
    <m/>
    <m/>
    <m/>
    <m/>
    <m/>
    <m/>
    <m/>
    <n v="142.72"/>
    <m/>
    <m/>
    <m/>
    <m/>
    <m/>
    <m/>
    <n v="285.45"/>
    <m/>
    <m/>
    <m/>
    <m/>
    <m/>
    <m/>
    <m/>
    <n v="142.72"/>
    <m/>
    <n v="927.7"/>
  </r>
  <r>
    <n v="2"/>
    <x v="2"/>
    <x v="0"/>
    <n v="164606"/>
    <s v="QUINTANA VLADIMIR EZEQUIEL"/>
    <s v="20-37870204-7"/>
    <d v="2016-03-01T00:00:00"/>
    <n v="37870204"/>
    <s v="QUINTANA"/>
    <s v="VLADIMIR EZEQUIEL"/>
    <s v="M"/>
    <m/>
    <d v="2016-01-24T00:00:00"/>
    <d v="2016-01-25T00:00:00"/>
    <m/>
    <s v="GASTRONOMICOS-Hoteles 4 y 5 Estrellas - 362/2003"/>
    <s v="Categoria 3"/>
    <x v="10"/>
    <s v="SOFITEL HOUSEKEEPING"/>
    <s v="Centro"/>
    <s v="Tareas Generales"/>
    <n v="108803"/>
    <s v="O.S.P.Gastronomico"/>
    <s v="Capital Federal"/>
    <m/>
    <n v="1089"/>
    <s v="PASTEUR"/>
    <n v="841"/>
    <n v="2"/>
    <m/>
    <s v="CAPITAL FEDERAL"/>
    <s v="Buenos Aires"/>
    <m/>
    <s v="U.O.Centro"/>
    <m/>
    <n v="1"/>
    <n v="1"/>
    <n v="597.27"/>
    <n v="119.46"/>
    <m/>
    <m/>
    <n v="477.81"/>
    <m/>
    <n v="11.95"/>
    <m/>
    <m/>
    <m/>
    <m/>
    <m/>
    <m/>
    <n v="5.97"/>
    <m/>
    <m/>
    <m/>
    <m/>
    <m/>
    <m/>
    <n v="11.95"/>
    <m/>
    <m/>
    <m/>
    <m/>
    <m/>
    <m/>
    <m/>
    <n v="5.97"/>
    <m/>
    <n v="35.840000000000003"/>
  </r>
  <r>
    <n v="2"/>
    <x v="2"/>
    <x v="1"/>
    <n v="168959"/>
    <s v="RAMIREZ ANDREA FABIANA"/>
    <s v="27-22241765-7"/>
    <d v="2016-03-01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"/>
    <m/>
    <n v="1"/>
    <n v="1"/>
    <n v="617.71"/>
    <n v="123.54"/>
    <m/>
    <m/>
    <n v="494.17"/>
    <m/>
    <n v="12.35"/>
    <m/>
    <m/>
    <m/>
    <m/>
    <m/>
    <m/>
    <n v="6.18"/>
    <m/>
    <m/>
    <m/>
    <m/>
    <m/>
    <m/>
    <n v="12.35"/>
    <m/>
    <m/>
    <m/>
    <m/>
    <m/>
    <m/>
    <m/>
    <n v="6.18"/>
    <m/>
    <n v="37.06"/>
  </r>
  <r>
    <n v="2"/>
    <x v="2"/>
    <x v="0"/>
    <n v="162333"/>
    <s v="RIOS MARIA ROSA"/>
    <s v="27-26405230-6"/>
    <d v="2016-03-07T00:00:00"/>
    <n v="26405230"/>
    <s v="RIOS"/>
    <s v="MARIA ROSA"/>
    <s v="F"/>
    <m/>
    <d v="2015-11-28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OLLEDO"/>
    <n v="1005"/>
    <m/>
    <m/>
    <s v="CAPITAL FEDERAL"/>
    <s v="Capital Federal"/>
    <m/>
    <s v="U.O.Centro"/>
    <m/>
    <n v="1"/>
    <n v="1"/>
    <n v="1128.24"/>
    <n v="225.65"/>
    <m/>
    <m/>
    <n v="902.59"/>
    <m/>
    <n v="22.56"/>
    <m/>
    <m/>
    <m/>
    <m/>
    <m/>
    <m/>
    <n v="11.28"/>
    <m/>
    <m/>
    <m/>
    <m/>
    <m/>
    <m/>
    <n v="22.56"/>
    <m/>
    <m/>
    <m/>
    <m/>
    <m/>
    <m/>
    <m/>
    <n v="11.28"/>
    <m/>
    <n v="67.680000000000007"/>
  </r>
  <r>
    <n v="2"/>
    <x v="2"/>
    <x v="1"/>
    <n v="164261"/>
    <s v="ROBELEK CARLOS ALEJANDRO"/>
    <s v="20-23256846-2"/>
    <d v="2016-03-01T00:00:00"/>
    <n v="23256846"/>
    <s v="ROBELEK"/>
    <s v="CARLOS ALEJANDRO"/>
    <s v="M"/>
    <m/>
    <d v="2015-12-16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UDAMERICA"/>
    <n v="764"/>
    <m/>
    <m/>
    <s v="CAPITAL FEDERAL"/>
    <s v="Capital Federal"/>
    <m/>
    <s v="U.O.Centro"/>
    <m/>
    <n v="1"/>
    <n v="1"/>
    <n v="15254.64"/>
    <n v="3050.93"/>
    <m/>
    <m/>
    <n v="12203.71"/>
    <m/>
    <n v="305.08999999999997"/>
    <m/>
    <m/>
    <m/>
    <m/>
    <m/>
    <m/>
    <n v="152.55000000000001"/>
    <m/>
    <m/>
    <m/>
    <m/>
    <m/>
    <m/>
    <n v="305.08999999999997"/>
    <m/>
    <m/>
    <m/>
    <m/>
    <m/>
    <m/>
    <m/>
    <n v="152.55000000000001"/>
    <m/>
    <n v="915.28"/>
  </r>
  <r>
    <n v="2"/>
    <x v="2"/>
    <x v="1"/>
    <n v="162826"/>
    <s v="RODRIGUEZ CLAUDIO ALEJANDRO"/>
    <s v="20-28807969-3"/>
    <d v="2016-03-01T00:00:00"/>
    <n v="28807969"/>
    <s v="RODRIGUEZ"/>
    <s v="CLAUDIO ALEJANDRO"/>
    <s v="M"/>
    <m/>
    <d v="2015-12-03T00:00:00"/>
    <m/>
    <m/>
    <s v="GASTRONOMICOS-Hoteles 4 y 5 Estrellas - 362/2003"/>
    <s v="Categoria 1"/>
    <x v="3"/>
    <s v="Unidad Principal"/>
    <s v="Centro"/>
    <s v="Tareas Generales"/>
    <n v="127406"/>
    <s v="O.S.Obreros y empleados tintoreros, sombrerero y lavanderos"/>
    <s v="Capital Federal"/>
    <m/>
    <n v="1002"/>
    <s v="JOSE IGNACIO RUCCI"/>
    <n v="764"/>
    <m/>
    <m/>
    <s v="CAPITAL FEDERAL"/>
    <s v="Capital Federal"/>
    <m/>
    <s v="U.O.Centro"/>
    <m/>
    <n v="1"/>
    <n v="1"/>
    <n v="8442.4699999999993"/>
    <n v="4488.4799999999996"/>
    <m/>
    <m/>
    <n v="3953.99"/>
    <m/>
    <n v="168.85"/>
    <m/>
    <m/>
    <m/>
    <m/>
    <m/>
    <m/>
    <n v="84.42"/>
    <m/>
    <m/>
    <m/>
    <m/>
    <n v="2800"/>
    <m/>
    <n v="168.85"/>
    <m/>
    <m/>
    <m/>
    <m/>
    <m/>
    <m/>
    <m/>
    <n v="84.42"/>
    <m/>
    <n v="3306.54"/>
  </r>
  <r>
    <n v="2"/>
    <x v="2"/>
    <x v="1"/>
    <n v="168582"/>
    <s v="RODRIGUEZ MILENA ESTEFANIA"/>
    <s v="27-36872590-6"/>
    <d v="2016-03-07T00:00:00"/>
    <n v="36872590"/>
    <s v="RODRIGUEZ"/>
    <s v="MILENA ESTEFANIA"/>
    <s v="F"/>
    <m/>
    <d v="2016-02-19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440"/>
    <s v="LAS HERAS"/>
    <n v="1584"/>
    <m/>
    <m/>
    <s v="CAPITAL FEDERAL"/>
    <s v="Capital Federal"/>
    <m/>
    <s v="U.O.Centro"/>
    <s v="Alvear Palace"/>
    <n v="1"/>
    <n v="1"/>
    <n v="1196.8"/>
    <n v="239.36"/>
    <m/>
    <m/>
    <n v="957.44"/>
    <m/>
    <n v="23.94"/>
    <m/>
    <m/>
    <m/>
    <m/>
    <m/>
    <m/>
    <n v="11.97"/>
    <m/>
    <m/>
    <m/>
    <m/>
    <m/>
    <m/>
    <n v="23.94"/>
    <m/>
    <m/>
    <m/>
    <m/>
    <m/>
    <m/>
    <m/>
    <n v="11.97"/>
    <m/>
    <n v="71.819999999999993"/>
  </r>
  <r>
    <n v="2"/>
    <x v="2"/>
    <x v="0"/>
    <n v="146771"/>
    <s v="RODRIGUEZ CONTRERAS LUZ ADELA"/>
    <s v="23-95303644-4"/>
    <d v="2016-02-22T00:00:00"/>
    <n v="95303644"/>
    <s v="RODRIGUEZ CONTRERAS"/>
    <s v="LUZ ADELA"/>
    <s v="F"/>
    <m/>
    <d v="2016-02-12T00:00:00"/>
    <d v="2016-02-14T00:00:00"/>
    <m/>
    <s v="GASTRONOMICOS-Hoteles 4 y 5 Estrellas - 362/2003"/>
    <s v="Categoría 4"/>
    <x v="18"/>
    <s v="Unidad Base-GL"/>
    <s v="Centro"/>
    <s v="Tareas Generales"/>
    <n v="108803"/>
    <s v="O.S.P.Gastronomico"/>
    <s v="Capital Federal"/>
    <m/>
    <n v="1007"/>
    <s v="TUCUMAN"/>
    <n v="1366"/>
    <m/>
    <m/>
    <s v="CAPITAL FEDERAL"/>
    <s v="Capital Federal"/>
    <m/>
    <s v="U.O.Centro"/>
    <m/>
    <n v="1"/>
    <n v="1"/>
    <n v="1661.22"/>
    <n v="332.24"/>
    <m/>
    <m/>
    <n v="1328.98"/>
    <m/>
    <n v="33.22"/>
    <m/>
    <m/>
    <m/>
    <m/>
    <m/>
    <m/>
    <n v="16.61"/>
    <m/>
    <m/>
    <m/>
    <m/>
    <m/>
    <m/>
    <n v="33.22"/>
    <m/>
    <m/>
    <m/>
    <m/>
    <m/>
    <m/>
    <m/>
    <n v="16.61"/>
    <m/>
    <n v="99.66"/>
  </r>
  <r>
    <n v="2"/>
    <x v="2"/>
    <x v="1"/>
    <n v="169066"/>
    <s v="ROMERO ROSA DEL VALLE ISABEL"/>
    <s v="27-29738273-5"/>
    <d v="2016-03-07T00:00:00"/>
    <n v="29738273"/>
    <s v="ROMERO"/>
    <s v="ROSA DEL VALLE ISABEL"/>
    <s v="F"/>
    <m/>
    <d v="2016-02-26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440"/>
    <s v="MISIONES"/>
    <n v="1584"/>
    <m/>
    <m/>
    <s v="CAPITAL FEDERAL"/>
    <s v="Capital Federal"/>
    <m/>
    <s v="U.O.Centro"/>
    <s v="Alvear Palace"/>
    <n v="1"/>
    <n v="1"/>
    <n v="579.1"/>
    <n v="115.81"/>
    <m/>
    <m/>
    <n v="463.29"/>
    <m/>
    <n v="11.58"/>
    <m/>
    <m/>
    <m/>
    <m/>
    <m/>
    <m/>
    <n v="5.79"/>
    <m/>
    <m/>
    <m/>
    <m/>
    <m/>
    <m/>
    <n v="11.58"/>
    <m/>
    <m/>
    <m/>
    <m/>
    <m/>
    <m/>
    <m/>
    <n v="5.79"/>
    <m/>
    <n v="34.74"/>
  </r>
  <r>
    <n v="2"/>
    <x v="2"/>
    <x v="1"/>
    <n v="161405"/>
    <s v="RUIZ MIRYAM ELIZABETH"/>
    <s v="27-28162946-3"/>
    <d v="2016-03-01T00:00:00"/>
    <n v="28162946"/>
    <s v="RUIZ"/>
    <s v="MIRYAM ELIZABETH"/>
    <s v="F"/>
    <m/>
    <d v="2015-11-1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INISTRO BRIN"/>
    <n v="764"/>
    <s v="1°"/>
    <s v="B"/>
    <s v="CAPITAL FEDERAL"/>
    <s v="Capital Federal"/>
    <m/>
    <s v="U.O.Centro Paga Inplant"/>
    <m/>
    <n v="1"/>
    <n v="1"/>
    <n v="722.58"/>
    <n v="144.52000000000001"/>
    <m/>
    <m/>
    <n v="578.05999999999995"/>
    <m/>
    <n v="14.45"/>
    <m/>
    <m/>
    <m/>
    <m/>
    <m/>
    <m/>
    <n v="7.23"/>
    <m/>
    <m/>
    <m/>
    <m/>
    <m/>
    <m/>
    <n v="14.45"/>
    <m/>
    <m/>
    <m/>
    <m/>
    <m/>
    <m/>
    <m/>
    <n v="7.23"/>
    <m/>
    <n v="43.36"/>
  </r>
  <r>
    <n v="2"/>
    <x v="2"/>
    <x v="0"/>
    <n v="146415"/>
    <s v="RUIZ DIAZ JORGE GUSTAVO"/>
    <s v="20-34079280-8"/>
    <d v="2016-03-01T00:00:00"/>
    <n v="34079280"/>
    <s v="RUIZ DIAZ"/>
    <s v="JORGE GUSTAVO"/>
    <s v="M"/>
    <m/>
    <d v="2015-08-19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MZA 56"/>
    <n v="841"/>
    <n v="3"/>
    <s v="D"/>
    <s v="CAPITAL FEDERAL"/>
    <s v="Buenos Aires"/>
    <m/>
    <s v="U.O.Centro"/>
    <m/>
    <n v="1"/>
    <n v="1"/>
    <n v="7478.44"/>
    <n v="2995.68"/>
    <m/>
    <m/>
    <n v="4482.76"/>
    <m/>
    <n v="149.57"/>
    <m/>
    <m/>
    <m/>
    <m/>
    <m/>
    <m/>
    <n v="74.78"/>
    <m/>
    <m/>
    <m/>
    <m/>
    <n v="1500"/>
    <m/>
    <n v="149.57"/>
    <m/>
    <m/>
    <m/>
    <m/>
    <m/>
    <m/>
    <m/>
    <n v="74.78"/>
    <m/>
    <n v="1948.7"/>
  </r>
  <r>
    <n v="2"/>
    <x v="2"/>
    <x v="1"/>
    <n v="168402"/>
    <s v="SALAZAR BOZA CARLOS SERGIO"/>
    <s v="20-95335635-0"/>
    <d v="2016-03-07T00:00:00"/>
    <n v="95335635"/>
    <s v="SALAZAR BOZA"/>
    <s v="CARLOS SERGIO"/>
    <s v="M"/>
    <m/>
    <d v="2016-02-12T00:00:00"/>
    <m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129"/>
    <s v="SOLER"/>
    <n v="1891"/>
    <n v="1"/>
    <m/>
    <s v="CAPITAL FEDERAL"/>
    <s v="Capital Federal"/>
    <m/>
    <s v="U.O.Centro"/>
    <s v="Alvear Palace"/>
    <n v="1"/>
    <n v="1"/>
    <n v="1793.68"/>
    <n v="358.73"/>
    <m/>
    <m/>
    <n v="1434.95"/>
    <m/>
    <n v="35.869999999999997"/>
    <m/>
    <m/>
    <m/>
    <m/>
    <m/>
    <m/>
    <n v="17.940000000000001"/>
    <m/>
    <m/>
    <m/>
    <m/>
    <m/>
    <m/>
    <n v="35.869999999999997"/>
    <m/>
    <m/>
    <m/>
    <m/>
    <m/>
    <m/>
    <m/>
    <n v="17.940000000000001"/>
    <m/>
    <n v="107.62"/>
  </r>
  <r>
    <n v="2"/>
    <x v="2"/>
    <x v="0"/>
    <n v="163422"/>
    <s v="SAUCEDO BETIANA MAGALI"/>
    <s v="23-38354831-4"/>
    <d v="2016-03-07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2"/>
    <n v="1"/>
    <n v="1504.26"/>
    <n v="300.85000000000002"/>
    <m/>
    <m/>
    <n v="1203.4100000000001"/>
    <m/>
    <n v="30.08"/>
    <m/>
    <m/>
    <m/>
    <m/>
    <m/>
    <m/>
    <n v="15.04"/>
    <m/>
    <m/>
    <m/>
    <m/>
    <m/>
    <m/>
    <n v="30.08"/>
    <m/>
    <m/>
    <m/>
    <m/>
    <m/>
    <m/>
    <m/>
    <n v="15.04"/>
    <m/>
    <n v="90.24"/>
  </r>
  <r>
    <n v="2"/>
    <x v="2"/>
    <x v="0"/>
    <n v="157784"/>
    <s v="SAUCEDO MARCELA"/>
    <s v="27-33197318-7"/>
    <d v="2016-03-07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Mucama Por Hora"/>
    <n v="1"/>
    <n v="1"/>
    <n v="15269.41"/>
    <n v="3130.23"/>
    <m/>
    <m/>
    <n v="12139.18"/>
    <n v="381.74"/>
    <m/>
    <m/>
    <m/>
    <m/>
    <m/>
    <m/>
    <m/>
    <n v="152.69"/>
    <m/>
    <m/>
    <m/>
    <m/>
    <m/>
    <m/>
    <n v="305.39"/>
    <m/>
    <m/>
    <m/>
    <m/>
    <m/>
    <m/>
    <m/>
    <n v="152.69"/>
    <m/>
    <n v="992.51"/>
  </r>
  <r>
    <n v="2"/>
    <x v="2"/>
    <x v="1"/>
    <n v="160863"/>
    <s v="SEQUEIRA GRACIELA ESTER"/>
    <s v="23-25848251-4"/>
    <d v="2016-03-01T00:00:00"/>
    <n v="25848251"/>
    <s v="SEQUEIRA"/>
    <s v="GRACIELA ESTER"/>
    <s v="F"/>
    <m/>
    <d v="2015-11-07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BRAHAM"/>
    <n v="764"/>
    <m/>
    <n v="22"/>
    <s v="CAPITAL FEDERAL"/>
    <s v="Capital Federal"/>
    <m/>
    <s v="U.O.Centro Paga Inplant"/>
    <m/>
    <n v="1"/>
    <n v="1"/>
    <n v="8705.9500000000007"/>
    <n v="1741.19"/>
    <m/>
    <m/>
    <n v="6964.76"/>
    <m/>
    <n v="174.12"/>
    <m/>
    <m/>
    <m/>
    <m/>
    <m/>
    <m/>
    <n v="87.06"/>
    <m/>
    <m/>
    <m/>
    <m/>
    <m/>
    <m/>
    <n v="174.12"/>
    <m/>
    <m/>
    <m/>
    <m/>
    <m/>
    <m/>
    <m/>
    <n v="87.06"/>
    <m/>
    <n v="522.36"/>
  </r>
  <r>
    <n v="2"/>
    <x v="2"/>
    <x v="0"/>
    <n v="162176"/>
    <s v="SOMMA GABRIELA ALEJANDRA"/>
    <s v="27-31822042-0"/>
    <d v="2016-02-22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1"/>
    <n v="1"/>
    <n v="752.12"/>
    <n v="150.41"/>
    <m/>
    <m/>
    <n v="601.71"/>
    <m/>
    <n v="15.04"/>
    <m/>
    <m/>
    <m/>
    <m/>
    <m/>
    <m/>
    <n v="7.52"/>
    <m/>
    <m/>
    <m/>
    <m/>
    <m/>
    <m/>
    <n v="15.04"/>
    <m/>
    <m/>
    <m/>
    <m/>
    <m/>
    <m/>
    <m/>
    <n v="7.52"/>
    <m/>
    <n v="45.12"/>
  </r>
  <r>
    <n v="2"/>
    <x v="2"/>
    <x v="1"/>
    <n v="168292"/>
    <s v="SORIA MARIA SOLEDAD"/>
    <s v="27-38844520-9"/>
    <d v="2016-03-01T00:00:00"/>
    <n v="38844520"/>
    <s v="SORIA"/>
    <s v="MARIA SOLEDAD"/>
    <s v="F"/>
    <m/>
    <d v="2016-02-1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126 Y 127"/>
    <n v="764"/>
    <m/>
    <m/>
    <s v="CAPITAL FEDERAL"/>
    <s v="Capital Federal"/>
    <m/>
    <s v="U.O.Centro"/>
    <m/>
    <n v="1"/>
    <n v="1"/>
    <n v="5443.54"/>
    <n v="1088.72"/>
    <m/>
    <m/>
    <n v="4354.82"/>
    <m/>
    <n v="108.87"/>
    <m/>
    <m/>
    <m/>
    <m/>
    <m/>
    <m/>
    <n v="54.44"/>
    <m/>
    <m/>
    <m/>
    <m/>
    <m/>
    <m/>
    <n v="108.87"/>
    <m/>
    <m/>
    <m/>
    <m/>
    <m/>
    <m/>
    <m/>
    <n v="54.44"/>
    <m/>
    <n v="326.62"/>
  </r>
  <r>
    <n v="2"/>
    <x v="2"/>
    <x v="1"/>
    <n v="154462"/>
    <s v="SOTELO DAMARIS ROXANA"/>
    <s v="27-38100104-6"/>
    <d v="2016-03-01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"/>
    <m/>
    <n v="1"/>
    <n v="1"/>
    <n v="5573.97"/>
    <n v="1114.8"/>
    <m/>
    <m/>
    <n v="4459.17"/>
    <m/>
    <n v="111.48"/>
    <m/>
    <m/>
    <m/>
    <m/>
    <m/>
    <m/>
    <n v="55.74"/>
    <m/>
    <m/>
    <m/>
    <m/>
    <m/>
    <m/>
    <n v="111.48"/>
    <m/>
    <m/>
    <m/>
    <m/>
    <m/>
    <m/>
    <m/>
    <n v="55.74"/>
    <m/>
    <n v="334.44"/>
  </r>
  <r>
    <n v="2"/>
    <x v="2"/>
    <x v="1"/>
    <n v="93346"/>
    <s v="SOTO JAVIER EDUARDO"/>
    <s v="20-37676002-3"/>
    <d v="2016-03-07T00:00:00"/>
    <n v="37676002"/>
    <s v="SOTO"/>
    <s v="JAVIER EDUARDO"/>
    <s v="M"/>
    <m/>
    <d v="2012-07-06T00:00:00"/>
    <m/>
    <m/>
    <s v="GASTRONOMICOS-Hoteles 4 y 5 Estrellas - 362/2003"/>
    <s v="Categoria 5"/>
    <x v="9"/>
    <s v="Unidad Principal"/>
    <s v="Centro"/>
    <s v="Ayudante de Cocina"/>
    <n v="108803"/>
    <s v="O.S.P.Gastronomico"/>
    <s v="Capital Federal"/>
    <m/>
    <n v="1049"/>
    <s v="ALVARADO"/>
    <n v="535"/>
    <m/>
    <m/>
    <s v="CAPITAL FEDERAL"/>
    <s v="Capital Federal"/>
    <m/>
    <s v="U.O.Centro Paga Inplant"/>
    <s v="PEONES"/>
    <n v="2"/>
    <n v="1"/>
    <n v="13668"/>
    <n v="2733.6"/>
    <m/>
    <m/>
    <n v="10934.4"/>
    <m/>
    <n v="273.36"/>
    <m/>
    <m/>
    <m/>
    <m/>
    <m/>
    <m/>
    <n v="136.68"/>
    <m/>
    <m/>
    <m/>
    <m/>
    <m/>
    <m/>
    <n v="273.36"/>
    <m/>
    <m/>
    <m/>
    <m/>
    <m/>
    <m/>
    <m/>
    <n v="136.68"/>
    <m/>
    <n v="820.08"/>
  </r>
  <r>
    <n v="2"/>
    <x v="2"/>
    <x v="1"/>
    <n v="155021"/>
    <s v="SOTO PENAYO FATIMA CONCEPCION"/>
    <s v="27-94441710-4"/>
    <d v="2016-03-01T00:00:00"/>
    <n v="94441710"/>
    <s v="SOTO PENAYO"/>
    <s v="FATIMA CONCEPCION"/>
    <s v="F"/>
    <m/>
    <d v="2015-07-28T00:00:00"/>
    <m/>
    <m/>
    <s v="GASTRONOMICOS-Hoteles 4 y 5 Estrellas - 362/2003"/>
    <s v="Categoría 4"/>
    <x v="3"/>
    <s v="Unidad Principal"/>
    <s v="Centro"/>
    <s v="Tareas Generales"/>
    <n v="126205"/>
    <s v="O.S.Emp.Comercio y Act.Civiles"/>
    <s v="Capital Federal"/>
    <m/>
    <n v="1002"/>
    <s v="SARAVIA"/>
    <n v="764"/>
    <m/>
    <m/>
    <s v="CAPITAL FEDERAL"/>
    <s v="Capital Federal"/>
    <m/>
    <s v="U.O.Centro Paga Inplant"/>
    <m/>
    <n v="1"/>
    <n v="1"/>
    <n v="3358.78"/>
    <n v="671.76"/>
    <m/>
    <m/>
    <n v="2687.02"/>
    <m/>
    <n v="67.180000000000007"/>
    <m/>
    <m/>
    <m/>
    <m/>
    <m/>
    <m/>
    <n v="33.590000000000003"/>
    <m/>
    <m/>
    <m/>
    <m/>
    <m/>
    <m/>
    <n v="67.180000000000007"/>
    <m/>
    <m/>
    <m/>
    <m/>
    <m/>
    <m/>
    <m/>
    <n v="33.590000000000003"/>
    <m/>
    <n v="201.54"/>
  </r>
  <r>
    <n v="2"/>
    <x v="2"/>
    <x v="0"/>
    <n v="162209"/>
    <s v="STOCKL BRENDA JENNIFER"/>
    <s v="27-37769971-3"/>
    <d v="2016-03-07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2"/>
    <n v="1"/>
    <n v="6769.13"/>
    <n v="1353.83"/>
    <m/>
    <m/>
    <n v="5415.3"/>
    <m/>
    <n v="135.38999999999999"/>
    <m/>
    <m/>
    <m/>
    <m/>
    <m/>
    <m/>
    <n v="67.69"/>
    <m/>
    <m/>
    <m/>
    <m/>
    <m/>
    <m/>
    <n v="135.38999999999999"/>
    <m/>
    <m/>
    <m/>
    <m/>
    <m/>
    <m/>
    <m/>
    <n v="67.69"/>
    <m/>
    <n v="406.16"/>
  </r>
  <r>
    <n v="2"/>
    <x v="2"/>
    <x v="1"/>
    <n v="167565"/>
    <s v="SUAREZ DAVID OSVALDO"/>
    <s v="20-35114179-5"/>
    <d v="2016-03-01T00:00:00"/>
    <n v="35114179"/>
    <s v="SUAREZ"/>
    <s v="DAVID OSVALDO"/>
    <s v="M"/>
    <m/>
    <d v="2016-01-29T00:00:00"/>
    <m/>
    <m/>
    <s v="GASTRONOMICOS-Hoteles 4 y 5 Estrellas - 362/2003"/>
    <s v="Categoría 4"/>
    <x v="3"/>
    <s v="Unidad Principal"/>
    <s v="Centro"/>
    <s v="Tareas Generales"/>
    <n v="121705"/>
    <s v="OS  DEL PERSONAL DE LA ACTIVIDAD DEL TURF"/>
    <s v="Capital Federal"/>
    <m/>
    <n v="1002"/>
    <s v="JUAN DOMINGO PERON"/>
    <n v="764"/>
    <m/>
    <m/>
    <s v="CAPITAL FEDERAL"/>
    <s v="Capital Federal"/>
    <m/>
    <s v="U.O.Centro"/>
    <m/>
    <n v="1"/>
    <n v="1"/>
    <n v="12354.11"/>
    <n v="2470.81"/>
    <m/>
    <m/>
    <n v="9883.2999999999993"/>
    <m/>
    <n v="247.08"/>
    <m/>
    <m/>
    <m/>
    <m/>
    <m/>
    <m/>
    <n v="123.54"/>
    <m/>
    <m/>
    <m/>
    <m/>
    <m/>
    <m/>
    <n v="247.08"/>
    <m/>
    <m/>
    <m/>
    <m/>
    <m/>
    <m/>
    <m/>
    <n v="123.54"/>
    <m/>
    <n v="741.24"/>
  </r>
  <r>
    <n v="2"/>
    <x v="2"/>
    <x v="0"/>
    <n v="162177"/>
    <s v="SZYCHOWSKI WALTER TADEO"/>
    <s v="23-20698069-9"/>
    <d v="2016-03-07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m/>
    <n v="1"/>
    <n v="1"/>
    <n v="1128.19"/>
    <n v="225.64"/>
    <m/>
    <m/>
    <n v="902.55"/>
    <m/>
    <n v="22.56"/>
    <m/>
    <m/>
    <m/>
    <m/>
    <m/>
    <m/>
    <n v="11.28"/>
    <m/>
    <m/>
    <m/>
    <m/>
    <m/>
    <m/>
    <n v="22.56"/>
    <m/>
    <m/>
    <m/>
    <m/>
    <m/>
    <m/>
    <m/>
    <n v="11.28"/>
    <m/>
    <n v="67.680000000000007"/>
  </r>
  <r>
    <n v="2"/>
    <x v="2"/>
    <x v="0"/>
    <n v="161179"/>
    <s v="TORRES CLAUDIA ANDREA"/>
    <s v="27-30236589-5"/>
    <d v="2016-03-07T00:00:00"/>
    <n v="30236589"/>
    <s v="TORRES"/>
    <s v="CLAUDIA ANDREA"/>
    <s v="F"/>
    <m/>
    <d v="2015-11-15T00:00:00"/>
    <m/>
    <m/>
    <s v="GASTRONOMICOS-Hoteles 4 y 5 Estrellas - 362/2003"/>
    <s v="Categoría 4"/>
    <x v="5"/>
    <s v="Mucamas"/>
    <s v="Centro"/>
    <s v="Mucama"/>
    <n v="108803"/>
    <s v="O.S.P.Gastronomico"/>
    <s v="Capital Federal"/>
    <m/>
    <n v="1104"/>
    <s v="SUECIA"/>
    <n v="1225"/>
    <m/>
    <m/>
    <s v="CAPITAL FEDERAL"/>
    <s v="Buenos Aires"/>
    <m/>
    <s v="U.O.Centro"/>
    <m/>
    <n v="2"/>
    <n v="1"/>
    <n v="11838.43"/>
    <n v="2367.6799999999998"/>
    <m/>
    <m/>
    <n v="9470.75"/>
    <m/>
    <n v="236.77"/>
    <m/>
    <m/>
    <m/>
    <m/>
    <m/>
    <m/>
    <n v="118.38"/>
    <m/>
    <m/>
    <m/>
    <m/>
    <m/>
    <m/>
    <n v="236.77"/>
    <m/>
    <m/>
    <m/>
    <m/>
    <m/>
    <m/>
    <m/>
    <n v="118.38"/>
    <m/>
    <n v="710.3"/>
  </r>
  <r>
    <n v="2"/>
    <x v="2"/>
    <x v="1"/>
    <n v="165162"/>
    <s v="TORRES VERONICA ALEJANDRA"/>
    <s v="23-25413259-4"/>
    <d v="2016-03-01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"/>
    <m/>
    <n v="1"/>
    <n v="1"/>
    <n v="1698.7"/>
    <n v="339.74"/>
    <m/>
    <m/>
    <n v="1358.96"/>
    <m/>
    <n v="33.97"/>
    <m/>
    <m/>
    <m/>
    <m/>
    <m/>
    <m/>
    <n v="16.989999999999998"/>
    <m/>
    <m/>
    <m/>
    <m/>
    <m/>
    <m/>
    <n v="33.97"/>
    <m/>
    <m/>
    <m/>
    <m/>
    <m/>
    <m/>
    <m/>
    <n v="16.989999999999998"/>
    <m/>
    <n v="101.92"/>
  </r>
  <r>
    <n v="2"/>
    <x v="2"/>
    <x v="1"/>
    <n v="159131"/>
    <s v="VALEIRO MARIA SOLEDAD"/>
    <s v="23-27310730-4"/>
    <d v="2016-03-01T00:00:00"/>
    <n v="27310730"/>
    <s v="VALEIRO"/>
    <s v="MARIA SOLEDAD"/>
    <s v="F"/>
    <m/>
    <d v="2015-10-08T00:00:00"/>
    <m/>
    <m/>
    <s v="GASTRONOMICOS-Hoteles 4 y 5 Estrellas - 362/2003"/>
    <s v="Categoria 5"/>
    <x v="3"/>
    <s v="Unidad Principal"/>
    <s v="Centro"/>
    <s v="Tareas Generales"/>
    <n v="101604"/>
    <s v="O.S.P.Automovil Club Argentino*"/>
    <s v="Capital Federal"/>
    <m/>
    <n v="1002"/>
    <s v="GERVASIO POSADAS"/>
    <n v="764"/>
    <m/>
    <m/>
    <s v="CAPITAL FEDERAL"/>
    <s v="Capital Federal"/>
    <m/>
    <s v="U.O.Centro Paga Inplant"/>
    <m/>
    <n v="1"/>
    <n v="1"/>
    <n v="4817.26"/>
    <n v="963.46"/>
    <m/>
    <m/>
    <n v="3853.8"/>
    <m/>
    <n v="96.35"/>
    <m/>
    <m/>
    <m/>
    <m/>
    <m/>
    <m/>
    <n v="48.17"/>
    <m/>
    <m/>
    <m/>
    <m/>
    <m/>
    <m/>
    <n v="96.35"/>
    <m/>
    <m/>
    <m/>
    <m/>
    <m/>
    <m/>
    <m/>
    <n v="48.17"/>
    <m/>
    <n v="289.04000000000002"/>
  </r>
  <r>
    <n v="2"/>
    <x v="2"/>
    <x v="0"/>
    <n v="163376"/>
    <s v="VARGAS BENITEZ KARINA LUJAN"/>
    <s v="27-37354725-0"/>
    <d v="2016-03-07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2"/>
    <n v="1"/>
    <n v="1880.32"/>
    <n v="376.07"/>
    <m/>
    <m/>
    <n v="1504.25"/>
    <m/>
    <n v="37.61"/>
    <m/>
    <m/>
    <m/>
    <m/>
    <m/>
    <m/>
    <n v="18.8"/>
    <m/>
    <m/>
    <m/>
    <m/>
    <m/>
    <m/>
    <n v="37.61"/>
    <m/>
    <m/>
    <m/>
    <m/>
    <m/>
    <m/>
    <m/>
    <n v="18.8"/>
    <m/>
    <n v="112.82"/>
  </r>
  <r>
    <n v="2"/>
    <x v="2"/>
    <x v="0"/>
    <n v="143424"/>
    <s v="VELASQUEZ NESTOR IGNACIO"/>
    <s v="20-30830390-0"/>
    <d v="2016-03-07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2"/>
    <n v="1"/>
    <n v="15374.91"/>
    <n v="3151.86"/>
    <m/>
    <m/>
    <n v="12223.05"/>
    <n v="384.37"/>
    <m/>
    <m/>
    <m/>
    <m/>
    <m/>
    <m/>
    <m/>
    <n v="153.75"/>
    <m/>
    <m/>
    <m/>
    <m/>
    <m/>
    <m/>
    <n v="307.5"/>
    <m/>
    <m/>
    <m/>
    <m/>
    <m/>
    <m/>
    <m/>
    <n v="153.75"/>
    <m/>
    <n v="999.37"/>
  </r>
  <r>
    <n v="2"/>
    <x v="2"/>
    <x v="0"/>
    <n v="154683"/>
    <s v="VERGARA GERARDO ANIBAL"/>
    <s v="20-23133676-2"/>
    <d v="2016-03-07T00:00:00"/>
    <n v="23133676"/>
    <s v="VERGARA"/>
    <s v="GERARDO ANIBAL"/>
    <s v="M"/>
    <m/>
    <d v="2015-07-21T00:00:00"/>
    <d v="2016-02-11T00:00:00"/>
    <m/>
    <s v="GASTRONOMICOS-Hoteles 4 y 5 Estrellas - 362/2003"/>
    <s v="Categoria 5"/>
    <x v="16"/>
    <s v="Back Office"/>
    <s v="Back Office"/>
    <s v="Tareas Generales"/>
    <n v="126205"/>
    <s v="O.S.Emp.Comercio y Act.Civiles"/>
    <s v="Buenos Aires - Almte. Brown"/>
    <m/>
    <n v="1019"/>
    <s v="AV. GAONA"/>
    <n v="513"/>
    <m/>
    <m/>
    <s v="CAPITAL FEDERAL"/>
    <s v="Buenos Aires"/>
    <m/>
    <m/>
    <m/>
    <n v="2"/>
    <n v="1"/>
    <n v="8952.08"/>
    <n v="1790.41"/>
    <m/>
    <n v="33533.53"/>
    <n v="40695.199999999997"/>
    <m/>
    <n v="179.04"/>
    <m/>
    <m/>
    <m/>
    <m/>
    <m/>
    <m/>
    <n v="89.52"/>
    <m/>
    <m/>
    <m/>
    <m/>
    <m/>
    <m/>
    <n v="179.04"/>
    <m/>
    <m/>
    <m/>
    <m/>
    <m/>
    <m/>
    <m/>
    <n v="89.52"/>
    <m/>
    <n v="537.12"/>
  </r>
  <r>
    <n v="2"/>
    <x v="2"/>
    <x v="0"/>
    <n v="165038"/>
    <s v="VILLAMIZAR SANCHEZ DANIELA CAROLINA"/>
    <s v="27-95495285-7"/>
    <d v="2016-03-07T00:00:00"/>
    <n v="95495285"/>
    <s v="VILLAMIZAR SANCHEZ"/>
    <s v="DANIELA CAROLINA"/>
    <s v="F"/>
    <m/>
    <d v="2015-12-31T00:00:00"/>
    <m/>
    <m/>
    <s v="GASTRONOMICOS-Hoteles 4 y 5 Estrellas - 362/2003"/>
    <s v="Categoria 6"/>
    <x v="6"/>
    <s v="Unidad Base-GL"/>
    <s v="Centro"/>
    <s v="Camarero/a"/>
    <n v="108803"/>
    <s v="O.S.P.Gastronomico"/>
    <s v="Capital Federal"/>
    <m/>
    <n v="1093"/>
    <s v="COMBATE DE LOS POZOS"/>
    <n v="1232"/>
    <m/>
    <m/>
    <s v="CAPITAL FEDERAL"/>
    <s v="Buenos Aires"/>
    <m/>
    <s v="U.O.Centro"/>
    <s v="Camareros Por Hora"/>
    <n v="1"/>
    <n v="1"/>
    <n v="668.54"/>
    <n v="133.72"/>
    <m/>
    <m/>
    <n v="534.82000000000005"/>
    <m/>
    <n v="13.37"/>
    <m/>
    <m/>
    <m/>
    <m/>
    <m/>
    <m/>
    <n v="6.69"/>
    <m/>
    <m/>
    <m/>
    <m/>
    <m/>
    <m/>
    <n v="13.37"/>
    <m/>
    <m/>
    <m/>
    <m/>
    <m/>
    <m/>
    <m/>
    <n v="6.69"/>
    <m/>
    <n v="40.119999999999997"/>
  </r>
  <r>
    <n v="2"/>
    <x v="2"/>
    <x v="1"/>
    <n v="130773"/>
    <s v="WTOREK WALTER EZEQUIEL"/>
    <s v="20-30454246-3"/>
    <d v="2016-03-07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2"/>
    <n v="1"/>
    <n v="16545.259999999998"/>
    <n v="3391.78"/>
    <m/>
    <m/>
    <n v="13153.48"/>
    <n v="413.63"/>
    <m/>
    <m/>
    <m/>
    <m/>
    <m/>
    <m/>
    <m/>
    <n v="165.45"/>
    <m/>
    <m/>
    <m/>
    <m/>
    <m/>
    <m/>
    <n v="330.91"/>
    <m/>
    <m/>
    <m/>
    <m/>
    <m/>
    <m/>
    <m/>
    <n v="165.45"/>
    <m/>
    <n v="1075.44"/>
  </r>
  <r>
    <n v="2"/>
    <x v="2"/>
    <x v="1"/>
    <n v="130538"/>
    <s v="ZAMORA MAXIMILIANO DAVID"/>
    <s v="20-33687121-3"/>
    <d v="2016-03-07T00:00:00"/>
    <n v="33687121"/>
    <s v="ZAMORA"/>
    <s v="MAXIMILIANO DAVID"/>
    <s v="M"/>
    <m/>
    <d v="2014-07-0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ECHAGUE"/>
    <n v="1584"/>
    <m/>
    <m/>
    <s v="CAPITAL FEDERAL"/>
    <s v="Capital Federal"/>
    <m/>
    <s v="U.O.Centro"/>
    <s v="Alvear Palace"/>
    <n v="1"/>
    <n v="1"/>
    <n v="4298.12"/>
    <n v="859.61"/>
    <m/>
    <m/>
    <n v="3438.51"/>
    <m/>
    <n v="85.96"/>
    <m/>
    <m/>
    <m/>
    <m/>
    <m/>
    <m/>
    <n v="42.98"/>
    <m/>
    <m/>
    <m/>
    <m/>
    <m/>
    <m/>
    <n v="85.96"/>
    <m/>
    <m/>
    <m/>
    <m/>
    <m/>
    <m/>
    <m/>
    <n v="42.98"/>
    <m/>
    <n v="257.88"/>
  </r>
  <r>
    <n v="2"/>
    <x v="2"/>
    <x v="0"/>
    <n v="156235"/>
    <s v="ZENTENO CRISTIAN OSCAR"/>
    <s v="20-37675043-5"/>
    <d v="2016-03-07T00:00:00"/>
    <n v="37675043"/>
    <s v="ZENTENO"/>
    <s v="CRISTIAN OSCAR"/>
    <s v="M"/>
    <m/>
    <d v="2016-02-01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CAMPICHUELO"/>
    <n v="181"/>
    <m/>
    <m/>
    <s v="CAPITAL FEDERAL"/>
    <s v="Capital Federal"/>
    <m/>
    <s v="U.O.Centro"/>
    <m/>
    <n v="3"/>
    <n v="1"/>
    <n v="11605.72"/>
    <n v="2321.14"/>
    <m/>
    <m/>
    <n v="9284.58"/>
    <m/>
    <n v="232.12"/>
    <m/>
    <m/>
    <m/>
    <m/>
    <m/>
    <m/>
    <n v="116.05"/>
    <m/>
    <m/>
    <m/>
    <m/>
    <m/>
    <m/>
    <n v="232.12"/>
    <m/>
    <m/>
    <m/>
    <m/>
    <m/>
    <m/>
    <m/>
    <n v="116.05"/>
    <m/>
    <n v="696.34"/>
  </r>
  <r>
    <n v="2"/>
    <x v="2"/>
    <x v="0"/>
    <n v="164888"/>
    <s v="ZURCO IRINA BELEN"/>
    <s v="27-35930307-1"/>
    <d v="2016-03-07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1"/>
    <n v="1"/>
    <n v="1128.19"/>
    <n v="225.64"/>
    <m/>
    <m/>
    <n v="902.55"/>
    <m/>
    <n v="22.56"/>
    <m/>
    <m/>
    <m/>
    <m/>
    <m/>
    <m/>
    <n v="11.28"/>
    <m/>
    <m/>
    <m/>
    <m/>
    <m/>
    <m/>
    <n v="22.56"/>
    <m/>
    <m/>
    <m/>
    <m/>
    <m/>
    <m/>
    <m/>
    <n v="11.28"/>
    <m/>
    <n v="67.680000000000007"/>
  </r>
  <r>
    <n v="3"/>
    <x v="3"/>
    <x v="0"/>
    <n v="118846"/>
    <s v="ACOSTA SUSANA BEATRIZ"/>
    <s v="27-32902543-3"/>
    <d v="2016-04-06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1"/>
    <n v="1"/>
    <n v="2989.6"/>
    <n v="597.92999999999995"/>
    <m/>
    <m/>
    <n v="2391.67"/>
    <m/>
    <n v="59.79"/>
    <m/>
    <m/>
    <m/>
    <m/>
    <m/>
    <m/>
    <n v="29.9"/>
    <m/>
    <m/>
    <m/>
    <m/>
    <m/>
    <m/>
    <n v="59.79"/>
    <m/>
    <m/>
    <m/>
    <m/>
    <m/>
    <m/>
    <m/>
    <n v="29.9"/>
    <m/>
    <n v="179.38"/>
  </r>
  <r>
    <n v="3"/>
    <x v="3"/>
    <x v="0"/>
    <n v="161989"/>
    <s v="AGUERO DANIEL OSCAR"/>
    <s v="20-30502739-2"/>
    <d v="2016-03-21T00:00:00"/>
    <n v="30502739"/>
    <s v="AGUERO"/>
    <s v="DANIEL OSCAR"/>
    <s v="M"/>
    <m/>
    <d v="2016-03-06T00:00:00"/>
    <m/>
    <m/>
    <s v="GASTRONOMICOS-Hoteles 4 y 5 Estrellas - 362/2003"/>
    <s v="Categoria 6"/>
    <x v="1"/>
    <s v="BANQUETES"/>
    <s v="Centro"/>
    <s v="Tareas Generales"/>
    <n v="111704"/>
    <s v="OS  DE ENCARGADOS APUNTADORES MARITIMOS"/>
    <s v="Capital Federal"/>
    <m/>
    <n v="1005"/>
    <s v="MORELLO"/>
    <n v="1005"/>
    <m/>
    <m/>
    <s v="CAPITAL FEDERAL"/>
    <s v="Capital Federal"/>
    <m/>
    <s v="U.O.Centro"/>
    <m/>
    <n v="1"/>
    <n v="1"/>
    <n v="648.72"/>
    <n v="129.74"/>
    <m/>
    <m/>
    <n v="518.98"/>
    <m/>
    <n v="12.97"/>
    <m/>
    <m/>
    <m/>
    <m/>
    <m/>
    <m/>
    <n v="6.49"/>
    <m/>
    <m/>
    <m/>
    <m/>
    <m/>
    <m/>
    <n v="12.97"/>
    <m/>
    <m/>
    <m/>
    <m/>
    <m/>
    <m/>
    <m/>
    <n v="6.49"/>
    <m/>
    <n v="38.92"/>
  </r>
  <r>
    <n v="3"/>
    <x v="3"/>
    <x v="1"/>
    <n v="168830"/>
    <s v="AGUILERA GONZALEZ JORGE LUIS"/>
    <s v="20-35068007-2"/>
    <d v="2016-04-06T00:00:00"/>
    <n v="35068007"/>
    <s v="AGUILERA GONZALEZ"/>
    <s v="JORGE LUIS"/>
    <s v="M"/>
    <m/>
    <d v="2016-02-22T00:00:00"/>
    <m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440"/>
    <s v="avenida Caseros"/>
    <n v="1584"/>
    <s v="No"/>
    <s v="No"/>
    <s v="CAPITAL FEDERAL"/>
    <s v="Capital Federal"/>
    <m/>
    <s v="U.O.Centro"/>
    <s v="Alvear Palace"/>
    <n v="1"/>
    <n v="1"/>
    <n v="12933.3"/>
    <n v="2586.66"/>
    <m/>
    <m/>
    <n v="10346.64"/>
    <m/>
    <n v="258.67"/>
    <m/>
    <m/>
    <m/>
    <m/>
    <m/>
    <m/>
    <n v="129.33000000000001"/>
    <m/>
    <m/>
    <m/>
    <m/>
    <m/>
    <m/>
    <n v="258.67"/>
    <m/>
    <m/>
    <m/>
    <m/>
    <m/>
    <m/>
    <m/>
    <n v="129.33000000000001"/>
    <m/>
    <n v="776"/>
  </r>
  <r>
    <n v="3"/>
    <x v="3"/>
    <x v="0"/>
    <n v="168151"/>
    <s v="ALBORNOZ PABLO RICARDO"/>
    <s v="20-37442721-1"/>
    <d v="2016-03-21T00:00:00"/>
    <n v="37442721"/>
    <s v="ALBORNOZ"/>
    <s v="PABLO RICARDO"/>
    <s v="M"/>
    <m/>
    <d v="2016-02-04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BAHIA BLANCA"/>
    <n v="1005"/>
    <m/>
    <m/>
    <s v="CAPITAL FEDERAL"/>
    <s v="Capital Federal"/>
    <m/>
    <s v="U.O.Centro"/>
    <m/>
    <n v="2"/>
    <n v="1"/>
    <n v="7950.45"/>
    <n v="1590.08"/>
    <m/>
    <m/>
    <n v="6360.37"/>
    <m/>
    <n v="159.01"/>
    <m/>
    <m/>
    <m/>
    <m/>
    <m/>
    <m/>
    <n v="79.5"/>
    <m/>
    <m/>
    <m/>
    <m/>
    <m/>
    <m/>
    <n v="159.01"/>
    <m/>
    <m/>
    <m/>
    <m/>
    <m/>
    <m/>
    <m/>
    <n v="79.5"/>
    <m/>
    <n v="477.02"/>
  </r>
  <r>
    <n v="3"/>
    <x v="3"/>
    <x v="0"/>
    <n v="163367"/>
    <s v="ALEGRE EMANUEL MARTIN"/>
    <s v="20-26353502-3"/>
    <d v="2016-04-06T00:00:00"/>
    <n v="26353502"/>
    <s v="ALEGRE"/>
    <s v="EMANUEL MARTIN"/>
    <s v="M"/>
    <m/>
    <d v="2015-11-20T00:00:00"/>
    <m/>
    <m/>
    <s v="GASTRONOMICOS-Hoteles 4 y 5 Estrellas - 362/2003"/>
    <s v="Categoria 2"/>
    <x v="5"/>
    <s v="Bacheros - GL"/>
    <s v="Centro"/>
    <s v="Bachero"/>
    <n v="126908"/>
    <s v="OS DE LOS MEDICOS DE LA CIUDAD DE BUENOS AIRES"/>
    <s v="Capital Federal"/>
    <m/>
    <n v="1104"/>
    <s v="CASACUBERTA"/>
    <n v="1225"/>
    <m/>
    <m/>
    <s v="CAPITAL FEDERAL"/>
    <s v="Buenos Aires"/>
    <m/>
    <s v="U.O.Centro"/>
    <m/>
    <n v="2"/>
    <n v="1"/>
    <n v="1326.98"/>
    <n v="265.36"/>
    <m/>
    <m/>
    <n v="1061.6199999999999"/>
    <m/>
    <n v="26.54"/>
    <m/>
    <m/>
    <m/>
    <m/>
    <m/>
    <m/>
    <n v="13.26"/>
    <m/>
    <m/>
    <m/>
    <m/>
    <m/>
    <m/>
    <n v="26.54"/>
    <m/>
    <m/>
    <m/>
    <m/>
    <m/>
    <m/>
    <m/>
    <n v="13.26"/>
    <m/>
    <n v="79.599999999999994"/>
  </r>
  <r>
    <n v="3"/>
    <x v="3"/>
    <x v="0"/>
    <n v="170315"/>
    <s v="ALFARO XIOMARA"/>
    <s v="27-38154917-3"/>
    <d v="2016-04-06T00:00:00"/>
    <n v="38154917"/>
    <s v="ALFARO"/>
    <s v="XIOMAR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Tres Sargento"/>
    <n v="1225"/>
    <m/>
    <m/>
    <s v="CAPITAL FEDERAL"/>
    <s v="Buenos Aires"/>
    <m/>
    <s v="U.O.Centro"/>
    <m/>
    <n v="1"/>
    <n v="1"/>
    <n v="1558.59"/>
    <n v="311.72000000000003"/>
    <m/>
    <m/>
    <n v="1246.8699999999999"/>
    <m/>
    <n v="31.17"/>
    <m/>
    <m/>
    <m/>
    <m/>
    <m/>
    <m/>
    <n v="15.59"/>
    <m/>
    <m/>
    <m/>
    <m/>
    <m/>
    <m/>
    <n v="31.17"/>
    <m/>
    <m/>
    <m/>
    <m/>
    <m/>
    <m/>
    <m/>
    <n v="15.59"/>
    <m/>
    <n v="93.52"/>
  </r>
  <r>
    <n v="3"/>
    <x v="3"/>
    <x v="0"/>
    <n v="168236"/>
    <s v="ALFONZO SEBASTIAN ALEJANDRO"/>
    <s v="20-34553164-6"/>
    <d v="2016-04-06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2"/>
    <n v="1"/>
    <n v="7120.64"/>
    <n v="1424.13"/>
    <m/>
    <m/>
    <n v="5696.51"/>
    <m/>
    <n v="142.41"/>
    <m/>
    <m/>
    <m/>
    <m/>
    <m/>
    <m/>
    <n v="71.209999999999994"/>
    <m/>
    <m/>
    <m/>
    <m/>
    <m/>
    <m/>
    <n v="142.41"/>
    <m/>
    <m/>
    <m/>
    <m/>
    <m/>
    <m/>
    <m/>
    <n v="71.209999999999994"/>
    <m/>
    <n v="427.24"/>
  </r>
  <r>
    <n v="3"/>
    <x v="3"/>
    <x v="0"/>
    <n v="157118"/>
    <s v="ALMIRON VALERIA NOEMI"/>
    <s v="27-33791081-0"/>
    <d v="2016-03-30T00:00:00"/>
    <n v="33791081"/>
    <s v="ALMIRON"/>
    <s v="VALERIA NOEMI"/>
    <s v="F"/>
    <m/>
    <d v="2015-09-05T00:00:00"/>
    <d v="2016-02-05T00:00:00"/>
    <m/>
    <s v="GASTRONOMICOS-Hoteles 4 y 5 Estrellas - 362/2003"/>
    <s v="Categoria 6"/>
    <x v="13"/>
    <s v="Unidad Base-GL"/>
    <s v="San Isidro"/>
    <s v="Camarero/a"/>
    <n v="108803"/>
    <s v="O.S.P.Gastronomico"/>
    <s v="Buenos Aires - Tigre"/>
    <s v="Nordelta"/>
    <n v="1648"/>
    <s v="AVELLANEDA"/>
    <n v="240"/>
    <m/>
    <m/>
    <s v="TIGRE"/>
    <s v="Buenos Aires"/>
    <m/>
    <s v="U.O.Casa Central"/>
    <m/>
    <n v="1"/>
    <n v="1"/>
    <n v="1618.8"/>
    <n v="323.76"/>
    <m/>
    <n v="366.16"/>
    <n v="1661.2"/>
    <m/>
    <n v="32.380000000000003"/>
    <m/>
    <m/>
    <m/>
    <m/>
    <m/>
    <m/>
    <n v="16.190000000000001"/>
    <m/>
    <m/>
    <m/>
    <m/>
    <m/>
    <m/>
    <n v="32.380000000000003"/>
    <m/>
    <m/>
    <m/>
    <m/>
    <m/>
    <m/>
    <m/>
    <n v="16.190000000000001"/>
    <m/>
    <n v="97.14"/>
  </r>
  <r>
    <n v="3"/>
    <x v="3"/>
    <x v="0"/>
    <n v="156318"/>
    <s v="ALMONTE MARIANELA"/>
    <s v="27-19029144-3"/>
    <d v="2016-04-06T00:00:00"/>
    <n v="19029144"/>
    <s v="ALMONTE"/>
    <s v="MARIANELA"/>
    <s v="F"/>
    <m/>
    <d v="2015-08-18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REMEDIO DE ESCALADA"/>
    <n v="474"/>
    <m/>
    <m/>
    <s v="CAPITAL FEDERAL"/>
    <s v="Buenos Aires"/>
    <m/>
    <s v="U.O.Centro"/>
    <m/>
    <n v="1"/>
    <n v="1"/>
    <n v="2765.45"/>
    <n v="553.08000000000004"/>
    <m/>
    <m/>
    <n v="2212.37"/>
    <m/>
    <n v="55.31"/>
    <m/>
    <m/>
    <m/>
    <m/>
    <m/>
    <m/>
    <n v="27.65"/>
    <m/>
    <m/>
    <m/>
    <m/>
    <m/>
    <m/>
    <n v="55.31"/>
    <m/>
    <m/>
    <m/>
    <m/>
    <m/>
    <m/>
    <m/>
    <n v="27.65"/>
    <m/>
    <n v="165.92"/>
  </r>
  <r>
    <n v="3"/>
    <x v="3"/>
    <x v="0"/>
    <n v="163395"/>
    <s v="ALTAMIRANO EUGENIA DELIA"/>
    <s v="27-33347518-4"/>
    <d v="2016-03-21T00:00:00"/>
    <n v="33347518"/>
    <s v="ALTAMIRANO"/>
    <s v="EUGENIA DELI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GUDO"/>
    <n v="1225"/>
    <m/>
    <m/>
    <s v="CAPITAL FEDERAL"/>
    <s v="Buenos Aires"/>
    <m/>
    <s v="U.O.Pacheco"/>
    <m/>
    <n v="1"/>
    <n v="1"/>
    <n v="1168.95"/>
    <n v="233.79"/>
    <m/>
    <m/>
    <n v="935.16"/>
    <m/>
    <n v="23.38"/>
    <m/>
    <m/>
    <m/>
    <m/>
    <m/>
    <m/>
    <n v="11.69"/>
    <m/>
    <m/>
    <m/>
    <m/>
    <m/>
    <m/>
    <n v="23.38"/>
    <m/>
    <m/>
    <m/>
    <m/>
    <m/>
    <m/>
    <m/>
    <n v="11.69"/>
    <m/>
    <n v="70.14"/>
  </r>
  <r>
    <n v="3"/>
    <x v="3"/>
    <x v="0"/>
    <n v="156038"/>
    <s v="AMARILLA GLADIS NORMA"/>
    <s v="27-31471414-3"/>
    <d v="2016-04-06T00:00:00"/>
    <n v="31471414"/>
    <s v="AMARILLA"/>
    <s v="GLADIS NORMA"/>
    <s v="F"/>
    <m/>
    <d v="2015-12-03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N JAVIER"/>
    <n v="1005"/>
    <m/>
    <m/>
    <s v="CAPITAL FEDERAL"/>
    <s v="Capital Federal"/>
    <m/>
    <s v="U.O.Centro"/>
    <m/>
    <n v="4"/>
    <n v="1"/>
    <n v="11135.31"/>
    <n v="2227.06"/>
    <m/>
    <m/>
    <n v="8908.25"/>
    <m/>
    <n v="222.71"/>
    <m/>
    <m/>
    <m/>
    <m/>
    <m/>
    <m/>
    <n v="111.35"/>
    <m/>
    <m/>
    <m/>
    <m/>
    <m/>
    <m/>
    <n v="222.71"/>
    <m/>
    <m/>
    <m/>
    <m/>
    <m/>
    <m/>
    <m/>
    <n v="111.35"/>
    <m/>
    <n v="668.12"/>
  </r>
  <r>
    <n v="3"/>
    <x v="3"/>
    <x v="0"/>
    <n v="170256"/>
    <s v="AMARILLA JACQUELINE DENISE"/>
    <s v="27-29153317-0"/>
    <d v="2016-04-06T00:00:00"/>
    <n v="29153317"/>
    <s v="AMARILLA"/>
    <s v="JACQUELINE DENISE"/>
    <s v="F"/>
    <m/>
    <d v="2016-03-31T00:00:00"/>
    <m/>
    <m/>
    <s v="GASTRONOMICOS-Hoteles 4 y 5 Estrellas - 362/2003"/>
    <s v="Categoria 6"/>
    <x v="1"/>
    <s v="BANQUETES"/>
    <s v="Centro"/>
    <s v="Tareas Generales"/>
    <n v="101604"/>
    <s v="O.S.P.Automovil Club Argentino*"/>
    <s v="Capital Federal"/>
    <m/>
    <n v="1005"/>
    <s v="JENNER"/>
    <n v="1005"/>
    <m/>
    <m/>
    <s v="CAPITAL FEDERAL"/>
    <s v="Capital Federal"/>
    <m/>
    <s v="U.O.Centro"/>
    <m/>
    <n v="3"/>
    <n v="1"/>
    <n v="3359.7"/>
    <n v="671.93"/>
    <m/>
    <m/>
    <n v="2687.77"/>
    <m/>
    <n v="67.19"/>
    <m/>
    <m/>
    <m/>
    <m/>
    <m/>
    <m/>
    <n v="33.6"/>
    <m/>
    <m/>
    <m/>
    <m/>
    <m/>
    <m/>
    <n v="67.19"/>
    <m/>
    <m/>
    <m/>
    <m/>
    <m/>
    <m/>
    <m/>
    <n v="33.6"/>
    <m/>
    <n v="201.58"/>
  </r>
  <r>
    <n v="3"/>
    <x v="3"/>
    <x v="0"/>
    <n v="137716"/>
    <s v="AMARILLA MARIANELA SOLEDAD"/>
    <s v="23-35068319-4"/>
    <d v="2016-04-06T00:00:00"/>
    <n v="35068319"/>
    <s v="AMARILLA"/>
    <s v="MARIANELA SOLEDAD"/>
    <s v="F"/>
    <m/>
    <d v="2014-11-15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LACARRA"/>
    <n v="1232"/>
    <m/>
    <m/>
    <s v="CAPITAL FEDERAL"/>
    <s v="Buenos Aires"/>
    <m/>
    <s v="U.O.Centro"/>
    <s v="Mucama por Jornada"/>
    <n v="1"/>
    <n v="1"/>
    <n v="9718.98"/>
    <n v="1992.39"/>
    <m/>
    <m/>
    <n v="7726.59"/>
    <n v="242.97"/>
    <m/>
    <m/>
    <m/>
    <m/>
    <m/>
    <m/>
    <m/>
    <n v="97.19"/>
    <m/>
    <m/>
    <m/>
    <m/>
    <m/>
    <m/>
    <n v="194.38"/>
    <m/>
    <m/>
    <m/>
    <m/>
    <m/>
    <m/>
    <m/>
    <n v="97.19"/>
    <m/>
    <n v="631.73"/>
  </r>
  <r>
    <n v="3"/>
    <x v="3"/>
    <x v="0"/>
    <n v="170275"/>
    <s v="AMAYA WALDO ABEL"/>
    <s v="20-29322262-3"/>
    <d v="2016-03-21T00:00:00"/>
    <n v="29322262"/>
    <s v="AMAYA"/>
    <s v="WALDO ABEL"/>
    <s v="M"/>
    <m/>
    <d v="2016-03-12T00:00:00"/>
    <m/>
    <m/>
    <s v="GASTRONOMICOS-Hoteles 4 y 5 Estrellas - 362/2003"/>
    <s v="Categoria 6"/>
    <x v="5"/>
    <s v="Extra Dotación Mozos / Camareros - GL"/>
    <s v="Centro"/>
    <s v="Camarero/a"/>
    <n v="116105"/>
    <s v="OS  DE CAPATACES  ESTIBADORES PORTUARIOS"/>
    <s v="Capital Federal"/>
    <m/>
    <n v="1104"/>
    <s v="E. MANZONI"/>
    <n v="1225"/>
    <m/>
    <s v="PA"/>
    <s v="CAPITAL FEDERAL"/>
    <s v="Buenos Aires"/>
    <m/>
    <s v="U.O.Centro"/>
    <m/>
    <n v="1"/>
    <n v="1"/>
    <n v="779.29"/>
    <n v="155.86000000000001"/>
    <m/>
    <m/>
    <n v="623.42999999999995"/>
    <m/>
    <n v="15.59"/>
    <m/>
    <m/>
    <m/>
    <m/>
    <m/>
    <m/>
    <n v="7.79"/>
    <m/>
    <m/>
    <m/>
    <m/>
    <m/>
    <m/>
    <n v="15.59"/>
    <m/>
    <m/>
    <m/>
    <m/>
    <m/>
    <m/>
    <m/>
    <n v="7.79"/>
    <m/>
    <n v="46.76"/>
  </r>
  <r>
    <n v="3"/>
    <x v="3"/>
    <x v="0"/>
    <n v="171023"/>
    <s v="AMPARO MIRANDA ESCOBAR"/>
    <s v="27-94538140-5"/>
    <d v="2016-04-06T00:00:00"/>
    <n v="94538140"/>
    <s v="AMPARO"/>
    <s v="MIRANDA ESCOBAR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BELGRANO"/>
    <n v="1005"/>
    <n v="3"/>
    <n v="1210"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0"/>
    <n v="169461"/>
    <s v="AREGUATI MARIA LUZ"/>
    <s v="27-35880306-2"/>
    <d v="2016-04-06T00:00:00"/>
    <n v="35880306"/>
    <s v="AREGUATI"/>
    <s v="MARIA LUZ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DARCO"/>
    <n v="1225"/>
    <m/>
    <m/>
    <s v="CAPITAL FEDERAL"/>
    <s v="Buenos Aires"/>
    <m/>
    <s v="U.O.San Justo"/>
    <m/>
    <n v="2"/>
    <n v="1"/>
    <n v="9612.25"/>
    <n v="1922.43"/>
    <m/>
    <m/>
    <n v="7689.82"/>
    <m/>
    <n v="192.24"/>
    <m/>
    <m/>
    <m/>
    <m/>
    <m/>
    <m/>
    <n v="96.12"/>
    <m/>
    <m/>
    <m/>
    <m/>
    <m/>
    <m/>
    <n v="192.24"/>
    <m/>
    <m/>
    <m/>
    <m/>
    <m/>
    <m/>
    <m/>
    <n v="96.12"/>
    <m/>
    <n v="576.72"/>
  </r>
  <r>
    <n v="3"/>
    <x v="3"/>
    <x v="0"/>
    <n v="139740"/>
    <s v="AREVALO PABLO DAVID"/>
    <s v="20-37897359-8"/>
    <d v="2016-04-06T00:00:00"/>
    <n v="37897359"/>
    <s v="AREVALO"/>
    <s v="PABLO DAVID"/>
    <s v="M"/>
    <m/>
    <d v="2015-08-1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UJAN"/>
    <n v="1005"/>
    <m/>
    <m/>
    <s v="CAPITAL FEDERAL"/>
    <s v="Capital Federal"/>
    <m/>
    <s v="U.O.Centro"/>
    <m/>
    <n v="5"/>
    <n v="1"/>
    <n v="10995.95"/>
    <n v="2199.19"/>
    <m/>
    <m/>
    <n v="8796.76"/>
    <m/>
    <n v="219.92"/>
    <m/>
    <m/>
    <m/>
    <m/>
    <m/>
    <m/>
    <n v="109.95"/>
    <m/>
    <m/>
    <m/>
    <m/>
    <m/>
    <m/>
    <n v="219.92"/>
    <m/>
    <m/>
    <m/>
    <m/>
    <m/>
    <m/>
    <m/>
    <n v="109.95"/>
    <m/>
    <n v="659.74"/>
  </r>
  <r>
    <n v="3"/>
    <x v="3"/>
    <x v="0"/>
    <n v="166810"/>
    <s v="ARRIETA CLAUDIA ALEJANDRA"/>
    <s v="27-20538808-2"/>
    <d v="2016-04-06T00:00:00"/>
    <n v="20538808"/>
    <s v="ARRIETA"/>
    <s v="CLAUDIA ALEJANDRA"/>
    <s v="F"/>
    <m/>
    <d v="2016-01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RACAS"/>
    <n v="474"/>
    <m/>
    <m/>
    <s v="CAPITAL FEDERAL"/>
    <s v="Buenos Aires"/>
    <m/>
    <s v="U.O.Centro"/>
    <m/>
    <n v="1"/>
    <n v="1"/>
    <n v="5070"/>
    <n v="1014"/>
    <m/>
    <m/>
    <n v="4056"/>
    <m/>
    <n v="101.4"/>
    <m/>
    <m/>
    <m/>
    <m/>
    <m/>
    <m/>
    <n v="50.7"/>
    <m/>
    <m/>
    <m/>
    <m/>
    <m/>
    <m/>
    <n v="101.4"/>
    <m/>
    <m/>
    <m/>
    <m/>
    <m/>
    <m/>
    <m/>
    <n v="50.7"/>
    <m/>
    <n v="304.2"/>
  </r>
  <r>
    <n v="3"/>
    <x v="3"/>
    <x v="1"/>
    <n v="155970"/>
    <s v="BARRIONUEVO SILVIA NOEMI"/>
    <s v="27-22804897-1"/>
    <d v="2016-04-06T00:00:00"/>
    <n v="22804897"/>
    <s v="BARRIONUEVO"/>
    <s v="SILVIA NOEMI"/>
    <s v="F"/>
    <m/>
    <d v="2015-11-14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 COBO CURAPALIGUE"/>
    <n v="764"/>
    <s v="A"/>
    <m/>
    <s v="CAPITAL FEDERAL"/>
    <s v="Capital Federal"/>
    <m/>
    <s v="U.O.Centro Paga Inplant"/>
    <m/>
    <n v="5"/>
    <n v="1"/>
    <n v="5392.21"/>
    <n v="1078.46"/>
    <m/>
    <m/>
    <n v="4313.75"/>
    <m/>
    <n v="107.86"/>
    <m/>
    <m/>
    <m/>
    <m/>
    <m/>
    <m/>
    <n v="53.91"/>
    <m/>
    <m/>
    <m/>
    <m/>
    <m/>
    <m/>
    <n v="107.86"/>
    <m/>
    <m/>
    <m/>
    <m/>
    <m/>
    <m/>
    <m/>
    <n v="53.91"/>
    <m/>
    <n v="323.54000000000002"/>
  </r>
  <r>
    <n v="3"/>
    <x v="3"/>
    <x v="1"/>
    <n v="170476"/>
    <s v="BARRIOS MATIAS NICOLAS"/>
    <s v="20-30555126-1"/>
    <d v="2016-03-31T00:00:00"/>
    <n v="30555126"/>
    <s v="BARRIOS"/>
    <s v="MATIAS NICOLAS"/>
    <s v="M"/>
    <m/>
    <d v="2016-03-19T00:00:00"/>
    <m/>
    <m/>
    <s v="GASTRONOMICOS-Hoteles 4 y 5 Estrellas - 362/2003"/>
    <s v="Categoría 4"/>
    <x v="3"/>
    <s v="Unidad Principal"/>
    <s v="Centro"/>
    <s v="Tareas Generales"/>
    <n v="1102"/>
    <s v="OS  PARA LA ACTIVIDAD DOCENTE"/>
    <s v="Capital Federal"/>
    <m/>
    <n v="1002"/>
    <s v="FISCHETTI"/>
    <n v="764"/>
    <m/>
    <m/>
    <s v="CAPITAL FEDERAL"/>
    <s v="Capital Federal"/>
    <m/>
    <s v="U.O.Centro Paga Inplant"/>
    <m/>
    <n v="1"/>
    <n v="1"/>
    <n v="1401.99"/>
    <n v="280.39999999999998"/>
    <m/>
    <m/>
    <n v="1121.5899999999999"/>
    <m/>
    <n v="28.04"/>
    <m/>
    <m/>
    <m/>
    <m/>
    <m/>
    <m/>
    <n v="14.02"/>
    <m/>
    <m/>
    <m/>
    <m/>
    <m/>
    <m/>
    <n v="28.04"/>
    <m/>
    <m/>
    <m/>
    <m/>
    <m/>
    <m/>
    <m/>
    <n v="14.02"/>
    <m/>
    <n v="84.12"/>
  </r>
  <r>
    <n v="3"/>
    <x v="3"/>
    <x v="0"/>
    <n v="150709"/>
    <s v="BARRIOS NAHUEL ALEJANDRO"/>
    <s v="20-39155005-1"/>
    <d v="2016-04-06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2"/>
    <n v="1"/>
    <n v="1176.58"/>
    <n v="235.33"/>
    <m/>
    <m/>
    <n v="941.25"/>
    <m/>
    <n v="23.53"/>
    <m/>
    <m/>
    <m/>
    <m/>
    <m/>
    <m/>
    <n v="11.77"/>
    <m/>
    <m/>
    <m/>
    <m/>
    <m/>
    <m/>
    <n v="23.53"/>
    <m/>
    <m/>
    <m/>
    <m/>
    <m/>
    <m/>
    <m/>
    <n v="11.77"/>
    <m/>
    <n v="70.599999999999994"/>
  </r>
  <r>
    <n v="3"/>
    <x v="3"/>
    <x v="0"/>
    <n v="171010"/>
    <s v="BAYA ANDRES FERNANDO"/>
    <s v="20-32123994-4"/>
    <d v="2016-04-06T00:00:00"/>
    <n v="32123994"/>
    <s v="BAYA"/>
    <s v="ANDRES FERNAN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MARCELO T DE ALVEAR"/>
    <n v="1005"/>
    <m/>
    <m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0"/>
    <n v="158285"/>
    <s v="BELTRAN CAROLINA VANESA"/>
    <s v="27-35803096-9"/>
    <d v="2016-04-06T00:00:00"/>
    <n v="35803096"/>
    <s v="BELTRAN"/>
    <s v="CAROLINA VANESA"/>
    <s v="F"/>
    <m/>
    <d v="2015-09-2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NTIAGO DE LINIERS"/>
    <n v="1005"/>
    <m/>
    <m/>
    <s v="CAPITAL FEDERAL"/>
    <s v="Capital Federal"/>
    <m/>
    <s v="U.O.Centro"/>
    <m/>
    <n v="2"/>
    <n v="1"/>
    <n v="1286.1400000000001"/>
    <n v="257.22000000000003"/>
    <m/>
    <m/>
    <n v="1028.92"/>
    <m/>
    <n v="25.72"/>
    <m/>
    <m/>
    <m/>
    <m/>
    <m/>
    <m/>
    <n v="12.86"/>
    <m/>
    <m/>
    <m/>
    <m/>
    <m/>
    <m/>
    <n v="25.72"/>
    <m/>
    <m/>
    <m/>
    <m/>
    <m/>
    <m/>
    <m/>
    <n v="12.86"/>
    <m/>
    <n v="77.16"/>
  </r>
  <r>
    <n v="3"/>
    <x v="3"/>
    <x v="0"/>
    <n v="153657"/>
    <s v="BENITEZ LEONARDO RAMON"/>
    <s v="20-36457404-6"/>
    <d v="2016-04-06T00:00:00"/>
    <n v="36457404"/>
    <s v="BENITEZ"/>
    <s v="LEONARDO RAMON"/>
    <s v="M"/>
    <m/>
    <d v="2016-02-15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1"/>
    <n v="1"/>
    <n v="3672.54"/>
    <n v="734.52"/>
    <m/>
    <m/>
    <n v="2938.02"/>
    <m/>
    <n v="73.45"/>
    <m/>
    <m/>
    <m/>
    <m/>
    <m/>
    <m/>
    <n v="36.729999999999997"/>
    <m/>
    <m/>
    <m/>
    <m/>
    <m/>
    <m/>
    <n v="73.45"/>
    <m/>
    <m/>
    <m/>
    <m/>
    <m/>
    <m/>
    <m/>
    <n v="36.729999999999997"/>
    <m/>
    <n v="220.36"/>
  </r>
  <r>
    <n v="3"/>
    <x v="3"/>
    <x v="0"/>
    <n v="163463"/>
    <s v="BERDEJA ARENAS CARLA SOLEDAD"/>
    <s v="23-38008990-4"/>
    <d v="2016-04-06T00:00:00"/>
    <n v="38008990"/>
    <s v="BERDEJA ARENAS"/>
    <s v="CARLA SOLEDAD"/>
    <s v="F"/>
    <m/>
    <d v="2015-12-11T00:00:00"/>
    <d v="2016-02-29T00:00:00"/>
    <d v="2016-03-07T00:00:00"/>
    <s v="GASTRONOMICOS-Hoteles 4 y 5 Estrellas - 362/2003"/>
    <s v="Categoria 6"/>
    <x v="4"/>
    <s v="Unidad Base-GL"/>
    <s v="Centro"/>
    <s v="Tareas Generales"/>
    <n v="108803"/>
    <s v="O.S.P.Gastronomico"/>
    <s v="Capital Federal"/>
    <m/>
    <n v="1004"/>
    <s v="ENTRE RIOS"/>
    <n v="474"/>
    <m/>
    <m/>
    <s v="CAPITAL FEDERAL"/>
    <s v="Buenos Aires"/>
    <m/>
    <s v="U.O.Casa Central"/>
    <m/>
    <n v="1"/>
    <n v="1"/>
    <n v="247.17"/>
    <n v="49.44"/>
    <m/>
    <m/>
    <n v="197.73"/>
    <m/>
    <n v="4.9400000000000004"/>
    <m/>
    <m/>
    <m/>
    <m/>
    <m/>
    <m/>
    <n v="2.4700000000000002"/>
    <m/>
    <m/>
    <m/>
    <m/>
    <m/>
    <m/>
    <n v="4.9400000000000004"/>
    <m/>
    <m/>
    <m/>
    <m/>
    <m/>
    <m/>
    <m/>
    <n v="2.4700000000000002"/>
    <m/>
    <n v="14.82"/>
  </r>
  <r>
    <n v="3"/>
    <x v="3"/>
    <x v="0"/>
    <n v="169887"/>
    <s v="BOTICELLI LIDIA CAROLINA"/>
    <s v="27-25698889-0"/>
    <d v="2016-04-06T00:00:0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Mucama Por Hora"/>
    <n v="1"/>
    <n v="1"/>
    <n v="10069.049999999999"/>
    <n v="2013.81"/>
    <m/>
    <m/>
    <n v="8055.24"/>
    <m/>
    <n v="201.38"/>
    <m/>
    <m/>
    <m/>
    <m/>
    <m/>
    <m/>
    <n v="100.69"/>
    <m/>
    <m/>
    <m/>
    <m/>
    <m/>
    <m/>
    <n v="201.38"/>
    <m/>
    <m/>
    <m/>
    <m/>
    <m/>
    <m/>
    <m/>
    <n v="100.69"/>
    <m/>
    <n v="604.14"/>
  </r>
  <r>
    <n v="3"/>
    <x v="3"/>
    <x v="0"/>
    <n v="156037"/>
    <s v="BRAGA ERIKA GRACIELA"/>
    <s v="27-38026883-9"/>
    <d v="2016-04-06T00:00:00"/>
    <n v="38026883"/>
    <s v="BRAGA"/>
    <s v="ERIKA GRACIELA"/>
    <s v="F"/>
    <m/>
    <d v="2015-09-29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RIVADAVIA"/>
    <n v="1232"/>
    <n v="7"/>
    <s v="D"/>
    <s v="CAPITAL FEDERAL"/>
    <s v="Buenos Aires"/>
    <m/>
    <s v="U.O.Centro"/>
    <s v="Camarero por hora - BANQUETES"/>
    <n v="2"/>
    <n v="1"/>
    <n v="1601.89"/>
    <n v="320.38"/>
    <m/>
    <m/>
    <n v="1281.51"/>
    <m/>
    <n v="32.04"/>
    <m/>
    <m/>
    <m/>
    <m/>
    <m/>
    <m/>
    <n v="16.02"/>
    <m/>
    <m/>
    <m/>
    <m/>
    <m/>
    <m/>
    <n v="32.04"/>
    <m/>
    <m/>
    <m/>
    <m/>
    <m/>
    <m/>
    <m/>
    <n v="16.02"/>
    <m/>
    <n v="96.12"/>
  </r>
  <r>
    <n v="3"/>
    <x v="3"/>
    <x v="0"/>
    <n v="161236"/>
    <s v="BRIZUELA DUARTE ESTHER"/>
    <s v="27-94425030-7"/>
    <d v="2016-04-06T00:00:00"/>
    <n v="94425030"/>
    <s v="BRIZUELA DUARTE"/>
    <s v="ESTHER"/>
    <s v="F"/>
    <m/>
    <d v="2015-12-0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VENIDA ESPAÑA"/>
    <n v="1225"/>
    <m/>
    <m/>
    <s v="CAPITAL FEDERAL"/>
    <s v="Buenos Aires"/>
    <m/>
    <s v="U.O.Centro"/>
    <m/>
    <n v="2"/>
    <n v="1"/>
    <n v="10680.28"/>
    <n v="2136.0500000000002"/>
    <m/>
    <m/>
    <n v="8544.23"/>
    <m/>
    <n v="213.6"/>
    <m/>
    <m/>
    <m/>
    <m/>
    <m/>
    <m/>
    <n v="106.8"/>
    <m/>
    <m/>
    <m/>
    <m/>
    <m/>
    <m/>
    <n v="213.6"/>
    <m/>
    <m/>
    <m/>
    <m/>
    <m/>
    <m/>
    <m/>
    <n v="106.8"/>
    <m/>
    <n v="640.79999999999995"/>
  </r>
  <r>
    <n v="3"/>
    <x v="3"/>
    <x v="0"/>
    <n v="162608"/>
    <s v="BURGOS DAISY ELENA"/>
    <s v="27-95255547-8"/>
    <d v="2016-04-06T00:00:00"/>
    <n v="95255547"/>
    <s v="BURGOS"/>
    <s v="DAISY ELENA"/>
    <s v="F"/>
    <m/>
    <d v="2016-02-18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IRIARTE"/>
    <n v="474"/>
    <m/>
    <m/>
    <s v="CAPITAL FEDERAL"/>
    <s v="Buenos Aires"/>
    <m/>
    <s v="U.O.Centro"/>
    <m/>
    <n v="2"/>
    <n v="1"/>
    <n v="2765.47"/>
    <n v="553.08000000000004"/>
    <m/>
    <m/>
    <n v="2212.39"/>
    <m/>
    <n v="55.3"/>
    <m/>
    <m/>
    <m/>
    <m/>
    <m/>
    <m/>
    <n v="27.66"/>
    <m/>
    <m/>
    <m/>
    <m/>
    <m/>
    <m/>
    <n v="55.3"/>
    <m/>
    <m/>
    <m/>
    <m/>
    <m/>
    <m/>
    <m/>
    <n v="27.66"/>
    <m/>
    <n v="165.92"/>
  </r>
  <r>
    <n v="3"/>
    <x v="3"/>
    <x v="0"/>
    <n v="164254"/>
    <s v="BUSTILLO MARIANO"/>
    <s v="20-26096743-7"/>
    <d v="2016-03-21T00:00:00"/>
    <n v="26096743"/>
    <s v="BUSTILLO"/>
    <s v="MARIANO"/>
    <s v="M"/>
    <m/>
    <d v="2016-03-12T00:00:00"/>
    <m/>
    <m/>
    <s v="GASTRONOMICOS-Hoteles 4 y 5 Estrellas - 362/2003"/>
    <s v="Categoria 6"/>
    <x v="5"/>
    <s v="Extra Dotación Mozos / Camareros - GL"/>
    <s v="Centro"/>
    <s v="Tareas Generales"/>
    <n v="108803"/>
    <s v="O.S.P.Gastronomico"/>
    <s v="Capital Federal"/>
    <m/>
    <n v="1104"/>
    <s v="CORDOBA"/>
    <n v="1225"/>
    <n v="11"/>
    <s v="C"/>
    <s v="CAPITAL FEDERAL"/>
    <s v="Buenos Aires"/>
    <m/>
    <s v="U.O.Centro"/>
    <m/>
    <n v="1"/>
    <n v="1"/>
    <n v="779.29"/>
    <n v="155.86000000000001"/>
    <m/>
    <m/>
    <n v="623.42999999999995"/>
    <m/>
    <n v="15.59"/>
    <m/>
    <m/>
    <m/>
    <m/>
    <m/>
    <m/>
    <n v="7.79"/>
    <m/>
    <m/>
    <m/>
    <m/>
    <m/>
    <m/>
    <n v="15.59"/>
    <m/>
    <m/>
    <m/>
    <m/>
    <m/>
    <m/>
    <m/>
    <n v="7.79"/>
    <m/>
    <n v="46.76"/>
  </r>
  <r>
    <n v="3"/>
    <x v="3"/>
    <x v="0"/>
    <n v="169320"/>
    <s v="CABAÑA MACARENA"/>
    <s v="27-38400897-1"/>
    <d v="2016-04-06T00:00:00"/>
    <n v="38400897"/>
    <s v="CABAÑA"/>
    <s v="MACARENA"/>
    <s v="F"/>
    <m/>
    <d v="2016-02-29T00:00:00"/>
    <m/>
    <m/>
    <s v="GASTRONOMICOS-Hoteles 4 y 5 Estrellas - 362/2003"/>
    <s v="Categoria 6"/>
    <x v="7"/>
    <s v="Unidad Base-GL"/>
    <s v="Centro"/>
    <s v="Camarero/a"/>
    <n v="2501"/>
    <s v="O.S.DE MINISTROS, SECRETARIOS Y SUBSECRETARIOS"/>
    <s v="Capital Federal"/>
    <m/>
    <n v="1022"/>
    <s v="CUBA"/>
    <n v="181"/>
    <m/>
    <m/>
    <s v="CAPITAL FEDERAL"/>
    <s v="Capital Federal"/>
    <m/>
    <s v="U.O.Centro"/>
    <m/>
    <n v="1"/>
    <n v="1"/>
    <n v="2082.83"/>
    <n v="416.56"/>
    <m/>
    <m/>
    <n v="1666.27"/>
    <m/>
    <n v="41.66"/>
    <m/>
    <m/>
    <m/>
    <m/>
    <m/>
    <m/>
    <n v="20.83"/>
    <m/>
    <m/>
    <m/>
    <m/>
    <m/>
    <m/>
    <n v="41.66"/>
    <m/>
    <m/>
    <m/>
    <m/>
    <m/>
    <m/>
    <m/>
    <n v="20.83"/>
    <m/>
    <n v="124.98"/>
  </r>
  <r>
    <n v="3"/>
    <x v="3"/>
    <x v="0"/>
    <n v="161580"/>
    <s v="CAEIRO MAURO ALBERTO"/>
    <s v="20-30431921-7"/>
    <d v="2016-04-06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2"/>
    <n v="1"/>
    <n v="12079.05"/>
    <n v="2415.81"/>
    <m/>
    <m/>
    <n v="9663.24"/>
    <m/>
    <n v="241.58"/>
    <m/>
    <m/>
    <m/>
    <m/>
    <m/>
    <m/>
    <n v="120.79"/>
    <m/>
    <m/>
    <m/>
    <m/>
    <m/>
    <m/>
    <n v="241.58"/>
    <m/>
    <m/>
    <m/>
    <m/>
    <m/>
    <m/>
    <m/>
    <n v="120.79"/>
    <m/>
    <n v="724.74"/>
  </r>
  <r>
    <n v="3"/>
    <x v="3"/>
    <x v="0"/>
    <n v="160997"/>
    <s v="CALLA ADRIANZEN EVELYN MELANIA"/>
    <s v="27-94555348-6"/>
    <d v="2016-04-06T00:00:00"/>
    <n v="94555348"/>
    <s v="CALLA ADRIANZEN"/>
    <s v="EVELYN MELANIA"/>
    <s v="F"/>
    <m/>
    <d v="2015-11-25T00:00:00"/>
    <m/>
    <m/>
    <s v="GASTRONOMICOS-Hoteles 4 y 5 Estrellas - 362/2003"/>
    <s v="Categoria 6"/>
    <x v="5"/>
    <s v="Mozos / camareros - GL"/>
    <s v="Centro"/>
    <s v="Camarero/a"/>
    <n v="115300"/>
    <s v="OS DE  PETROLEROS"/>
    <s v="Capital Federal"/>
    <m/>
    <n v="1104"/>
    <s v="HIDALGO"/>
    <n v="1225"/>
    <n v="3"/>
    <s v="B"/>
    <s v="CAPITAL FEDERAL"/>
    <s v="Buenos Aires"/>
    <m/>
    <s v="U.O.Centro"/>
    <m/>
    <n v="2"/>
    <n v="1"/>
    <n v="4286.13"/>
    <n v="857.23"/>
    <m/>
    <m/>
    <n v="3428.9"/>
    <m/>
    <n v="85.72"/>
    <m/>
    <m/>
    <m/>
    <m/>
    <m/>
    <m/>
    <n v="42.86"/>
    <m/>
    <m/>
    <m/>
    <m/>
    <m/>
    <m/>
    <n v="85.72"/>
    <m/>
    <m/>
    <m/>
    <m/>
    <m/>
    <m/>
    <m/>
    <n v="42.86"/>
    <m/>
    <n v="257.16000000000003"/>
  </r>
  <r>
    <n v="3"/>
    <x v="3"/>
    <x v="1"/>
    <n v="170314"/>
    <s v="CAMPOS ANIBAL EDUARDO"/>
    <s v="20-38361143-2"/>
    <d v="2016-04-06T00:00:00"/>
    <n v="38361143"/>
    <s v="CAMPOS"/>
    <s v="ANIBAL EDUARDO"/>
    <s v="M"/>
    <m/>
    <d v="2016-03-19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INGENIERO HUERGO"/>
    <n v="1891"/>
    <n v="1"/>
    <m/>
    <s v="CAPITAL FEDERAL"/>
    <s v="Capital Federal"/>
    <m/>
    <s v="U.O.Centro"/>
    <s v="Alvear Palace"/>
    <n v="2"/>
    <n v="1"/>
    <n v="2206.17"/>
    <n v="441.23"/>
    <m/>
    <m/>
    <n v="1764.94"/>
    <m/>
    <n v="44.13"/>
    <m/>
    <m/>
    <m/>
    <m/>
    <m/>
    <m/>
    <n v="22.06"/>
    <m/>
    <m/>
    <m/>
    <m/>
    <m/>
    <m/>
    <n v="44.13"/>
    <m/>
    <m/>
    <m/>
    <m/>
    <m/>
    <m/>
    <m/>
    <n v="22.06"/>
    <m/>
    <n v="132.38"/>
  </r>
  <r>
    <n v="3"/>
    <x v="3"/>
    <x v="0"/>
    <n v="163383"/>
    <s v="CAÑETE SHEILA YAMILA"/>
    <s v="27-35905597-3"/>
    <d v="2016-04-06T00:00:00"/>
    <n v="35905597"/>
    <s v="CAÑETE"/>
    <s v="SHEILA YAMILA"/>
    <s v="F"/>
    <m/>
    <d v="2015-12-0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CHABAL RODRIGUEZ"/>
    <n v="1225"/>
    <m/>
    <m/>
    <s v="CAPITAL FEDERAL"/>
    <s v="Buenos Aires"/>
    <m/>
    <s v="U.O.Centro"/>
    <m/>
    <n v="2"/>
    <n v="1"/>
    <n v="5874.16"/>
    <n v="1174.82"/>
    <m/>
    <m/>
    <n v="4699.34"/>
    <m/>
    <n v="117.48"/>
    <m/>
    <m/>
    <m/>
    <m/>
    <m/>
    <m/>
    <n v="58.74"/>
    <m/>
    <m/>
    <m/>
    <m/>
    <m/>
    <m/>
    <n v="117.48"/>
    <m/>
    <m/>
    <m/>
    <m/>
    <m/>
    <m/>
    <m/>
    <n v="58.74"/>
    <m/>
    <n v="352.44"/>
  </r>
  <r>
    <n v="3"/>
    <x v="3"/>
    <x v="1"/>
    <n v="155312"/>
    <s v="CARBALLO PABLO ANDRES"/>
    <s v="23-31361633-9"/>
    <d v="2016-04-06T00:00:00"/>
    <n v="31361633"/>
    <s v="CARBALLO"/>
    <s v="PABLO ANDRES"/>
    <s v="M"/>
    <m/>
    <d v="2016-03-19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CARLOS CALVO"/>
    <n v="1891"/>
    <m/>
    <m/>
    <s v="CAPITAL FEDERAL"/>
    <s v="Capital Federal"/>
    <m/>
    <s v="U.O.Centro"/>
    <s v="Alvear Palace"/>
    <n v="2"/>
    <n v="1"/>
    <n v="4332.46"/>
    <n v="838.83"/>
    <m/>
    <m/>
    <n v="3493.63"/>
    <m/>
    <n v="86.65"/>
    <m/>
    <m/>
    <m/>
    <m/>
    <m/>
    <m/>
    <n v="15.67"/>
    <m/>
    <m/>
    <m/>
    <m/>
    <m/>
    <m/>
    <n v="86.65"/>
    <m/>
    <m/>
    <m/>
    <m/>
    <m/>
    <m/>
    <m/>
    <n v="15.67"/>
    <m/>
    <n v="204.64"/>
  </r>
  <r>
    <n v="3"/>
    <x v="3"/>
    <x v="0"/>
    <n v="171024"/>
    <s v="CARDONA GARZON LINA MARIA"/>
    <s v="27-94924295-7"/>
    <d v="2016-04-06T00:00:00"/>
    <n v="94924295"/>
    <s v="CARDONA GARZON"/>
    <s v="LINA MARIA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GUERO"/>
    <n v="1005"/>
    <m/>
    <m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1"/>
    <n v="169862"/>
    <s v="CARRIZO ROLANDO MARCELO"/>
    <s v="20-29842126-8"/>
    <d v="2016-03-31T00:00:00"/>
    <n v="29842126"/>
    <s v="CARRIZO"/>
    <s v="ROLANDO MARCELO"/>
    <s v="M"/>
    <m/>
    <d v="2016-03-08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PRIETO"/>
    <n v="764"/>
    <s v="-"/>
    <s v="-"/>
    <s v="CAPITAL FEDERAL"/>
    <s v="Capital Federal"/>
    <m/>
    <s v="U.O.Centro Paga Inplant"/>
    <m/>
    <n v="1"/>
    <n v="1"/>
    <n v="1082.8699999999999"/>
    <n v="216.59"/>
    <m/>
    <m/>
    <n v="866.28"/>
    <m/>
    <n v="21.66"/>
    <m/>
    <m/>
    <m/>
    <m/>
    <m/>
    <m/>
    <n v="10.83"/>
    <m/>
    <m/>
    <m/>
    <m/>
    <m/>
    <m/>
    <n v="21.66"/>
    <m/>
    <m/>
    <m/>
    <m/>
    <m/>
    <m/>
    <m/>
    <n v="10.83"/>
    <m/>
    <n v="64.98"/>
  </r>
  <r>
    <n v="3"/>
    <x v="3"/>
    <x v="0"/>
    <n v="144180"/>
    <s v="CATALAN CRISTINA DEL CARMEN"/>
    <s v="27-31138041-4"/>
    <d v="2016-04-06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Mucama Por Hora"/>
    <n v="1"/>
    <n v="1"/>
    <n v="15968.86"/>
    <n v="3193.78"/>
    <m/>
    <m/>
    <n v="12775.08"/>
    <m/>
    <n v="319.38"/>
    <m/>
    <m/>
    <m/>
    <m/>
    <m/>
    <m/>
    <n v="159.69"/>
    <m/>
    <m/>
    <m/>
    <m/>
    <m/>
    <m/>
    <n v="319.38"/>
    <m/>
    <m/>
    <m/>
    <m/>
    <m/>
    <m/>
    <m/>
    <n v="159.69"/>
    <m/>
    <n v="958.14"/>
  </r>
  <r>
    <n v="3"/>
    <x v="3"/>
    <x v="0"/>
    <n v="158525"/>
    <s v="CELIBERTI YESICA ROMINA"/>
    <s v="27-35202883-0"/>
    <d v="2016-04-06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Mucama Por Hora"/>
    <n v="1"/>
    <n v="1"/>
    <n v="15822.8"/>
    <n v="3243.67"/>
    <m/>
    <m/>
    <n v="12579.13"/>
    <n v="395.57"/>
    <m/>
    <m/>
    <m/>
    <m/>
    <m/>
    <m/>
    <m/>
    <n v="158.22999999999999"/>
    <m/>
    <m/>
    <m/>
    <m/>
    <m/>
    <m/>
    <n v="316.45999999999998"/>
    <m/>
    <m/>
    <m/>
    <m/>
    <m/>
    <m/>
    <m/>
    <n v="158.22999999999999"/>
    <m/>
    <n v="1028.49"/>
  </r>
  <r>
    <n v="3"/>
    <x v="3"/>
    <x v="1"/>
    <n v="162434"/>
    <s v="CENTURION NORMA BEATRIZ"/>
    <s v="27-27888691-9"/>
    <d v="2016-04-06T00:00:00"/>
    <n v="27888691"/>
    <s v="CENTURION"/>
    <s v="NORMA BEATRIZ"/>
    <s v="F"/>
    <m/>
    <d v="2016-03-18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CHASCOMUS"/>
    <n v="1891"/>
    <m/>
    <m/>
    <s v="CAPITAL FEDERAL"/>
    <s v="Capital Federal"/>
    <m/>
    <s v="U.O.Centro"/>
    <s v="Alvear Palace"/>
    <n v="1"/>
    <n v="1"/>
    <n v="1241.75"/>
    <n v="248.35"/>
    <m/>
    <m/>
    <n v="993.4"/>
    <m/>
    <n v="24.84"/>
    <m/>
    <m/>
    <m/>
    <m/>
    <m/>
    <m/>
    <n v="12.42"/>
    <m/>
    <m/>
    <m/>
    <m/>
    <m/>
    <m/>
    <n v="24.84"/>
    <m/>
    <m/>
    <m/>
    <m/>
    <m/>
    <m/>
    <m/>
    <n v="12.42"/>
    <m/>
    <n v="74.52"/>
  </r>
  <r>
    <n v="3"/>
    <x v="3"/>
    <x v="0"/>
    <n v="170318"/>
    <s v="CERNEAZ JOANA"/>
    <s v="27-35043953-1"/>
    <d v="2016-04-06T00:00:0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. MEDRANO"/>
    <n v="1225"/>
    <s v="PB"/>
    <m/>
    <s v="CAPITAL FEDERAL"/>
    <s v="Buenos Aires"/>
    <m/>
    <s v="U.O.Centro"/>
    <m/>
    <n v="1"/>
    <n v="1"/>
    <n v="1558.59"/>
    <n v="311.72000000000003"/>
    <m/>
    <m/>
    <n v="1246.8699999999999"/>
    <m/>
    <n v="31.17"/>
    <m/>
    <m/>
    <m/>
    <m/>
    <m/>
    <m/>
    <n v="15.59"/>
    <m/>
    <m/>
    <m/>
    <m/>
    <m/>
    <m/>
    <n v="31.17"/>
    <m/>
    <m/>
    <m/>
    <m/>
    <m/>
    <m/>
    <m/>
    <n v="15.59"/>
    <m/>
    <n v="93.52"/>
  </r>
  <r>
    <n v="3"/>
    <x v="3"/>
    <x v="1"/>
    <n v="170909"/>
    <s v="CERVO MASSIMILIANO ALESSANDRO"/>
    <s v="20-18867785-2"/>
    <d v="2016-03-31T00:00:00"/>
    <n v="18867785"/>
    <s v="CERVO"/>
    <s v="MASSIMILIANO ALESSANDRO"/>
    <s v="M"/>
    <m/>
    <d v="2016-03-0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ZCUENAGA"/>
    <n v="764"/>
    <n v="5"/>
    <s v="D"/>
    <s v="CAPITAL FEDERAL"/>
    <s v="Capital Federal"/>
    <m/>
    <s v="U.O.Centro Paga Inplant"/>
    <m/>
    <n v="1"/>
    <n v="1"/>
    <n v="841.2"/>
    <n v="168.24"/>
    <m/>
    <m/>
    <n v="672.96"/>
    <m/>
    <n v="16.82"/>
    <m/>
    <m/>
    <m/>
    <m/>
    <m/>
    <m/>
    <n v="8.41"/>
    <m/>
    <m/>
    <m/>
    <m/>
    <m/>
    <m/>
    <n v="16.82"/>
    <m/>
    <m/>
    <m/>
    <m/>
    <m/>
    <m/>
    <m/>
    <n v="8.41"/>
    <m/>
    <n v="50.46"/>
  </r>
  <r>
    <n v="3"/>
    <x v="3"/>
    <x v="1"/>
    <n v="112977"/>
    <s v="CHACON NADIA DE LOS ANGELES"/>
    <s v="27-34151854-2"/>
    <d v="2016-04-06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10390.18"/>
    <n v="2129.9899999999998"/>
    <m/>
    <m/>
    <n v="8260.19"/>
    <n v="259.75"/>
    <m/>
    <m/>
    <m/>
    <m/>
    <m/>
    <m/>
    <m/>
    <n v="103.9"/>
    <m/>
    <m/>
    <m/>
    <m/>
    <m/>
    <m/>
    <n v="207.8"/>
    <m/>
    <m/>
    <m/>
    <m/>
    <m/>
    <m/>
    <m/>
    <n v="103.9"/>
    <m/>
    <n v="675.35"/>
  </r>
  <r>
    <n v="3"/>
    <x v="3"/>
    <x v="1"/>
    <n v="165990"/>
    <s v="CION BEATRIZ  LILIANA"/>
    <s v="27-24432411-3"/>
    <d v="2016-03-31T00:00:00"/>
    <n v="24432411"/>
    <s v="CION"/>
    <s v="BEATRIZ  LILIANA"/>
    <s v="F"/>
    <m/>
    <d v="2016-0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RODO"/>
    <n v="764"/>
    <m/>
    <m/>
    <s v="CAPITAL FEDERAL"/>
    <s v="Capital Federal"/>
    <m/>
    <s v="U.O.Centro Paga Inplant"/>
    <m/>
    <n v="1"/>
    <n v="1"/>
    <n v="480.68"/>
    <n v="96.13"/>
    <m/>
    <m/>
    <n v="384.55"/>
    <m/>
    <n v="9.61"/>
    <m/>
    <m/>
    <m/>
    <m/>
    <m/>
    <m/>
    <n v="4.8099999999999996"/>
    <m/>
    <m/>
    <m/>
    <m/>
    <m/>
    <m/>
    <n v="9.61"/>
    <m/>
    <m/>
    <m/>
    <m/>
    <m/>
    <m/>
    <m/>
    <n v="4.8099999999999996"/>
    <m/>
    <n v="28.84"/>
  </r>
  <r>
    <n v="3"/>
    <x v="3"/>
    <x v="0"/>
    <n v="171062"/>
    <s v="CIPRIANO RODOLFO DARDO"/>
    <s v="20-22964628-2"/>
    <d v="2016-04-06T00:00:00"/>
    <n v="22964628"/>
    <s v="CIPRIANO"/>
    <s v="RODOLFO DAR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MA"/>
    <n v="1005"/>
    <m/>
    <m/>
    <s v="CAPITAL FEDERAL"/>
    <s v="Capital Federal"/>
    <m/>
    <s v="U.O.Centro"/>
    <m/>
    <n v="1"/>
    <n v="1"/>
    <n v="547.49"/>
    <n v="109.48"/>
    <m/>
    <m/>
    <n v="438.01"/>
    <m/>
    <n v="10.95"/>
    <m/>
    <m/>
    <m/>
    <m/>
    <m/>
    <m/>
    <n v="5.47"/>
    <m/>
    <m/>
    <m/>
    <m/>
    <m/>
    <m/>
    <n v="10.95"/>
    <m/>
    <m/>
    <m/>
    <m/>
    <m/>
    <m/>
    <m/>
    <n v="5.47"/>
    <m/>
    <n v="32.840000000000003"/>
  </r>
  <r>
    <n v="3"/>
    <x v="3"/>
    <x v="1"/>
    <n v="164608"/>
    <s v="CLERICCETTI ANALIA BELEN"/>
    <s v="27-35139027-7"/>
    <d v="2016-03-31T00:00:00"/>
    <n v="35139027"/>
    <s v="CLERICCETTI"/>
    <s v="ANALIA BELEN"/>
    <s v="F"/>
    <m/>
    <d v="2015-12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MENDOZA"/>
    <n v="764"/>
    <m/>
    <m/>
    <s v="CAPITAL FEDERAL"/>
    <s v="Capital Federal"/>
    <m/>
    <s v="U.O.Centro Paga Inplant"/>
    <m/>
    <n v="1"/>
    <n v="1"/>
    <n v="9382"/>
    <n v="1876.4"/>
    <m/>
    <m/>
    <n v="7505.6"/>
    <m/>
    <n v="187.64"/>
    <m/>
    <m/>
    <m/>
    <m/>
    <m/>
    <m/>
    <n v="93.82"/>
    <m/>
    <m/>
    <m/>
    <m/>
    <m/>
    <m/>
    <n v="187.64"/>
    <m/>
    <m/>
    <m/>
    <m/>
    <m/>
    <m/>
    <m/>
    <n v="93.82"/>
    <m/>
    <n v="562.91999999999996"/>
  </r>
  <r>
    <n v="3"/>
    <x v="3"/>
    <x v="0"/>
    <n v="162208"/>
    <s v="COCCOLO GARCIA MARTIN ARIEL"/>
    <s v="23-95500284-9"/>
    <d v="2016-04-06T00:00:00"/>
    <n v="95500284"/>
    <s v="COCCOLO GARCIA"/>
    <s v="MARTIN ARIEL"/>
    <s v="M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AEZ"/>
    <n v="1225"/>
    <n v="2"/>
    <m/>
    <s v="CAPITAL FEDERAL"/>
    <s v="Buenos Aires"/>
    <m/>
    <s v="U.O.Centro"/>
    <m/>
    <n v="2"/>
    <n v="1"/>
    <n v="1558.58"/>
    <n v="311.72000000000003"/>
    <m/>
    <m/>
    <n v="1246.8599999999999"/>
    <m/>
    <n v="31.18"/>
    <m/>
    <m/>
    <m/>
    <m/>
    <m/>
    <m/>
    <n v="15.58"/>
    <m/>
    <m/>
    <m/>
    <m/>
    <m/>
    <m/>
    <n v="31.18"/>
    <m/>
    <m/>
    <m/>
    <m/>
    <m/>
    <m/>
    <m/>
    <n v="15.58"/>
    <m/>
    <n v="93.52"/>
  </r>
  <r>
    <n v="3"/>
    <x v="3"/>
    <x v="0"/>
    <n v="171012"/>
    <s v="CONTE LUCIANO GABRIEL"/>
    <s v="20-36530593-6"/>
    <d v="2016-04-06T00:00:00"/>
    <n v="36530593"/>
    <s v="CONTE"/>
    <s v="LUCIANO GABRIEL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ERETTI"/>
    <n v="1005"/>
    <m/>
    <m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0"/>
    <n v="169941"/>
    <s v="CORONEL LEANDRO"/>
    <s v="20-34713896-8"/>
    <d v="2016-04-06T00:00:00"/>
    <n v="34713896"/>
    <s v="CORONEL"/>
    <s v="LEANDRO"/>
    <s v="M"/>
    <m/>
    <d v="2016-03-0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Chacabuco"/>
    <n v="1225"/>
    <s v="PB"/>
    <m/>
    <s v="CAPITAL FEDERAL"/>
    <s v="Buenos Aires"/>
    <m/>
    <s v="U.O.Centro"/>
    <m/>
    <n v="2"/>
    <n v="1"/>
    <n v="5302.91"/>
    <n v="1060.5899999999999"/>
    <m/>
    <m/>
    <n v="4242.32"/>
    <m/>
    <n v="106.06"/>
    <m/>
    <m/>
    <m/>
    <m/>
    <m/>
    <m/>
    <n v="53.03"/>
    <m/>
    <m/>
    <m/>
    <m/>
    <m/>
    <m/>
    <n v="106.06"/>
    <m/>
    <m/>
    <m/>
    <m/>
    <m/>
    <m/>
    <m/>
    <n v="53.03"/>
    <m/>
    <n v="318.18"/>
  </r>
  <r>
    <n v="3"/>
    <x v="3"/>
    <x v="0"/>
    <n v="161169"/>
    <s v="COSSINI GABRIELA PATRICIA"/>
    <s v="27-22232609-0"/>
    <d v="2016-04-06T00:00:00"/>
    <n v="22232609"/>
    <s v="COSSINI"/>
    <s v="GABRIELA PATRICIA"/>
    <s v="F"/>
    <m/>
    <d v="2016-03-13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TERRADA"/>
    <n v="181"/>
    <m/>
    <m/>
    <s v="CAPITAL FEDERAL"/>
    <s v="Capital Federal"/>
    <m/>
    <s v="U.O.Centro"/>
    <m/>
    <n v="1"/>
    <n v="1"/>
    <n v="373.35"/>
    <n v="74.67"/>
    <m/>
    <m/>
    <n v="298.68"/>
    <m/>
    <n v="7.47"/>
    <m/>
    <m/>
    <m/>
    <m/>
    <m/>
    <m/>
    <n v="3.73"/>
    <m/>
    <m/>
    <m/>
    <m/>
    <m/>
    <m/>
    <n v="7.47"/>
    <m/>
    <m/>
    <m/>
    <m/>
    <m/>
    <m/>
    <m/>
    <n v="3.73"/>
    <m/>
    <n v="22.4"/>
  </r>
  <r>
    <n v="3"/>
    <x v="3"/>
    <x v="1"/>
    <n v="170608"/>
    <s v="COTSIFIS LEONARDO CRISTIAN"/>
    <s v="20-28488021-9"/>
    <d v="2016-03-31T00:00:00"/>
    <n v="28488021"/>
    <s v="COTSIFIS"/>
    <s v="LEONARDO CRISTIAN"/>
    <s v="M"/>
    <m/>
    <d v="2016-03-13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HIPOLITO YRIGOYEN"/>
    <n v="764"/>
    <m/>
    <m/>
    <s v="CAPITAL FEDERAL"/>
    <s v="Capital Federal"/>
    <m/>
    <s v="U.O.Centro Paga Inplant"/>
    <m/>
    <n v="1"/>
    <n v="1"/>
    <n v="569.66"/>
    <n v="113.93"/>
    <m/>
    <m/>
    <n v="455.73"/>
    <m/>
    <n v="11.39"/>
    <m/>
    <m/>
    <m/>
    <m/>
    <m/>
    <m/>
    <n v="5.7"/>
    <m/>
    <m/>
    <m/>
    <m/>
    <m/>
    <m/>
    <n v="11.39"/>
    <m/>
    <m/>
    <m/>
    <m/>
    <m/>
    <m/>
    <m/>
    <n v="5.7"/>
    <m/>
    <n v="34.18"/>
  </r>
  <r>
    <n v="3"/>
    <x v="3"/>
    <x v="1"/>
    <n v="170707"/>
    <s v="D'ALOISIO ANDRES"/>
    <s v="20-28622173-5"/>
    <d v="2016-03-31T00:00:00"/>
    <n v="28622173"/>
    <s v="D'ALOISIO"/>
    <s v="ANDRES"/>
    <s v="M"/>
    <m/>
    <d v="2016-03-22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SAN IRINEO"/>
    <n v="764"/>
    <n v="5"/>
    <n v="16"/>
    <s v="CAPITAL FEDERAL"/>
    <s v="Capital Federal"/>
    <m/>
    <s v="U.O.Centro Paga Inplant"/>
    <m/>
    <n v="1"/>
    <n v="1"/>
    <n v="852.91"/>
    <n v="170.59"/>
    <m/>
    <m/>
    <n v="682.32"/>
    <m/>
    <n v="17.059999999999999"/>
    <m/>
    <m/>
    <m/>
    <m/>
    <m/>
    <m/>
    <n v="8.5299999999999994"/>
    <m/>
    <m/>
    <m/>
    <m/>
    <m/>
    <m/>
    <n v="17.059999999999999"/>
    <m/>
    <m/>
    <m/>
    <m/>
    <m/>
    <m/>
    <m/>
    <n v="8.5299999999999994"/>
    <m/>
    <n v="51.18"/>
  </r>
  <r>
    <n v="3"/>
    <x v="3"/>
    <x v="0"/>
    <n v="169237"/>
    <s v="DE MORAES CLAUDIA LILIAN"/>
    <s v="27-28510058-0"/>
    <d v="2016-04-06T00:00:00"/>
    <n v="28510058"/>
    <s v="DE MORAES"/>
    <s v="CLAUDIA LILIAN"/>
    <s v="F"/>
    <m/>
    <d v="2016-02-2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NICOLAS"/>
    <n v="1225"/>
    <m/>
    <m/>
    <s v="CAPITAL FEDERAL"/>
    <s v="Buenos Aires"/>
    <m/>
    <s v="U.O.Centro"/>
    <m/>
    <n v="3"/>
    <n v="1"/>
    <n v="11748.3"/>
    <n v="2349.63"/>
    <m/>
    <m/>
    <n v="9398.67"/>
    <m/>
    <n v="234.96"/>
    <m/>
    <m/>
    <m/>
    <m/>
    <m/>
    <m/>
    <n v="117.48"/>
    <m/>
    <m/>
    <m/>
    <m/>
    <m/>
    <m/>
    <n v="234.96"/>
    <m/>
    <m/>
    <m/>
    <m/>
    <m/>
    <m/>
    <m/>
    <n v="117.48"/>
    <m/>
    <n v="704.88"/>
  </r>
  <r>
    <n v="3"/>
    <x v="3"/>
    <x v="1"/>
    <n v="170555"/>
    <s v="DELUGLIO YAMILA EVA"/>
    <s v="27-26096519-6"/>
    <d v="2016-03-31T00:00:00"/>
    <n v="26096519"/>
    <s v="DELUGLIO"/>
    <s v="YAMILA EVA"/>
    <s v="F"/>
    <m/>
    <d v="2016-03-2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LVAREZ THOMAS"/>
    <n v="764"/>
    <m/>
    <m/>
    <s v="CAPITAL FEDERAL"/>
    <s v="Capital Federal"/>
    <m/>
    <s v="U.O.Centro Paga Inplant"/>
    <m/>
    <n v="1"/>
    <n v="1"/>
    <n v="333.2"/>
    <n v="66.64"/>
    <m/>
    <m/>
    <n v="266.56"/>
    <m/>
    <n v="6.66"/>
    <m/>
    <m/>
    <m/>
    <m/>
    <m/>
    <m/>
    <n v="3.33"/>
    <m/>
    <m/>
    <m/>
    <m/>
    <m/>
    <m/>
    <n v="6.66"/>
    <m/>
    <m/>
    <m/>
    <m/>
    <m/>
    <m/>
    <m/>
    <n v="3.33"/>
    <m/>
    <n v="19.98"/>
  </r>
  <r>
    <n v="3"/>
    <x v="3"/>
    <x v="0"/>
    <n v="169910"/>
    <s v="DIAZ NANCY"/>
    <s v="27-21949289-3"/>
    <d v="2016-04-06T00:00:0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Mucama Por Hora"/>
    <n v="1"/>
    <n v="1"/>
    <n v="4315.3"/>
    <n v="863.06"/>
    <m/>
    <m/>
    <n v="3452.24"/>
    <m/>
    <n v="86.31"/>
    <m/>
    <m/>
    <m/>
    <m/>
    <m/>
    <m/>
    <n v="43.15"/>
    <m/>
    <m/>
    <m/>
    <m/>
    <m/>
    <m/>
    <n v="86.31"/>
    <m/>
    <m/>
    <m/>
    <m/>
    <m/>
    <m/>
    <m/>
    <n v="43.15"/>
    <m/>
    <n v="258.92"/>
  </r>
  <r>
    <n v="3"/>
    <x v="3"/>
    <x v="0"/>
    <n v="162205"/>
    <s v="DOMINGUEZ CABRERA CESAR FERNANDO"/>
    <s v="23-95304555-9"/>
    <d v="2016-04-06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2"/>
    <n v="1"/>
    <n v="10017.93"/>
    <n v="2003.6"/>
    <m/>
    <m/>
    <n v="8014.33"/>
    <m/>
    <n v="200.36"/>
    <m/>
    <m/>
    <m/>
    <m/>
    <m/>
    <m/>
    <n v="100.18"/>
    <m/>
    <m/>
    <m/>
    <m/>
    <m/>
    <m/>
    <n v="200.36"/>
    <m/>
    <m/>
    <m/>
    <m/>
    <m/>
    <m/>
    <m/>
    <n v="100.18"/>
    <m/>
    <n v="601.08000000000004"/>
  </r>
  <r>
    <n v="3"/>
    <x v="3"/>
    <x v="0"/>
    <n v="166685"/>
    <s v="DUARTE PICO EVA CLARINA"/>
    <s v="27-94661310-5"/>
    <d v="2016-04-01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5662.97"/>
    <n v="3132.6"/>
    <m/>
    <m/>
    <n v="12530.37"/>
    <m/>
    <n v="313.26"/>
    <m/>
    <m/>
    <m/>
    <m/>
    <m/>
    <m/>
    <n v="156.63"/>
    <m/>
    <m/>
    <m/>
    <m/>
    <m/>
    <m/>
    <n v="313.26"/>
    <m/>
    <m/>
    <m/>
    <m/>
    <m/>
    <m/>
    <m/>
    <n v="156.63"/>
    <m/>
    <n v="939.78"/>
  </r>
  <r>
    <n v="3"/>
    <x v="3"/>
    <x v="1"/>
    <n v="168279"/>
    <s v="ESPOSITO SERGIO DANIEL"/>
    <s v="20-27215970-0"/>
    <d v="2016-04-01T00:00:00"/>
    <n v="27215970"/>
    <s v="ESPOSITO"/>
    <s v="SERGIO DANIEL"/>
    <s v="M"/>
    <m/>
    <d v="2016-01-3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JO LAS CATONAS"/>
    <n v="764"/>
    <s v="B"/>
    <n v="6"/>
    <s v="CAPITAL FEDERAL"/>
    <s v="Capital Federal"/>
    <m/>
    <s v="U.O.Centro Paga Inplant"/>
    <m/>
    <n v="1"/>
    <n v="1"/>
    <n v="17697.23"/>
    <n v="3539.45"/>
    <m/>
    <m/>
    <n v="14157.78"/>
    <m/>
    <n v="353.94"/>
    <m/>
    <m/>
    <m/>
    <m/>
    <m/>
    <m/>
    <n v="176.97"/>
    <m/>
    <m/>
    <m/>
    <m/>
    <m/>
    <m/>
    <n v="353.94"/>
    <m/>
    <m/>
    <m/>
    <m/>
    <m/>
    <m/>
    <m/>
    <n v="176.97"/>
    <m/>
    <n v="1061.82"/>
  </r>
  <r>
    <n v="3"/>
    <x v="3"/>
    <x v="1"/>
    <n v="170441"/>
    <s v="Estrada Claudia Liliana"/>
    <s v="27-26670034-8"/>
    <d v="2016-04-06T00:00:00"/>
    <n v="26670034"/>
    <s v="Estrada"/>
    <s v="Claudia Liliana"/>
    <s v="F"/>
    <m/>
    <d v="2016-03-18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n v="839"/>
    <n v="1891"/>
    <m/>
    <m/>
    <s v="CAPITAL FEDERAL"/>
    <s v="Capital Federal"/>
    <m/>
    <s v="U.O.Centro"/>
    <s v="Alvear Palace"/>
    <n v="1"/>
    <n v="1"/>
    <n v="640.91"/>
    <n v="128.19"/>
    <m/>
    <m/>
    <n v="512.72"/>
    <m/>
    <n v="12.82"/>
    <m/>
    <m/>
    <m/>
    <m/>
    <m/>
    <m/>
    <n v="6.41"/>
    <m/>
    <m/>
    <m/>
    <m/>
    <m/>
    <m/>
    <n v="12.82"/>
    <m/>
    <m/>
    <m/>
    <m/>
    <m/>
    <m/>
    <m/>
    <n v="6.41"/>
    <m/>
    <n v="38.46"/>
  </r>
  <r>
    <n v="3"/>
    <x v="3"/>
    <x v="0"/>
    <n v="170170"/>
    <s v="FAT CARLOS SEBASTIAN"/>
    <s v="20-36526648-5"/>
    <d v="2016-04-06T00:00:00"/>
    <n v="36526648"/>
    <s v="FAT"/>
    <s v="CARLOS SEBASTIAN"/>
    <s v="M"/>
    <m/>
    <d v="2016-03-15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104"/>
    <s v="QUINTINO BOCAYUVA"/>
    <n v="1225"/>
    <n v="1"/>
    <s v="B"/>
    <s v="CAPITAL FEDERAL"/>
    <s v="Buenos Aires"/>
    <m/>
    <s v="U.O.Centro"/>
    <m/>
    <n v="3"/>
    <n v="1"/>
    <n v="6258.5"/>
    <n v="1251.68"/>
    <m/>
    <m/>
    <n v="5006.82"/>
    <m/>
    <n v="125.17"/>
    <m/>
    <m/>
    <m/>
    <m/>
    <m/>
    <m/>
    <n v="62.58"/>
    <m/>
    <m/>
    <m/>
    <m/>
    <m/>
    <m/>
    <n v="125.17"/>
    <m/>
    <m/>
    <m/>
    <m/>
    <m/>
    <m/>
    <m/>
    <n v="62.58"/>
    <m/>
    <n v="375.5"/>
  </r>
  <r>
    <n v="3"/>
    <x v="3"/>
    <x v="0"/>
    <n v="170444"/>
    <s v="FELTAN. SILVANA"/>
    <s v="27-37155827-1"/>
    <d v="2016-04-06T00:00:00"/>
    <n v="37155827"/>
    <s v="FELTAN."/>
    <s v="SILVANA"/>
    <s v="F"/>
    <m/>
    <d v="2016-03-18T00:00:00"/>
    <m/>
    <m/>
    <s v="GASTRONOMICOS-Hoteles 4 y 5 Estrellas - 362/2003"/>
    <s v="Categoría 4"/>
    <x v="15"/>
    <s v="Unidad Principal"/>
    <s v="Centro"/>
    <s v="Mucama"/>
    <n v="108803"/>
    <s v="O.S.P.Gastronomico"/>
    <s v="Capital Federal"/>
    <m/>
    <n v="1440"/>
    <s v="SANTOS DUMONT"/>
    <n v="265"/>
    <m/>
    <m/>
    <s v="CAPITAL FEDERAL"/>
    <s v="Capital Federal"/>
    <m/>
    <s v="U.O.Centro"/>
    <s v="Mucama"/>
    <n v="1"/>
    <n v="1"/>
    <n v="3765.33"/>
    <n v="753.07"/>
    <m/>
    <m/>
    <n v="3012.26"/>
    <m/>
    <n v="75.31"/>
    <m/>
    <m/>
    <m/>
    <m/>
    <m/>
    <m/>
    <n v="37.65"/>
    <m/>
    <m/>
    <m/>
    <m/>
    <m/>
    <m/>
    <n v="75.31"/>
    <m/>
    <m/>
    <m/>
    <m/>
    <m/>
    <m/>
    <m/>
    <n v="37.65"/>
    <m/>
    <n v="225.92"/>
  </r>
  <r>
    <n v="3"/>
    <x v="3"/>
    <x v="0"/>
    <n v="138787"/>
    <s v="FERNANDEZ CLAUDIA"/>
    <s v="27-23472256-0"/>
    <d v="2016-04-06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Mucama por Jornada"/>
    <n v="1"/>
    <n v="1"/>
    <n v="16696.25"/>
    <n v="3339.26"/>
    <m/>
    <m/>
    <n v="13356.99"/>
    <m/>
    <n v="333.93"/>
    <m/>
    <m/>
    <m/>
    <m/>
    <m/>
    <m/>
    <n v="166.96"/>
    <m/>
    <m/>
    <m/>
    <m/>
    <m/>
    <m/>
    <n v="333.93"/>
    <m/>
    <m/>
    <m/>
    <m/>
    <m/>
    <m/>
    <m/>
    <n v="166.96"/>
    <m/>
    <n v="1001.78"/>
  </r>
  <r>
    <n v="3"/>
    <x v="3"/>
    <x v="1"/>
    <n v="170547"/>
    <s v="Ferreyra Angel Matias"/>
    <s v="20-27942786-7"/>
    <d v="2016-03-31T00:00:00"/>
    <n v="27942786"/>
    <s v="Ferreyra"/>
    <s v="Angel Matias"/>
    <s v="F"/>
    <m/>
    <d v="2016-03-22T00:00:00"/>
    <m/>
    <m/>
    <s v="GASTRONOMICOS-Hoteles 4 y 5 Estrellas - 362/2003"/>
    <s v="Categoría 4"/>
    <x v="3"/>
    <s v="Unidad Principal"/>
    <s v="Centro"/>
    <s v="Tareas Generales"/>
    <n v="111704"/>
    <s v="OS  DE ENCARGADOS APUNTADORES MARITIMOS"/>
    <s v="Capital Federal"/>
    <m/>
    <n v="1002"/>
    <s v="Mateo Churich"/>
    <n v="764"/>
    <m/>
    <m/>
    <s v="CAPITAL FEDERAL"/>
    <s v="Capital Federal"/>
    <m/>
    <s v="U.O.Centro Paga Inplant"/>
    <m/>
    <n v="1"/>
    <n v="1"/>
    <n v="1361.92"/>
    <n v="272.39"/>
    <m/>
    <m/>
    <n v="1089.53"/>
    <m/>
    <n v="27.24"/>
    <m/>
    <m/>
    <m/>
    <m/>
    <m/>
    <m/>
    <n v="13.62"/>
    <m/>
    <m/>
    <m/>
    <m/>
    <m/>
    <m/>
    <n v="27.24"/>
    <m/>
    <m/>
    <m/>
    <m/>
    <m/>
    <m/>
    <m/>
    <n v="13.62"/>
    <m/>
    <n v="81.72"/>
  </r>
  <r>
    <n v="3"/>
    <x v="3"/>
    <x v="1"/>
    <n v="162823"/>
    <s v="FORETIC IVANA"/>
    <s v="27-36930073-9"/>
    <d v="2016-04-06T00:00:00"/>
    <n v="36930073"/>
    <s v="FORETIC"/>
    <s v="IVANA"/>
    <s v="F"/>
    <m/>
    <d v="2016-03-18T00:00:00"/>
    <m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129"/>
    <s v="RIVADAVIA"/>
    <n v="1891"/>
    <m/>
    <m/>
    <s v="CAPITAL FEDERAL"/>
    <s v="Capital Federal"/>
    <m/>
    <s v="U.O.Centro"/>
    <s v="Alvear Palace"/>
    <n v="2"/>
    <n v="1"/>
    <n v="14073.02"/>
    <n v="2814.61"/>
    <m/>
    <m/>
    <n v="11258.41"/>
    <m/>
    <n v="281.47000000000003"/>
    <m/>
    <m/>
    <m/>
    <m/>
    <m/>
    <m/>
    <n v="140.72999999999999"/>
    <m/>
    <m/>
    <m/>
    <m/>
    <m/>
    <m/>
    <n v="281.47000000000003"/>
    <m/>
    <m/>
    <m/>
    <m/>
    <m/>
    <m/>
    <m/>
    <n v="140.72999999999999"/>
    <m/>
    <n v="844.4"/>
  </r>
  <r>
    <n v="3"/>
    <x v="3"/>
    <x v="0"/>
    <n v="162182"/>
    <s v="GABRIEL ERIKA"/>
    <s v="27-95479774-6"/>
    <d v="2016-03-21T00:00:00"/>
    <n v="95479774"/>
    <s v="GABRIEL"/>
    <s v="ERIK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BARTOLOME MITRE"/>
    <n v="1225"/>
    <n v="3"/>
    <n v="9"/>
    <s v="CAPITAL FEDERAL"/>
    <s v="Buenos Aires"/>
    <m/>
    <s v="U.O.Centro"/>
    <m/>
    <n v="1"/>
    <n v="1"/>
    <n v="779.29"/>
    <n v="155.86000000000001"/>
    <m/>
    <m/>
    <n v="623.42999999999995"/>
    <m/>
    <n v="15.59"/>
    <m/>
    <m/>
    <m/>
    <m/>
    <m/>
    <m/>
    <n v="7.79"/>
    <m/>
    <m/>
    <m/>
    <m/>
    <m/>
    <m/>
    <n v="15.59"/>
    <m/>
    <m/>
    <m/>
    <m/>
    <m/>
    <m/>
    <m/>
    <n v="7.79"/>
    <m/>
    <n v="46.76"/>
  </r>
  <r>
    <n v="3"/>
    <x v="3"/>
    <x v="1"/>
    <n v="65418"/>
    <s v="GARAY ANGEL FAUSTINO"/>
    <s v="20-27725694-1"/>
    <d v="2016-04-06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15998.55"/>
    <n v="3279.71"/>
    <m/>
    <m/>
    <n v="12718.84"/>
    <n v="399.96"/>
    <m/>
    <m/>
    <m/>
    <m/>
    <m/>
    <m/>
    <m/>
    <n v="159.99"/>
    <m/>
    <m/>
    <m/>
    <m/>
    <m/>
    <m/>
    <n v="319.97000000000003"/>
    <m/>
    <m/>
    <m/>
    <m/>
    <m/>
    <m/>
    <m/>
    <n v="159.99"/>
    <m/>
    <n v="1039.9100000000001"/>
  </r>
  <r>
    <n v="3"/>
    <x v="3"/>
    <x v="0"/>
    <n v="160167"/>
    <s v="GARCIA GRACIELA SUSANA"/>
    <s v="27-28071456-4"/>
    <d v="2016-04-06T00:00:00"/>
    <n v="28071456"/>
    <s v="GARCIA"/>
    <s v="GRACIELA SUSANA"/>
    <s v="F"/>
    <m/>
    <d v="2015-11-1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54"/>
    <s v="GARZON"/>
    <n v="350"/>
    <m/>
    <m/>
    <s v="CIUDAD AUT. BS.AS."/>
    <s v="Buenos Aires"/>
    <m/>
    <s v="U.O.Centro"/>
    <m/>
    <n v="2"/>
    <n v="1"/>
    <n v="4086.59"/>
    <n v="817.33"/>
    <m/>
    <m/>
    <n v="3269.26"/>
    <m/>
    <n v="81.739999999999995"/>
    <m/>
    <m/>
    <m/>
    <m/>
    <m/>
    <m/>
    <n v="40.869999999999997"/>
    <m/>
    <m/>
    <m/>
    <m/>
    <m/>
    <m/>
    <n v="81.739999999999995"/>
    <m/>
    <m/>
    <m/>
    <m/>
    <m/>
    <m/>
    <m/>
    <n v="40.869999999999997"/>
    <m/>
    <n v="245.22"/>
  </r>
  <r>
    <n v="3"/>
    <x v="3"/>
    <x v="1"/>
    <n v="168293"/>
    <s v="GARCIA ROMINA VIVIANA"/>
    <s v="27-28027637-0"/>
    <d v="2016-04-06T00:00:00"/>
    <n v="28027637"/>
    <s v="GARCIA"/>
    <s v="ROMINA VIVIANA"/>
    <s v="F"/>
    <m/>
    <d v="2016-02-14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CAMPICHUELO"/>
    <n v="1891"/>
    <m/>
    <m/>
    <s v="CAPITAL FEDERAL"/>
    <s v="Capital Federal"/>
    <m/>
    <s v="U.O.Centro"/>
    <s v="Alvear Palace"/>
    <n v="2"/>
    <n v="1"/>
    <n v="4528.53"/>
    <n v="905.7"/>
    <m/>
    <m/>
    <n v="3622.83"/>
    <m/>
    <n v="90.57"/>
    <m/>
    <m/>
    <m/>
    <m/>
    <m/>
    <m/>
    <n v="45.29"/>
    <m/>
    <m/>
    <m/>
    <m/>
    <m/>
    <m/>
    <n v="90.57"/>
    <m/>
    <m/>
    <m/>
    <m/>
    <m/>
    <m/>
    <m/>
    <n v="45.29"/>
    <m/>
    <n v="271.72000000000003"/>
  </r>
  <r>
    <n v="3"/>
    <x v="3"/>
    <x v="1"/>
    <n v="162590"/>
    <s v="GAUNA MARIA DE LOS ANGELES"/>
    <s v="27-29673710-6"/>
    <d v="2016-04-06T00:00:00"/>
    <n v="29673710"/>
    <s v="GAUNA"/>
    <s v="MARIA DE LOS ANGELES"/>
    <s v="F"/>
    <m/>
    <d v="2016-03-18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CALCHAQUI"/>
    <n v="1891"/>
    <m/>
    <m/>
    <s v="CAPITAL FEDERAL"/>
    <s v="Capital Federal"/>
    <m/>
    <s v="U.O.Centro"/>
    <s v="Alvear Palace"/>
    <n v="3"/>
    <n v="1"/>
    <n v="6190.66"/>
    <n v="1238.1300000000001"/>
    <m/>
    <m/>
    <n v="4952.53"/>
    <m/>
    <n v="123.82"/>
    <m/>
    <m/>
    <m/>
    <m/>
    <m/>
    <m/>
    <n v="61.9"/>
    <m/>
    <m/>
    <m/>
    <m/>
    <m/>
    <m/>
    <n v="123.82"/>
    <n v="52.02"/>
    <m/>
    <m/>
    <m/>
    <m/>
    <m/>
    <m/>
    <n v="9.8800000000000008"/>
    <m/>
    <n v="371.44"/>
  </r>
  <r>
    <n v="3"/>
    <x v="3"/>
    <x v="0"/>
    <n v="164235"/>
    <s v="GAUTO ALVAREZ BEATRIZ"/>
    <s v="27-94488727-5"/>
    <d v="2016-04-06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Mucama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n v="12416.99"/>
    <n v="2483.4"/>
    <m/>
    <m/>
    <n v="9933.59"/>
    <m/>
    <n v="248.34"/>
    <m/>
    <m/>
    <m/>
    <m/>
    <m/>
    <m/>
    <n v="124.17"/>
    <m/>
    <m/>
    <m/>
    <m/>
    <m/>
    <m/>
    <n v="248.34"/>
    <m/>
    <m/>
    <m/>
    <m/>
    <m/>
    <m/>
    <m/>
    <n v="124.17"/>
    <m/>
    <n v="745.02"/>
  </r>
  <r>
    <n v="3"/>
    <x v="3"/>
    <x v="0"/>
    <n v="156389"/>
    <s v="GERVAN NOELIA CAROLINA"/>
    <s v="27-34545215-5"/>
    <d v="2016-03-21T00:00:00"/>
    <n v="34545215"/>
    <s v="GERVAN"/>
    <s v="NOELIA CAROLINA"/>
    <s v="F"/>
    <m/>
    <d v="2015-08-22T00:00:00"/>
    <d v="2016-03-09T00:00:00"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MORENO"/>
    <n v="1005"/>
    <m/>
    <m/>
    <s v="CAPITAL FEDERAL"/>
    <s v="Capital Federal"/>
    <m/>
    <s v="U.O.Centro"/>
    <m/>
    <n v="1"/>
    <n v="1"/>
    <n v="2211.13"/>
    <n v="442.21"/>
    <m/>
    <m/>
    <n v="1768.92"/>
    <m/>
    <n v="44.22"/>
    <m/>
    <m/>
    <m/>
    <m/>
    <m/>
    <m/>
    <n v="22.11"/>
    <m/>
    <m/>
    <m/>
    <m/>
    <m/>
    <m/>
    <n v="44.22"/>
    <m/>
    <m/>
    <m/>
    <m/>
    <m/>
    <m/>
    <m/>
    <n v="22.11"/>
    <m/>
    <n v="132.66"/>
  </r>
  <r>
    <n v="3"/>
    <x v="3"/>
    <x v="0"/>
    <n v="170166"/>
    <s v="GILBERT GERONIMO"/>
    <s v="20-38989257-3"/>
    <d v="2016-04-06T00:00:00"/>
    <n v="38989257"/>
    <s v="GILBERT"/>
    <s v="GERONIMO"/>
    <s v="F"/>
    <m/>
    <d v="2016-03-0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ARAGUAY"/>
    <n v="1005"/>
    <m/>
    <m/>
    <s v="CAPITAL FEDERAL"/>
    <s v="Capital Federal"/>
    <m/>
    <s v="U.O.Centro"/>
    <m/>
    <n v="2"/>
    <n v="1"/>
    <n v="1880.27"/>
    <n v="376.06"/>
    <m/>
    <m/>
    <n v="1504.21"/>
    <m/>
    <n v="37.61"/>
    <m/>
    <m/>
    <m/>
    <m/>
    <m/>
    <m/>
    <n v="18.8"/>
    <m/>
    <m/>
    <m/>
    <m/>
    <m/>
    <m/>
    <n v="37.61"/>
    <m/>
    <m/>
    <m/>
    <m/>
    <m/>
    <m/>
    <m/>
    <n v="18.8"/>
    <m/>
    <n v="112.82"/>
  </r>
  <r>
    <n v="3"/>
    <x v="3"/>
    <x v="0"/>
    <n v="171025"/>
    <s v="GIMENEZ GARCIA, LARA AGUSTINA"/>
    <s v="27-36730208-4"/>
    <d v="2016-04-06T00:00:00"/>
    <n v="36730208"/>
    <s v="GIMENEZ GARCIA,"/>
    <s v="LARA AGUSTINA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EANDRO MEDINA"/>
    <n v="1005"/>
    <m/>
    <n v="6"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0"/>
    <n v="171014"/>
    <s v="GODOY BARBARA DANIELA"/>
    <s v="27-38857611-7"/>
    <d v="2016-04-06T00:00:00"/>
    <n v="38857611"/>
    <s v="GODOY"/>
    <s v="BARBARA DANIELA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DOMINGO SCARLATI"/>
    <n v="1005"/>
    <m/>
    <m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1"/>
    <n v="164986"/>
    <s v="GOMEZ MIGUEL ANGEL"/>
    <s v="20-40687394-4"/>
    <d v="2016-04-06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1"/>
    <n v="1"/>
    <n v="13521.49"/>
    <n v="2704.28"/>
    <m/>
    <m/>
    <n v="10817.21"/>
    <m/>
    <n v="270.43"/>
    <m/>
    <m/>
    <m/>
    <m/>
    <m/>
    <m/>
    <n v="135.21"/>
    <m/>
    <m/>
    <m/>
    <m/>
    <m/>
    <m/>
    <n v="270.43"/>
    <m/>
    <m/>
    <m/>
    <m/>
    <m/>
    <m/>
    <m/>
    <n v="135.21"/>
    <m/>
    <n v="811.28"/>
  </r>
  <r>
    <n v="3"/>
    <x v="3"/>
    <x v="0"/>
    <n v="165040"/>
    <s v="GOMEZ GARCIA RAUL ANDRES"/>
    <s v="20-34955035-1"/>
    <d v="2016-04-06T00:00:00"/>
    <n v="34955035"/>
    <s v="GOMEZ GARCIA"/>
    <s v="RAUL ANDRES"/>
    <s v="M"/>
    <m/>
    <d v="2016-03-29T00:00:00"/>
    <m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n v="1440"/>
    <s v="José Gola 6010 2º C"/>
    <n v="265"/>
    <s v="2º"/>
    <s v="C"/>
    <s v="CAPITAL FEDERAL"/>
    <s v="Capital Federal"/>
    <m/>
    <s v="U.O.Centro"/>
    <m/>
    <n v="7"/>
    <n v="1"/>
    <n v="9423.9699999999993"/>
    <n v="1884.78"/>
    <m/>
    <m/>
    <n v="7539.19"/>
    <m/>
    <n v="188.47"/>
    <m/>
    <m/>
    <m/>
    <m/>
    <m/>
    <m/>
    <n v="94.25"/>
    <m/>
    <m/>
    <m/>
    <m/>
    <m/>
    <m/>
    <n v="188.47"/>
    <m/>
    <m/>
    <m/>
    <m/>
    <m/>
    <m/>
    <m/>
    <n v="94.25"/>
    <m/>
    <n v="565.44000000000005"/>
  </r>
  <r>
    <n v="3"/>
    <x v="3"/>
    <x v="0"/>
    <n v="48107"/>
    <s v="GONZALEZ KARINA ELIZABETH"/>
    <s v="27-23467821-9"/>
    <d v="2016-04-06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14505"/>
    <s v="OS  DE PATRONES DE CABOTAJE DE RIOS Y PUERTOS"/>
    <s v="Capital Federal"/>
    <m/>
    <n v="1093"/>
    <s v="EL HORNERO"/>
    <n v="1232"/>
    <m/>
    <m/>
    <s v="CAPITAL FEDERAL"/>
    <s v="Buenos Aires"/>
    <m/>
    <s v="U.O.Centro"/>
    <s v="Mucama por Jornada"/>
    <n v="1"/>
    <n v="1"/>
    <n v="17422.18"/>
    <n v="3484.44"/>
    <m/>
    <m/>
    <n v="13937.74"/>
    <m/>
    <n v="348.44"/>
    <m/>
    <m/>
    <m/>
    <m/>
    <m/>
    <m/>
    <n v="174.22"/>
    <m/>
    <m/>
    <m/>
    <m/>
    <m/>
    <m/>
    <n v="348.44"/>
    <m/>
    <m/>
    <m/>
    <m/>
    <m/>
    <m/>
    <m/>
    <n v="174.22"/>
    <m/>
    <n v="1045.32"/>
  </r>
  <r>
    <n v="3"/>
    <x v="3"/>
    <x v="0"/>
    <n v="164221"/>
    <s v="GONZALEZ MARIA LUJAN"/>
    <s v="27-36902344-1"/>
    <d v="2016-04-06T00:00:00"/>
    <n v="36902344"/>
    <s v="GONZALEZ"/>
    <s v="MARIA LUJA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ODRIGUEZ FLORES"/>
    <n v="1225"/>
    <m/>
    <m/>
    <s v="CAPITAL FEDERAL"/>
    <s v="Buenos Aires"/>
    <m/>
    <s v="U.O.Centro"/>
    <m/>
    <n v="3"/>
    <n v="1"/>
    <n v="1661.85"/>
    <n v="332.38"/>
    <m/>
    <m/>
    <n v="1329.47"/>
    <m/>
    <n v="33.24"/>
    <m/>
    <m/>
    <m/>
    <m/>
    <m/>
    <m/>
    <n v="16.62"/>
    <m/>
    <m/>
    <m/>
    <m/>
    <m/>
    <m/>
    <n v="33.24"/>
    <m/>
    <m/>
    <m/>
    <m/>
    <m/>
    <m/>
    <m/>
    <n v="16.62"/>
    <m/>
    <n v="99.72"/>
  </r>
  <r>
    <n v="3"/>
    <x v="3"/>
    <x v="1"/>
    <n v="164224"/>
    <s v="GONZALEZ SALOME NATALIA"/>
    <s v="27-35111714-7"/>
    <d v="2016-04-06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4773.43"/>
    <n v="954.68"/>
    <m/>
    <m/>
    <n v="3818.75"/>
    <m/>
    <n v="95.47"/>
    <m/>
    <m/>
    <m/>
    <m/>
    <m/>
    <m/>
    <n v="47.73"/>
    <m/>
    <m/>
    <m/>
    <m/>
    <m/>
    <m/>
    <n v="95.47"/>
    <m/>
    <m/>
    <m/>
    <m/>
    <m/>
    <m/>
    <m/>
    <n v="47.73"/>
    <m/>
    <n v="286.39999999999998"/>
  </r>
  <r>
    <n v="3"/>
    <x v="3"/>
    <x v="1"/>
    <n v="136459"/>
    <s v="GONZALEZ VICTOR HUGO"/>
    <s v="20-37376573-3"/>
    <d v="2016-04-06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1"/>
    <n v="1"/>
    <n v="14977.89"/>
    <n v="2995.59"/>
    <m/>
    <m/>
    <n v="11982.3"/>
    <m/>
    <n v="299.56"/>
    <m/>
    <m/>
    <m/>
    <m/>
    <m/>
    <m/>
    <n v="149.78"/>
    <m/>
    <m/>
    <m/>
    <m/>
    <m/>
    <m/>
    <n v="299.56"/>
    <m/>
    <m/>
    <m/>
    <m/>
    <m/>
    <m/>
    <m/>
    <n v="149.78"/>
    <m/>
    <n v="898.68"/>
  </r>
  <r>
    <n v="3"/>
    <x v="3"/>
    <x v="0"/>
    <n v="160168"/>
    <s v="GOROSITO ORNELLA CECILIA"/>
    <s v="27-32738641-2"/>
    <d v="2016-04-06T00:00:00"/>
    <n v="32738641"/>
    <s v="GOROSITO"/>
    <s v="ORNELLA CECILIA"/>
    <s v="F"/>
    <m/>
    <d v="2016-03-09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n v="1022"/>
    <s v="J V GONZALEZ"/>
    <n v="181"/>
    <m/>
    <m/>
    <s v="CAPITAL FEDERAL"/>
    <s v="Capital Federal"/>
    <m/>
    <s v="U.O.Centro"/>
    <m/>
    <n v="3"/>
    <n v="1"/>
    <n v="3103.16"/>
    <n v="620.64"/>
    <m/>
    <m/>
    <n v="2482.52"/>
    <m/>
    <n v="62.06"/>
    <m/>
    <m/>
    <m/>
    <m/>
    <m/>
    <m/>
    <n v="31.03"/>
    <m/>
    <m/>
    <m/>
    <m/>
    <m/>
    <m/>
    <n v="62.06"/>
    <m/>
    <m/>
    <m/>
    <m/>
    <m/>
    <m/>
    <m/>
    <n v="31.03"/>
    <m/>
    <n v="186.18"/>
  </r>
  <r>
    <n v="3"/>
    <x v="3"/>
    <x v="0"/>
    <n v="138788"/>
    <s v="GUIA VANESA DE LOS ANGELES"/>
    <s v="27-27988325-5"/>
    <d v="2016-04-06T00:00:00"/>
    <n v="27988325"/>
    <s v="GUIA"/>
    <s v="VANESA DE LOS ANGELES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GUAPEY"/>
    <n v="1232"/>
    <m/>
    <m/>
    <s v="CAPITAL FEDERAL"/>
    <s v="Buenos Aires"/>
    <m/>
    <s v="U.O.Centro"/>
    <s v="Mucama por Jornada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x v="3"/>
    <x v="1"/>
    <n v="170277"/>
    <s v="GUTARRA MANRIQUE DANIEL"/>
    <s v="20-94635918-2"/>
    <d v="2016-03-31T00:00:00"/>
    <n v="94635918"/>
    <s v="GUTARRA MANRIQUE"/>
    <s v="DANIEL"/>
    <s v="M"/>
    <m/>
    <d v="2016-03-16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VENIDA SAN MARTIN"/>
    <n v="764"/>
    <n v="6"/>
    <m/>
    <s v="CAPITAL FEDERAL"/>
    <s v="Capital Federal"/>
    <m/>
    <s v="U.O.Centro Paga Inplant"/>
    <m/>
    <n v="2"/>
    <n v="1"/>
    <n v="1737.22"/>
    <n v="347.45"/>
    <m/>
    <m/>
    <n v="1389.77"/>
    <m/>
    <n v="34.75"/>
    <m/>
    <m/>
    <m/>
    <m/>
    <m/>
    <m/>
    <n v="17.37"/>
    <m/>
    <m/>
    <m/>
    <m/>
    <m/>
    <m/>
    <n v="34.75"/>
    <m/>
    <m/>
    <m/>
    <m/>
    <m/>
    <m/>
    <m/>
    <n v="17.37"/>
    <m/>
    <n v="104.24"/>
  </r>
  <r>
    <n v="3"/>
    <x v="3"/>
    <x v="0"/>
    <n v="162181"/>
    <s v="GUTIERREZ MAXIMILIANO FELIPE"/>
    <s v="20-34435965-3"/>
    <d v="2016-04-06T00:00:00"/>
    <n v="34435965"/>
    <s v="GUTIERREZ"/>
    <s v="MAXIMILIANO FELIPE"/>
    <s v="M"/>
    <m/>
    <d v="2015-11-25T00:00:00"/>
    <d v="2016-03-20T00:00:00"/>
    <m/>
    <s v="GASTRONOMICOS-Hoteles 4 y 5 Estrellas - 362/2003"/>
    <s v="Categoria 1"/>
    <x v="16"/>
    <s v="Back Office"/>
    <s v="Back Office"/>
    <s v="Áreas Públicas"/>
    <n v="126205"/>
    <s v="O.S.Emp.Comercio y Act.Civiles"/>
    <s v="Buenos Aires - Almte. Brown"/>
    <m/>
    <n v="1019"/>
    <s v="JOSE INGENIEROS"/>
    <n v="513"/>
    <m/>
    <m/>
    <s v="CAPITAL FEDERAL"/>
    <s v="Buenos Aires"/>
    <m/>
    <m/>
    <m/>
    <n v="4"/>
    <n v="1"/>
    <n v="11924.96"/>
    <n v="2384.9899999999998"/>
    <m/>
    <n v="21722.240000000002"/>
    <n v="31262.21"/>
    <m/>
    <n v="238.5"/>
    <m/>
    <m/>
    <m/>
    <m/>
    <m/>
    <m/>
    <n v="119.25"/>
    <m/>
    <m/>
    <m/>
    <m/>
    <m/>
    <m/>
    <n v="238.5"/>
    <m/>
    <m/>
    <m/>
    <m/>
    <m/>
    <m/>
    <m/>
    <n v="119.25"/>
    <m/>
    <n v="715.5"/>
  </r>
  <r>
    <n v="3"/>
    <x v="3"/>
    <x v="1"/>
    <n v="77136"/>
    <s v="HAURET BELTRAN"/>
    <s v="20-31675095-9"/>
    <d v="2016-04-06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1"/>
    <n v="1"/>
    <n v="9346.7900000000009"/>
    <n v="1869.36"/>
    <m/>
    <m/>
    <n v="7477.43"/>
    <m/>
    <n v="186.94"/>
    <m/>
    <m/>
    <m/>
    <m/>
    <m/>
    <m/>
    <n v="93.47"/>
    <m/>
    <m/>
    <m/>
    <m/>
    <m/>
    <m/>
    <n v="186.94"/>
    <m/>
    <m/>
    <m/>
    <m/>
    <m/>
    <m/>
    <m/>
    <n v="93.47"/>
    <m/>
    <n v="560.82000000000005"/>
  </r>
  <r>
    <n v="3"/>
    <x v="3"/>
    <x v="0"/>
    <n v="170479"/>
    <s v="HERMOSILLA LUIS CARLOS"/>
    <s v="20-93896751-3"/>
    <d v="2016-04-06T00:00:00"/>
    <n v="93896751"/>
    <s v="HERMOSILLA"/>
    <s v="LUIS CARLOS"/>
    <s v="M"/>
    <m/>
    <d v="2016-03-1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ESTEBAN BONORINO"/>
    <n v="1225"/>
    <s v="2C"/>
    <m/>
    <s v="CAPITAL FEDERAL"/>
    <s v="Buenos Aires"/>
    <m/>
    <s v="U.O.Centro"/>
    <m/>
    <n v="1"/>
    <n v="1"/>
    <n v="1278.82"/>
    <n v="255.76"/>
    <m/>
    <m/>
    <n v="1023.06"/>
    <m/>
    <n v="25.58"/>
    <m/>
    <m/>
    <m/>
    <m/>
    <m/>
    <m/>
    <n v="12.79"/>
    <m/>
    <m/>
    <m/>
    <m/>
    <m/>
    <m/>
    <n v="25.58"/>
    <m/>
    <m/>
    <m/>
    <m/>
    <m/>
    <m/>
    <m/>
    <n v="12.79"/>
    <m/>
    <n v="76.739999999999995"/>
  </r>
  <r>
    <n v="3"/>
    <x v="3"/>
    <x v="0"/>
    <n v="157050"/>
    <s v="HERNANDEZ MARTA ISABEL"/>
    <s v="27-24789844-7"/>
    <d v="2016-04-06T00:00:00"/>
    <n v="24789844"/>
    <s v="HERNANDEZ"/>
    <s v="MARTA ISABEL"/>
    <s v="F"/>
    <m/>
    <d v="2015-10-01T00:00:00"/>
    <d v="2016-02-21T00:00:00"/>
    <d v="2016-02-21T00:00:00"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HELGUERA"/>
    <n v="1232"/>
    <m/>
    <m/>
    <s v="CAPITAL FEDERAL"/>
    <s v="Buenos Aires"/>
    <m/>
    <s v="U.O.Centro"/>
    <s v="Mucama Por Hora"/>
    <n v="1"/>
    <n v="1"/>
    <m/>
    <m/>
    <m/>
    <n v="154.44999999999999"/>
    <n v="154.44999999999999"/>
    <m/>
    <m/>
    <m/>
    <m/>
    <m/>
    <m/>
    <m/>
    <m/>
    <m/>
    <m/>
    <m/>
    <m/>
    <m/>
    <m/>
    <m/>
    <m/>
    <m/>
    <m/>
    <m/>
    <m/>
    <m/>
    <m/>
    <m/>
    <m/>
    <m/>
    <m/>
  </r>
  <r>
    <n v="3"/>
    <x v="3"/>
    <x v="0"/>
    <n v="162833"/>
    <s v="HERRERA JESSICA ROSARIO"/>
    <s v="27-36635696-2"/>
    <d v="2016-03-21T00:00:00"/>
    <n v="36635696"/>
    <s v="HERRERA"/>
    <s v="JESSICA ROSARIO"/>
    <s v="F"/>
    <m/>
    <d v="2015-12-0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UIZA"/>
    <n v="1005"/>
    <m/>
    <m/>
    <s v="CAPITAL FEDERAL"/>
    <s v="Capital Federal"/>
    <m/>
    <s v="U.O.Centro"/>
    <m/>
    <n v="1"/>
    <n v="1"/>
    <n v="648.72"/>
    <n v="129.74"/>
    <m/>
    <m/>
    <n v="518.98"/>
    <m/>
    <n v="12.97"/>
    <m/>
    <m/>
    <m/>
    <m/>
    <m/>
    <m/>
    <n v="6.49"/>
    <m/>
    <m/>
    <m/>
    <m/>
    <m/>
    <m/>
    <n v="12.97"/>
    <m/>
    <m/>
    <m/>
    <m/>
    <m/>
    <m/>
    <m/>
    <n v="6.49"/>
    <m/>
    <n v="38.92"/>
  </r>
  <r>
    <n v="3"/>
    <x v="3"/>
    <x v="1"/>
    <n v="152999"/>
    <s v="INOJOSA NELSON RAUL"/>
    <s v="20-25995558-1"/>
    <d v="2016-03-31T00:00:00"/>
    <n v="25995558"/>
    <s v="INOJOSA"/>
    <s v="NELSON RAUL"/>
    <s v="M"/>
    <m/>
    <d v="2015-09-2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SARMIENTO"/>
    <n v="764"/>
    <s v="PB"/>
    <m/>
    <s v="CAPITAL FEDERAL"/>
    <s v="Capital Federal"/>
    <m/>
    <s v="U.O.Centro Paga Inplant"/>
    <m/>
    <n v="1"/>
    <n v="1"/>
    <n v="6230.7"/>
    <n v="1246.1400000000001"/>
    <m/>
    <m/>
    <n v="4984.5600000000004"/>
    <m/>
    <n v="124.61"/>
    <m/>
    <m/>
    <m/>
    <m/>
    <m/>
    <m/>
    <n v="62.31"/>
    <m/>
    <m/>
    <m/>
    <m/>
    <m/>
    <m/>
    <n v="124.61"/>
    <m/>
    <m/>
    <m/>
    <m/>
    <m/>
    <m/>
    <m/>
    <n v="62.31"/>
    <m/>
    <n v="373.84"/>
  </r>
  <r>
    <n v="3"/>
    <x v="3"/>
    <x v="0"/>
    <n v="162546"/>
    <s v="IRIBARREN CASARETTO ROCIO MARIEL"/>
    <s v="27-36377256-6"/>
    <d v="2016-04-06T00:00:00"/>
    <n v="36377256"/>
    <s v="IRIBARREN CASARETTO"/>
    <s v="ROCIO MARIEL"/>
    <s v="F"/>
    <m/>
    <d v="2015-12-03T00:00:00"/>
    <d v="2016-03-07T00:00:00"/>
    <d v="2016-03-01T00:00:00"/>
    <s v="GASTRONOMICOS-Hoteles 4 y 5 Estrellas - 362/2003"/>
    <s v="Categoría 4"/>
    <x v="17"/>
    <s v="Unidad Base-GL"/>
    <s v="San Isidro"/>
    <s v="Mucama"/>
    <n v="108803"/>
    <s v="O.S.P.Gastronomico"/>
    <s v="Buenos Aires - Gran Buenos Aires"/>
    <s v="Nordelta"/>
    <n v="1648"/>
    <s v="HUMAITA Y MONTEAGUDO"/>
    <n v="240"/>
    <m/>
    <m/>
    <s v="TIGRE"/>
    <s v="Buenos Aires"/>
    <m/>
    <s v="U.O.San Isidro"/>
    <m/>
    <n v="2"/>
    <n v="1"/>
    <n v="2278.09"/>
    <n v="455.61"/>
    <m/>
    <n v="1408"/>
    <n v="3230.48"/>
    <m/>
    <n v="45.56"/>
    <m/>
    <m/>
    <m/>
    <m/>
    <m/>
    <m/>
    <n v="22.78"/>
    <m/>
    <m/>
    <m/>
    <m/>
    <m/>
    <m/>
    <n v="45.56"/>
    <m/>
    <m/>
    <m/>
    <m/>
    <m/>
    <m/>
    <m/>
    <n v="22.78"/>
    <m/>
    <n v="136.68"/>
  </r>
  <r>
    <n v="3"/>
    <x v="3"/>
    <x v="0"/>
    <n v="155922"/>
    <s v="JANNON LUIS AUGUSTO"/>
    <s v="20-32336089-9"/>
    <d v="2016-04-06T00:00:00"/>
    <n v="32336089"/>
    <s v="JANNON"/>
    <s v="LUIS AUGUSTO"/>
    <s v="M"/>
    <m/>
    <d v="2016-02-0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3"/>
    <n v="1"/>
    <n v="12475.23"/>
    <n v="2495.04"/>
    <m/>
    <m/>
    <n v="9980.19"/>
    <m/>
    <n v="249.5"/>
    <m/>
    <m/>
    <m/>
    <m/>
    <m/>
    <m/>
    <n v="124.75"/>
    <m/>
    <m/>
    <m/>
    <m/>
    <m/>
    <m/>
    <n v="249.5"/>
    <m/>
    <m/>
    <m/>
    <m/>
    <m/>
    <m/>
    <m/>
    <n v="124.75"/>
    <m/>
    <n v="748.5"/>
  </r>
  <r>
    <n v="3"/>
    <x v="3"/>
    <x v="0"/>
    <n v="171022"/>
    <s v="JUAREZ EZEQUIEL JOSE EDUARDO"/>
    <s v="20-40672881-2"/>
    <d v="2016-04-06T00:00:00"/>
    <n v="40672881"/>
    <s v="JUAREZ"/>
    <s v="EZEQUIEL JOSE EDUAR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WARNES"/>
    <n v="1005"/>
    <m/>
    <m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1"/>
    <n v="168403"/>
    <s v="JUAREZ LILIANA MARCELA"/>
    <s v="27-23887293-1"/>
    <d v="2016-04-06T00:00:00"/>
    <n v="23887293"/>
    <s v="JUAREZ"/>
    <s v="LILIANA MARCELA"/>
    <s v="F"/>
    <m/>
    <d v="2016-02-14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LA RIOJA"/>
    <n v="1891"/>
    <m/>
    <m/>
    <s v="CAPITAL FEDERAL"/>
    <s v="Capital Federal"/>
    <m/>
    <s v="U.O.Centro"/>
    <s v="Alvear Palace"/>
    <n v="2"/>
    <n v="1"/>
    <n v="7082.72"/>
    <n v="1416.56"/>
    <m/>
    <m/>
    <n v="5666.16"/>
    <m/>
    <n v="141.65"/>
    <m/>
    <m/>
    <m/>
    <m/>
    <m/>
    <m/>
    <n v="70.83"/>
    <m/>
    <m/>
    <m/>
    <m/>
    <m/>
    <m/>
    <n v="141.65"/>
    <n v="38.78"/>
    <m/>
    <m/>
    <m/>
    <m/>
    <m/>
    <m/>
    <n v="32.049999999999997"/>
    <m/>
    <n v="424.96"/>
  </r>
  <r>
    <n v="3"/>
    <x v="3"/>
    <x v="0"/>
    <n v="170477"/>
    <s v="JUÁREZ MAURO IVÁN"/>
    <s v="20-35753069-6"/>
    <d v="2016-04-06T00:00:00"/>
    <n v="35753069"/>
    <s v="JUÁREZ"/>
    <s v="MAURO IVÁN"/>
    <s v="M"/>
    <m/>
    <d v="2016-03-1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ALEM"/>
    <n v="1225"/>
    <m/>
    <m/>
    <s v="CAPITAL FEDERAL"/>
    <s v="Buenos Aires"/>
    <m/>
    <s v="U.O.Centro"/>
    <m/>
    <n v="1"/>
    <n v="1"/>
    <n v="1278.82"/>
    <n v="255.76"/>
    <m/>
    <m/>
    <n v="1023.06"/>
    <m/>
    <n v="25.58"/>
    <m/>
    <m/>
    <m/>
    <m/>
    <m/>
    <m/>
    <n v="12.79"/>
    <m/>
    <m/>
    <m/>
    <m/>
    <m/>
    <m/>
    <n v="25.58"/>
    <m/>
    <m/>
    <m/>
    <m/>
    <m/>
    <m/>
    <m/>
    <n v="12.79"/>
    <m/>
    <n v="76.739999999999995"/>
  </r>
  <r>
    <n v="3"/>
    <x v="3"/>
    <x v="0"/>
    <n v="170708"/>
    <s v="KAGEL ALAN EDUARDO"/>
    <s v="20-31061583-9"/>
    <d v="2016-04-06T00:00:00"/>
    <n v="31061583"/>
    <s v="KAGEL"/>
    <s v="ALAN EDUARDO"/>
    <s v="M"/>
    <m/>
    <d v="2016-03-2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DIEGO PALMA"/>
    <n v="1005"/>
    <m/>
    <m/>
    <s v="CAPITAL FEDERAL"/>
    <s v="Capital Federal"/>
    <m/>
    <s v="U.O.Centro"/>
    <m/>
    <n v="1"/>
    <n v="1"/>
    <n v="854.3"/>
    <n v="170.86"/>
    <m/>
    <m/>
    <n v="683.44"/>
    <m/>
    <n v="17.09"/>
    <m/>
    <m/>
    <m/>
    <m/>
    <m/>
    <m/>
    <n v="8.5399999999999991"/>
    <m/>
    <m/>
    <m/>
    <m/>
    <m/>
    <m/>
    <n v="17.09"/>
    <m/>
    <m/>
    <m/>
    <m/>
    <m/>
    <m/>
    <m/>
    <n v="8.5399999999999991"/>
    <m/>
    <n v="51.26"/>
  </r>
  <r>
    <n v="3"/>
    <x v="3"/>
    <x v="0"/>
    <n v="161056"/>
    <s v="KOHLER LOPEZ EVANY MIGUELINA"/>
    <s v="27-94760662-5"/>
    <d v="2016-04-06T00:00:00"/>
    <n v="94760662"/>
    <s v="KOHLER LOPEZ"/>
    <s v="EVANY MIGUELINA"/>
    <s v="F"/>
    <m/>
    <d v="2015-11-15T00:00:00"/>
    <d v="2016-03-2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PAVON"/>
    <n v="1225"/>
    <s v="PB"/>
    <s v="C"/>
    <s v="CAPITAL FEDERAL"/>
    <s v="Buenos Aires"/>
    <m/>
    <s v="U.O.Centro"/>
    <m/>
    <n v="2"/>
    <n v="1"/>
    <n v="9612.25"/>
    <n v="1922.43"/>
    <m/>
    <m/>
    <n v="7689.82"/>
    <m/>
    <n v="192.24"/>
    <m/>
    <m/>
    <m/>
    <m/>
    <m/>
    <m/>
    <n v="96.12"/>
    <m/>
    <m/>
    <m/>
    <m/>
    <m/>
    <m/>
    <n v="192.24"/>
    <m/>
    <m/>
    <m/>
    <m/>
    <m/>
    <m/>
    <m/>
    <n v="96.12"/>
    <m/>
    <n v="576.72"/>
  </r>
  <r>
    <n v="3"/>
    <x v="3"/>
    <x v="0"/>
    <n v="162207"/>
    <s v="KOLTOWSKI ALICIA ANDREA"/>
    <s v="27-24905826-8"/>
    <d v="2016-03-21T00:00:00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MONTEVERDE"/>
    <n v="1225"/>
    <m/>
    <m/>
    <s v="CAPITAL FEDERAL"/>
    <s v="Buenos Aires"/>
    <m/>
    <s v="U.O.Centro"/>
    <m/>
    <n v="1"/>
    <n v="1"/>
    <n v="1558.59"/>
    <n v="311.72000000000003"/>
    <m/>
    <m/>
    <n v="1246.8699999999999"/>
    <m/>
    <n v="31.17"/>
    <m/>
    <m/>
    <m/>
    <m/>
    <m/>
    <m/>
    <n v="15.59"/>
    <m/>
    <m/>
    <m/>
    <m/>
    <m/>
    <m/>
    <n v="31.17"/>
    <m/>
    <m/>
    <m/>
    <m/>
    <m/>
    <m/>
    <m/>
    <n v="15.59"/>
    <m/>
    <n v="93.52"/>
  </r>
  <r>
    <n v="3"/>
    <x v="3"/>
    <x v="1"/>
    <n v="170491"/>
    <s v="LEYES BRIAN RAFAEL"/>
    <s v="20-38422213-8"/>
    <d v="2016-04-06T00:00:00"/>
    <n v="38422213"/>
    <s v="LEYES"/>
    <s v="BRIAN RAFAEL"/>
    <s v="M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CANALES"/>
    <n v="1584"/>
    <m/>
    <m/>
    <s v="CAPITAL FEDERAL"/>
    <s v="Capital Federal"/>
    <m/>
    <s v="U.O.Centro"/>
    <s v="Alvear Palace"/>
    <n v="1"/>
    <n v="1"/>
    <n v="569.74"/>
    <n v="113.94"/>
    <m/>
    <m/>
    <n v="455.8"/>
    <m/>
    <n v="11.39"/>
    <m/>
    <m/>
    <m/>
    <m/>
    <m/>
    <m/>
    <n v="5.7"/>
    <m/>
    <m/>
    <m/>
    <m/>
    <m/>
    <m/>
    <n v="11.39"/>
    <m/>
    <m/>
    <m/>
    <m/>
    <m/>
    <m/>
    <m/>
    <n v="5.7"/>
    <m/>
    <n v="34.18"/>
  </r>
  <r>
    <n v="3"/>
    <x v="3"/>
    <x v="0"/>
    <n v="170167"/>
    <s v="LINARES LUCIA MORENA"/>
    <s v="27-32936026-7"/>
    <d v="2016-03-21T00:00:00"/>
    <n v="32936026"/>
    <s v="LINARES"/>
    <s v="LUCIA MORENA"/>
    <s v="F"/>
    <m/>
    <d v="2016-03-0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EDRO MORAN"/>
    <n v="1005"/>
    <n v="2"/>
    <n v="8"/>
    <s v="CAPITAL FEDERAL"/>
    <s v="Capital Federal"/>
    <m/>
    <s v="U.O.Centro"/>
    <m/>
    <n v="1"/>
    <n v="1"/>
    <n v="648.72"/>
    <n v="129.74"/>
    <m/>
    <m/>
    <n v="518.98"/>
    <m/>
    <n v="12.97"/>
    <m/>
    <m/>
    <m/>
    <m/>
    <m/>
    <m/>
    <n v="6.49"/>
    <m/>
    <m/>
    <m/>
    <m/>
    <m/>
    <m/>
    <n v="12.97"/>
    <m/>
    <m/>
    <m/>
    <m/>
    <m/>
    <m/>
    <m/>
    <n v="6.49"/>
    <m/>
    <n v="38.92"/>
  </r>
  <r>
    <n v="3"/>
    <x v="3"/>
    <x v="1"/>
    <n v="170264"/>
    <s v="LIZARRAGA ARIEL HERNAN"/>
    <s v="20-30593212-5"/>
    <d v="2016-04-06T00:00:00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martinto"/>
    <n v="1891"/>
    <m/>
    <m/>
    <s v="CAPITAL FEDERAL"/>
    <s v="Capital Federal"/>
    <m/>
    <s v="U.O.Centro"/>
    <s v="Alvear Palace"/>
    <n v="1"/>
    <n v="1"/>
    <n v="2848.72"/>
    <n v="569.74"/>
    <m/>
    <m/>
    <n v="2278.98"/>
    <m/>
    <n v="56.97"/>
    <m/>
    <m/>
    <m/>
    <m/>
    <m/>
    <m/>
    <n v="28.49"/>
    <m/>
    <m/>
    <m/>
    <m/>
    <m/>
    <m/>
    <n v="56.97"/>
    <m/>
    <m/>
    <m/>
    <m/>
    <m/>
    <m/>
    <m/>
    <n v="28.49"/>
    <m/>
    <n v="170.92"/>
  </r>
  <r>
    <n v="3"/>
    <x v="3"/>
    <x v="0"/>
    <n v="152229"/>
    <s v="LLANES MIRIAM BEATRIZ"/>
    <s v="23-93959278-4"/>
    <d v="2016-04-06T00:00:00"/>
    <n v="93959278"/>
    <s v="LLANES"/>
    <s v="MIRIAM BEATRIZ"/>
    <s v="F"/>
    <m/>
    <d v="2015-08-11T00:00:00"/>
    <d v="2016-03-23T00:00:00"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BERUTI"/>
    <n v="1005"/>
    <s v="1°"/>
    <s v="A"/>
    <s v="CAPITAL FEDERAL"/>
    <s v="Capital Federal"/>
    <m/>
    <s v="U.O.Centro"/>
    <m/>
    <n v="3"/>
    <n v="1"/>
    <n v="6216.47"/>
    <n v="1243.3"/>
    <m/>
    <m/>
    <n v="4973.17"/>
    <m/>
    <n v="124.33"/>
    <m/>
    <m/>
    <m/>
    <m/>
    <m/>
    <m/>
    <n v="62.16"/>
    <m/>
    <m/>
    <m/>
    <m/>
    <m/>
    <m/>
    <n v="124.33"/>
    <m/>
    <m/>
    <m/>
    <m/>
    <m/>
    <m/>
    <m/>
    <n v="62.16"/>
    <m/>
    <n v="372.98"/>
  </r>
  <r>
    <n v="3"/>
    <x v="3"/>
    <x v="1"/>
    <n v="166016"/>
    <s v="LOPEZ BILLERI MARIA ANTONELLA"/>
    <s v="27-36157606-9"/>
    <d v="2016-04-06T00:00:00"/>
    <n v="36157606"/>
    <s v="LOPEZ BILLERI"/>
    <s v="MARIA ANTONELLA"/>
    <s v="F"/>
    <m/>
    <d v="2016-0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IRIGOYEN"/>
    <n v="535"/>
    <m/>
    <m/>
    <s v="CAPITAL FEDERAL"/>
    <s v="Capital Federal"/>
    <m/>
    <s v="U.O.Centro"/>
    <m/>
    <n v="1"/>
    <n v="1"/>
    <n v="5033.8"/>
    <n v="1006.76"/>
    <m/>
    <m/>
    <n v="4027.04"/>
    <m/>
    <n v="100.68"/>
    <m/>
    <m/>
    <m/>
    <m/>
    <m/>
    <m/>
    <n v="50.34"/>
    <m/>
    <m/>
    <m/>
    <m/>
    <m/>
    <m/>
    <n v="100.68"/>
    <m/>
    <m/>
    <m/>
    <m/>
    <m/>
    <m/>
    <m/>
    <n v="50.34"/>
    <m/>
    <n v="302.04000000000002"/>
  </r>
  <r>
    <n v="3"/>
    <x v="3"/>
    <x v="1"/>
    <n v="164880"/>
    <s v="LOPEZ DIORIO RODRIGO NAHUEL"/>
    <s v="20-38066576-0"/>
    <d v="2016-04-06T00:00:00"/>
    <n v="38066576"/>
    <s v="LOPEZ DIORIO"/>
    <s v="RODRIGO NAHUEL"/>
    <s v="M"/>
    <m/>
    <d v="2016-02-14T00:00:00"/>
    <m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129"/>
    <n v="156"/>
    <n v="1891"/>
    <m/>
    <m/>
    <s v="CAPITAL FEDERAL"/>
    <s v="Capital Federal"/>
    <m/>
    <s v="U.O.Centro"/>
    <s v="Alvear Palace"/>
    <n v="3"/>
    <n v="1"/>
    <n v="11002.55"/>
    <n v="2151.34"/>
    <m/>
    <m/>
    <n v="8851.2099999999991"/>
    <m/>
    <n v="220.05"/>
    <m/>
    <m/>
    <m/>
    <m/>
    <m/>
    <m/>
    <n v="60.85"/>
    <m/>
    <m/>
    <m/>
    <m/>
    <m/>
    <m/>
    <n v="220.05"/>
    <m/>
    <m/>
    <m/>
    <m/>
    <m/>
    <m/>
    <m/>
    <n v="60.85"/>
    <m/>
    <n v="561.79999999999995"/>
  </r>
  <r>
    <n v="3"/>
    <x v="3"/>
    <x v="0"/>
    <n v="169947"/>
    <s v="LOPEZ ROMERO NESTOR DAMIAN"/>
    <s v="20-94770741-9"/>
    <d v="2016-04-06T00:00:0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RIO IGUAZU"/>
    <n v="1225"/>
    <m/>
    <m/>
    <s v="CAPITAL FEDERAL"/>
    <s v="Buenos Aires"/>
    <m/>
    <s v="U.O.Centro"/>
    <m/>
    <n v="1"/>
    <n v="1"/>
    <n v="4433.26"/>
    <n v="886.66"/>
    <m/>
    <m/>
    <n v="3546.6"/>
    <m/>
    <n v="88.67"/>
    <m/>
    <m/>
    <m/>
    <m/>
    <m/>
    <m/>
    <n v="44.33"/>
    <m/>
    <m/>
    <m/>
    <m/>
    <m/>
    <m/>
    <n v="88.67"/>
    <m/>
    <m/>
    <m/>
    <m/>
    <m/>
    <m/>
    <m/>
    <n v="44.33"/>
    <m/>
    <n v="266"/>
  </r>
  <r>
    <n v="3"/>
    <x v="3"/>
    <x v="1"/>
    <n v="158697"/>
    <s v="LOZA ALDANA ROMINA"/>
    <s v="27-29774261-8"/>
    <d v="2016-03-31T00:00:00"/>
    <n v="29774261"/>
    <s v="LOZA"/>
    <s v="ALDANA ROMINA"/>
    <s v="F"/>
    <m/>
    <d v="2015-10-0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INGENIERO HUERGO"/>
    <n v="764"/>
    <s v="PB"/>
    <m/>
    <s v="CAPITAL FEDERAL"/>
    <s v="Capital Federal"/>
    <m/>
    <s v="U.O.Centro Paga Inplant"/>
    <m/>
    <n v="1"/>
    <n v="1"/>
    <n v="280.39999999999998"/>
    <n v="56.07"/>
    <m/>
    <m/>
    <n v="224.33"/>
    <m/>
    <n v="5.61"/>
    <m/>
    <m/>
    <m/>
    <m/>
    <m/>
    <m/>
    <n v="2.8"/>
    <m/>
    <m/>
    <m/>
    <m/>
    <m/>
    <m/>
    <n v="5.61"/>
    <m/>
    <m/>
    <m/>
    <m/>
    <m/>
    <m/>
    <m/>
    <n v="2.8"/>
    <m/>
    <n v="16.82"/>
  </r>
  <r>
    <n v="3"/>
    <x v="3"/>
    <x v="1"/>
    <n v="147835"/>
    <s v="LUQUE JAVIER ANTONIO"/>
    <s v="20-37023577-6"/>
    <d v="2016-04-06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2"/>
    <n v="1"/>
    <n v="13113.02"/>
    <n v="2622.6"/>
    <m/>
    <m/>
    <n v="10490.42"/>
    <m/>
    <n v="262.26"/>
    <m/>
    <m/>
    <m/>
    <m/>
    <m/>
    <m/>
    <n v="131.13"/>
    <m/>
    <m/>
    <m/>
    <m/>
    <m/>
    <m/>
    <n v="262.26"/>
    <m/>
    <m/>
    <m/>
    <m/>
    <m/>
    <m/>
    <m/>
    <n v="131.13"/>
    <m/>
    <n v="786.78"/>
  </r>
  <r>
    <n v="3"/>
    <x v="3"/>
    <x v="0"/>
    <n v="170140"/>
    <s v="MAIDANA OSCAR RODOLFO"/>
    <s v="20-12573728-6"/>
    <d v="2016-04-06T00:00:0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n v="1104"/>
    <s v="MARCO SASTRE"/>
    <n v="1225"/>
    <m/>
    <m/>
    <s v="CAPITAL FEDERAL"/>
    <s v="Buenos Aires"/>
    <m/>
    <s v="U.O.Centro"/>
    <m/>
    <n v="1"/>
    <n v="1"/>
    <n v="12771.21"/>
    <n v="2554.2399999999998"/>
    <m/>
    <m/>
    <n v="10216.969999999999"/>
    <m/>
    <n v="255.42"/>
    <m/>
    <m/>
    <m/>
    <m/>
    <m/>
    <m/>
    <n v="127.71"/>
    <m/>
    <m/>
    <m/>
    <m/>
    <m/>
    <m/>
    <n v="255.42"/>
    <m/>
    <m/>
    <m/>
    <m/>
    <m/>
    <m/>
    <m/>
    <n v="127.71"/>
    <m/>
    <n v="766.26"/>
  </r>
  <r>
    <n v="3"/>
    <x v="3"/>
    <x v="0"/>
    <n v="171021"/>
    <s v="MAITA GISELLE ELIANA"/>
    <s v="27-34799549-0"/>
    <d v="2016-04-06T00:00:00"/>
    <n v="34799549"/>
    <s v="MAITA"/>
    <s v="GISELLE ELIANA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RQUIMEDES"/>
    <n v="1005"/>
    <m/>
    <m/>
    <s v="CAPITAL FEDERAL"/>
    <s v="Capital Federal"/>
    <m/>
    <s v="U.O.Centro"/>
    <m/>
    <n v="1"/>
    <n v="1"/>
    <n v="438.33"/>
    <n v="87.67"/>
    <m/>
    <m/>
    <n v="350.66"/>
    <m/>
    <n v="8.77"/>
    <m/>
    <m/>
    <m/>
    <m/>
    <m/>
    <m/>
    <n v="4.38"/>
    <m/>
    <m/>
    <m/>
    <m/>
    <m/>
    <m/>
    <n v="8.77"/>
    <m/>
    <m/>
    <m/>
    <m/>
    <m/>
    <m/>
    <m/>
    <n v="4.38"/>
    <m/>
    <n v="26.3"/>
  </r>
  <r>
    <n v="3"/>
    <x v="3"/>
    <x v="0"/>
    <n v="169908"/>
    <s v="MALDONADO ALEJANDRA"/>
    <s v="27-29694948-0"/>
    <d v="2016-04-06T00:00:00"/>
    <n v="29694948"/>
    <s v="MALDONADO"/>
    <s v="ALEJANDRA"/>
    <s v="F"/>
    <m/>
    <d v="2016-03-08T00:00:00"/>
    <m/>
    <m/>
    <s v="GASTRONOMICOS-Hoteles 4 y 5 Estrellas - 362/2003"/>
    <s v="Categoría 4"/>
    <x v="4"/>
    <s v="Unidad Base-GL"/>
    <s v="Centro"/>
    <s v="Mucama"/>
    <n v="123305"/>
    <s v="OS  DEL PERSONAL DE SOCIEDADES DE AUTORES Y AFINES"/>
    <s v="Capital Federal"/>
    <m/>
    <n v="1004"/>
    <s v="AYACUCHO"/>
    <n v="474"/>
    <m/>
    <m/>
    <s v="CAPITAL FEDERAL"/>
    <s v="Buenos Aires"/>
    <m/>
    <s v="U.O.Centro"/>
    <m/>
    <n v="1"/>
    <n v="1"/>
    <n v="3226.37"/>
    <n v="645.27"/>
    <m/>
    <m/>
    <n v="2581.1"/>
    <m/>
    <n v="64.53"/>
    <m/>
    <m/>
    <m/>
    <m/>
    <m/>
    <m/>
    <n v="32.26"/>
    <m/>
    <m/>
    <m/>
    <m/>
    <m/>
    <m/>
    <n v="64.53"/>
    <m/>
    <m/>
    <m/>
    <m/>
    <m/>
    <m/>
    <m/>
    <n v="32.26"/>
    <m/>
    <n v="193.58"/>
  </r>
  <r>
    <n v="3"/>
    <x v="3"/>
    <x v="0"/>
    <n v="163375"/>
    <s v="MANGIN CARINA ANAHI"/>
    <s v="27-31623620-6"/>
    <d v="2016-04-06T00:00:00"/>
    <n v="31623620"/>
    <s v="MANGIN"/>
    <s v="CARINA ANAHI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VIDEO"/>
    <n v="1225"/>
    <m/>
    <s v="PB"/>
    <s v="CAPITAL FEDERAL"/>
    <s v="Buenos Aires"/>
    <m/>
    <s v="U.O.Centro"/>
    <m/>
    <n v="2"/>
    <n v="1"/>
    <n v="3117.18"/>
    <n v="623.45000000000005"/>
    <m/>
    <m/>
    <n v="2493.73"/>
    <m/>
    <n v="62.34"/>
    <m/>
    <m/>
    <m/>
    <m/>
    <m/>
    <m/>
    <n v="31.18"/>
    <m/>
    <m/>
    <m/>
    <m/>
    <m/>
    <m/>
    <n v="62.34"/>
    <m/>
    <m/>
    <m/>
    <m/>
    <m/>
    <m/>
    <m/>
    <n v="31.18"/>
    <m/>
    <n v="187.04"/>
  </r>
  <r>
    <n v="3"/>
    <x v="3"/>
    <x v="1"/>
    <n v="152233"/>
    <s v="MARGHETICH SERGIO VIRGILIO"/>
    <s v="20-21090363-2"/>
    <d v="2016-04-06T00:00:00"/>
    <n v="21090363"/>
    <s v="MARGHETICH"/>
    <s v="SERGIO VIRGILIO"/>
    <s v="M"/>
    <m/>
    <d v="2015-06-16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ATAMARCA"/>
    <n v="535"/>
    <m/>
    <m/>
    <s v="CAPITAL FEDERAL"/>
    <s v="Capital Federal"/>
    <m/>
    <s v="U.O.Centro Paga Inplant"/>
    <m/>
    <n v="2"/>
    <n v="1"/>
    <n v="36983.360000000001"/>
    <n v="7396.7"/>
    <m/>
    <m/>
    <n v="29586.66"/>
    <m/>
    <n v="739.67"/>
    <m/>
    <m/>
    <m/>
    <m/>
    <m/>
    <m/>
    <n v="369.84"/>
    <m/>
    <m/>
    <m/>
    <m/>
    <m/>
    <m/>
    <n v="739.67"/>
    <m/>
    <m/>
    <m/>
    <m/>
    <m/>
    <m/>
    <m/>
    <n v="369.84"/>
    <m/>
    <n v="2219.02"/>
  </r>
  <r>
    <n v="3"/>
    <x v="3"/>
    <x v="1"/>
    <n v="143423"/>
    <s v="MARQUEZ LAURA MABEL"/>
    <s v="27-26174399-5"/>
    <d v="2016-03-31T00:00:00"/>
    <n v="26174399"/>
    <s v="MARQUEZ"/>
    <s v="LAURA MABEL"/>
    <s v="F"/>
    <m/>
    <d v="2015-01-20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UEYRREDON"/>
    <n v="764"/>
    <n v="1"/>
    <s v="A"/>
    <s v="CAPITAL FEDERAL"/>
    <s v="Capital Federal"/>
    <m/>
    <s v="U.O.Centro Paga Inplant"/>
    <m/>
    <n v="1"/>
    <n v="1"/>
    <n v="12501.26"/>
    <n v="2500.2600000000002"/>
    <m/>
    <m/>
    <n v="10001"/>
    <m/>
    <n v="250.03"/>
    <m/>
    <m/>
    <m/>
    <m/>
    <m/>
    <m/>
    <n v="125.01"/>
    <m/>
    <m/>
    <m/>
    <m/>
    <m/>
    <m/>
    <n v="250.03"/>
    <m/>
    <m/>
    <m/>
    <m/>
    <m/>
    <m/>
    <m/>
    <n v="125.01"/>
    <m/>
    <n v="750.08"/>
  </r>
  <r>
    <n v="3"/>
    <x v="3"/>
    <x v="0"/>
    <n v="170494"/>
    <s v="MARSON EMILIANO DAMIAN"/>
    <s v="24-30778105-7"/>
    <d v="2016-04-06T00:00:00"/>
    <n v="30778105"/>
    <s v="MARSON"/>
    <s v="EMILIANO DAMIAN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ASAJE M GALINDEZ"/>
    <n v="1005"/>
    <m/>
    <m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1"/>
    <n v="122290"/>
    <s v="MARTINEZ EZEQUIEL FACUNDO"/>
    <s v="20-28328215-6"/>
    <d v="2016-04-06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2180.66"/>
    <n v="2497.04"/>
    <m/>
    <m/>
    <n v="9683.6200000000008"/>
    <n v="304.52"/>
    <m/>
    <m/>
    <m/>
    <m/>
    <m/>
    <m/>
    <m/>
    <n v="121.81"/>
    <m/>
    <m/>
    <m/>
    <m/>
    <m/>
    <m/>
    <n v="243.61"/>
    <m/>
    <m/>
    <m/>
    <m/>
    <m/>
    <m/>
    <m/>
    <n v="121.81"/>
    <m/>
    <n v="791.75"/>
  </r>
  <r>
    <n v="3"/>
    <x v="3"/>
    <x v="0"/>
    <n v="155981"/>
    <s v="MARTINEZ GABRIEL ALFREDO"/>
    <s v="20-26702400-7"/>
    <d v="2016-04-06T00:00:00"/>
    <n v="26702400"/>
    <s v="MARTINEZ"/>
    <s v="GABRIEL ALFREDO"/>
    <s v="M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ING- CHAPEAUROUGE"/>
    <n v="1005"/>
    <m/>
    <m/>
    <s v="CAPITAL FEDERAL"/>
    <s v="Capital Federal"/>
    <m/>
    <s v="U.O.Centro"/>
    <m/>
    <n v="1"/>
    <n v="1"/>
    <n v="682.38"/>
    <n v="136.47"/>
    <m/>
    <m/>
    <n v="545.91"/>
    <m/>
    <n v="13.65"/>
    <m/>
    <m/>
    <m/>
    <m/>
    <m/>
    <m/>
    <n v="6.82"/>
    <m/>
    <m/>
    <m/>
    <m/>
    <m/>
    <m/>
    <n v="13.65"/>
    <m/>
    <m/>
    <m/>
    <m/>
    <m/>
    <m/>
    <m/>
    <n v="6.82"/>
    <m/>
    <n v="40.94"/>
  </r>
  <r>
    <n v="3"/>
    <x v="3"/>
    <x v="1"/>
    <n v="152931"/>
    <s v="MARTINEZ KAREN"/>
    <s v="27-37827128-8"/>
    <d v="2016-04-06T00:00:0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1"/>
    <n v="1"/>
    <n v="13306.97"/>
    <n v="2661.4"/>
    <m/>
    <m/>
    <n v="10645.57"/>
    <m/>
    <n v="266.14"/>
    <m/>
    <m/>
    <m/>
    <m/>
    <m/>
    <m/>
    <n v="133.07"/>
    <m/>
    <m/>
    <m/>
    <m/>
    <m/>
    <m/>
    <n v="266.14"/>
    <m/>
    <m/>
    <m/>
    <m/>
    <m/>
    <m/>
    <m/>
    <n v="133.07"/>
    <m/>
    <n v="798.42"/>
  </r>
  <r>
    <n v="3"/>
    <x v="3"/>
    <x v="1"/>
    <n v="126586"/>
    <s v="MEDINA ANTONIO SAMUEL"/>
    <s v="23-31641343-9"/>
    <d v="2016-04-06T00:00:00"/>
    <n v="31641343"/>
    <s v="MEDINA"/>
    <s v="ANTONIO SAMUEL"/>
    <s v="M"/>
    <m/>
    <d v="2015-03-02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REPUBLICA ARGENTINA"/>
    <n v="507"/>
    <s v="PB"/>
    <n v="2"/>
    <s v="CAPITAL FEDERAL"/>
    <s v="Capital Federal"/>
    <m/>
    <s v="U.O.Centro Paga Inplant"/>
    <m/>
    <n v="1"/>
    <n v="1"/>
    <n v="10760.34"/>
    <n v="2205.87"/>
    <m/>
    <m/>
    <n v="8554.4699999999993"/>
    <n v="269.01"/>
    <m/>
    <m/>
    <m/>
    <m/>
    <m/>
    <m/>
    <m/>
    <n v="107.6"/>
    <m/>
    <m/>
    <m/>
    <m/>
    <m/>
    <m/>
    <n v="215.21"/>
    <m/>
    <m/>
    <m/>
    <m/>
    <m/>
    <m/>
    <m/>
    <n v="107.6"/>
    <m/>
    <n v="699.42"/>
  </r>
  <r>
    <n v="3"/>
    <x v="3"/>
    <x v="0"/>
    <n v="170176"/>
    <s v="MEDINA CARLOS FABIAN"/>
    <s v="23-32951135-9"/>
    <d v="2016-03-21T00:00:00"/>
    <n v="32951135"/>
    <s v="MEDINA"/>
    <s v="CARLOS FABIAN"/>
    <s v="M"/>
    <m/>
    <d v="2016-03-0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DONADO"/>
    <n v="1005"/>
    <m/>
    <m/>
    <s v="CAPITAL FEDERAL"/>
    <s v="Capital Federal"/>
    <m/>
    <s v="U.O.Centro"/>
    <m/>
    <n v="1"/>
    <n v="1"/>
    <n v="648.72"/>
    <n v="129.74"/>
    <m/>
    <m/>
    <n v="518.98"/>
    <m/>
    <n v="12.97"/>
    <m/>
    <m/>
    <m/>
    <m/>
    <m/>
    <m/>
    <n v="6.49"/>
    <m/>
    <m/>
    <m/>
    <m/>
    <m/>
    <m/>
    <n v="12.97"/>
    <m/>
    <m/>
    <m/>
    <m/>
    <m/>
    <m/>
    <m/>
    <n v="6.49"/>
    <m/>
    <n v="38.92"/>
  </r>
  <r>
    <n v="3"/>
    <x v="3"/>
    <x v="0"/>
    <n v="161583"/>
    <s v="MEDINA EMILSE RAQUEL"/>
    <s v="27-36216142-3"/>
    <d v="2016-04-06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2"/>
    <n v="1"/>
    <n v="2727.54"/>
    <n v="545.52"/>
    <m/>
    <m/>
    <n v="2182.02"/>
    <m/>
    <n v="54.55"/>
    <m/>
    <m/>
    <m/>
    <m/>
    <m/>
    <m/>
    <n v="27.28"/>
    <m/>
    <m/>
    <m/>
    <m/>
    <m/>
    <m/>
    <n v="54.55"/>
    <m/>
    <m/>
    <m/>
    <m/>
    <m/>
    <m/>
    <m/>
    <n v="27.28"/>
    <m/>
    <n v="163.66"/>
  </r>
  <r>
    <n v="3"/>
    <x v="3"/>
    <x v="1"/>
    <n v="168289"/>
    <s v="MEDINA JESICA FABIANA"/>
    <s v="23-36214863-4"/>
    <d v="2016-04-01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 Paga Inplant"/>
    <m/>
    <n v="1"/>
    <n v="1"/>
    <n v="15033.3"/>
    <n v="3006.66"/>
    <m/>
    <m/>
    <n v="12026.64"/>
    <m/>
    <n v="300.67"/>
    <m/>
    <m/>
    <m/>
    <m/>
    <m/>
    <m/>
    <n v="150.33000000000001"/>
    <m/>
    <m/>
    <m/>
    <m/>
    <m/>
    <m/>
    <n v="300.67"/>
    <m/>
    <m/>
    <m/>
    <m/>
    <m/>
    <m/>
    <m/>
    <n v="150.33000000000001"/>
    <m/>
    <n v="902"/>
  </r>
  <r>
    <n v="3"/>
    <x v="3"/>
    <x v="0"/>
    <n v="171008"/>
    <s v="MELIAN CHRISTIAN ALEJANDRO"/>
    <s v="20-38820036-8"/>
    <d v="2016-04-06T00:00:00"/>
    <n v="38820036"/>
    <s v="MELIAN"/>
    <s v="CHRISTIAN ALEJANDR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APRIDA"/>
    <n v="1005"/>
    <m/>
    <m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0"/>
    <n v="163371"/>
    <s v="MEZA PIZARRO CHRISTIAN MERVEN"/>
    <s v="20-92327011-7"/>
    <d v="2016-04-06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2"/>
    <n v="1"/>
    <n v="13933.27"/>
    <n v="2786.66"/>
    <m/>
    <m/>
    <n v="11146.61"/>
    <m/>
    <n v="278.67"/>
    <m/>
    <m/>
    <m/>
    <m/>
    <m/>
    <m/>
    <n v="139.33000000000001"/>
    <m/>
    <m/>
    <m/>
    <m/>
    <m/>
    <m/>
    <n v="278.67"/>
    <m/>
    <m/>
    <m/>
    <m/>
    <m/>
    <m/>
    <m/>
    <n v="139.33000000000001"/>
    <m/>
    <n v="836"/>
  </r>
  <r>
    <n v="3"/>
    <x v="3"/>
    <x v="0"/>
    <n v="170007"/>
    <s v="MIRANDA GIMENEZ CLEMENTINA"/>
    <s v="27-19000982-9"/>
    <d v="2016-04-06T00:00:00"/>
    <n v="19000982"/>
    <s v="MIRANDA GIMENEZ"/>
    <s v="CLEMENTINA"/>
    <s v="F"/>
    <m/>
    <d v="2016-03-10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Avenida Bartolomé Mitre 2100,  AVELLANEDA"/>
    <n v="1225"/>
    <m/>
    <m/>
    <s v="CAPITAL FEDERAL"/>
    <s v="Buenos Aires"/>
    <m/>
    <s v="U.O.Centro"/>
    <m/>
    <n v="1"/>
    <n v="1"/>
    <n v="985.18"/>
    <n v="197.04"/>
    <m/>
    <m/>
    <n v="788.14"/>
    <m/>
    <n v="19.7"/>
    <m/>
    <m/>
    <m/>
    <m/>
    <m/>
    <m/>
    <n v="9.85"/>
    <m/>
    <m/>
    <m/>
    <m/>
    <m/>
    <m/>
    <n v="19.7"/>
    <m/>
    <m/>
    <m/>
    <m/>
    <m/>
    <m/>
    <m/>
    <n v="9.85"/>
    <m/>
    <n v="59.1"/>
  </r>
  <r>
    <n v="3"/>
    <x v="3"/>
    <x v="0"/>
    <n v="170274"/>
    <s v="MOLINA LARA MAILEN"/>
    <s v="27-36168085-0"/>
    <d v="2016-03-21T00:00:00"/>
    <n v="36168085"/>
    <s v="MOLINA"/>
    <s v="LARA MAILEN"/>
    <s v="F"/>
    <m/>
    <d v="2016-03-12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MERCEDES"/>
    <n v="1225"/>
    <m/>
    <m/>
    <s v="CAPITAL FEDERAL"/>
    <s v="Buenos Aires"/>
    <m/>
    <s v="U.O.Centro"/>
    <m/>
    <n v="1"/>
    <n v="1"/>
    <n v="779.29"/>
    <n v="155.86000000000001"/>
    <m/>
    <m/>
    <n v="623.42999999999995"/>
    <m/>
    <n v="15.59"/>
    <m/>
    <m/>
    <m/>
    <m/>
    <m/>
    <m/>
    <n v="7.79"/>
    <m/>
    <m/>
    <m/>
    <m/>
    <m/>
    <m/>
    <n v="15.59"/>
    <m/>
    <m/>
    <m/>
    <m/>
    <m/>
    <m/>
    <m/>
    <n v="7.79"/>
    <m/>
    <n v="46.76"/>
  </r>
  <r>
    <n v="3"/>
    <x v="3"/>
    <x v="0"/>
    <n v="170446"/>
    <s v="MONTES LORENA ANDREA"/>
    <s v="27-30914440-1"/>
    <d v="2016-04-06T00:00:0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AREZ"/>
    <n v="1225"/>
    <s v="PB"/>
    <m/>
    <s v="CAPITAL FEDERAL"/>
    <s v="Buenos Aires"/>
    <m/>
    <s v="U.O.Centro"/>
    <m/>
    <n v="1"/>
    <n v="1"/>
    <n v="3204.09"/>
    <n v="640.80999999999995"/>
    <m/>
    <m/>
    <n v="2563.2800000000002"/>
    <m/>
    <n v="64.08"/>
    <m/>
    <m/>
    <m/>
    <m/>
    <m/>
    <m/>
    <n v="32.04"/>
    <m/>
    <m/>
    <m/>
    <m/>
    <m/>
    <m/>
    <n v="64.08"/>
    <m/>
    <m/>
    <m/>
    <m/>
    <m/>
    <m/>
    <m/>
    <n v="32.04"/>
    <m/>
    <n v="192.24"/>
  </r>
  <r>
    <n v="3"/>
    <x v="3"/>
    <x v="0"/>
    <n v="170990"/>
    <s v="MORENO ALAN AGUSTIN"/>
    <s v="20-38998864-3"/>
    <d v="2016-04-06T00:00:00"/>
    <n v="38998864"/>
    <s v="MORENO"/>
    <s v="ALAN AGUSTIN"/>
    <s v="M"/>
    <m/>
    <d v="2016-03-08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SARMIENTO 2544"/>
    <n v="181"/>
    <m/>
    <m/>
    <s v="CAPITAL FEDERAL"/>
    <s v="Capital Federal"/>
    <m/>
    <s v="U.O.Centro"/>
    <m/>
    <n v="1"/>
    <n v="1"/>
    <n v="1220.97"/>
    <n v="244.2"/>
    <m/>
    <m/>
    <n v="976.77"/>
    <m/>
    <n v="24.42"/>
    <m/>
    <m/>
    <m/>
    <m/>
    <m/>
    <m/>
    <n v="12.21"/>
    <m/>
    <m/>
    <m/>
    <m/>
    <m/>
    <m/>
    <n v="24.42"/>
    <m/>
    <m/>
    <m/>
    <m/>
    <m/>
    <m/>
    <m/>
    <n v="12.21"/>
    <m/>
    <n v="73.260000000000005"/>
  </r>
  <r>
    <n v="3"/>
    <x v="3"/>
    <x v="1"/>
    <n v="152586"/>
    <s v="MUSTAFA SILVIO ROBERTO"/>
    <s v="23-31539279-9"/>
    <d v="2016-04-06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1"/>
    <n v="1"/>
    <n v="9127.5300000000007"/>
    <n v="1871.16"/>
    <m/>
    <m/>
    <n v="7256.37"/>
    <n v="228.19"/>
    <m/>
    <m/>
    <m/>
    <m/>
    <m/>
    <m/>
    <m/>
    <n v="91.28"/>
    <m/>
    <m/>
    <m/>
    <m/>
    <m/>
    <m/>
    <n v="182.55"/>
    <m/>
    <m/>
    <m/>
    <m/>
    <m/>
    <m/>
    <m/>
    <n v="91.28"/>
    <m/>
    <n v="593.29999999999995"/>
  </r>
  <r>
    <n v="3"/>
    <x v="3"/>
    <x v="1"/>
    <n v="167195"/>
    <s v="NOYA LUCAS MARIANO"/>
    <s v="20-27755444-6"/>
    <d v="2016-04-06T00:00:00"/>
    <n v="27755444"/>
    <s v="NOYA"/>
    <s v="LUCAS MARIANO"/>
    <s v="M"/>
    <m/>
    <d v="2016-01-27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errito"/>
    <n v="535"/>
    <m/>
    <m/>
    <s v="CAPITAL FEDERAL"/>
    <s v="Capital Federal"/>
    <m/>
    <s v="U.O.Centro"/>
    <m/>
    <n v="2"/>
    <n v="1"/>
    <n v="9314.5300000000007"/>
    <n v="1862.89"/>
    <m/>
    <m/>
    <n v="7451.64"/>
    <m/>
    <n v="186.29"/>
    <m/>
    <m/>
    <m/>
    <m/>
    <m/>
    <m/>
    <n v="93.14"/>
    <m/>
    <m/>
    <m/>
    <m/>
    <m/>
    <m/>
    <n v="186.29"/>
    <m/>
    <m/>
    <m/>
    <m/>
    <m/>
    <m/>
    <m/>
    <n v="93.14"/>
    <m/>
    <n v="558.86"/>
  </r>
  <r>
    <n v="3"/>
    <x v="3"/>
    <x v="1"/>
    <n v="162147"/>
    <s v="NUÑEZ ANA MARIA"/>
    <s v="27-18222886-4"/>
    <d v="2016-03-31T00:00:00"/>
    <n v="18222886"/>
    <s v="NUÑEZ"/>
    <s v="ANA MARIA"/>
    <s v="F"/>
    <m/>
    <d v="2015-1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ALLE 114"/>
    <n v="764"/>
    <m/>
    <m/>
    <s v="CAPITAL FEDERAL"/>
    <s v="Capital Federal"/>
    <m/>
    <s v="U.O.Centro Paga Inplant"/>
    <m/>
    <n v="1"/>
    <n v="1"/>
    <n v="10735.17"/>
    <n v="2147.04"/>
    <m/>
    <m/>
    <n v="8588.1299999999992"/>
    <m/>
    <n v="214.7"/>
    <m/>
    <m/>
    <m/>
    <m/>
    <m/>
    <m/>
    <n v="107.35"/>
    <m/>
    <m/>
    <m/>
    <m/>
    <m/>
    <m/>
    <n v="214.7"/>
    <m/>
    <m/>
    <m/>
    <m/>
    <m/>
    <m/>
    <m/>
    <n v="107.35"/>
    <m/>
    <n v="644.1"/>
  </r>
  <r>
    <n v="3"/>
    <x v="3"/>
    <x v="0"/>
    <n v="162167"/>
    <s v="OCANTOS MARIA FERNANDA"/>
    <s v="20-26587101-2"/>
    <d v="2016-04-06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2"/>
    <n v="1"/>
    <n v="9741.19"/>
    <n v="1948.23"/>
    <m/>
    <m/>
    <n v="7792.96"/>
    <m/>
    <n v="194.83"/>
    <m/>
    <m/>
    <m/>
    <m/>
    <m/>
    <m/>
    <n v="97.41"/>
    <m/>
    <m/>
    <m/>
    <m/>
    <m/>
    <m/>
    <n v="194.83"/>
    <m/>
    <m/>
    <m/>
    <m/>
    <m/>
    <m/>
    <m/>
    <n v="97.41"/>
    <m/>
    <n v="584.48"/>
  </r>
  <r>
    <n v="3"/>
    <x v="3"/>
    <x v="0"/>
    <n v="164260"/>
    <s v="OJEDA ALAN HERNAN"/>
    <s v="20-37687932-2"/>
    <d v="2016-04-06T00:00:00"/>
    <n v="37687932"/>
    <s v="OJEDA"/>
    <s v="ALAN HERNAN"/>
    <s v="M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JUAN DOMINGO PERON"/>
    <n v="1005"/>
    <n v="8"/>
    <s v="D"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0"/>
    <n v="156371"/>
    <s v="OJEDA HECTOR ALBERTO"/>
    <s v="20-27373033-9"/>
    <d v="2016-04-06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2"/>
    <n v="1"/>
    <n v="10422.44"/>
    <n v="2084.5"/>
    <m/>
    <m/>
    <n v="8337.94"/>
    <m/>
    <n v="208.45"/>
    <m/>
    <m/>
    <m/>
    <m/>
    <m/>
    <m/>
    <n v="104.23"/>
    <m/>
    <m/>
    <m/>
    <m/>
    <m/>
    <m/>
    <n v="208.45"/>
    <m/>
    <m/>
    <m/>
    <m/>
    <m/>
    <m/>
    <m/>
    <n v="104.23"/>
    <m/>
    <n v="625.36"/>
  </r>
  <r>
    <n v="3"/>
    <x v="3"/>
    <x v="0"/>
    <n v="164259"/>
    <s v="OJEDA LEANDRO ANDRES"/>
    <s v="20-39269523-1"/>
    <d v="2016-04-06T00:00:00"/>
    <n v="39269523"/>
    <s v="OJEDA"/>
    <s v="LEANDRO ANDRES"/>
    <s v="M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PAREJA"/>
    <n v="1005"/>
    <m/>
    <m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0"/>
    <n v="156032"/>
    <s v="OJEDA VALERIA NOEMI"/>
    <s v="27-33485754-4"/>
    <d v="2016-04-06T00:00:00"/>
    <n v="33485754"/>
    <s v="OJEDA"/>
    <s v="VALERIA NOEMI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2"/>
    <n v="1"/>
    <n v="5048.62"/>
    <n v="1009.73"/>
    <m/>
    <m/>
    <n v="4038.89"/>
    <m/>
    <n v="100.98"/>
    <m/>
    <m/>
    <m/>
    <m/>
    <m/>
    <m/>
    <n v="50.48"/>
    <m/>
    <m/>
    <m/>
    <m/>
    <m/>
    <m/>
    <n v="100.98"/>
    <m/>
    <m/>
    <m/>
    <m/>
    <m/>
    <m/>
    <m/>
    <n v="50.48"/>
    <m/>
    <n v="302.92"/>
  </r>
  <r>
    <n v="3"/>
    <x v="3"/>
    <x v="0"/>
    <n v="138789"/>
    <s v="OLIVA LILIANA ALEJANDRA"/>
    <s v="27-25730976-8"/>
    <d v="2016-04-06T00:00:0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Mucama por Jornada"/>
    <n v="1"/>
    <n v="1"/>
    <n v="17422.18"/>
    <n v="3484.44"/>
    <m/>
    <m/>
    <n v="13937.74"/>
    <m/>
    <n v="348.44"/>
    <m/>
    <m/>
    <m/>
    <m/>
    <m/>
    <m/>
    <n v="174.22"/>
    <m/>
    <m/>
    <m/>
    <m/>
    <m/>
    <m/>
    <n v="348.44"/>
    <m/>
    <m/>
    <m/>
    <m/>
    <m/>
    <m/>
    <m/>
    <n v="174.22"/>
    <m/>
    <n v="1045.32"/>
  </r>
  <r>
    <n v="3"/>
    <x v="3"/>
    <x v="0"/>
    <n v="154895"/>
    <s v="OLIVERA FLORENCIA MALVINA"/>
    <s v="27-29669950-6"/>
    <d v="2016-03-21T00:00:00"/>
    <n v="29669950"/>
    <s v="OLIVERA"/>
    <s v="FLORENCIA MALVINA"/>
    <s v="F"/>
    <m/>
    <d v="2015-07-23T00:00:00"/>
    <d v="2016-02-03T00:00:00"/>
    <d v="2016-02-03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SAAVEDRA LAMAS"/>
    <n v="764"/>
    <m/>
    <m/>
    <s v="CAPITAL FEDERAL"/>
    <s v="Capital Federal"/>
    <m/>
    <s v="U.O.Centro Paga Inplant"/>
    <m/>
    <n v="1"/>
    <n v="1"/>
    <n v="3150"/>
    <n v="630"/>
    <m/>
    <m/>
    <n v="2520"/>
    <m/>
    <n v="63"/>
    <m/>
    <m/>
    <m/>
    <m/>
    <m/>
    <m/>
    <n v="31.5"/>
    <m/>
    <m/>
    <m/>
    <m/>
    <m/>
    <m/>
    <n v="63"/>
    <m/>
    <m/>
    <m/>
    <m/>
    <m/>
    <m/>
    <m/>
    <n v="31.5"/>
    <m/>
    <n v="189"/>
  </r>
  <r>
    <n v="3"/>
    <x v="3"/>
    <x v="0"/>
    <n v="170684"/>
    <s v="ORELLANA JUAN PABLO"/>
    <s v="20-37699325-7"/>
    <d v="2016-04-06T00:00:00"/>
    <n v="37699325"/>
    <s v="ORELLANA"/>
    <s v="JUAN PABLO"/>
    <s v="M"/>
    <m/>
    <d v="2016-03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YATAN"/>
    <n v="1225"/>
    <m/>
    <m/>
    <s v="CAPITAL FEDERAL"/>
    <s v="Buenos Aires"/>
    <m/>
    <s v="U.O.Centro"/>
    <m/>
    <n v="1"/>
    <n v="1"/>
    <n v="1898.85"/>
    <n v="379.78"/>
    <m/>
    <m/>
    <n v="1519.07"/>
    <m/>
    <n v="37.979999999999997"/>
    <m/>
    <m/>
    <m/>
    <m/>
    <m/>
    <m/>
    <n v="18.989999999999998"/>
    <m/>
    <m/>
    <m/>
    <m/>
    <m/>
    <m/>
    <n v="37.979999999999997"/>
    <m/>
    <m/>
    <m/>
    <m/>
    <m/>
    <m/>
    <m/>
    <n v="18.989999999999998"/>
    <m/>
    <n v="113.94"/>
  </r>
  <r>
    <n v="3"/>
    <x v="3"/>
    <x v="0"/>
    <n v="135237"/>
    <s v="ORELLANO JUANA MARIA"/>
    <s v="27-27696157-3"/>
    <d v="2016-04-06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Mucama por Jornada"/>
    <n v="1"/>
    <n v="1"/>
    <n v="17422.18"/>
    <n v="3571.55"/>
    <m/>
    <m/>
    <n v="13850.63"/>
    <n v="435.55"/>
    <m/>
    <m/>
    <m/>
    <m/>
    <m/>
    <m/>
    <m/>
    <n v="174.22"/>
    <m/>
    <m/>
    <m/>
    <m/>
    <m/>
    <m/>
    <n v="348.44"/>
    <m/>
    <m/>
    <m/>
    <m/>
    <m/>
    <m/>
    <m/>
    <n v="174.22"/>
    <m/>
    <n v="1132.43"/>
  </r>
  <r>
    <n v="3"/>
    <x v="3"/>
    <x v="0"/>
    <n v="161186"/>
    <s v="ORTIZ ALEJANDRA"/>
    <s v="27-27510693-9"/>
    <d v="2016-03-21T00:00:00"/>
    <n v="27510693"/>
    <s v="ORTIZ"/>
    <s v="ALEJANDRA"/>
    <s v="F"/>
    <m/>
    <d v="2015-11-1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AIPU"/>
    <n v="1225"/>
    <m/>
    <m/>
    <s v="CAPITAL FEDERAL"/>
    <s v="Buenos Aires"/>
    <m/>
    <s v="U.O.Centro"/>
    <m/>
    <n v="1"/>
    <n v="1"/>
    <n v="2670.07"/>
    <n v="534.01"/>
    <m/>
    <m/>
    <n v="2136.06"/>
    <m/>
    <n v="53.4"/>
    <m/>
    <m/>
    <m/>
    <m/>
    <m/>
    <m/>
    <n v="26.7"/>
    <m/>
    <m/>
    <m/>
    <m/>
    <m/>
    <m/>
    <n v="53.4"/>
    <m/>
    <m/>
    <m/>
    <m/>
    <m/>
    <m/>
    <m/>
    <n v="26.7"/>
    <m/>
    <n v="160.19999999999999"/>
  </r>
  <r>
    <n v="3"/>
    <x v="3"/>
    <x v="1"/>
    <n v="169840"/>
    <s v="ORTIZ CARLOS ERNESTO"/>
    <s v="20-35113842-5"/>
    <d v="2016-04-06T00:00:00"/>
    <n v="35113842"/>
    <s v="ORTIZ"/>
    <s v="CARLOS ERNESTO"/>
    <s v="M"/>
    <m/>
    <d v="2016-03-13T00:00:00"/>
    <m/>
    <m/>
    <s v="GASTRONOMICOS-Hoteles 4 y 5 Estrellas - 362/2003"/>
    <s v="Categoria 1"/>
    <x v="12"/>
    <s v="Unidad Principal"/>
    <s v="Centro"/>
    <s v="Tareas Generales"/>
    <n v="100908"/>
    <s v="OS  DE EMPLEADOS DE AGENCIAS DE INFORMES (O.S.E.D.I.)"/>
    <s v="Capital Federal"/>
    <m/>
    <n v="1440"/>
    <s v="EMILIO BERISSO"/>
    <n v="1584"/>
    <m/>
    <m/>
    <s v="CAPITAL FEDERAL"/>
    <s v="Capital Federal"/>
    <m/>
    <s v="U.O.Centro"/>
    <s v="Alvear Palace"/>
    <n v="3"/>
    <n v="1"/>
    <n v="4457.5"/>
    <n v="881.8"/>
    <m/>
    <m/>
    <n v="3575.7"/>
    <m/>
    <n v="89.15"/>
    <m/>
    <m/>
    <m/>
    <m/>
    <m/>
    <m/>
    <n v="34.880000000000003"/>
    <m/>
    <m/>
    <m/>
    <m/>
    <m/>
    <m/>
    <n v="89.15"/>
    <m/>
    <m/>
    <m/>
    <m/>
    <m/>
    <m/>
    <m/>
    <n v="34.880000000000003"/>
    <m/>
    <n v="248.06"/>
  </r>
  <r>
    <n v="3"/>
    <x v="3"/>
    <x v="0"/>
    <n v="169884"/>
    <s v="ORTIZ DANIELA"/>
    <s v="27-29459041-8"/>
    <d v="2016-04-06T00:00:00"/>
    <n v="29459041"/>
    <s v="ORTIZ"/>
    <s v="DANIEL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STAÑARES"/>
    <n v="1232"/>
    <m/>
    <m/>
    <s v="CAPITAL FEDERAL"/>
    <s v="Buenos Aires"/>
    <m/>
    <s v="U.O.Centro"/>
    <s v="Mucama Por Hora"/>
    <n v="1"/>
    <n v="1"/>
    <n v="7911.39"/>
    <n v="1582.27"/>
    <m/>
    <m/>
    <n v="6329.12"/>
    <m/>
    <n v="158.22999999999999"/>
    <m/>
    <m/>
    <m/>
    <m/>
    <m/>
    <m/>
    <n v="79.11"/>
    <m/>
    <m/>
    <m/>
    <m/>
    <m/>
    <m/>
    <n v="158.22999999999999"/>
    <m/>
    <m/>
    <m/>
    <m/>
    <m/>
    <m/>
    <m/>
    <n v="79.11"/>
    <m/>
    <n v="474.68"/>
  </r>
  <r>
    <n v="3"/>
    <x v="3"/>
    <x v="0"/>
    <n v="155309"/>
    <s v="ORTIZ MARIA FLORENCIA"/>
    <s v="27-31135303-4"/>
    <d v="2016-04-01T00:00:00"/>
    <n v="31135303"/>
    <s v="ORTIZ"/>
    <s v="MARIA FLORENCIA"/>
    <s v="F"/>
    <m/>
    <d v="2015-08-13T00:00:00"/>
    <d v="2016-02-21T00:00:00"/>
    <d v="2016-02-21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n v="27"/>
    <n v="764"/>
    <m/>
    <m/>
    <s v="CAPITAL FEDERAL"/>
    <s v="Capital Federal"/>
    <m/>
    <s v="U.O.Centro"/>
    <m/>
    <n v="1"/>
    <n v="1"/>
    <n v="1341.22"/>
    <n v="268.24"/>
    <m/>
    <n v="2606.04"/>
    <n v="3679.02"/>
    <m/>
    <n v="26.82"/>
    <m/>
    <m/>
    <m/>
    <m/>
    <m/>
    <m/>
    <n v="13.41"/>
    <m/>
    <m/>
    <m/>
    <m/>
    <m/>
    <m/>
    <n v="26.82"/>
    <m/>
    <m/>
    <m/>
    <m/>
    <m/>
    <m/>
    <m/>
    <n v="13.41"/>
    <m/>
    <n v="80.459999999999994"/>
  </r>
  <r>
    <n v="3"/>
    <x v="3"/>
    <x v="0"/>
    <n v="170448"/>
    <s v="ORTIZ PAOLA MARIEL ANTONIA"/>
    <s v="27-32197353-7"/>
    <d v="2016-04-06T00:00:00"/>
    <n v="32197353"/>
    <s v="ORTIZ"/>
    <s v="PAOLA MARIEL ANTONIA"/>
    <s v="F"/>
    <m/>
    <d v="2016-03-18T00:00:00"/>
    <d v="2016-03-20T00:00:00"/>
    <d v="2016-03-20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STELLI"/>
    <n v="1225"/>
    <m/>
    <m/>
    <s v="CAPITAL FEDERAL"/>
    <s v="Buenos Aires"/>
    <m/>
    <s v="U.O.Avellaneda"/>
    <m/>
    <n v="1"/>
    <n v="1"/>
    <n v="1068.03"/>
    <n v="213.6"/>
    <m/>
    <m/>
    <n v="854.43"/>
    <m/>
    <n v="21.36"/>
    <m/>
    <m/>
    <m/>
    <m/>
    <m/>
    <m/>
    <n v="10.68"/>
    <m/>
    <m/>
    <m/>
    <m/>
    <m/>
    <m/>
    <n v="21.36"/>
    <m/>
    <m/>
    <m/>
    <m/>
    <m/>
    <m/>
    <m/>
    <n v="10.68"/>
    <m/>
    <n v="64.08"/>
  </r>
  <r>
    <n v="3"/>
    <x v="3"/>
    <x v="0"/>
    <n v="170321"/>
    <s v="OVIEDO MARIA ALEJANDRA"/>
    <s v="27-33152173-1"/>
    <d v="2016-04-06T00:00:00"/>
    <n v="33152173"/>
    <s v="OVIEDO"/>
    <s v="MARIA ALEJANDRA"/>
    <s v="F"/>
    <m/>
    <d v="2016-03-16T00:00:00"/>
    <m/>
    <m/>
    <s v="GASTRONOMICOS-Hoteles 4 y 5 Estrellas - 362/2003"/>
    <s v="Categoría 4"/>
    <x v="5"/>
    <s v="Mucamas - GL"/>
    <s v="Centro"/>
    <s v="Mucama"/>
    <n v="1508"/>
    <s v="OS  DE LA ASOCIACION CIVIL PRO SINDICATO  AMAS DE CASA DE LA REPUBLICA ARGENTINA"/>
    <s v="Capital Federal"/>
    <m/>
    <n v="1104"/>
    <s v="ALSINA"/>
    <n v="1225"/>
    <n v="3"/>
    <m/>
    <s v="CAPITAL FEDERAL"/>
    <s v="Buenos Aires"/>
    <m/>
    <s v="U.O.Centro"/>
    <m/>
    <n v="1"/>
    <n v="1"/>
    <n v="6839.26"/>
    <n v="1367.86"/>
    <m/>
    <m/>
    <n v="5471.4"/>
    <m/>
    <n v="136.79"/>
    <m/>
    <m/>
    <m/>
    <m/>
    <m/>
    <m/>
    <n v="68.39"/>
    <m/>
    <m/>
    <m/>
    <m/>
    <m/>
    <m/>
    <n v="136.79"/>
    <m/>
    <m/>
    <m/>
    <m/>
    <m/>
    <m/>
    <m/>
    <n v="68.39"/>
    <m/>
    <n v="410.36"/>
  </r>
  <r>
    <n v="3"/>
    <x v="3"/>
    <x v="0"/>
    <n v="170439"/>
    <s v="PAEZ DAIANA BEATRIZ"/>
    <s v="27-38350463-0"/>
    <d v="2016-04-06T00:00:00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RDENAS"/>
    <n v="1225"/>
    <m/>
    <m/>
    <s v="CAPITAL FEDERAL"/>
    <s v="Buenos Aires"/>
    <m/>
    <s v="U.O.Avellaneda"/>
    <m/>
    <n v="1"/>
    <n v="1"/>
    <n v="2136.06"/>
    <n v="427.21"/>
    <m/>
    <m/>
    <n v="1708.85"/>
    <m/>
    <n v="42.72"/>
    <m/>
    <m/>
    <m/>
    <m/>
    <m/>
    <m/>
    <n v="21.36"/>
    <m/>
    <m/>
    <m/>
    <m/>
    <m/>
    <m/>
    <n v="42.72"/>
    <m/>
    <m/>
    <m/>
    <m/>
    <m/>
    <m/>
    <m/>
    <n v="21.36"/>
    <m/>
    <n v="128.16"/>
  </r>
  <r>
    <n v="3"/>
    <x v="3"/>
    <x v="0"/>
    <n v="164223"/>
    <s v="PAIS PABLO MARIANO"/>
    <s v="20-23510883-7"/>
    <d v="2016-04-06T00:00:00"/>
    <n v="23510883"/>
    <s v="PAIS"/>
    <s v="PABLO MARIANO"/>
    <s v="M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MARGARIÑOS CERVANTES"/>
    <n v="1005"/>
    <n v="3"/>
    <s v="C"/>
    <s v="CAPITAL FEDERAL"/>
    <s v="Capital Federal"/>
    <m/>
    <s v="U.O.Centro"/>
    <m/>
    <n v="3"/>
    <n v="1"/>
    <n v="4382.17"/>
    <n v="876.42"/>
    <m/>
    <m/>
    <n v="3505.75"/>
    <m/>
    <n v="87.64"/>
    <m/>
    <m/>
    <m/>
    <m/>
    <m/>
    <m/>
    <n v="43.82"/>
    <m/>
    <m/>
    <m/>
    <m/>
    <m/>
    <m/>
    <n v="87.64"/>
    <m/>
    <m/>
    <m/>
    <m/>
    <m/>
    <m/>
    <m/>
    <n v="43.82"/>
    <m/>
    <n v="262.92"/>
  </r>
  <r>
    <n v="3"/>
    <x v="3"/>
    <x v="0"/>
    <n v="161159"/>
    <s v="PARISI GABRIEL DARIO"/>
    <s v="20-34384166-4"/>
    <d v="2016-04-06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9019.49"/>
    <n v="1803.89"/>
    <m/>
    <m/>
    <n v="7215.6"/>
    <m/>
    <n v="180.39"/>
    <m/>
    <m/>
    <m/>
    <m/>
    <m/>
    <m/>
    <n v="90.2"/>
    <m/>
    <m/>
    <m/>
    <m/>
    <m/>
    <m/>
    <n v="180.39"/>
    <m/>
    <m/>
    <m/>
    <m/>
    <m/>
    <m/>
    <m/>
    <n v="90.2"/>
    <m/>
    <n v="541.17999999999995"/>
  </r>
  <r>
    <n v="3"/>
    <x v="3"/>
    <x v="0"/>
    <n v="164321"/>
    <s v="PAZ WALTER RICARDO"/>
    <s v="20-28305441-2"/>
    <d v="2016-04-06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1382.57"/>
    <n v="2276.52"/>
    <m/>
    <m/>
    <n v="9106.0499999999993"/>
    <m/>
    <n v="227.65"/>
    <m/>
    <m/>
    <m/>
    <m/>
    <m/>
    <m/>
    <n v="113.83"/>
    <m/>
    <m/>
    <m/>
    <m/>
    <m/>
    <m/>
    <n v="227.65"/>
    <m/>
    <m/>
    <m/>
    <m/>
    <m/>
    <m/>
    <m/>
    <n v="113.83"/>
    <m/>
    <n v="682.96"/>
  </r>
  <r>
    <n v="3"/>
    <x v="3"/>
    <x v="1"/>
    <n v="160317"/>
    <s v="PEDROZO GUSTAVO ADOLFO"/>
    <s v="20-23447148-2"/>
    <d v="2016-03-31T00:00:00"/>
    <n v="23447148"/>
    <s v="PEDROZO"/>
    <s v="GUSTAVO ADOLFO"/>
    <s v="M"/>
    <m/>
    <d v="2015-10-3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ALLE 853"/>
    <n v="764"/>
    <m/>
    <m/>
    <s v="CAPITAL FEDERAL"/>
    <s v="Capital Federal"/>
    <m/>
    <s v="U.O.Centro Paga Inplant"/>
    <m/>
    <n v="1"/>
    <n v="1"/>
    <n v="6729.16"/>
    <n v="1345.82"/>
    <m/>
    <m/>
    <n v="5383.34"/>
    <m/>
    <n v="134.58000000000001"/>
    <m/>
    <m/>
    <m/>
    <m/>
    <m/>
    <m/>
    <n v="67.290000000000006"/>
    <m/>
    <m/>
    <m/>
    <m/>
    <m/>
    <m/>
    <n v="134.58000000000001"/>
    <m/>
    <m/>
    <m/>
    <m/>
    <m/>
    <m/>
    <m/>
    <n v="67.290000000000006"/>
    <m/>
    <n v="403.74"/>
  </r>
  <r>
    <n v="3"/>
    <x v="3"/>
    <x v="0"/>
    <n v="168102"/>
    <s v="PEÑA LILIA AGUSTINA"/>
    <s v="27-34500792-5"/>
    <d v="2016-04-06T00:00:00"/>
    <n v="34500792"/>
    <s v="PEÑA"/>
    <s v="LILIA AGUSTINA"/>
    <s v="F"/>
    <m/>
    <d v="2016-03-12T00:00:00"/>
    <m/>
    <m/>
    <s v="GASTRONOMICOS-Hoteles 4 y 5 Estrellas - 362/2003"/>
    <s v="Categoría 4"/>
    <x v="7"/>
    <s v="Unidad Base-GL"/>
    <s v="Centro"/>
    <s v="Tareas Generales"/>
    <n v="110800"/>
    <s v="OS  DE LOS TRABAJADORES DE LAS EMPRESAS DE ELECTRICIDAD"/>
    <s v="Capital Federal"/>
    <m/>
    <n v="1022"/>
    <s v="CHILE"/>
    <n v="181"/>
    <m/>
    <m/>
    <s v="CAPITAL FEDERAL"/>
    <s v="Capital Federal"/>
    <m/>
    <s v="U.O.Centro"/>
    <m/>
    <n v="4"/>
    <n v="1"/>
    <n v="10819.96"/>
    <n v="2163.9699999999998"/>
    <m/>
    <m/>
    <n v="8655.99"/>
    <m/>
    <n v="216.4"/>
    <m/>
    <m/>
    <m/>
    <m/>
    <m/>
    <m/>
    <n v="108.2"/>
    <m/>
    <m/>
    <m/>
    <m/>
    <m/>
    <m/>
    <n v="216.4"/>
    <n v="5.1100000000000003"/>
    <m/>
    <m/>
    <m/>
    <m/>
    <m/>
    <m/>
    <n v="103.09"/>
    <m/>
    <n v="649.20000000000005"/>
  </r>
  <r>
    <n v="3"/>
    <x v="3"/>
    <x v="1"/>
    <n v="164243"/>
    <s v="PEÑALVA LUCIANA"/>
    <s v="23-32439144-4"/>
    <d v="2016-03-31T00:00:00"/>
    <n v="32439144"/>
    <s v="PEÑALVA"/>
    <s v="LUCIANA"/>
    <s v="F"/>
    <m/>
    <d v="2016-02-28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LSINA"/>
    <n v="764"/>
    <m/>
    <m/>
    <s v="CAPITAL FEDERAL"/>
    <s v="Capital Federal"/>
    <m/>
    <s v="U.O.Centro Paga Inplant"/>
    <m/>
    <n v="2"/>
    <n v="1"/>
    <n v="1367.02"/>
    <n v="273.41000000000003"/>
    <m/>
    <m/>
    <n v="1093.6099999999999"/>
    <m/>
    <n v="27.34"/>
    <m/>
    <m/>
    <m/>
    <m/>
    <m/>
    <m/>
    <n v="13.67"/>
    <m/>
    <m/>
    <m/>
    <m/>
    <m/>
    <m/>
    <n v="27.34"/>
    <m/>
    <m/>
    <m/>
    <m/>
    <m/>
    <m/>
    <m/>
    <n v="13.67"/>
    <m/>
    <n v="82.02"/>
  </r>
  <r>
    <n v="3"/>
    <x v="3"/>
    <x v="0"/>
    <n v="170486"/>
    <s v="PEPE VALVERDE AGUSTINA"/>
    <s v="27-39761877-9"/>
    <d v="2016-04-06T00:00:00"/>
    <n v="39761877"/>
    <s v="PEPE VALVERDE"/>
    <s v="AGUSTINA"/>
    <s v="F"/>
    <m/>
    <d v="2016-03-18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Provincia de Buenos Aires"/>
    <n v="1005"/>
    <m/>
    <m/>
    <s v="CAPITAL FEDERAL"/>
    <s v="Capital Federal"/>
    <m/>
    <s v="U.O.Centro"/>
    <m/>
    <n v="1"/>
    <n v="1"/>
    <n v="5485.51"/>
    <n v="1097.1199999999999"/>
    <m/>
    <m/>
    <n v="4388.3900000000003"/>
    <m/>
    <n v="109.71"/>
    <m/>
    <m/>
    <m/>
    <m/>
    <m/>
    <m/>
    <n v="54.86"/>
    <m/>
    <m/>
    <m/>
    <m/>
    <m/>
    <m/>
    <n v="109.71"/>
    <m/>
    <m/>
    <m/>
    <m/>
    <m/>
    <m/>
    <m/>
    <n v="54.86"/>
    <m/>
    <n v="329.14"/>
  </r>
  <r>
    <n v="3"/>
    <x v="3"/>
    <x v="0"/>
    <n v="168239"/>
    <s v="PERALTA RICARDO FRANCISCO"/>
    <s v="20-35719331-2"/>
    <d v="2016-04-06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3"/>
    <n v="1"/>
    <n v="9459.8799999999992"/>
    <n v="1891.95"/>
    <m/>
    <m/>
    <n v="7567.93"/>
    <m/>
    <n v="189.19"/>
    <m/>
    <m/>
    <m/>
    <m/>
    <m/>
    <m/>
    <n v="94.6"/>
    <m/>
    <m/>
    <m/>
    <m/>
    <m/>
    <m/>
    <n v="189.19"/>
    <m/>
    <m/>
    <m/>
    <m/>
    <m/>
    <m/>
    <m/>
    <n v="94.6"/>
    <m/>
    <n v="567.58000000000004"/>
  </r>
  <r>
    <n v="3"/>
    <x v="3"/>
    <x v="0"/>
    <n v="155712"/>
    <s v="PERALTA DE KEMMETER PABLO ADRIAN"/>
    <s v="20-38404684-4"/>
    <d v="2016-04-06T00:00:00"/>
    <n v="38404684"/>
    <s v="PERALTA DE KEMMETER"/>
    <s v="PABLO ADRIAN"/>
    <s v="M"/>
    <m/>
    <d v="2016-02-08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3"/>
    <n v="1"/>
    <n v="10084.129999999999"/>
    <n v="2016.82"/>
    <m/>
    <m/>
    <n v="8067.31"/>
    <m/>
    <n v="201.69"/>
    <m/>
    <m/>
    <m/>
    <m/>
    <m/>
    <m/>
    <n v="100.84"/>
    <m/>
    <m/>
    <m/>
    <m/>
    <m/>
    <m/>
    <n v="201.69"/>
    <m/>
    <m/>
    <m/>
    <m/>
    <m/>
    <m/>
    <m/>
    <n v="100.84"/>
    <m/>
    <n v="605.05999999999995"/>
  </r>
  <r>
    <n v="3"/>
    <x v="3"/>
    <x v="0"/>
    <n v="171019"/>
    <s v="PEREIRA GABRIELA SOLEDAD"/>
    <s v="27-29270885-3"/>
    <d v="2016-04-06T00:00:00"/>
    <n v="29270885"/>
    <s v="PEREIRA"/>
    <s v="GABRIELA SOLEDAD"/>
    <s v="F"/>
    <m/>
    <d v="2016-03-30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EL BOYERO"/>
    <n v="1005"/>
    <m/>
    <m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1"/>
    <n v="65369"/>
    <s v="PEREZ RUBEN HORACIO"/>
    <s v="20-28042935-0"/>
    <d v="2016-04-06T00:00:0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611.20000000000005"/>
    <n v="122.24"/>
    <m/>
    <m/>
    <n v="488.96"/>
    <m/>
    <n v="12.22"/>
    <m/>
    <m/>
    <m/>
    <m/>
    <m/>
    <m/>
    <n v="6.11"/>
    <m/>
    <m/>
    <m/>
    <m/>
    <m/>
    <m/>
    <n v="12.22"/>
    <m/>
    <m/>
    <m/>
    <m/>
    <m/>
    <m/>
    <m/>
    <n v="6.11"/>
    <m/>
    <n v="36.659999999999997"/>
  </r>
  <r>
    <n v="3"/>
    <x v="3"/>
    <x v="0"/>
    <n v="161870"/>
    <s v="PETRONE VICENTE"/>
    <s v="20-27146024-5"/>
    <d v="2016-04-06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2"/>
    <n v="1"/>
    <n v="7792.95"/>
    <n v="1558.59"/>
    <m/>
    <m/>
    <n v="6234.36"/>
    <m/>
    <n v="155.85"/>
    <m/>
    <m/>
    <m/>
    <m/>
    <m/>
    <m/>
    <n v="77.930000000000007"/>
    <m/>
    <m/>
    <m/>
    <m/>
    <m/>
    <m/>
    <n v="155.85"/>
    <m/>
    <m/>
    <m/>
    <m/>
    <m/>
    <m/>
    <m/>
    <n v="77.930000000000007"/>
    <m/>
    <n v="467.56"/>
  </r>
  <r>
    <n v="3"/>
    <x v="3"/>
    <x v="1"/>
    <n v="165179"/>
    <s v="PINEDA ROSALES GREGORY JOSE"/>
    <s v="20-95469400-4"/>
    <d v="2016-03-31T00:00:00"/>
    <n v="95469400"/>
    <s v="PINEDA ROSALES"/>
    <s v="GREGORY JOSE"/>
    <s v="M"/>
    <m/>
    <d v="2016-01-0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AN JUAN"/>
    <n v="764"/>
    <m/>
    <m/>
    <s v="CAPITAL FEDERAL"/>
    <s v="Capital Federal"/>
    <m/>
    <s v="U.O.Centro Paga Inplant"/>
    <m/>
    <n v="1"/>
    <n v="1"/>
    <n v="624.73"/>
    <n v="124.94"/>
    <m/>
    <m/>
    <n v="499.79"/>
    <m/>
    <n v="12.49"/>
    <m/>
    <m/>
    <m/>
    <m/>
    <m/>
    <m/>
    <n v="6.25"/>
    <m/>
    <m/>
    <m/>
    <m/>
    <m/>
    <m/>
    <n v="12.49"/>
    <m/>
    <m/>
    <m/>
    <m/>
    <m/>
    <m/>
    <m/>
    <n v="6.25"/>
    <m/>
    <n v="37.479999999999997"/>
  </r>
  <r>
    <n v="3"/>
    <x v="3"/>
    <x v="1"/>
    <n v="62941"/>
    <s v="POGONZA ANDREA GISELLE"/>
    <s v="27-32522930-1"/>
    <d v="2016-04-06T00:00:0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1"/>
    <n v="1"/>
    <n v="9167.7999999999993"/>
    <n v="1879.4"/>
    <m/>
    <m/>
    <n v="7288.4"/>
    <n v="229.2"/>
    <m/>
    <m/>
    <m/>
    <m/>
    <m/>
    <m/>
    <m/>
    <n v="91.68"/>
    <m/>
    <m/>
    <m/>
    <m/>
    <m/>
    <m/>
    <n v="183.36"/>
    <m/>
    <m/>
    <m/>
    <m/>
    <m/>
    <m/>
    <m/>
    <n v="91.68"/>
    <m/>
    <n v="595.91999999999996"/>
  </r>
  <r>
    <n v="3"/>
    <x v="3"/>
    <x v="0"/>
    <n v="157561"/>
    <s v="QUESADA HERNAN MATIAS"/>
    <s v="20-33154140-1"/>
    <d v="2016-04-06T00:00:00"/>
    <n v="33154140"/>
    <s v="QUESADA"/>
    <s v="HERNAN MATIAS"/>
    <s v="M"/>
    <m/>
    <d v="2015-09-1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BERTAD"/>
    <n v="1005"/>
    <m/>
    <m/>
    <s v="CAPITAL FEDERAL"/>
    <s v="Capital Federal"/>
    <m/>
    <s v="U.O.Centro"/>
    <m/>
    <n v="3"/>
    <n v="1"/>
    <n v="4921.74"/>
    <n v="984.35"/>
    <m/>
    <m/>
    <n v="3937.39"/>
    <m/>
    <n v="98.44"/>
    <m/>
    <m/>
    <m/>
    <m/>
    <m/>
    <m/>
    <n v="49.22"/>
    <m/>
    <m/>
    <m/>
    <m/>
    <m/>
    <m/>
    <n v="98.44"/>
    <m/>
    <m/>
    <m/>
    <m/>
    <m/>
    <m/>
    <m/>
    <n v="49.22"/>
    <m/>
    <n v="295.32"/>
  </r>
  <r>
    <n v="3"/>
    <x v="3"/>
    <x v="1"/>
    <n v="168959"/>
    <s v="RAMIREZ ANDREA FABIANA"/>
    <s v="27-22241765-7"/>
    <d v="2016-04-01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 Paga Inplant"/>
    <m/>
    <n v="1"/>
    <n v="1"/>
    <n v="13899.64"/>
    <n v="2779.93"/>
    <m/>
    <m/>
    <n v="11119.71"/>
    <m/>
    <n v="277.99"/>
    <m/>
    <m/>
    <m/>
    <m/>
    <m/>
    <m/>
    <n v="139"/>
    <m/>
    <m/>
    <m/>
    <m/>
    <m/>
    <m/>
    <n v="277.99"/>
    <m/>
    <m/>
    <m/>
    <m/>
    <m/>
    <m/>
    <m/>
    <n v="139"/>
    <m/>
    <n v="833.98"/>
  </r>
  <r>
    <n v="3"/>
    <x v="3"/>
    <x v="0"/>
    <n v="169776"/>
    <s v="RENEDO MARINA VANESA"/>
    <s v="27-29268429-6"/>
    <d v="2016-04-06T00:00:00"/>
    <n v="29268429"/>
    <s v="RENEDO"/>
    <s v="MARINA VANESA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LLE 834"/>
    <n v="1225"/>
    <m/>
    <m/>
    <s v="CAPITAL FEDERAL"/>
    <s v="Buenos Aires"/>
    <m/>
    <s v="U.O.Centro"/>
    <m/>
    <n v="2"/>
    <n v="1"/>
    <n v="8544.2199999999993"/>
    <n v="1708.82"/>
    <m/>
    <m/>
    <n v="6835.4"/>
    <m/>
    <n v="170.88"/>
    <m/>
    <m/>
    <m/>
    <m/>
    <m/>
    <m/>
    <n v="85.44"/>
    <m/>
    <m/>
    <m/>
    <m/>
    <m/>
    <m/>
    <n v="170.88"/>
    <m/>
    <m/>
    <m/>
    <m/>
    <m/>
    <m/>
    <m/>
    <n v="85.44"/>
    <m/>
    <n v="512.64"/>
  </r>
  <r>
    <n v="3"/>
    <x v="3"/>
    <x v="0"/>
    <n v="156044"/>
    <s v="RETAMAR PRISCILA"/>
    <s v="27-38149024-1"/>
    <d v="2016-04-06T00:00:00"/>
    <n v="38149024"/>
    <s v="RETAMAR"/>
    <s v="PRISCILA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n v="836"/>
    <n v="1005"/>
    <m/>
    <m/>
    <s v="CAPITAL FEDERAL"/>
    <s v="Capital Federal"/>
    <m/>
    <s v="U.O.Centro"/>
    <m/>
    <n v="1"/>
    <n v="1"/>
    <n v="637.41999999999996"/>
    <n v="127.48"/>
    <m/>
    <m/>
    <n v="509.94"/>
    <m/>
    <n v="12.75"/>
    <m/>
    <m/>
    <m/>
    <m/>
    <m/>
    <m/>
    <n v="6.37"/>
    <m/>
    <m/>
    <m/>
    <m/>
    <m/>
    <m/>
    <n v="12.75"/>
    <m/>
    <m/>
    <m/>
    <m/>
    <m/>
    <m/>
    <m/>
    <n v="6.37"/>
    <m/>
    <n v="38.24"/>
  </r>
  <r>
    <n v="3"/>
    <x v="3"/>
    <x v="0"/>
    <n v="162333"/>
    <s v="RIOS MARIA ROSA"/>
    <s v="27-26405230-6"/>
    <d v="2016-04-06T00:00:00"/>
    <n v="26405230"/>
    <s v="RIOS"/>
    <s v="MARIA ROSA"/>
    <s v="F"/>
    <m/>
    <d v="2015-11-28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OLLEDO"/>
    <n v="1005"/>
    <m/>
    <m/>
    <s v="CAPITAL FEDERAL"/>
    <s v="Capital Federal"/>
    <m/>
    <s v="U.O.Centro"/>
    <m/>
    <n v="5"/>
    <n v="1"/>
    <n v="10969.26"/>
    <n v="2193.85"/>
    <m/>
    <m/>
    <n v="8775.41"/>
    <m/>
    <n v="219.37"/>
    <m/>
    <m/>
    <m/>
    <m/>
    <m/>
    <m/>
    <n v="109.69"/>
    <m/>
    <m/>
    <m/>
    <m/>
    <m/>
    <m/>
    <n v="219.37"/>
    <m/>
    <m/>
    <m/>
    <m/>
    <m/>
    <m/>
    <m/>
    <n v="109.69"/>
    <m/>
    <n v="658.12"/>
  </r>
  <r>
    <n v="3"/>
    <x v="3"/>
    <x v="1"/>
    <n v="164261"/>
    <s v="ROBELEK CARLOS ALEJANDRO"/>
    <s v="20-23256846-2"/>
    <d v="2016-03-31T00:00:00"/>
    <n v="23256846"/>
    <s v="ROBELEK"/>
    <s v="CARLOS ALEJANDRO"/>
    <s v="M"/>
    <m/>
    <d v="2015-12-16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UDAMERICA"/>
    <n v="764"/>
    <m/>
    <m/>
    <s v="CAPITAL FEDERAL"/>
    <s v="Capital Federal"/>
    <m/>
    <s v="U.O.Centro Paga Inplant"/>
    <m/>
    <n v="1"/>
    <n v="1"/>
    <n v="11587.97"/>
    <n v="3317.6"/>
    <m/>
    <m/>
    <n v="8270.3700000000008"/>
    <m/>
    <n v="231.76"/>
    <m/>
    <m/>
    <m/>
    <m/>
    <m/>
    <m/>
    <n v="115.88"/>
    <m/>
    <m/>
    <m/>
    <m/>
    <n v="1000"/>
    <m/>
    <n v="231.76"/>
    <m/>
    <m/>
    <m/>
    <m/>
    <m/>
    <m/>
    <m/>
    <n v="115.88"/>
    <m/>
    <n v="1695.28"/>
  </r>
  <r>
    <n v="3"/>
    <x v="3"/>
    <x v="1"/>
    <n v="162826"/>
    <s v="RODRIGUEZ CLAUDIO ALEJANDRO"/>
    <s v="20-28807969-3"/>
    <d v="2016-03-31T00:00:00"/>
    <n v="28807969"/>
    <s v="RODRIGUEZ"/>
    <s v="CLAUDIO ALEJANDRO"/>
    <s v="M"/>
    <m/>
    <d v="2015-12-03T00:00:00"/>
    <m/>
    <m/>
    <s v="GASTRONOMICOS-Hoteles 4 y 5 Estrellas - 362/2003"/>
    <s v="Categoria 1"/>
    <x v="3"/>
    <s v="Unidad Principal"/>
    <s v="Centro"/>
    <s v="Tareas Generales"/>
    <n v="127406"/>
    <s v="O.S.Obreros y empleados tintoreros, sombrerero y lavanderos"/>
    <s v="Capital Federal"/>
    <m/>
    <n v="1002"/>
    <s v="JOSE IGNACIO RUCCI"/>
    <n v="764"/>
    <m/>
    <m/>
    <s v="CAPITAL FEDERAL"/>
    <s v="Capital Federal"/>
    <m/>
    <s v="U.O.Centro Paga Inplant"/>
    <m/>
    <n v="1"/>
    <n v="1"/>
    <n v="7334.42"/>
    <n v="1466.88"/>
    <m/>
    <m/>
    <n v="5867.54"/>
    <m/>
    <n v="146.69"/>
    <m/>
    <m/>
    <m/>
    <m/>
    <m/>
    <m/>
    <n v="73.34"/>
    <m/>
    <m/>
    <m/>
    <m/>
    <m/>
    <m/>
    <n v="146.69"/>
    <m/>
    <m/>
    <m/>
    <m/>
    <m/>
    <m/>
    <m/>
    <n v="73.34"/>
    <m/>
    <n v="440.06"/>
  </r>
  <r>
    <n v="3"/>
    <x v="3"/>
    <x v="1"/>
    <n v="168582"/>
    <s v="RODRIGUEZ MILENA ESTEFANIA"/>
    <s v="27-36872590-6"/>
    <d v="2016-04-06T00:00:00"/>
    <n v="36872590"/>
    <s v="RODRIGUEZ"/>
    <s v="MILENA ESTEFANIA"/>
    <s v="F"/>
    <m/>
    <d v="2016-02-19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440"/>
    <s v="LAS HERAS"/>
    <n v="1584"/>
    <m/>
    <m/>
    <s v="CAPITAL FEDERAL"/>
    <s v="Capital Federal"/>
    <m/>
    <s v="U.O.Centro"/>
    <s v="Alvear Palace"/>
    <n v="1"/>
    <n v="1"/>
    <n v="2523.5700000000002"/>
    <n v="504.72"/>
    <m/>
    <m/>
    <n v="2018.85"/>
    <m/>
    <n v="50.47"/>
    <m/>
    <m/>
    <m/>
    <m/>
    <m/>
    <m/>
    <n v="25.24"/>
    <m/>
    <m/>
    <m/>
    <m/>
    <m/>
    <m/>
    <n v="50.47"/>
    <m/>
    <m/>
    <m/>
    <m/>
    <m/>
    <m/>
    <m/>
    <n v="25.24"/>
    <m/>
    <n v="151.41999999999999"/>
  </r>
  <r>
    <n v="3"/>
    <x v="3"/>
    <x v="0"/>
    <n v="160994"/>
    <s v="RODRIGUEZ NATALIA ROMINA"/>
    <s v="27-28593327-2"/>
    <d v="2016-03-21T00:00:00"/>
    <n v="28593327"/>
    <s v="RODRIGUEZ"/>
    <s v="NATALIA ROMINA"/>
    <s v="F"/>
    <m/>
    <d v="2015-11-07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GASCON"/>
    <n v="1005"/>
    <n v="6"/>
    <s v="D"/>
    <s v="CAPITAL FEDERAL"/>
    <s v="Capital Federal"/>
    <m/>
    <s v="U.O.Centro"/>
    <m/>
    <n v="1"/>
    <n v="1"/>
    <n v="648.72"/>
    <n v="129.74"/>
    <m/>
    <m/>
    <n v="518.98"/>
    <m/>
    <n v="12.97"/>
    <m/>
    <m/>
    <m/>
    <m/>
    <m/>
    <m/>
    <n v="6.49"/>
    <m/>
    <m/>
    <m/>
    <m/>
    <m/>
    <m/>
    <n v="12.97"/>
    <m/>
    <m/>
    <m/>
    <m/>
    <m/>
    <m/>
    <m/>
    <n v="6.49"/>
    <m/>
    <n v="38.92"/>
  </r>
  <r>
    <n v="3"/>
    <x v="3"/>
    <x v="0"/>
    <n v="169954"/>
    <s v="RODRIGUEZ SARA"/>
    <s v="27-36360779-4"/>
    <d v="2016-04-06T00:00:00"/>
    <n v="36360779"/>
    <s v="RODRIGUEZ"/>
    <s v="SAR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NA MARIA JANER"/>
    <n v="1225"/>
    <n v="7"/>
    <s v="PB"/>
    <s v="CAPITAL FEDERAL"/>
    <s v="Buenos Aires"/>
    <m/>
    <s v="U.O.Centro"/>
    <m/>
    <n v="2"/>
    <n v="1"/>
    <n v="7209.19"/>
    <n v="1441.84"/>
    <m/>
    <m/>
    <n v="5767.35"/>
    <m/>
    <n v="144.18"/>
    <m/>
    <m/>
    <m/>
    <m/>
    <m/>
    <m/>
    <n v="72.09"/>
    <m/>
    <m/>
    <m/>
    <m/>
    <m/>
    <m/>
    <n v="144.18"/>
    <m/>
    <m/>
    <m/>
    <m/>
    <m/>
    <m/>
    <m/>
    <n v="72.09"/>
    <m/>
    <n v="432.54"/>
  </r>
  <r>
    <n v="3"/>
    <x v="3"/>
    <x v="1"/>
    <n v="169066"/>
    <s v="ROMERO ROSA DEL VALLE ISABEL"/>
    <s v="27-29738273-5"/>
    <d v="2016-04-06T00:00:00"/>
    <n v="29738273"/>
    <s v="ROMERO"/>
    <s v="ROSA DEL VALLE ISABEL"/>
    <s v="F"/>
    <m/>
    <d v="2016-02-26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440"/>
    <s v="MISIONES"/>
    <n v="1584"/>
    <m/>
    <m/>
    <s v="CAPITAL FEDERAL"/>
    <s v="Capital Federal"/>
    <m/>
    <s v="U.O.Centro"/>
    <s v="Alvear Palace"/>
    <n v="1"/>
    <n v="1"/>
    <n v="1882.66"/>
    <n v="376.53"/>
    <m/>
    <m/>
    <n v="1506.13"/>
    <m/>
    <n v="37.65"/>
    <m/>
    <m/>
    <m/>
    <m/>
    <m/>
    <m/>
    <n v="18.829999999999998"/>
    <m/>
    <m/>
    <m/>
    <m/>
    <m/>
    <m/>
    <n v="37.65"/>
    <m/>
    <m/>
    <m/>
    <m/>
    <m/>
    <m/>
    <m/>
    <n v="18.829999999999998"/>
    <m/>
    <n v="112.96"/>
  </r>
  <r>
    <n v="3"/>
    <x v="3"/>
    <x v="0"/>
    <n v="170549"/>
    <s v="ROSALES MATIAS SEBASTIAN"/>
    <s v="20-38950370-4"/>
    <d v="2016-04-06T00:00:00"/>
    <n v="38950370"/>
    <s v="ROSALES"/>
    <s v="MATIAS SEBASTIAN"/>
    <s v="M"/>
    <m/>
    <d v="2016-03-22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1"/>
    <n v="1"/>
    <n v="3615.32"/>
    <n v="723.07"/>
    <m/>
    <m/>
    <n v="2892.25"/>
    <m/>
    <n v="72.31"/>
    <m/>
    <m/>
    <m/>
    <m/>
    <m/>
    <m/>
    <n v="36.15"/>
    <m/>
    <m/>
    <m/>
    <m/>
    <m/>
    <m/>
    <n v="72.31"/>
    <m/>
    <m/>
    <m/>
    <m/>
    <m/>
    <m/>
    <m/>
    <n v="36.15"/>
    <m/>
    <n v="216.92"/>
  </r>
  <r>
    <n v="3"/>
    <x v="3"/>
    <x v="1"/>
    <n v="161405"/>
    <s v="RUIZ MIRYAM ELIZABETH"/>
    <s v="27-28162946-3"/>
    <d v="2016-03-31T00:00:00"/>
    <n v="28162946"/>
    <s v="RUIZ"/>
    <s v="MIRYAM ELIZABETH"/>
    <s v="F"/>
    <m/>
    <d v="2015-11-1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INISTRO BRIN"/>
    <n v="764"/>
    <s v="1°"/>
    <s v="B"/>
    <s v="CAPITAL FEDERAL"/>
    <s v="Capital Federal"/>
    <m/>
    <s v="U.O.Centro Paga Inplant"/>
    <m/>
    <n v="1"/>
    <n v="1"/>
    <n v="333.2"/>
    <n v="66.64"/>
    <m/>
    <m/>
    <n v="266.56"/>
    <m/>
    <n v="6.66"/>
    <m/>
    <m/>
    <m/>
    <m/>
    <m/>
    <m/>
    <n v="3.33"/>
    <m/>
    <m/>
    <m/>
    <m/>
    <m/>
    <m/>
    <n v="6.66"/>
    <m/>
    <m/>
    <m/>
    <m/>
    <m/>
    <m/>
    <m/>
    <n v="3.33"/>
    <m/>
    <n v="19.98"/>
  </r>
  <r>
    <n v="3"/>
    <x v="3"/>
    <x v="0"/>
    <n v="146415"/>
    <s v="RUIZ DIAZ JORGE GUSTAVO"/>
    <s v="20-34079280-8"/>
    <d v="2016-04-01T00:00:00"/>
    <n v="34079280"/>
    <s v="RUIZ DIAZ"/>
    <s v="JORGE GUSTAVO"/>
    <s v="M"/>
    <m/>
    <d v="2015-08-19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MZA 56"/>
    <n v="841"/>
    <n v="3"/>
    <s v="D"/>
    <s v="CAPITAL FEDERAL"/>
    <s v="Buenos Aires"/>
    <m/>
    <s v="U.O.Centro"/>
    <m/>
    <n v="1"/>
    <n v="1"/>
    <n v="6650.39"/>
    <n v="2830.07"/>
    <m/>
    <m/>
    <n v="3820.32"/>
    <m/>
    <n v="133.01"/>
    <m/>
    <m/>
    <m/>
    <m/>
    <m/>
    <m/>
    <n v="66.5"/>
    <m/>
    <m/>
    <m/>
    <m/>
    <n v="1500"/>
    <m/>
    <n v="133.01"/>
    <m/>
    <m/>
    <m/>
    <m/>
    <m/>
    <m/>
    <m/>
    <n v="66.5"/>
    <m/>
    <n v="1899.02"/>
  </r>
  <r>
    <n v="3"/>
    <x v="3"/>
    <x v="0"/>
    <n v="169948"/>
    <s v="SALOMON EMILCE GISELLE"/>
    <s v="27-41079789-0"/>
    <d v="2016-04-06T00:00:00"/>
    <n v="41079789"/>
    <s v="SALOMON"/>
    <s v="EMILCE GISELLE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n v="898"/>
    <n v="1225"/>
    <m/>
    <m/>
    <s v="CAPITAL FEDERAL"/>
    <s v="Buenos Aires"/>
    <m/>
    <s v="U.O.Centro"/>
    <m/>
    <n v="2"/>
    <n v="1"/>
    <n v="7476.2"/>
    <n v="1495.22"/>
    <m/>
    <m/>
    <n v="5980.98"/>
    <m/>
    <n v="149.52000000000001"/>
    <m/>
    <m/>
    <m/>
    <m/>
    <m/>
    <m/>
    <n v="74.760000000000005"/>
    <m/>
    <m/>
    <m/>
    <m/>
    <m/>
    <m/>
    <n v="149.52000000000001"/>
    <m/>
    <m/>
    <m/>
    <m/>
    <m/>
    <m/>
    <m/>
    <n v="74.760000000000005"/>
    <m/>
    <n v="448.56"/>
  </r>
  <r>
    <n v="3"/>
    <x v="3"/>
    <x v="0"/>
    <n v="170884"/>
    <s v="SANABRIA SERGIO RAMON"/>
    <s v="20-30159356-3"/>
    <d v="2016-04-06T00:00:00"/>
    <n v="30159356"/>
    <s v="SANABRIA"/>
    <s v="SERGIO RAMON"/>
    <s v="M"/>
    <m/>
    <d v="2016-03-29T00:00:00"/>
    <m/>
    <m/>
    <s v="GASTRONOMICOS-Hoteles 4 y 5 Estrellas - 362/2003"/>
    <s v="Categoria 1"/>
    <x v="7"/>
    <s v="Unidad Base-GL"/>
    <s v="Centro"/>
    <s v="Tareas Generales"/>
    <n v="127406"/>
    <s v="O.S.Obreros y empleados tintoreros, sombrerero y lavanderos"/>
    <s v="Capital Federal"/>
    <m/>
    <n v="1022"/>
    <s v="AV. H. IRIGOYEN"/>
    <n v="181"/>
    <m/>
    <m/>
    <s v="CAPITAL FEDERAL"/>
    <s v="Capital Federal"/>
    <m/>
    <s v="U.O.Centro"/>
    <m/>
    <n v="1"/>
    <n v="1"/>
    <n v="817.89"/>
    <n v="163.59"/>
    <m/>
    <m/>
    <n v="654.29999999999995"/>
    <m/>
    <n v="16.36"/>
    <m/>
    <m/>
    <m/>
    <m/>
    <m/>
    <m/>
    <n v="8.18"/>
    <m/>
    <m/>
    <m/>
    <m/>
    <m/>
    <m/>
    <n v="16.36"/>
    <m/>
    <m/>
    <m/>
    <m/>
    <m/>
    <m/>
    <m/>
    <n v="8.18"/>
    <m/>
    <n v="49.08"/>
  </r>
  <r>
    <n v="3"/>
    <x v="3"/>
    <x v="0"/>
    <n v="170780"/>
    <s v="SANCHEZ JAVIER EDUARDO"/>
    <s v="20-29388721-8"/>
    <d v="2016-04-06T00:00:0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n v="1022"/>
    <s v="MONROE"/>
    <n v="181"/>
    <m/>
    <m/>
    <s v="CAPITAL FEDERAL"/>
    <s v="Capital Federal"/>
    <m/>
    <s v="U.O.Centro"/>
    <m/>
    <n v="1"/>
    <n v="1"/>
    <n v="1795.55"/>
    <n v="359.12"/>
    <m/>
    <m/>
    <n v="1436.43"/>
    <m/>
    <n v="35.909999999999997"/>
    <m/>
    <m/>
    <m/>
    <m/>
    <m/>
    <m/>
    <n v="17.96"/>
    <m/>
    <m/>
    <m/>
    <m/>
    <m/>
    <m/>
    <n v="35.909999999999997"/>
    <m/>
    <m/>
    <m/>
    <m/>
    <m/>
    <m/>
    <m/>
    <n v="17.96"/>
    <m/>
    <n v="107.74"/>
  </r>
  <r>
    <n v="3"/>
    <x v="3"/>
    <x v="0"/>
    <n v="156459"/>
    <s v="SANCHEZ ROSANA"/>
    <s v="27-23606497-8"/>
    <d v="2016-04-06T00:00:00"/>
    <n v="23606497"/>
    <s v="SANCHEZ"/>
    <s v="ROSANA"/>
    <s v="F"/>
    <m/>
    <d v="2015-08-2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V CORRIENTES"/>
    <n v="1005"/>
    <m/>
    <m/>
    <s v="CAPITAL FEDERAL"/>
    <s v="Capital Federal"/>
    <m/>
    <s v="U.O.Centro"/>
    <m/>
    <n v="4"/>
    <n v="1"/>
    <n v="9317.98"/>
    <n v="1863.57"/>
    <m/>
    <m/>
    <n v="7454.41"/>
    <m/>
    <n v="186.36"/>
    <m/>
    <m/>
    <m/>
    <m/>
    <m/>
    <m/>
    <n v="93.17"/>
    <m/>
    <m/>
    <m/>
    <m/>
    <m/>
    <m/>
    <n v="186.36"/>
    <m/>
    <m/>
    <m/>
    <m/>
    <m/>
    <m/>
    <m/>
    <n v="93.17"/>
    <m/>
    <n v="559.05999999999995"/>
  </r>
  <r>
    <n v="3"/>
    <x v="3"/>
    <x v="0"/>
    <n v="160993"/>
    <s v="SANCHEZ TRIVIÑO LIZETH KATHERIN"/>
    <s v="27-94758085-5"/>
    <d v="2016-03-21T00:00:00"/>
    <n v="94758085"/>
    <s v="SANCHEZ TRIVIÑO"/>
    <s v="LIZETH KATHERIN"/>
    <s v="F"/>
    <m/>
    <d v="2015-11-07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CUÑA DE FIGUEROA"/>
    <n v="1005"/>
    <n v="5"/>
    <s v="E"/>
    <s v="CAPITAL FEDERAL"/>
    <s v="Capital Federal"/>
    <m/>
    <s v="U.O.Centro"/>
    <m/>
    <n v="1"/>
    <n v="1"/>
    <n v="2061.9299999999998"/>
    <n v="412.39"/>
    <m/>
    <m/>
    <n v="1649.54"/>
    <m/>
    <n v="41.24"/>
    <m/>
    <m/>
    <m/>
    <m/>
    <m/>
    <m/>
    <n v="20.62"/>
    <m/>
    <m/>
    <m/>
    <m/>
    <m/>
    <m/>
    <n v="41.24"/>
    <m/>
    <m/>
    <m/>
    <m/>
    <m/>
    <m/>
    <m/>
    <n v="20.62"/>
    <m/>
    <n v="123.72"/>
  </r>
  <r>
    <n v="3"/>
    <x v="3"/>
    <x v="0"/>
    <n v="164903"/>
    <s v="SANTO LEANDRO"/>
    <s v="20-39458602-2"/>
    <d v="2016-03-21T00:00:00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MERICA"/>
    <n v="1225"/>
    <m/>
    <m/>
    <s v="CAPITAL FEDERAL"/>
    <s v="Buenos Aires"/>
    <m/>
    <s v="U.O.Centro"/>
    <m/>
    <n v="1"/>
    <n v="1"/>
    <n v="779.29"/>
    <n v="155.86000000000001"/>
    <m/>
    <m/>
    <n v="623.42999999999995"/>
    <m/>
    <n v="15.59"/>
    <m/>
    <m/>
    <m/>
    <m/>
    <m/>
    <m/>
    <n v="7.79"/>
    <m/>
    <m/>
    <m/>
    <m/>
    <m/>
    <m/>
    <n v="15.59"/>
    <m/>
    <m/>
    <m/>
    <m/>
    <m/>
    <m/>
    <m/>
    <n v="7.79"/>
    <m/>
    <n v="46.76"/>
  </r>
  <r>
    <n v="3"/>
    <x v="3"/>
    <x v="0"/>
    <n v="163422"/>
    <s v="SAUCEDO BETIANA MAGALI"/>
    <s v="23-38354831-4"/>
    <d v="2016-04-06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4"/>
    <n v="1"/>
    <n v="6790.98"/>
    <n v="1358.19"/>
    <m/>
    <m/>
    <n v="5432.79"/>
    <m/>
    <n v="135.82"/>
    <m/>
    <m/>
    <m/>
    <m/>
    <m/>
    <m/>
    <n v="67.91"/>
    <m/>
    <m/>
    <m/>
    <m/>
    <m/>
    <m/>
    <n v="135.82"/>
    <m/>
    <m/>
    <m/>
    <m/>
    <m/>
    <m/>
    <m/>
    <n v="67.91"/>
    <m/>
    <n v="407.46"/>
  </r>
  <r>
    <n v="3"/>
    <x v="3"/>
    <x v="0"/>
    <n v="157784"/>
    <s v="SAUCEDO MARCELA"/>
    <s v="27-33197318-7"/>
    <d v="2016-04-06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Mucama Por Hora"/>
    <n v="1"/>
    <n v="1"/>
    <n v="18699.66"/>
    <n v="3833.43"/>
    <m/>
    <m/>
    <n v="14866.23"/>
    <n v="467.49"/>
    <m/>
    <m/>
    <m/>
    <m/>
    <m/>
    <m/>
    <m/>
    <n v="187"/>
    <m/>
    <m/>
    <m/>
    <m/>
    <m/>
    <m/>
    <n v="373.99"/>
    <m/>
    <m/>
    <m/>
    <m/>
    <m/>
    <m/>
    <m/>
    <n v="187"/>
    <m/>
    <n v="1215.48"/>
  </r>
  <r>
    <n v="3"/>
    <x v="3"/>
    <x v="1"/>
    <n v="160863"/>
    <s v="SEQUEIRA GRACIELA ESTER"/>
    <s v="23-25848251-4"/>
    <d v="2016-03-31T00:00:00"/>
    <n v="25848251"/>
    <s v="SEQUEIRA"/>
    <s v="GRACIELA ESTER"/>
    <s v="F"/>
    <m/>
    <d v="2015-11-07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BRAHAM"/>
    <n v="764"/>
    <m/>
    <n v="22"/>
    <s v="CAPITAL FEDERAL"/>
    <s v="Capital Federal"/>
    <m/>
    <s v="U.O.Centro Paga Inplant"/>
    <m/>
    <n v="1"/>
    <n v="1"/>
    <n v="10735.17"/>
    <n v="2147.04"/>
    <m/>
    <m/>
    <n v="8588.1299999999992"/>
    <m/>
    <n v="214.7"/>
    <m/>
    <m/>
    <m/>
    <m/>
    <m/>
    <m/>
    <n v="107.35"/>
    <m/>
    <m/>
    <m/>
    <m/>
    <m/>
    <m/>
    <n v="214.7"/>
    <m/>
    <m/>
    <m/>
    <m/>
    <m/>
    <m/>
    <m/>
    <n v="107.35"/>
    <m/>
    <n v="644.1"/>
  </r>
  <r>
    <n v="3"/>
    <x v="3"/>
    <x v="0"/>
    <n v="135060"/>
    <s v="SILES MURIEL KARLA"/>
    <s v="27-93985208-0"/>
    <d v="2016-04-06T00:00:00"/>
    <n v="93985208"/>
    <s v="SILES MURIEL"/>
    <s v="KARLA"/>
    <s v="F"/>
    <m/>
    <d v="2015-11-2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GUAZU"/>
    <n v="1225"/>
    <n v="2"/>
    <m/>
    <s v="CAPITAL FEDERAL"/>
    <s v="Buenos Aires"/>
    <m/>
    <s v="U.O.Centro"/>
    <m/>
    <n v="2"/>
    <n v="1"/>
    <n v="4806.13"/>
    <n v="961.22"/>
    <m/>
    <m/>
    <n v="3844.91"/>
    <m/>
    <n v="96.12"/>
    <m/>
    <m/>
    <m/>
    <m/>
    <m/>
    <m/>
    <n v="48.06"/>
    <m/>
    <m/>
    <m/>
    <m/>
    <m/>
    <m/>
    <n v="96.12"/>
    <m/>
    <m/>
    <m/>
    <m/>
    <m/>
    <m/>
    <m/>
    <n v="48.06"/>
    <m/>
    <n v="288.36"/>
  </r>
  <r>
    <n v="3"/>
    <x v="3"/>
    <x v="0"/>
    <n v="169945"/>
    <s v="SILVA ADRIANA PAOLA"/>
    <s v="27-38794990-4"/>
    <d v="2016-04-06T00:00:00"/>
    <n v="38794990"/>
    <s v="SILVA"/>
    <s v="ADRIANA PAOL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RONDEAU"/>
    <n v="1225"/>
    <m/>
    <m/>
    <s v="CAPITAL FEDERAL"/>
    <s v="Buenos Aires"/>
    <m/>
    <s v="U.O.Centro"/>
    <m/>
    <n v="2"/>
    <n v="1"/>
    <n v="10146.27"/>
    <n v="2029.25"/>
    <m/>
    <m/>
    <n v="8117.02"/>
    <m/>
    <n v="202.92"/>
    <m/>
    <m/>
    <m/>
    <m/>
    <m/>
    <m/>
    <n v="101.46"/>
    <m/>
    <m/>
    <m/>
    <m/>
    <m/>
    <m/>
    <n v="202.92"/>
    <m/>
    <m/>
    <m/>
    <m/>
    <m/>
    <m/>
    <m/>
    <n v="101.46"/>
    <m/>
    <n v="608.76"/>
  </r>
  <r>
    <n v="3"/>
    <x v="3"/>
    <x v="1"/>
    <n v="169877"/>
    <s v="SILVA MATIAS OSCAR"/>
    <s v="20-30651917-5"/>
    <d v="2016-03-31T00:00:00"/>
    <n v="30651917"/>
    <s v="SILVA"/>
    <s v="MATIAS OSCAR"/>
    <s v="M"/>
    <m/>
    <d v="2016-03-2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IGUALDAD"/>
    <n v="764"/>
    <m/>
    <m/>
    <s v="CAPITAL FEDERAL"/>
    <s v="Capital Federal"/>
    <m/>
    <s v="U.O.Centro Paga Inplant"/>
    <m/>
    <n v="3"/>
    <n v="1"/>
    <n v="1761.21"/>
    <n v="352.24"/>
    <m/>
    <m/>
    <n v="1408.97"/>
    <m/>
    <n v="35.22"/>
    <m/>
    <m/>
    <m/>
    <m/>
    <m/>
    <m/>
    <n v="17.61"/>
    <m/>
    <m/>
    <m/>
    <m/>
    <m/>
    <m/>
    <n v="35.22"/>
    <m/>
    <m/>
    <m/>
    <m/>
    <m/>
    <m/>
    <m/>
    <n v="17.61"/>
    <m/>
    <n v="105.66"/>
  </r>
  <r>
    <n v="3"/>
    <x v="3"/>
    <x v="1"/>
    <n v="164253"/>
    <s v="SOLOMIANSKI BRUNO"/>
    <s v="20-33834036-3"/>
    <d v="2016-03-31T00:00:00"/>
    <n v="33834036"/>
    <s v="SOLOMIANSKI"/>
    <s v="BRUNO"/>
    <s v="M"/>
    <m/>
    <d v="2015-12-2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HELGUERA"/>
    <n v="764"/>
    <m/>
    <m/>
    <s v="CAPITAL FEDERAL"/>
    <s v="Capital Federal"/>
    <m/>
    <s v="U.O.Centro Paga Inplant"/>
    <m/>
    <n v="1"/>
    <n v="1"/>
    <n v="1068.1199999999999"/>
    <n v="213.61"/>
    <m/>
    <m/>
    <n v="854.51"/>
    <m/>
    <n v="21.36"/>
    <m/>
    <m/>
    <m/>
    <m/>
    <m/>
    <m/>
    <n v="10.68"/>
    <m/>
    <m/>
    <m/>
    <m/>
    <m/>
    <m/>
    <n v="21.36"/>
    <m/>
    <m/>
    <m/>
    <m/>
    <m/>
    <m/>
    <m/>
    <n v="10.68"/>
    <m/>
    <n v="64.08"/>
  </r>
  <r>
    <n v="3"/>
    <x v="3"/>
    <x v="0"/>
    <n v="162176"/>
    <s v="SOMMA GABRIELA ALEJANDRA"/>
    <s v="27-31822042-0"/>
    <d v="2016-04-06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2"/>
    <n v="1"/>
    <n v="8182.58"/>
    <n v="1636.53"/>
    <m/>
    <m/>
    <n v="6546.05"/>
    <m/>
    <n v="163.65"/>
    <m/>
    <m/>
    <m/>
    <m/>
    <m/>
    <m/>
    <n v="81.83"/>
    <m/>
    <m/>
    <m/>
    <m/>
    <m/>
    <m/>
    <n v="163.65"/>
    <m/>
    <m/>
    <m/>
    <m/>
    <m/>
    <m/>
    <m/>
    <n v="81.83"/>
    <m/>
    <n v="490.96"/>
  </r>
  <r>
    <n v="3"/>
    <x v="3"/>
    <x v="1"/>
    <n v="168292"/>
    <s v="SORIA MAIRA SOLEDAD"/>
    <s v="27-38844520-9"/>
    <d v="2016-03-31T00:00:00"/>
    <n v="38844520"/>
    <s v="SORIA"/>
    <s v="MAIRA SOLEDAD"/>
    <s v="F"/>
    <m/>
    <d v="2016-02-1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126 Y 127"/>
    <n v="764"/>
    <m/>
    <m/>
    <s v="CAPITAL FEDERAL"/>
    <s v="Capital Federal"/>
    <m/>
    <s v="U.O.Centro Paga Inplant"/>
    <m/>
    <n v="1"/>
    <n v="1"/>
    <n v="10174.370000000001"/>
    <n v="2034.87"/>
    <m/>
    <m/>
    <n v="8139.5"/>
    <m/>
    <n v="203.49"/>
    <m/>
    <m/>
    <m/>
    <m/>
    <m/>
    <m/>
    <n v="101.74"/>
    <m/>
    <m/>
    <m/>
    <m/>
    <m/>
    <m/>
    <n v="203.49"/>
    <m/>
    <m/>
    <m/>
    <m/>
    <m/>
    <m/>
    <m/>
    <n v="101.74"/>
    <m/>
    <n v="610.46"/>
  </r>
  <r>
    <n v="3"/>
    <x v="3"/>
    <x v="0"/>
    <n v="170437"/>
    <s v="SOSA BLANCA"/>
    <s v="27-28474500-6"/>
    <d v="2016-04-06T00:00:00"/>
    <n v="28474500"/>
    <s v="SOSA"/>
    <s v="BLANCA"/>
    <s v="F"/>
    <m/>
    <d v="2016-03-18T00:00:00"/>
    <m/>
    <m/>
    <s v="GASTRONOMICOS-Hoteles 4 y 5 Estrellas - 362/2003"/>
    <s v="Categoría 4"/>
    <x v="15"/>
    <s v="Unidad Principal"/>
    <s v="Centro"/>
    <s v="Mucama"/>
    <n v="127505"/>
    <s v="O.S.Asoc.Emp.Faramacia"/>
    <s v="Capital Federal"/>
    <m/>
    <n v="1440"/>
    <s v="VIRGENES"/>
    <n v="265"/>
    <m/>
    <m/>
    <s v="CAPITAL FEDERAL"/>
    <s v="Capital Federal"/>
    <m/>
    <s v="U.O.Centro"/>
    <s v="Mucama"/>
    <n v="1"/>
    <n v="1"/>
    <n v="5768.16"/>
    <n v="1153.6199999999999"/>
    <m/>
    <m/>
    <n v="4614.54"/>
    <m/>
    <n v="115.36"/>
    <m/>
    <m/>
    <m/>
    <m/>
    <m/>
    <m/>
    <n v="57.68"/>
    <m/>
    <m/>
    <m/>
    <m/>
    <m/>
    <m/>
    <n v="115.36"/>
    <m/>
    <m/>
    <m/>
    <m/>
    <m/>
    <m/>
    <m/>
    <n v="57.68"/>
    <m/>
    <n v="346.08"/>
  </r>
  <r>
    <n v="3"/>
    <x v="3"/>
    <x v="0"/>
    <n v="164252"/>
    <s v="SOSA ROMINA ESTER"/>
    <s v="23-33465547-4"/>
    <d v="2016-04-06T00:00:00"/>
    <n v="33465547"/>
    <s v="SOSA"/>
    <s v="ROMINA ESTER"/>
    <s v="F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BOGOTA"/>
    <n v="1005"/>
    <n v="8"/>
    <n v="1"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1"/>
    <n v="154462"/>
    <s v="SOTELO DAMARIS ROXANA"/>
    <s v="27-38100104-6"/>
    <d v="2016-03-31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 Paga Inplant"/>
    <m/>
    <n v="2"/>
    <n v="1"/>
    <n v="7149.49"/>
    <n v="1429.91"/>
    <m/>
    <m/>
    <n v="5719.58"/>
    <m/>
    <n v="142.99"/>
    <m/>
    <m/>
    <m/>
    <m/>
    <m/>
    <m/>
    <n v="71.489999999999995"/>
    <m/>
    <m/>
    <m/>
    <m/>
    <m/>
    <m/>
    <n v="142.99"/>
    <m/>
    <m/>
    <m/>
    <m/>
    <m/>
    <m/>
    <m/>
    <n v="71.489999999999995"/>
    <m/>
    <n v="428.96"/>
  </r>
  <r>
    <n v="3"/>
    <x v="3"/>
    <x v="0"/>
    <n v="155979"/>
    <s v="SOULE ROMINA SOLEDAD"/>
    <s v="23-34390010-4"/>
    <d v="2016-04-06T00:00:00"/>
    <n v="34390010"/>
    <s v="SOULE"/>
    <s v="ROMINA SOLEDAD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HACO"/>
    <n v="1005"/>
    <n v="1"/>
    <s v="A"/>
    <s v="CAPITAL FEDERAL"/>
    <s v="Capital Federal"/>
    <m/>
    <s v="U.O.Centro"/>
    <m/>
    <n v="3"/>
    <n v="1"/>
    <n v="5989.56"/>
    <n v="1197.8800000000001"/>
    <m/>
    <m/>
    <n v="4791.68"/>
    <m/>
    <n v="119.79"/>
    <m/>
    <m/>
    <m/>
    <m/>
    <m/>
    <m/>
    <n v="59.89"/>
    <m/>
    <m/>
    <m/>
    <m/>
    <m/>
    <m/>
    <n v="119.79"/>
    <m/>
    <m/>
    <m/>
    <m/>
    <m/>
    <m/>
    <m/>
    <n v="59.89"/>
    <m/>
    <n v="359.36"/>
  </r>
  <r>
    <n v="3"/>
    <x v="3"/>
    <x v="0"/>
    <n v="169950"/>
    <s v="SPITALERI IVANA MURIEL"/>
    <s v="23-24946164-4"/>
    <d v="2016-04-06T00:00:00"/>
    <n v="24946164"/>
    <s v="SPITALERI"/>
    <s v="IVANA MURIEL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AIPU"/>
    <n v="1225"/>
    <m/>
    <m/>
    <s v="CAPITAL FEDERAL"/>
    <s v="Buenos Aires"/>
    <m/>
    <s v="U.O.Centro"/>
    <m/>
    <n v="2"/>
    <n v="1"/>
    <n v="10146.27"/>
    <n v="2029.25"/>
    <m/>
    <m/>
    <n v="8117.02"/>
    <m/>
    <n v="202.92"/>
    <m/>
    <m/>
    <m/>
    <m/>
    <m/>
    <m/>
    <n v="101.46"/>
    <m/>
    <m/>
    <m/>
    <m/>
    <m/>
    <m/>
    <n v="202.92"/>
    <m/>
    <m/>
    <m/>
    <m/>
    <m/>
    <m/>
    <m/>
    <n v="101.46"/>
    <m/>
    <n v="608.76"/>
  </r>
  <r>
    <n v="3"/>
    <x v="3"/>
    <x v="0"/>
    <n v="169876"/>
    <s v="STILMAN IVAN"/>
    <s v="20-37274074-5"/>
    <d v="2016-03-21T00:00:00"/>
    <n v="37274074"/>
    <s v="STILMAN"/>
    <s v="IVAN"/>
    <s v="M"/>
    <m/>
    <d v="2016-03-02T00:00:00"/>
    <m/>
    <m/>
    <s v="GASTRONOMICOS-Hoteles 4 y 5 Estrellas - 362/2003"/>
    <s v="Categoria 6"/>
    <x v="5"/>
    <s v="Mozos / camareros - GL"/>
    <s v="Centro"/>
    <s v="Tareas Generales"/>
    <n v="108803"/>
    <s v="O.S.P.Gastronomico"/>
    <s v="Capital Federal"/>
    <m/>
    <n v="1104"/>
    <s v="ANGEL CARRANZA"/>
    <n v="1225"/>
    <m/>
    <m/>
    <s v="CAPITAL FEDERAL"/>
    <s v="Buenos Aires"/>
    <m/>
    <s v="U.O.Centro"/>
    <m/>
    <n v="3"/>
    <n v="1"/>
    <n v="1892.58"/>
    <n v="378.51"/>
    <m/>
    <m/>
    <n v="1514.07"/>
    <m/>
    <n v="37.840000000000003"/>
    <m/>
    <m/>
    <m/>
    <m/>
    <m/>
    <m/>
    <n v="18.93"/>
    <m/>
    <m/>
    <m/>
    <m/>
    <m/>
    <m/>
    <n v="37.840000000000003"/>
    <m/>
    <m/>
    <m/>
    <m/>
    <m/>
    <m/>
    <m/>
    <n v="18.93"/>
    <m/>
    <n v="113.54"/>
  </r>
  <r>
    <n v="3"/>
    <x v="3"/>
    <x v="0"/>
    <n v="162209"/>
    <s v="STOCKL BRENDA JENNIFER"/>
    <s v="27-37769971-3"/>
    <d v="2016-04-06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2"/>
    <n v="1"/>
    <n v="11689.43"/>
    <n v="2337.87"/>
    <m/>
    <m/>
    <n v="9351.56"/>
    <m/>
    <n v="233.79"/>
    <m/>
    <m/>
    <m/>
    <m/>
    <m/>
    <m/>
    <n v="116.89"/>
    <m/>
    <m/>
    <m/>
    <m/>
    <m/>
    <m/>
    <n v="233.79"/>
    <m/>
    <m/>
    <m/>
    <m/>
    <m/>
    <m/>
    <m/>
    <n v="116.89"/>
    <m/>
    <n v="701.36"/>
  </r>
  <r>
    <n v="3"/>
    <x v="3"/>
    <x v="1"/>
    <n v="167565"/>
    <s v="SUAREZ DAVID OSVALDO"/>
    <s v="20-35114179-5"/>
    <d v="2016-04-01T00:00:00"/>
    <n v="35114179"/>
    <s v="SUAREZ"/>
    <s v="DAVID OSVALDO"/>
    <s v="M"/>
    <m/>
    <d v="2016-01-29T00:00:00"/>
    <m/>
    <m/>
    <s v="GASTRONOMICOS-Hoteles 4 y 5 Estrellas - 362/2003"/>
    <s v="Categoría 4"/>
    <x v="3"/>
    <s v="Unidad Principal"/>
    <s v="Centro"/>
    <s v="Tareas Generales"/>
    <n v="121705"/>
    <s v="OS  DEL PERSONAL DE LA ACTIVIDAD DEL TURF"/>
    <s v="Capital Federal"/>
    <m/>
    <n v="1002"/>
    <s v="JUAN DOMINGO PERON"/>
    <n v="764"/>
    <m/>
    <m/>
    <s v="CAPITAL FEDERAL"/>
    <s v="Capital Federal"/>
    <m/>
    <s v="U.O.Centro Paga Inplant"/>
    <m/>
    <n v="1"/>
    <n v="1"/>
    <n v="18935.669999999998"/>
    <n v="3787.13"/>
    <m/>
    <m/>
    <n v="15148.54"/>
    <m/>
    <n v="378.71"/>
    <m/>
    <m/>
    <m/>
    <m/>
    <m/>
    <m/>
    <n v="189.36"/>
    <m/>
    <m/>
    <m/>
    <m/>
    <m/>
    <m/>
    <n v="378.71"/>
    <m/>
    <m/>
    <m/>
    <m/>
    <m/>
    <m/>
    <m/>
    <n v="189.36"/>
    <m/>
    <n v="1136.1400000000001"/>
  </r>
  <r>
    <n v="3"/>
    <x v="3"/>
    <x v="0"/>
    <n v="162177"/>
    <s v="SZYCHOWSKI WALTER TADEO"/>
    <s v="23-20698069-9"/>
    <d v="2016-04-06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m/>
    <n v="2"/>
    <n v="1"/>
    <n v="1948.24"/>
    <n v="389.65"/>
    <m/>
    <m/>
    <n v="1558.59"/>
    <m/>
    <n v="38.97"/>
    <m/>
    <m/>
    <m/>
    <m/>
    <m/>
    <m/>
    <n v="19.48"/>
    <m/>
    <m/>
    <m/>
    <m/>
    <m/>
    <m/>
    <n v="38.97"/>
    <m/>
    <m/>
    <m/>
    <m/>
    <m/>
    <m/>
    <m/>
    <n v="19.48"/>
    <m/>
    <n v="116.9"/>
  </r>
  <r>
    <n v="3"/>
    <x v="3"/>
    <x v="0"/>
    <n v="162835"/>
    <s v="TAPIA CARINA ELIZABET"/>
    <s v="27-27804858-1"/>
    <d v="2016-04-06T00:00:00"/>
    <n v="27804858"/>
    <s v="TAPIA"/>
    <s v="CARINA ELIZABET"/>
    <s v="F"/>
    <m/>
    <d v="2015-12-0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MORON"/>
    <n v="1005"/>
    <m/>
    <m/>
    <s v="CAPITAL FEDERAL"/>
    <s v="Capital Federal"/>
    <m/>
    <s v="U.O.Centro"/>
    <m/>
    <n v="1"/>
    <n v="1"/>
    <n v="537.87"/>
    <n v="107.59"/>
    <m/>
    <m/>
    <n v="430.28"/>
    <m/>
    <n v="10.76"/>
    <m/>
    <m/>
    <m/>
    <m/>
    <m/>
    <m/>
    <n v="5.38"/>
    <m/>
    <m/>
    <m/>
    <m/>
    <m/>
    <m/>
    <n v="10.76"/>
    <m/>
    <m/>
    <m/>
    <m/>
    <m/>
    <m/>
    <m/>
    <n v="5.38"/>
    <m/>
    <n v="32.28"/>
  </r>
  <r>
    <n v="3"/>
    <x v="3"/>
    <x v="0"/>
    <n v="163373"/>
    <s v="TIRIMACO DANIELA SOLEDAD"/>
    <s v="27-36177011-6"/>
    <d v="2016-04-06T00:00:00"/>
    <n v="36177011"/>
    <s v="TIRIMACO"/>
    <s v="DANIELA SOLEDAD"/>
    <s v="F"/>
    <m/>
    <d v="2015-12-15T00:00:00"/>
    <d v="2016-01-08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SMERALDA"/>
    <n v="474"/>
    <m/>
    <m/>
    <s v="CAPITAL FEDERAL"/>
    <s v="Buenos Aires"/>
    <m/>
    <s v="U.O.Casa Central"/>
    <m/>
    <n v="1"/>
    <n v="1"/>
    <n v="19.72"/>
    <n v="3.94"/>
    <m/>
    <m/>
    <n v="15.78"/>
    <m/>
    <n v="0.39"/>
    <m/>
    <m/>
    <m/>
    <m/>
    <m/>
    <m/>
    <n v="0.2"/>
    <m/>
    <m/>
    <m/>
    <m/>
    <m/>
    <m/>
    <n v="0.39"/>
    <m/>
    <m/>
    <m/>
    <m/>
    <m/>
    <m/>
    <m/>
    <n v="0.2"/>
    <m/>
    <n v="1.18"/>
  </r>
  <r>
    <n v="3"/>
    <x v="3"/>
    <x v="0"/>
    <n v="169811"/>
    <s v="TOLABA ESTELA MARTINA"/>
    <s v="27-25992551-2"/>
    <d v="2016-04-06T00:00:00"/>
    <n v="25992551"/>
    <s v="TOLABA"/>
    <s v="ESTELA MARTINA"/>
    <s v="F"/>
    <m/>
    <d v="2016-03-0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ULPINA"/>
    <n v="1225"/>
    <m/>
    <m/>
    <s v="CAPITAL FEDERAL"/>
    <s v="Buenos Aires"/>
    <m/>
    <s v="U.O.Centro"/>
    <m/>
    <n v="2"/>
    <n v="1"/>
    <n v="7476.2"/>
    <n v="1495.22"/>
    <m/>
    <m/>
    <n v="5980.98"/>
    <m/>
    <n v="149.52000000000001"/>
    <m/>
    <m/>
    <m/>
    <m/>
    <m/>
    <m/>
    <n v="74.760000000000005"/>
    <m/>
    <m/>
    <m/>
    <m/>
    <m/>
    <m/>
    <n v="149.52000000000001"/>
    <m/>
    <m/>
    <m/>
    <m/>
    <m/>
    <m/>
    <m/>
    <n v="74.760000000000005"/>
    <m/>
    <n v="448.56"/>
  </r>
  <r>
    <n v="3"/>
    <x v="3"/>
    <x v="0"/>
    <n v="161179"/>
    <s v="TORRES CLAUDIA ANDREA"/>
    <s v="27-30236589-5"/>
    <d v="2016-04-06T00:00:00"/>
    <n v="30236589"/>
    <s v="TORRES"/>
    <s v="CLAUDIA ANDREA"/>
    <s v="F"/>
    <m/>
    <d v="2015-11-1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ECIA"/>
    <n v="1225"/>
    <m/>
    <m/>
    <s v="CAPITAL FEDERAL"/>
    <s v="Buenos Aires"/>
    <m/>
    <s v="U.O.Centro"/>
    <m/>
    <n v="2"/>
    <n v="1"/>
    <n v="9618.7099999999991"/>
    <n v="1923.76"/>
    <m/>
    <m/>
    <n v="7694.95"/>
    <m/>
    <n v="192.37"/>
    <m/>
    <m/>
    <m/>
    <m/>
    <m/>
    <m/>
    <n v="96.19"/>
    <m/>
    <m/>
    <m/>
    <m/>
    <m/>
    <m/>
    <n v="192.37"/>
    <m/>
    <m/>
    <m/>
    <m/>
    <m/>
    <m/>
    <m/>
    <n v="96.19"/>
    <m/>
    <n v="577.12"/>
  </r>
  <r>
    <n v="3"/>
    <x v="3"/>
    <x v="0"/>
    <n v="170180"/>
    <s v="TORRES FERNANDO"/>
    <s v="23-36164521-9"/>
    <d v="2016-04-06T00:00:0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ICARDO ROJAS"/>
    <n v="265"/>
    <m/>
    <m/>
    <s v="CAPITAL FEDERAL"/>
    <s v="Capital Federal"/>
    <m/>
    <s v="U.O.Centro"/>
    <m/>
    <n v="2"/>
    <n v="1"/>
    <n v="6267.18"/>
    <n v="1253.42"/>
    <m/>
    <m/>
    <n v="5013.76"/>
    <m/>
    <n v="125.34"/>
    <m/>
    <m/>
    <m/>
    <m/>
    <m/>
    <m/>
    <n v="62.67"/>
    <m/>
    <m/>
    <m/>
    <m/>
    <m/>
    <m/>
    <n v="125.34"/>
    <m/>
    <m/>
    <m/>
    <m/>
    <m/>
    <m/>
    <m/>
    <n v="62.67"/>
    <m/>
    <n v="376.02"/>
  </r>
  <r>
    <n v="3"/>
    <x v="3"/>
    <x v="1"/>
    <n v="165162"/>
    <s v="TORRES VERONICA ALEJANDRA"/>
    <s v="23-25413259-4"/>
    <d v="2016-03-31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 Paga Inplant"/>
    <m/>
    <n v="1"/>
    <n v="1"/>
    <n v="10534.89"/>
    <n v="2106.9899999999998"/>
    <m/>
    <m/>
    <n v="8427.9"/>
    <m/>
    <n v="210.7"/>
    <m/>
    <m/>
    <m/>
    <m/>
    <m/>
    <m/>
    <n v="105.35"/>
    <m/>
    <m/>
    <m/>
    <m/>
    <m/>
    <m/>
    <n v="210.7"/>
    <m/>
    <m/>
    <m/>
    <m/>
    <m/>
    <m/>
    <m/>
    <n v="105.35"/>
    <m/>
    <n v="632.1"/>
  </r>
  <r>
    <n v="3"/>
    <x v="3"/>
    <x v="0"/>
    <n v="170203"/>
    <s v="TOTARO ALEJANDRO EZEQUIEL"/>
    <s v="20-34309566-0"/>
    <d v="2016-04-06T00:00:0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ATANZA"/>
    <n v="1225"/>
    <m/>
    <m/>
    <s v="CAPITAL FEDERAL"/>
    <s v="Buenos Aires"/>
    <m/>
    <s v="U.O.Centro"/>
    <m/>
    <n v="1"/>
    <n v="1"/>
    <n v="663.49"/>
    <n v="132.68"/>
    <m/>
    <m/>
    <n v="530.80999999999995"/>
    <m/>
    <n v="13.27"/>
    <m/>
    <m/>
    <m/>
    <m/>
    <m/>
    <m/>
    <n v="6.63"/>
    <m/>
    <m/>
    <m/>
    <m/>
    <m/>
    <m/>
    <n v="13.27"/>
    <m/>
    <m/>
    <m/>
    <m/>
    <m/>
    <m/>
    <m/>
    <n v="6.63"/>
    <m/>
    <n v="39.799999999999997"/>
  </r>
  <r>
    <n v="3"/>
    <x v="3"/>
    <x v="0"/>
    <n v="171016"/>
    <s v="VALDEOLIVAR DIEZ IARA AIME"/>
    <s v="27-37203892-1"/>
    <d v="2016-04-06T00:00:00"/>
    <n v="37203892"/>
    <s v="VALDEOLIVAR DIEZ"/>
    <s v="IARA AIME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ERU"/>
    <n v="1005"/>
    <n v="9"/>
    <n v="27"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0"/>
    <n v="170465"/>
    <s v="VALDEZ ALEJANDRO  DAMIAN"/>
    <s v="20-31963373-2"/>
    <d v="2016-04-06T00:00:00"/>
    <n v="31963373"/>
    <s v="VALDEZ"/>
    <s v="ALEJANDRO  DAMIAN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ASCANO"/>
    <n v="1005"/>
    <m/>
    <m/>
    <s v="CAPITAL FEDERAL"/>
    <s v="Capital Federal"/>
    <m/>
    <s v="U.O.Centro"/>
    <m/>
    <n v="1"/>
    <n v="1"/>
    <n v="587.64"/>
    <n v="117.53"/>
    <m/>
    <m/>
    <n v="470.11"/>
    <m/>
    <n v="11.75"/>
    <m/>
    <m/>
    <m/>
    <m/>
    <m/>
    <m/>
    <n v="5.88"/>
    <m/>
    <m/>
    <m/>
    <m/>
    <m/>
    <m/>
    <n v="11.75"/>
    <m/>
    <m/>
    <m/>
    <m/>
    <m/>
    <m/>
    <m/>
    <n v="5.88"/>
    <m/>
    <n v="35.26"/>
  </r>
  <r>
    <n v="3"/>
    <x v="3"/>
    <x v="1"/>
    <n v="159131"/>
    <s v="VALEIRO MARIA SOLEDAD"/>
    <s v="23-27310730-4"/>
    <d v="2016-03-31T00:00:00"/>
    <n v="27310730"/>
    <s v="VALEIRO"/>
    <s v="MARIA SOLEDAD"/>
    <s v="F"/>
    <m/>
    <d v="2015-10-08T00:00:00"/>
    <m/>
    <m/>
    <s v="GASTRONOMICOS-Hoteles 4 y 5 Estrellas - 362/2003"/>
    <s v="Categoria 5"/>
    <x v="3"/>
    <s v="Unidad Principal"/>
    <s v="Centro"/>
    <s v="Tareas Generales"/>
    <n v="101604"/>
    <s v="O.S.P.Automovil Club Argentino*"/>
    <s v="Capital Federal"/>
    <m/>
    <n v="1002"/>
    <s v="GERVASIO POSADAS"/>
    <n v="764"/>
    <m/>
    <m/>
    <s v="CAPITAL FEDERAL"/>
    <s v="Capital Federal"/>
    <m/>
    <s v="U.O.Centro Paga Inplant"/>
    <m/>
    <n v="1"/>
    <n v="1"/>
    <n v="5955.77"/>
    <n v="1191.1500000000001"/>
    <m/>
    <m/>
    <n v="4764.62"/>
    <m/>
    <n v="119.12"/>
    <m/>
    <m/>
    <m/>
    <m/>
    <m/>
    <m/>
    <n v="59.56"/>
    <m/>
    <m/>
    <m/>
    <m/>
    <m/>
    <m/>
    <n v="119.12"/>
    <m/>
    <m/>
    <m/>
    <m/>
    <m/>
    <m/>
    <m/>
    <n v="59.56"/>
    <m/>
    <n v="357.36"/>
  </r>
  <r>
    <n v="3"/>
    <x v="3"/>
    <x v="1"/>
    <n v="170492"/>
    <s v="VALIENTE MARIA NAZARENA"/>
    <s v="27-23700239-9"/>
    <d v="2016-04-06T00:00:0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1246.32"/>
    <n v="249.27"/>
    <m/>
    <m/>
    <n v="997.05"/>
    <m/>
    <n v="24.93"/>
    <m/>
    <m/>
    <m/>
    <m/>
    <m/>
    <m/>
    <n v="12.46"/>
    <m/>
    <m/>
    <m/>
    <m/>
    <m/>
    <m/>
    <n v="24.93"/>
    <m/>
    <m/>
    <m/>
    <m/>
    <m/>
    <m/>
    <m/>
    <n v="12.46"/>
    <m/>
    <n v="74.78"/>
  </r>
  <r>
    <n v="3"/>
    <x v="3"/>
    <x v="0"/>
    <n v="170168"/>
    <s v="VARGAS MAXIMILIANO EZEQUIEL"/>
    <s v="20-33690283-6"/>
    <d v="2016-04-06T00:00:00"/>
    <n v="33690283"/>
    <s v="VARGAS"/>
    <s v="MAXIMILIANO EZEQUIEL"/>
    <s v="F"/>
    <m/>
    <d v="2016-03-0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RESPO"/>
    <n v="1005"/>
    <m/>
    <m/>
    <s v="CAPITAL FEDERAL"/>
    <s v="Capital Federal"/>
    <m/>
    <s v="U.O.Centro"/>
    <m/>
    <n v="2"/>
    <n v="1"/>
    <n v="1236.3599999999999"/>
    <n v="247.27"/>
    <m/>
    <m/>
    <n v="989.09"/>
    <m/>
    <n v="24.72"/>
    <m/>
    <m/>
    <m/>
    <m/>
    <m/>
    <m/>
    <n v="12.37"/>
    <m/>
    <m/>
    <m/>
    <m/>
    <m/>
    <m/>
    <n v="24.72"/>
    <m/>
    <m/>
    <m/>
    <m/>
    <m/>
    <m/>
    <m/>
    <n v="12.37"/>
    <m/>
    <n v="74.180000000000007"/>
  </r>
  <r>
    <n v="3"/>
    <x v="3"/>
    <x v="0"/>
    <n v="163376"/>
    <s v="VARGAS BENITEZ KARINA LUJAN"/>
    <s v="27-37354725-0"/>
    <d v="2016-03-21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1"/>
    <n v="1"/>
    <n v="3506.83"/>
    <n v="701.36"/>
    <m/>
    <m/>
    <n v="2805.47"/>
    <m/>
    <n v="70.14"/>
    <m/>
    <m/>
    <m/>
    <m/>
    <m/>
    <m/>
    <n v="35.07"/>
    <m/>
    <m/>
    <m/>
    <m/>
    <m/>
    <m/>
    <n v="70.14"/>
    <m/>
    <m/>
    <m/>
    <m/>
    <m/>
    <m/>
    <m/>
    <n v="35.07"/>
    <m/>
    <n v="210.42"/>
  </r>
  <r>
    <n v="3"/>
    <x v="3"/>
    <x v="1"/>
    <n v="140009"/>
    <s v="VEGA JUAN JOSE"/>
    <s v="20-34339212-6"/>
    <d v="2016-04-06T00:00:00"/>
    <n v="34339212"/>
    <s v="VEGA"/>
    <s v="JUAN JOSE"/>
    <s v="M"/>
    <m/>
    <d v="2014-12-17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PRUDAN"/>
    <n v="764"/>
    <n v="5"/>
    <n v="5"/>
    <s v="CAPITAL FEDERAL"/>
    <s v="Capital Federal"/>
    <m/>
    <s v="U.O.Centro Paga Inplant"/>
    <m/>
    <n v="2"/>
    <n v="1"/>
    <n v="7490.75"/>
    <n v="1531.89"/>
    <m/>
    <m/>
    <n v="5958.86"/>
    <n v="187.27"/>
    <m/>
    <m/>
    <m/>
    <m/>
    <m/>
    <m/>
    <m/>
    <n v="71.2"/>
    <m/>
    <m/>
    <m/>
    <m/>
    <m/>
    <m/>
    <n v="149.81"/>
    <m/>
    <m/>
    <m/>
    <m/>
    <m/>
    <m/>
    <m/>
    <n v="71.2"/>
    <m/>
    <n v="479.48"/>
  </r>
  <r>
    <n v="3"/>
    <x v="3"/>
    <x v="0"/>
    <n v="143424"/>
    <s v="VELASQUEZ NESTOR IGNACIO"/>
    <s v="20-30830390-0"/>
    <d v="2016-03-21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1"/>
    <n v="1"/>
    <n v="6552.06"/>
    <n v="1343.17"/>
    <m/>
    <m/>
    <n v="5208.8900000000003"/>
    <n v="163.80000000000001"/>
    <m/>
    <m/>
    <m/>
    <m/>
    <m/>
    <m/>
    <m/>
    <n v="65.52"/>
    <m/>
    <m/>
    <m/>
    <m/>
    <m/>
    <m/>
    <n v="131.04"/>
    <m/>
    <m/>
    <m/>
    <m/>
    <m/>
    <m/>
    <m/>
    <n v="65.52"/>
    <m/>
    <n v="425.88"/>
  </r>
  <r>
    <n v="3"/>
    <x v="3"/>
    <x v="1"/>
    <n v="170478"/>
    <s v="VELAZQUEZ FERNANDO ARIEL"/>
    <s v="20-18830125-9"/>
    <d v="2016-04-06T00:00:00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n v="1129"/>
    <s v="SARMIENTO"/>
    <n v="1891"/>
    <m/>
    <m/>
    <s v="CAPITAL FEDERAL"/>
    <s v="Capital Federal"/>
    <m/>
    <s v="U.O.Centro"/>
    <s v="Alvear Palace"/>
    <n v="1"/>
    <n v="1"/>
    <n v="1566.8"/>
    <n v="313.36"/>
    <m/>
    <m/>
    <n v="1253.44"/>
    <m/>
    <n v="31.34"/>
    <m/>
    <m/>
    <m/>
    <m/>
    <m/>
    <m/>
    <n v="15.67"/>
    <m/>
    <m/>
    <m/>
    <m/>
    <m/>
    <m/>
    <n v="31.34"/>
    <m/>
    <m/>
    <m/>
    <m/>
    <m/>
    <m/>
    <m/>
    <n v="15.67"/>
    <m/>
    <n v="94.02"/>
  </r>
  <r>
    <n v="3"/>
    <x v="3"/>
    <x v="0"/>
    <n v="169885"/>
    <s v="VELAZQUEZ NOELIA"/>
    <s v="27-28814358-2"/>
    <d v="2016-04-06T00:00:00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Mucama Por Hora"/>
    <n v="1"/>
    <n v="1"/>
    <n v="16542.009999999998"/>
    <n v="3308.4"/>
    <m/>
    <m/>
    <n v="13233.61"/>
    <m/>
    <n v="330.84"/>
    <m/>
    <m/>
    <m/>
    <m/>
    <m/>
    <m/>
    <n v="165.42"/>
    <m/>
    <m/>
    <m/>
    <m/>
    <m/>
    <m/>
    <n v="330.84"/>
    <m/>
    <m/>
    <m/>
    <m/>
    <m/>
    <m/>
    <m/>
    <n v="165.42"/>
    <m/>
    <n v="992.52"/>
  </r>
  <r>
    <n v="3"/>
    <x v="3"/>
    <x v="0"/>
    <n v="154683"/>
    <s v="VERGARA GERARDO ANIBAL"/>
    <s v="20-23133676-2"/>
    <d v="2016-03-30T00:00:00"/>
    <n v="23133676"/>
    <s v="VERGARA"/>
    <s v="GERARDO ANIBAL"/>
    <s v="M"/>
    <m/>
    <d v="2015-07-21T00:00:00"/>
    <d v="2016-02-11T00:00:00"/>
    <d v="2016-02-11T00:00:00"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V. GAONA"/>
    <n v="764"/>
    <m/>
    <m/>
    <s v="CAPITAL FEDERAL"/>
    <s v="Capital Federal"/>
    <m/>
    <s v="U.O.Centro Paga Inplant"/>
    <m/>
    <n v="2"/>
    <n v="1"/>
    <n v="1542.71"/>
    <n v="308.54000000000002"/>
    <m/>
    <n v="2797.86"/>
    <n v="4032.03"/>
    <m/>
    <n v="30.85"/>
    <m/>
    <m/>
    <m/>
    <m/>
    <m/>
    <m/>
    <n v="15.43"/>
    <m/>
    <m/>
    <m/>
    <m/>
    <m/>
    <m/>
    <n v="30.85"/>
    <m/>
    <m/>
    <m/>
    <m/>
    <m/>
    <m/>
    <m/>
    <n v="15.43"/>
    <m/>
    <n v="92.56"/>
  </r>
  <r>
    <n v="3"/>
    <x v="3"/>
    <x v="0"/>
    <n v="171020"/>
    <s v="VIEITES MAYRA ISIS"/>
    <s v="27-26427471-6"/>
    <d v="2016-04-06T00:00:00"/>
    <n v="26427471"/>
    <s v="VIEITES"/>
    <s v="MAYRA ISIS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N IRINEO"/>
    <n v="1005"/>
    <n v="5"/>
    <n v="16"/>
    <s v="CAPITAL FEDERAL"/>
    <s v="Capital Federal"/>
    <m/>
    <s v="U.O.Centro"/>
    <m/>
    <n v="1"/>
    <n v="1"/>
    <n v="637.41999999999996"/>
    <n v="127.48"/>
    <m/>
    <m/>
    <n v="509.94"/>
    <m/>
    <n v="12.75"/>
    <m/>
    <m/>
    <m/>
    <m/>
    <m/>
    <m/>
    <n v="6.37"/>
    <m/>
    <m/>
    <m/>
    <m/>
    <m/>
    <m/>
    <n v="12.75"/>
    <m/>
    <m/>
    <m/>
    <m/>
    <m/>
    <m/>
    <m/>
    <n v="6.37"/>
    <m/>
    <n v="38.24"/>
  </r>
  <r>
    <n v="3"/>
    <x v="3"/>
    <x v="0"/>
    <n v="169873"/>
    <s v="VIELMA CABERA TORIBIA"/>
    <s v="27-19026261-3"/>
    <d v="2016-04-06T00:00:00"/>
    <n v="19026261"/>
    <s v="VIELMA CABERA"/>
    <s v="TORIBIA"/>
    <s v="F"/>
    <m/>
    <d v="2016-03-07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ITALIA"/>
    <n v="181"/>
    <m/>
    <m/>
    <s v="CAPITAL FEDERAL"/>
    <s v="Capital Federal"/>
    <m/>
    <s v="U.O.Centro"/>
    <m/>
    <n v="1"/>
    <n v="1"/>
    <n v="10167.75"/>
    <n v="2033.55"/>
    <m/>
    <m/>
    <n v="8134.2"/>
    <m/>
    <n v="203.36"/>
    <m/>
    <m/>
    <m/>
    <m/>
    <m/>
    <m/>
    <n v="101.68"/>
    <m/>
    <m/>
    <m/>
    <m/>
    <m/>
    <m/>
    <n v="203.36"/>
    <m/>
    <m/>
    <m/>
    <m/>
    <m/>
    <m/>
    <m/>
    <n v="101.68"/>
    <m/>
    <n v="610.08000000000004"/>
  </r>
  <r>
    <n v="3"/>
    <x v="3"/>
    <x v="1"/>
    <n v="169973"/>
    <s v="VILA LUIS EZEQUIEL"/>
    <s v="24-38990492-5"/>
    <d v="2016-03-31T00:00:00"/>
    <n v="38990492"/>
    <s v="VILA"/>
    <s v="LUIS EZEQUIEL"/>
    <s v="M"/>
    <m/>
    <d v="2016-03-1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LFREDO R BUFANO"/>
    <n v="764"/>
    <m/>
    <m/>
    <s v="CAPITAL FEDERAL"/>
    <s v="Capital Federal"/>
    <m/>
    <s v="U.O.Centro Paga Inplant"/>
    <m/>
    <n v="1"/>
    <n v="1"/>
    <n v="569.66"/>
    <n v="113.93"/>
    <m/>
    <m/>
    <n v="455.73"/>
    <m/>
    <n v="11.39"/>
    <m/>
    <m/>
    <m/>
    <m/>
    <m/>
    <m/>
    <n v="5.7"/>
    <m/>
    <m/>
    <m/>
    <m/>
    <m/>
    <m/>
    <n v="11.39"/>
    <m/>
    <m/>
    <m/>
    <m/>
    <m/>
    <m/>
    <m/>
    <n v="5.7"/>
    <m/>
    <n v="34.18"/>
  </r>
  <r>
    <n v="3"/>
    <x v="3"/>
    <x v="1"/>
    <n v="170044"/>
    <s v="VILLANUEVA STELLA MARIS"/>
    <s v="27-24358222-4"/>
    <d v="2016-04-06T00:00:00"/>
    <n v="24358222"/>
    <s v="VILLANUEVA"/>
    <s v="STELLA MARIS"/>
    <s v="F"/>
    <m/>
    <d v="2016-03-19T00:00:00"/>
    <m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n v="1129"/>
    <s v="BOLIVAR"/>
    <n v="1891"/>
    <m/>
    <m/>
    <s v="CAPITAL FEDERAL"/>
    <s v="Capital Federal"/>
    <m/>
    <s v="U.O.Centro"/>
    <s v="Alvear Palace"/>
    <n v="2"/>
    <n v="1"/>
    <n v="8552.2999999999993"/>
    <n v="1710.46"/>
    <m/>
    <m/>
    <n v="6841.84"/>
    <m/>
    <n v="171.05"/>
    <m/>
    <m/>
    <m/>
    <m/>
    <m/>
    <m/>
    <n v="85.52"/>
    <m/>
    <m/>
    <m/>
    <m/>
    <m/>
    <m/>
    <n v="171.05"/>
    <m/>
    <m/>
    <m/>
    <m/>
    <m/>
    <m/>
    <m/>
    <n v="85.52"/>
    <m/>
    <n v="513.14"/>
  </r>
  <r>
    <n v="3"/>
    <x v="3"/>
    <x v="0"/>
    <n v="157641"/>
    <s v="VILLAR CRISTIAN LEANDRO"/>
    <s v="20-32891701-8"/>
    <d v="2016-04-06T00:00:00"/>
    <n v="32891701"/>
    <s v="VILLAR"/>
    <s v="CRISTIAN LEANDRO"/>
    <s v="F"/>
    <m/>
    <d v="2015-11-20T00:00:00"/>
    <m/>
    <m/>
    <s v="GASTRONOMICOS-Hoteles 4 y 5 Estrellas - 362/2003"/>
    <s v="Categoria 6"/>
    <x v="1"/>
    <s v="BANQUETES"/>
    <s v="Centro"/>
    <s v="Tareas Generales"/>
    <n v="106609"/>
    <s v="OS  ELECTRICISTAS NAVALES"/>
    <s v="Capital Federal"/>
    <m/>
    <n v="1005"/>
    <s v="PELAGIO LUNA"/>
    <n v="1005"/>
    <m/>
    <s v="A"/>
    <s v="CAPITAL FEDERAL"/>
    <s v="Capital Federal"/>
    <m/>
    <s v="U.O.Centro"/>
    <m/>
    <n v="2"/>
    <n v="1"/>
    <n v="1286.1400000000001"/>
    <n v="257.22000000000003"/>
    <m/>
    <m/>
    <n v="1028.92"/>
    <m/>
    <n v="25.72"/>
    <m/>
    <m/>
    <m/>
    <m/>
    <m/>
    <m/>
    <n v="12.86"/>
    <m/>
    <m/>
    <m/>
    <m/>
    <m/>
    <m/>
    <n v="25.72"/>
    <m/>
    <m/>
    <m/>
    <m/>
    <m/>
    <m/>
    <m/>
    <n v="12.86"/>
    <m/>
    <n v="77.16"/>
  </r>
  <r>
    <n v="3"/>
    <x v="3"/>
    <x v="1"/>
    <n v="165035"/>
    <s v="VILLAROEL BARRIOS WILMER OLIVER"/>
    <s v="20-95503977-8"/>
    <d v="2016-03-31T00:00:00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OMBATE DE LOS POZOS"/>
    <n v="764"/>
    <m/>
    <m/>
    <s v="CAPITAL FEDERAL"/>
    <s v="Capital Federal"/>
    <m/>
    <s v="U.O.Centro Paga Inplant"/>
    <m/>
    <n v="2"/>
    <n v="1"/>
    <n v="4694.29"/>
    <n v="962.33"/>
    <m/>
    <m/>
    <n v="3731.96"/>
    <n v="117.36"/>
    <m/>
    <m/>
    <m/>
    <m/>
    <m/>
    <m/>
    <m/>
    <n v="46.94"/>
    <m/>
    <m/>
    <m/>
    <m/>
    <m/>
    <m/>
    <n v="93.89"/>
    <m/>
    <m/>
    <m/>
    <m/>
    <m/>
    <m/>
    <m/>
    <n v="46.94"/>
    <m/>
    <n v="305.13"/>
  </r>
  <r>
    <n v="3"/>
    <x v="3"/>
    <x v="1"/>
    <n v="130773"/>
    <s v="WTOREK WALTER EZEQUIEL"/>
    <s v="20-30454246-3"/>
    <d v="2016-04-06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6851.28"/>
    <n v="3454.51"/>
    <m/>
    <m/>
    <n v="13396.77"/>
    <n v="421.28"/>
    <m/>
    <m/>
    <m/>
    <m/>
    <m/>
    <m/>
    <m/>
    <n v="168.51"/>
    <m/>
    <m/>
    <m/>
    <m/>
    <m/>
    <m/>
    <n v="337.03"/>
    <m/>
    <m/>
    <m/>
    <m/>
    <m/>
    <m/>
    <m/>
    <n v="168.51"/>
    <m/>
    <n v="1095.33"/>
  </r>
  <r>
    <n v="3"/>
    <x v="3"/>
    <x v="1"/>
    <n v="130538"/>
    <s v="ZAMORA MAXIMILIANO DAVID"/>
    <s v="20-33687121-3"/>
    <d v="2016-04-06T00:00:00"/>
    <n v="33687121"/>
    <s v="ZAMORA"/>
    <s v="MAXIMILIANO DAVID"/>
    <s v="M"/>
    <m/>
    <d v="2014-07-0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ECHAGUE"/>
    <n v="1584"/>
    <m/>
    <m/>
    <s v="CAPITAL FEDERAL"/>
    <s v="Capital Federal"/>
    <m/>
    <s v="U.O.Centro"/>
    <s v="Alvear Palace Art"/>
    <n v="1"/>
    <n v="1"/>
    <n v="1582.47"/>
    <n v="316.48"/>
    <m/>
    <m/>
    <n v="1265.99"/>
    <m/>
    <n v="31.65"/>
    <m/>
    <m/>
    <m/>
    <m/>
    <m/>
    <m/>
    <n v="15.82"/>
    <m/>
    <m/>
    <m/>
    <m/>
    <m/>
    <m/>
    <n v="31.65"/>
    <m/>
    <m/>
    <m/>
    <m/>
    <m/>
    <m/>
    <m/>
    <n v="15.82"/>
    <m/>
    <n v="94.94"/>
  </r>
  <r>
    <n v="3"/>
    <x v="3"/>
    <x v="0"/>
    <n v="169892"/>
    <s v="ZARATE MAXIMILIANO AARON BERNABE"/>
    <s v="20-35346973-9"/>
    <d v="2016-04-06T00:00:00"/>
    <n v="35346973"/>
    <s v="ZARATE"/>
    <s v="MAXIMILIANO AARON BERNABE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armenia"/>
    <n v="1225"/>
    <n v="2"/>
    <n v="11"/>
    <s v="CAPITAL FEDERAL"/>
    <s v="Buenos Aires"/>
    <m/>
    <s v="U.O.Centro"/>
    <m/>
    <n v="1"/>
    <n v="1"/>
    <n v="2462.92"/>
    <n v="492.59"/>
    <m/>
    <m/>
    <n v="1970.33"/>
    <m/>
    <n v="49.26"/>
    <m/>
    <m/>
    <m/>
    <m/>
    <m/>
    <m/>
    <n v="24.63"/>
    <m/>
    <m/>
    <m/>
    <m/>
    <m/>
    <m/>
    <n v="49.26"/>
    <m/>
    <m/>
    <m/>
    <m/>
    <m/>
    <m/>
    <m/>
    <n v="24.63"/>
    <m/>
    <n v="147.78"/>
  </r>
  <r>
    <n v="3"/>
    <x v="3"/>
    <x v="0"/>
    <n v="156235"/>
    <s v="ZENTENO CRISTIAN OSCAR"/>
    <s v="20-37675043-5"/>
    <d v="2016-04-06T00:00:00"/>
    <n v="37675043"/>
    <s v="ZENTENO"/>
    <s v="CRISTIAN OSCAR"/>
    <s v="M"/>
    <m/>
    <d v="2015-08-20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CAMPICHUELO"/>
    <n v="1005"/>
    <m/>
    <m/>
    <s v="CAPITAL FEDERAL"/>
    <s v="Capital Federal"/>
    <m/>
    <s v="U.O.Centro"/>
    <m/>
    <n v="3"/>
    <n v="1"/>
    <n v="13236.61"/>
    <n v="2647.33"/>
    <m/>
    <m/>
    <n v="10589.28"/>
    <m/>
    <n v="264.72000000000003"/>
    <m/>
    <m/>
    <m/>
    <m/>
    <m/>
    <m/>
    <n v="132.37"/>
    <m/>
    <m/>
    <m/>
    <m/>
    <m/>
    <m/>
    <n v="264.72000000000003"/>
    <m/>
    <m/>
    <m/>
    <m/>
    <m/>
    <m/>
    <m/>
    <n v="132.37"/>
    <m/>
    <n v="794.18"/>
  </r>
  <r>
    <n v="3"/>
    <x v="3"/>
    <x v="0"/>
    <n v="164888"/>
    <s v="ZURCO IRINA BELEN"/>
    <s v="27-35930307-1"/>
    <d v="2016-04-06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2"/>
    <n v="1"/>
    <n v="5455.07"/>
    <n v="1091.03"/>
    <m/>
    <m/>
    <n v="4364.04"/>
    <m/>
    <n v="109.1"/>
    <m/>
    <m/>
    <m/>
    <m/>
    <m/>
    <m/>
    <n v="54.55"/>
    <m/>
    <m/>
    <m/>
    <m/>
    <m/>
    <m/>
    <n v="109.1"/>
    <m/>
    <m/>
    <m/>
    <m/>
    <m/>
    <m/>
    <m/>
    <n v="54.55"/>
    <m/>
    <n v="327.3"/>
  </r>
  <r>
    <n v="4"/>
    <x v="4"/>
    <x v="1"/>
    <n v="170882"/>
    <s v="ACOSTA ADRIAN JOSE"/>
    <s v="23-30887276-9"/>
    <d v="2016-05-09T00:00:00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GRAL MOLINA"/>
    <n v="764"/>
    <m/>
    <m/>
    <s v="CAPITAL FEDERAL"/>
    <s v="Capital Federal"/>
    <m/>
    <s v="U.O.Centro Paga Inplant"/>
    <m/>
    <n v="1"/>
    <n v="1"/>
    <n v="12909.96"/>
    <n v="2582"/>
    <m/>
    <m/>
    <n v="10327.959999999999"/>
    <m/>
    <n v="258.2"/>
    <m/>
    <m/>
    <m/>
    <m/>
    <m/>
    <m/>
    <n v="129.1"/>
    <m/>
    <m/>
    <m/>
    <m/>
    <m/>
    <m/>
    <n v="258.2"/>
    <m/>
    <m/>
    <m/>
    <m/>
    <m/>
    <m/>
    <m/>
    <n v="129.1"/>
    <m/>
    <n v="774.6"/>
  </r>
  <r>
    <n v="4"/>
    <x v="4"/>
    <x v="0"/>
    <n v="118846"/>
    <s v="ACOSTA SUSANA BEATRIZ"/>
    <s v="27-32902543-3"/>
    <d v="2016-05-09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1"/>
    <n v="1"/>
    <n v="6215.19"/>
    <n v="1243.04"/>
    <m/>
    <m/>
    <n v="4972.1499999999996"/>
    <m/>
    <n v="124.3"/>
    <m/>
    <m/>
    <m/>
    <m/>
    <m/>
    <m/>
    <n v="62.15"/>
    <m/>
    <m/>
    <m/>
    <m/>
    <m/>
    <m/>
    <n v="124.3"/>
    <m/>
    <m/>
    <m/>
    <m/>
    <m/>
    <m/>
    <m/>
    <n v="62.15"/>
    <m/>
    <n v="372.9"/>
  </r>
  <r>
    <n v="4"/>
    <x v="4"/>
    <x v="1"/>
    <n v="168830"/>
    <s v="AGUILERA GONZALEZ JORGE LUIS"/>
    <s v="20-35068007-2"/>
    <d v="2016-05-09T00:00:00"/>
    <n v="35068007"/>
    <s v="AGUILERA GONZALEZ"/>
    <s v="JORGE LUIS"/>
    <s v="M"/>
    <m/>
    <d v="2016-02-22T00:00:00"/>
    <d v="2016-04-15T00:00:00"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440"/>
    <s v="avenida Caseros"/>
    <n v="1584"/>
    <s v="No"/>
    <s v="No"/>
    <s v="CAPITAL FEDERAL"/>
    <s v="Capital Federal"/>
    <m/>
    <s v="U.O.Centro"/>
    <s v="Alvear Palace"/>
    <n v="1"/>
    <n v="1"/>
    <n v="5737.74"/>
    <n v="1147.54"/>
    <m/>
    <m/>
    <n v="4590.2"/>
    <m/>
    <n v="114.75"/>
    <m/>
    <m/>
    <m/>
    <m/>
    <m/>
    <m/>
    <n v="57.38"/>
    <m/>
    <m/>
    <m/>
    <m/>
    <m/>
    <m/>
    <n v="114.75"/>
    <m/>
    <m/>
    <m/>
    <m/>
    <m/>
    <m/>
    <m/>
    <n v="57.38"/>
    <m/>
    <n v="344.26"/>
  </r>
  <r>
    <n v="4"/>
    <x v="4"/>
    <x v="0"/>
    <n v="162860"/>
    <s v="AGUIRRE EMMNUEL JORGE"/>
    <s v="23-29929118-9"/>
    <d v="2016-05-02T00:00:00"/>
    <n v="29929118"/>
    <s v="AGUIRRE"/>
    <s v="EMMNUEL JORGE"/>
    <s v="M"/>
    <m/>
    <d v="2015-12-03T00:00:00"/>
    <d v="2016-02-06T00:00:00"/>
    <m/>
    <s v="GASTRONOMICOS-Hoteles 4 y 5 Estrellas - 362/2003"/>
    <s v="Categoria 1"/>
    <x v="4"/>
    <s v="Unidad Base-GL"/>
    <s v="Centro"/>
    <s v="Tareas Generales"/>
    <n v="111704"/>
    <s v="OS  DE ENCARGADOS APUNTADORES MARITIMOS"/>
    <s v="Capital Federal"/>
    <m/>
    <n v="1004"/>
    <s v="MELGAR"/>
    <n v="474"/>
    <m/>
    <n v="1437"/>
    <s v="CAPITAL FEDERAL"/>
    <s v="Buenos Aires"/>
    <m/>
    <s v="U.O.Casa Central"/>
    <m/>
    <n v="1"/>
    <n v="1"/>
    <n v="306.02999999999997"/>
    <n v="61.2"/>
    <m/>
    <m/>
    <n v="244.83"/>
    <m/>
    <n v="6.12"/>
    <m/>
    <m/>
    <m/>
    <m/>
    <m/>
    <m/>
    <n v="3.06"/>
    <m/>
    <m/>
    <m/>
    <m/>
    <m/>
    <m/>
    <n v="6.12"/>
    <m/>
    <m/>
    <m/>
    <m/>
    <m/>
    <m/>
    <m/>
    <n v="3.06"/>
    <m/>
    <n v="18.36"/>
  </r>
  <r>
    <n v="4"/>
    <x v="4"/>
    <x v="0"/>
    <n v="170315"/>
    <s v="ALFARO XIOMARA"/>
    <s v="27-38154917-3"/>
    <d v="2016-05-09T00:00:00"/>
    <n v="38154917"/>
    <s v="ALFARO"/>
    <s v="XIOMAR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Tres Sargento"/>
    <n v="1225"/>
    <m/>
    <m/>
    <s v="CAPITAL FEDERAL"/>
    <s v="Buenos Aires"/>
    <m/>
    <s v="U.O.Centro"/>
    <m/>
    <n v="1"/>
    <n v="1"/>
    <n v="2727.53"/>
    <n v="545.52"/>
    <m/>
    <m/>
    <n v="2182.0100000000002"/>
    <m/>
    <n v="54.55"/>
    <m/>
    <m/>
    <m/>
    <m/>
    <m/>
    <m/>
    <n v="27.28"/>
    <m/>
    <m/>
    <m/>
    <m/>
    <m/>
    <m/>
    <n v="54.55"/>
    <m/>
    <m/>
    <m/>
    <m/>
    <m/>
    <m/>
    <m/>
    <n v="27.28"/>
    <m/>
    <n v="163.66"/>
  </r>
  <r>
    <n v="4"/>
    <x v="4"/>
    <x v="0"/>
    <n v="168236"/>
    <s v="ALFONZO SEBASTIAN ALEJANDRO"/>
    <s v="20-34553164-6"/>
    <d v="2016-05-09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2"/>
    <n v="1"/>
    <n v="8070.08"/>
    <n v="1614"/>
    <m/>
    <m/>
    <n v="6456.08"/>
    <m/>
    <n v="161.4"/>
    <m/>
    <m/>
    <m/>
    <m/>
    <m/>
    <m/>
    <n v="80.7"/>
    <m/>
    <m/>
    <m/>
    <m/>
    <m/>
    <m/>
    <n v="161.4"/>
    <m/>
    <m/>
    <m/>
    <m/>
    <m/>
    <m/>
    <m/>
    <n v="80.7"/>
    <m/>
    <n v="484.2"/>
  </r>
  <r>
    <n v="4"/>
    <x v="4"/>
    <x v="0"/>
    <n v="171273"/>
    <s v="ALONSO LUCIANO ANDRES"/>
    <s v="20-37206267-4"/>
    <d v="2016-05-09T00:00:00"/>
    <n v="37206267"/>
    <s v="ALONSO"/>
    <s v="LUCIANO ANDRES"/>
    <s v="F"/>
    <m/>
    <d v="2016-04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RMIENTO"/>
    <n v="1225"/>
    <n v="11"/>
    <m/>
    <s v="CAPITAL FEDERAL"/>
    <s v="Buenos Aires"/>
    <m/>
    <s v="U.O.Centro"/>
    <m/>
    <n v="2"/>
    <n v="1"/>
    <n v="4675.78"/>
    <n v="935.15"/>
    <m/>
    <m/>
    <n v="3740.63"/>
    <m/>
    <n v="93.52"/>
    <m/>
    <m/>
    <m/>
    <m/>
    <m/>
    <m/>
    <n v="46.76"/>
    <m/>
    <m/>
    <m/>
    <m/>
    <m/>
    <m/>
    <n v="93.52"/>
    <m/>
    <m/>
    <m/>
    <m/>
    <m/>
    <m/>
    <m/>
    <n v="46.76"/>
    <m/>
    <n v="280.56"/>
  </r>
  <r>
    <n v="4"/>
    <x v="4"/>
    <x v="0"/>
    <n v="163395"/>
    <s v="ALTAMIRANO EUGENIA DELIA"/>
    <s v="27-33347518-4"/>
    <d v="2016-05-09T00:00:00"/>
    <n v="33347518"/>
    <s v="ALTAMIRANO"/>
    <s v="EUGENIA DELI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GUDO"/>
    <n v="1225"/>
    <m/>
    <m/>
    <s v="CAPITAL FEDERAL"/>
    <s v="Buenos Aires"/>
    <m/>
    <s v="U.O.Pacheco"/>
    <m/>
    <n v="2"/>
    <n v="1"/>
    <n v="8572.24"/>
    <n v="1714.46"/>
    <m/>
    <m/>
    <n v="6857.78"/>
    <m/>
    <n v="171.44"/>
    <m/>
    <m/>
    <m/>
    <m/>
    <m/>
    <m/>
    <n v="85.73"/>
    <m/>
    <m/>
    <m/>
    <m/>
    <m/>
    <m/>
    <n v="171.44"/>
    <m/>
    <m/>
    <m/>
    <m/>
    <m/>
    <m/>
    <m/>
    <n v="85.73"/>
    <m/>
    <n v="514.34"/>
  </r>
  <r>
    <n v="4"/>
    <x v="4"/>
    <x v="0"/>
    <n v="171606"/>
    <s v="ALVARADO BOLIVAR VANESA ISABEL"/>
    <s v="27-28226542-2"/>
    <d v="2016-05-09T00:00:00"/>
    <n v="28226542"/>
    <s v="ALVARADO BOLIVAR"/>
    <s v="VANESA ISABEL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n v="114"/>
    <n v="1232"/>
    <m/>
    <m/>
    <s v="CAPITAL FEDERAL"/>
    <s v="Buenos Aires"/>
    <m/>
    <s v="U.O.Centro"/>
    <s v="Banquetes"/>
    <n v="2"/>
    <n v="1"/>
    <n v="2705.21"/>
    <n v="541.05999999999995"/>
    <m/>
    <m/>
    <n v="2164.15"/>
    <m/>
    <n v="54.1"/>
    <m/>
    <m/>
    <m/>
    <m/>
    <m/>
    <m/>
    <n v="27.06"/>
    <m/>
    <m/>
    <m/>
    <m/>
    <m/>
    <m/>
    <n v="54.1"/>
    <m/>
    <m/>
    <m/>
    <m/>
    <m/>
    <m/>
    <m/>
    <n v="27.06"/>
    <m/>
    <n v="162.32"/>
  </r>
  <r>
    <n v="4"/>
    <x v="4"/>
    <x v="0"/>
    <n v="172088"/>
    <s v="ALVEZ ANTONELLA"/>
    <s v="23-40890504-4"/>
    <d v="2016-05-09T00:00:00"/>
    <n v="40890504"/>
    <s v="ALVEZ"/>
    <s v="ANTONELL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CONQUISTA"/>
    <n v="1225"/>
    <n v="2"/>
    <s v="A"/>
    <s v="CAPITAL FEDERAL"/>
    <s v="Buenos Aires"/>
    <m/>
    <s v="U.O.Centro"/>
    <m/>
    <n v="1"/>
    <n v="1"/>
    <n v="3896.48"/>
    <n v="779.28"/>
    <m/>
    <m/>
    <n v="3117.2"/>
    <m/>
    <n v="77.930000000000007"/>
    <m/>
    <m/>
    <m/>
    <m/>
    <m/>
    <m/>
    <n v="38.96"/>
    <m/>
    <m/>
    <m/>
    <m/>
    <m/>
    <m/>
    <n v="77.930000000000007"/>
    <m/>
    <m/>
    <m/>
    <m/>
    <m/>
    <m/>
    <m/>
    <n v="38.96"/>
    <m/>
    <n v="233.78"/>
  </r>
  <r>
    <n v="4"/>
    <x v="4"/>
    <x v="0"/>
    <n v="156038"/>
    <s v="AMARILLA GLADIS NORMA"/>
    <s v="27-31471414-3"/>
    <d v="2016-05-09T00:00:00"/>
    <n v="31471414"/>
    <s v="AMARILLA"/>
    <s v="GLADIS NORMA"/>
    <s v="F"/>
    <m/>
    <d v="2015-12-03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N JAVIER"/>
    <n v="1005"/>
    <m/>
    <m/>
    <s v="CAPITAL FEDERAL"/>
    <s v="Capital Federal"/>
    <m/>
    <s v="U.O.Centro"/>
    <m/>
    <n v="3"/>
    <n v="1"/>
    <n v="6278.74"/>
    <n v="1255.73"/>
    <m/>
    <m/>
    <n v="5023.01"/>
    <m/>
    <n v="125.57"/>
    <m/>
    <m/>
    <m/>
    <m/>
    <m/>
    <m/>
    <n v="62.78"/>
    <m/>
    <m/>
    <m/>
    <m/>
    <m/>
    <m/>
    <n v="125.57"/>
    <m/>
    <m/>
    <m/>
    <m/>
    <m/>
    <m/>
    <m/>
    <n v="62.78"/>
    <m/>
    <n v="376.7"/>
  </r>
  <r>
    <n v="4"/>
    <x v="4"/>
    <x v="0"/>
    <n v="170256"/>
    <s v="AMARILLA JACQUELINE DENISE"/>
    <s v="27-29153317-0"/>
    <d v="2016-05-09T00:00:00"/>
    <n v="29153317"/>
    <s v="AMARILLA"/>
    <s v="JACQUELINE DENISE"/>
    <s v="F"/>
    <m/>
    <d v="2016-04-19T00:00:00"/>
    <m/>
    <m/>
    <s v="GASTRONOMICOS-Hoteles 4 y 5 Estrellas - 362/2003"/>
    <s v="Categoria 6"/>
    <x v="7"/>
    <s v="Unidad Base-GL"/>
    <s v="Centro"/>
    <s v="Tareas Generales"/>
    <n v="101604"/>
    <s v="O.S.P.Automovil Club Argentino*"/>
    <s v="Capital Federal"/>
    <m/>
    <n v="1022"/>
    <s v="JENNER"/>
    <n v="181"/>
    <m/>
    <m/>
    <s v="CAPITAL FEDERAL"/>
    <s v="Capital Federal"/>
    <m/>
    <s v="U.O.Centro"/>
    <m/>
    <n v="2"/>
    <n v="1"/>
    <n v="3208.24"/>
    <n v="641.66"/>
    <m/>
    <m/>
    <n v="2566.58"/>
    <m/>
    <n v="64.16"/>
    <m/>
    <m/>
    <m/>
    <m/>
    <m/>
    <m/>
    <n v="32.090000000000003"/>
    <m/>
    <m/>
    <m/>
    <m/>
    <m/>
    <m/>
    <n v="64.16"/>
    <m/>
    <m/>
    <m/>
    <m/>
    <m/>
    <m/>
    <m/>
    <n v="32.090000000000003"/>
    <m/>
    <n v="192.5"/>
  </r>
  <r>
    <n v="4"/>
    <x v="4"/>
    <x v="0"/>
    <n v="137716"/>
    <s v="AMARILLA MARIANELA SOLEDAD"/>
    <s v="23-35068319-4"/>
    <d v="2016-05-09T00:00:00"/>
    <n v="35068319"/>
    <s v="AMARILLA"/>
    <s v="MARIANELA SOLEDAD"/>
    <s v="F"/>
    <m/>
    <d v="2014-11-15T00:00:00"/>
    <d v="2016-04-13T00:00:00"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LACARRA"/>
    <n v="1232"/>
    <m/>
    <m/>
    <s v="CAPITAL FEDERAL"/>
    <s v="Buenos Aires"/>
    <m/>
    <s v="U.O.Centro"/>
    <s v="Mucama por Jornada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4"/>
    <x v="0"/>
    <n v="172090"/>
    <s v="ANGULO QUINTERO JUAN FRANCISCO"/>
    <s v="20-62759178-1"/>
    <d v="2016-05-09T00:00:00"/>
    <n v="62759178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LTA"/>
    <n v="1225"/>
    <m/>
    <m/>
    <s v="CAPITAL FEDERAL"/>
    <s v="Buenos Aires"/>
    <m/>
    <s v="U.O.Centro"/>
    <m/>
    <n v="1"/>
    <n v="1"/>
    <n v="5065.41"/>
    <n v="1013.08"/>
    <m/>
    <m/>
    <n v="4052.33"/>
    <m/>
    <n v="101.31"/>
    <m/>
    <m/>
    <m/>
    <m/>
    <m/>
    <m/>
    <n v="50.65"/>
    <m/>
    <m/>
    <m/>
    <m/>
    <m/>
    <m/>
    <n v="101.31"/>
    <m/>
    <m/>
    <m/>
    <m/>
    <m/>
    <m/>
    <m/>
    <n v="50.65"/>
    <m/>
    <n v="303.92"/>
  </r>
  <r>
    <n v="4"/>
    <x v="4"/>
    <x v="0"/>
    <n v="169461"/>
    <s v="AREGUATI MARIA LUZ"/>
    <s v="27-35880306-2"/>
    <d v="2016-05-09T00:00:00"/>
    <n v="35880306"/>
    <s v="AREGUATI"/>
    <s v="MARIA LUZ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DARCO"/>
    <n v="1225"/>
    <m/>
    <m/>
    <s v="CAPITAL FEDERAL"/>
    <s v="Buenos Aires"/>
    <m/>
    <s v="U.O.San Justo"/>
    <m/>
    <n v="2"/>
    <n v="1"/>
    <n v="8544.2199999999993"/>
    <n v="1708.82"/>
    <m/>
    <m/>
    <n v="6835.4"/>
    <m/>
    <n v="170.88"/>
    <m/>
    <m/>
    <m/>
    <m/>
    <m/>
    <m/>
    <n v="85.44"/>
    <m/>
    <m/>
    <m/>
    <m/>
    <m/>
    <m/>
    <n v="170.88"/>
    <m/>
    <m/>
    <m/>
    <m/>
    <m/>
    <m/>
    <m/>
    <n v="85.44"/>
    <m/>
    <n v="512.64"/>
  </r>
  <r>
    <n v="4"/>
    <x v="4"/>
    <x v="0"/>
    <n v="139740"/>
    <s v="AREVALO PABLO DAVID"/>
    <s v="20-37897359-8"/>
    <d v="2016-05-09T00:00:00"/>
    <n v="37897359"/>
    <s v="AREVALO"/>
    <s v="PABLO DAVID"/>
    <s v="M"/>
    <m/>
    <d v="2015-08-1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UJAN"/>
    <n v="1005"/>
    <m/>
    <m/>
    <s v="CAPITAL FEDERAL"/>
    <s v="Capital Federal"/>
    <m/>
    <s v="U.O.Centro"/>
    <m/>
    <n v="2"/>
    <n v="1"/>
    <n v="13086.67"/>
    <n v="2617.35"/>
    <m/>
    <m/>
    <n v="10469.32"/>
    <m/>
    <n v="261.74"/>
    <m/>
    <m/>
    <m/>
    <m/>
    <m/>
    <m/>
    <n v="130.87"/>
    <m/>
    <m/>
    <m/>
    <m/>
    <m/>
    <m/>
    <n v="261.74"/>
    <m/>
    <m/>
    <m/>
    <m/>
    <m/>
    <m/>
    <m/>
    <n v="130.87"/>
    <m/>
    <n v="785.22"/>
  </r>
  <r>
    <n v="4"/>
    <x v="4"/>
    <x v="0"/>
    <n v="166810"/>
    <s v="ARRIETA CLAUDIA ALEJANDRA"/>
    <s v="27-20538808-2"/>
    <d v="2016-05-09T00:00:00"/>
    <n v="20538808"/>
    <s v="ARRIETA"/>
    <s v="CLAUDIA ALEJANDRA"/>
    <s v="F"/>
    <m/>
    <d v="2016-01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RACAS"/>
    <n v="474"/>
    <m/>
    <m/>
    <s v="CAPITAL FEDERAL"/>
    <s v="Buenos Aires"/>
    <m/>
    <s v="U.O.Centro"/>
    <m/>
    <n v="1"/>
    <n v="1"/>
    <n v="5991.82"/>
    <n v="1198.3599999999999"/>
    <m/>
    <m/>
    <n v="4793.46"/>
    <m/>
    <n v="119.84"/>
    <m/>
    <m/>
    <m/>
    <m/>
    <m/>
    <m/>
    <n v="59.92"/>
    <m/>
    <m/>
    <m/>
    <m/>
    <m/>
    <m/>
    <n v="119.84"/>
    <m/>
    <m/>
    <m/>
    <m/>
    <m/>
    <m/>
    <m/>
    <n v="59.92"/>
    <m/>
    <n v="359.52"/>
  </r>
  <r>
    <n v="4"/>
    <x v="4"/>
    <x v="0"/>
    <n v="172053"/>
    <s v="ARZA BENITEZ ROSA"/>
    <s v="23-94805846-4"/>
    <d v="2016-05-09T00:00:00"/>
    <n v="94805846"/>
    <s v="ARZA BENITEZ"/>
    <s v="ROS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MBATE DE LOS POZOS"/>
    <n v="1225"/>
    <n v="5"/>
    <s v="D"/>
    <s v="CAPITAL FEDERAL"/>
    <s v="Buenos Aires"/>
    <m/>
    <s v="U.O.Centro"/>
    <s v="Catering Golf Pilar"/>
    <n v="2"/>
    <n v="1"/>
    <n v="4675.78"/>
    <n v="935.15"/>
    <m/>
    <m/>
    <n v="3740.63"/>
    <m/>
    <n v="93.52"/>
    <m/>
    <m/>
    <m/>
    <m/>
    <m/>
    <m/>
    <n v="46.76"/>
    <m/>
    <m/>
    <m/>
    <m/>
    <m/>
    <m/>
    <n v="93.52"/>
    <m/>
    <m/>
    <m/>
    <m/>
    <m/>
    <m/>
    <m/>
    <n v="46.76"/>
    <m/>
    <n v="280.56"/>
  </r>
  <r>
    <n v="4"/>
    <x v="4"/>
    <x v="1"/>
    <n v="169864"/>
    <s v="BANEGAS GUSTAVO ALFREDO"/>
    <s v="20-27072360-9"/>
    <d v="2016-05-09T00:00:00"/>
    <n v="27072360"/>
    <s v="BANEGAS"/>
    <s v="GUSTAVO ALFREDO"/>
    <s v="M"/>
    <m/>
    <d v="2016-03-1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ARRASCO"/>
    <n v="764"/>
    <m/>
    <m/>
    <s v="CAPITAL FEDERAL"/>
    <s v="Capital Federal"/>
    <m/>
    <s v="U.O.Centro Paga Inplant"/>
    <m/>
    <n v="1"/>
    <n v="1"/>
    <n v="6580.52"/>
    <n v="1316.12"/>
    <m/>
    <m/>
    <n v="5264.4"/>
    <m/>
    <n v="131.61000000000001"/>
    <m/>
    <m/>
    <m/>
    <m/>
    <m/>
    <m/>
    <n v="65.81"/>
    <m/>
    <m/>
    <m/>
    <m/>
    <m/>
    <m/>
    <n v="131.61000000000001"/>
    <m/>
    <m/>
    <m/>
    <m/>
    <m/>
    <m/>
    <m/>
    <n v="65.81"/>
    <m/>
    <n v="394.84"/>
  </r>
  <r>
    <n v="4"/>
    <x v="4"/>
    <x v="1"/>
    <n v="162574"/>
    <s v="BANEGAS PEREZ VICTOR GUSTAVO"/>
    <s v="20-47178337-5"/>
    <d v="2016-05-02T00:00:00"/>
    <n v="47178337"/>
    <s v="BANEGAS PEREZ"/>
    <s v="VICTOR GUSTAVO"/>
    <s v="M"/>
    <m/>
    <d v="2015-12-04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 RIVADAVIA"/>
    <n v="764"/>
    <n v="7"/>
    <s v="D"/>
    <s v="CAPITAL FEDERAL"/>
    <s v="Capital Federal"/>
    <m/>
    <s v="U.O.Centro Paga Inplant"/>
    <m/>
    <n v="1"/>
    <n v="1"/>
    <n v="2859.82"/>
    <n v="586.69000000000005"/>
    <m/>
    <n v="736.8"/>
    <n v="3009.93"/>
    <m/>
    <n v="71.930000000000007"/>
    <m/>
    <m/>
    <m/>
    <m/>
    <m/>
    <m/>
    <n v="28.6"/>
    <m/>
    <m/>
    <m/>
    <m/>
    <m/>
    <m/>
    <n v="71.930000000000007"/>
    <m/>
    <m/>
    <m/>
    <m/>
    <m/>
    <m/>
    <m/>
    <n v="28.6"/>
    <m/>
    <n v="201.06"/>
  </r>
  <r>
    <n v="4"/>
    <x v="4"/>
    <x v="0"/>
    <n v="150709"/>
    <s v="BARRIOS NAHUEL ALEJANDRO"/>
    <s v="20-39155005-1"/>
    <d v="2016-05-09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1"/>
    <n v="1"/>
    <n v="1985.15"/>
    <n v="397.02"/>
    <m/>
    <m/>
    <n v="1588.13"/>
    <m/>
    <n v="39.700000000000003"/>
    <m/>
    <m/>
    <m/>
    <m/>
    <m/>
    <m/>
    <n v="19.850000000000001"/>
    <m/>
    <m/>
    <m/>
    <m/>
    <m/>
    <m/>
    <n v="39.700000000000003"/>
    <m/>
    <m/>
    <m/>
    <m/>
    <m/>
    <m/>
    <m/>
    <n v="19.850000000000001"/>
    <m/>
    <n v="119.1"/>
  </r>
  <r>
    <n v="4"/>
    <x v="4"/>
    <x v="0"/>
    <n v="171010"/>
    <s v="BAYA ANDRES FERNANDO"/>
    <s v="20-32123994-4"/>
    <d v="2016-05-09T00:00:00"/>
    <n v="32123994"/>
    <s v="BAYA"/>
    <s v="ANDRES FERNAN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MARCELO T DE ALVEAR"/>
    <n v="1005"/>
    <m/>
    <m/>
    <s v="CAPITAL FEDERAL"/>
    <s v="Capital Federal"/>
    <m/>
    <s v="U.O.Centro"/>
    <m/>
    <n v="3"/>
    <n v="1"/>
    <n v="4262.6000000000004"/>
    <n v="852.52"/>
    <m/>
    <m/>
    <n v="3410.08"/>
    <m/>
    <n v="85.25"/>
    <m/>
    <m/>
    <m/>
    <m/>
    <m/>
    <m/>
    <n v="42.63"/>
    <m/>
    <m/>
    <m/>
    <m/>
    <m/>
    <m/>
    <n v="85.25"/>
    <m/>
    <m/>
    <m/>
    <m/>
    <m/>
    <m/>
    <m/>
    <n v="42.63"/>
    <m/>
    <n v="255.76"/>
  </r>
  <r>
    <n v="4"/>
    <x v="4"/>
    <x v="0"/>
    <n v="158285"/>
    <s v="BELTRAN CAROLINA VANESA"/>
    <s v="27-35803096-9"/>
    <d v="2016-05-09T00:00:00"/>
    <n v="35803096"/>
    <s v="BELTRAN"/>
    <s v="CAROLINA VANESA"/>
    <s v="F"/>
    <m/>
    <d v="2015-10-28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05"/>
    <s v="SANTIAGO DE LINIERS"/>
    <n v="1005"/>
    <m/>
    <m/>
    <s v="CAPITAL FEDERAL"/>
    <s v="Capital Federal"/>
    <m/>
    <s v="U.O.Centro"/>
    <s v="Banquetes"/>
    <n v="2"/>
    <n v="1"/>
    <n v="4031.59"/>
    <n v="806.32"/>
    <m/>
    <m/>
    <n v="3225.27"/>
    <m/>
    <n v="80.63"/>
    <m/>
    <m/>
    <m/>
    <m/>
    <m/>
    <m/>
    <n v="40.32"/>
    <m/>
    <m/>
    <m/>
    <m/>
    <m/>
    <m/>
    <n v="80.63"/>
    <m/>
    <m/>
    <m/>
    <m/>
    <m/>
    <m/>
    <m/>
    <n v="40.32"/>
    <m/>
    <n v="241.9"/>
  </r>
  <r>
    <n v="4"/>
    <x v="4"/>
    <x v="0"/>
    <n v="153657"/>
    <s v="BENITEZ LEONARDO RAMON"/>
    <s v="20-36457404-6"/>
    <d v="2016-05-09T00:00:00"/>
    <n v="36457404"/>
    <s v="BENITEZ"/>
    <s v="LEONARDO RAMON"/>
    <s v="M"/>
    <m/>
    <d v="2016-02-15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1"/>
    <n v="1"/>
    <n v="6602.6"/>
    <n v="1320.53"/>
    <m/>
    <m/>
    <n v="5282.07"/>
    <m/>
    <n v="132.05000000000001"/>
    <m/>
    <m/>
    <m/>
    <m/>
    <m/>
    <m/>
    <n v="66.03"/>
    <m/>
    <m/>
    <m/>
    <m/>
    <m/>
    <m/>
    <n v="132.05000000000001"/>
    <m/>
    <m/>
    <m/>
    <m/>
    <m/>
    <m/>
    <m/>
    <n v="66.03"/>
    <m/>
    <n v="396.16"/>
  </r>
  <r>
    <n v="4"/>
    <x v="4"/>
    <x v="0"/>
    <n v="169887"/>
    <s v="BOTICELLI LIDIA CAROLINA"/>
    <s v="27-25698889-0"/>
    <d v="2016-05-09T00:00:0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15822.8"/>
    <n v="3164.56"/>
    <m/>
    <m/>
    <n v="12658.24"/>
    <m/>
    <n v="316.45999999999998"/>
    <m/>
    <m/>
    <m/>
    <m/>
    <m/>
    <m/>
    <n v="158.22999999999999"/>
    <m/>
    <m/>
    <m/>
    <m/>
    <m/>
    <m/>
    <n v="316.45999999999998"/>
    <m/>
    <m/>
    <m/>
    <m/>
    <m/>
    <m/>
    <m/>
    <n v="158.22999999999999"/>
    <m/>
    <n v="949.38"/>
  </r>
  <r>
    <n v="4"/>
    <x v="4"/>
    <x v="0"/>
    <n v="156037"/>
    <s v="BRAGA ERIKA GRACIELA"/>
    <s v="27-38026883-9"/>
    <d v="2016-05-09T00:00:00"/>
    <n v="38026883"/>
    <s v="BRAGA"/>
    <s v="ERIKA GRACIELA"/>
    <s v="F"/>
    <m/>
    <d v="2015-09-29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RIVADAVIA"/>
    <n v="1232"/>
    <n v="7"/>
    <s v="D"/>
    <s v="CAPITAL FEDERAL"/>
    <s v="Buenos Aires"/>
    <m/>
    <s v="U.O.Centro"/>
    <s v="Banquetes"/>
    <n v="1"/>
    <n v="1"/>
    <n v="1342.1"/>
    <n v="268.41000000000003"/>
    <m/>
    <m/>
    <n v="1073.69"/>
    <m/>
    <n v="26.84"/>
    <m/>
    <m/>
    <m/>
    <m/>
    <m/>
    <m/>
    <n v="13.42"/>
    <m/>
    <m/>
    <m/>
    <m/>
    <m/>
    <m/>
    <n v="26.84"/>
    <m/>
    <m/>
    <m/>
    <m/>
    <m/>
    <m/>
    <m/>
    <n v="13.42"/>
    <m/>
    <n v="80.52"/>
  </r>
  <r>
    <n v="4"/>
    <x v="4"/>
    <x v="0"/>
    <n v="161236"/>
    <s v="BRIZUELA DUARTE ESTHER"/>
    <s v="27-94425030-7"/>
    <d v="2016-05-09T00:00:00"/>
    <n v="94425030"/>
    <s v="BRIZUELA DUARTE"/>
    <s v="ESTHER"/>
    <s v="F"/>
    <m/>
    <d v="2015-12-03T00:00:00"/>
    <d v="2016-04-20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VENIDA ESPAÑA"/>
    <n v="1225"/>
    <m/>
    <m/>
    <s v="CAPITAL FEDERAL"/>
    <s v="Buenos Aires"/>
    <m/>
    <s v="U.O.Centro"/>
    <m/>
    <n v="2"/>
    <n v="1"/>
    <n v="4272.1099999999997"/>
    <n v="854.41"/>
    <m/>
    <m/>
    <n v="3417.7"/>
    <m/>
    <n v="85.44"/>
    <m/>
    <m/>
    <m/>
    <m/>
    <m/>
    <m/>
    <n v="42.72"/>
    <m/>
    <m/>
    <m/>
    <m/>
    <m/>
    <m/>
    <n v="85.44"/>
    <m/>
    <m/>
    <m/>
    <m/>
    <m/>
    <m/>
    <m/>
    <n v="42.72"/>
    <m/>
    <n v="256.32"/>
  </r>
  <r>
    <n v="4"/>
    <x v="4"/>
    <x v="0"/>
    <n v="171289"/>
    <s v="BUNINE JULIO OSCAR"/>
    <s v="20-27678232-1"/>
    <d v="2016-05-09T00:00:00"/>
    <n v="27678232"/>
    <s v="BUNINE"/>
    <s v="JULIO OSCAR"/>
    <s v="M"/>
    <m/>
    <d v="2016-04-04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LAMADRID"/>
    <n v="181"/>
    <m/>
    <m/>
    <s v="CAPITAL FEDERAL"/>
    <s v="Capital Federal"/>
    <m/>
    <s v="U.O.Centro"/>
    <m/>
    <n v="2"/>
    <n v="1"/>
    <n v="3361.13"/>
    <n v="672.24"/>
    <m/>
    <m/>
    <n v="2688.89"/>
    <m/>
    <n v="67.22"/>
    <m/>
    <m/>
    <m/>
    <m/>
    <m/>
    <m/>
    <n v="33.619999999999997"/>
    <m/>
    <m/>
    <m/>
    <m/>
    <m/>
    <m/>
    <n v="67.22"/>
    <m/>
    <m/>
    <m/>
    <m/>
    <m/>
    <m/>
    <m/>
    <n v="33.619999999999997"/>
    <m/>
    <n v="201.68"/>
  </r>
  <r>
    <n v="4"/>
    <x v="4"/>
    <x v="0"/>
    <n v="171783"/>
    <s v="CACERES ANGEL ESTEBAN"/>
    <s v="20-38536806-3"/>
    <d v="2016-05-09T00:00:00"/>
    <n v="38536806"/>
    <s v="CACERES"/>
    <s v="ANGEL ESTEBAN"/>
    <s v="M"/>
    <m/>
    <d v="2016-04-14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2"/>
    <n v="1"/>
    <n v="8268.8799999999992"/>
    <n v="1653.76"/>
    <m/>
    <m/>
    <n v="6615.12"/>
    <m/>
    <n v="165.37"/>
    <m/>
    <m/>
    <m/>
    <m/>
    <m/>
    <m/>
    <n v="82.69"/>
    <m/>
    <m/>
    <m/>
    <m/>
    <m/>
    <m/>
    <n v="165.37"/>
    <m/>
    <m/>
    <m/>
    <m/>
    <m/>
    <m/>
    <m/>
    <n v="82.69"/>
    <m/>
    <n v="496.12"/>
  </r>
  <r>
    <n v="4"/>
    <x v="4"/>
    <x v="0"/>
    <n v="161580"/>
    <s v="CAEIRO MAURO ALBERTO"/>
    <s v="20-30431921-7"/>
    <d v="2016-05-09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s v="Catering Golf Pilar"/>
    <n v="3"/>
    <n v="1"/>
    <n v="15585.9"/>
    <n v="3117.18"/>
    <m/>
    <m/>
    <n v="12468.72"/>
    <m/>
    <n v="311.72000000000003"/>
    <m/>
    <m/>
    <m/>
    <m/>
    <m/>
    <m/>
    <n v="155.86000000000001"/>
    <m/>
    <m/>
    <m/>
    <m/>
    <m/>
    <m/>
    <n v="311.72000000000003"/>
    <m/>
    <m/>
    <m/>
    <m/>
    <m/>
    <m/>
    <m/>
    <n v="155.86000000000001"/>
    <m/>
    <n v="935.16"/>
  </r>
  <r>
    <n v="4"/>
    <x v="4"/>
    <x v="0"/>
    <n v="160997"/>
    <s v="CALLA ADRIANZEN EVELYN MELANIA"/>
    <s v="27-94555348-6"/>
    <d v="2016-05-09T00:00:00"/>
    <n v="94555348"/>
    <s v="CALLA ADRIANZEN"/>
    <s v="EVELYN MELANIA"/>
    <s v="F"/>
    <m/>
    <d v="2015-11-25T00:00:00"/>
    <m/>
    <m/>
    <s v="GASTRONOMICOS-Hoteles 4 y 5 Estrellas - 362/2003"/>
    <s v="Categoria 6"/>
    <x v="5"/>
    <s v="Mozos / camareros - GL"/>
    <s v="Centro"/>
    <s v="Camarero/a"/>
    <n v="115300"/>
    <s v="OS DE  PETROLEROS"/>
    <s v="Capital Federal"/>
    <m/>
    <n v="1104"/>
    <s v="HIDALGO"/>
    <n v="1225"/>
    <n v="3"/>
    <s v="B"/>
    <s v="CAPITAL FEDERAL"/>
    <s v="Buenos Aires"/>
    <m/>
    <s v="U.O.Centro"/>
    <m/>
    <n v="2"/>
    <n v="1"/>
    <n v="3506.82"/>
    <n v="701.38"/>
    <m/>
    <m/>
    <n v="2805.44"/>
    <m/>
    <n v="70.14"/>
    <m/>
    <m/>
    <m/>
    <m/>
    <m/>
    <m/>
    <n v="35.07"/>
    <m/>
    <m/>
    <m/>
    <m/>
    <m/>
    <m/>
    <n v="70.14"/>
    <m/>
    <m/>
    <m/>
    <m/>
    <m/>
    <m/>
    <m/>
    <n v="35.07"/>
    <m/>
    <n v="210.42"/>
  </r>
  <r>
    <n v="4"/>
    <x v="4"/>
    <x v="1"/>
    <n v="170314"/>
    <s v="CAMPOS ANIBAL EDUARDO"/>
    <s v="20-38361143-2"/>
    <d v="2016-05-09T00:00:00"/>
    <n v="38361143"/>
    <s v="CAMPOS"/>
    <s v="ANIBAL EDUARDO"/>
    <s v="M"/>
    <m/>
    <d v="2016-03-19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INGENIERO HUERGO"/>
    <n v="1891"/>
    <n v="1"/>
    <m/>
    <s v="CAPITAL FEDERAL"/>
    <s v="Capital Federal"/>
    <m/>
    <s v="U.O.Centro"/>
    <s v="Alvear Palace"/>
    <n v="1"/>
    <n v="1"/>
    <n v="5217.8"/>
    <n v="1043.56"/>
    <m/>
    <m/>
    <n v="4174.24"/>
    <m/>
    <n v="104.36"/>
    <m/>
    <m/>
    <m/>
    <m/>
    <m/>
    <m/>
    <n v="52.18"/>
    <m/>
    <m/>
    <m/>
    <m/>
    <m/>
    <m/>
    <n v="104.36"/>
    <m/>
    <m/>
    <m/>
    <m/>
    <m/>
    <m/>
    <m/>
    <n v="52.18"/>
    <m/>
    <n v="313.08"/>
  </r>
  <r>
    <n v="4"/>
    <x v="4"/>
    <x v="0"/>
    <n v="163383"/>
    <s v="CAÑETE SHEILA YAMILA"/>
    <s v="27-35905597-3"/>
    <d v="2016-04-21T00:00:00"/>
    <n v="35905597"/>
    <s v="CAÑETE"/>
    <s v="SHEILA YAMILA"/>
    <s v="F"/>
    <m/>
    <d v="2015-12-03T00:00:00"/>
    <d v="2016-04-05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CHABAL RODRIGUEZ"/>
    <n v="1225"/>
    <m/>
    <m/>
    <s v="CAPITAL FEDERAL"/>
    <s v="Buenos Aires"/>
    <m/>
    <s v="U.O.Centro"/>
    <m/>
    <n v="1"/>
    <n v="1"/>
    <n v="534.01"/>
    <n v="106.8"/>
    <m/>
    <m/>
    <n v="427.21"/>
    <m/>
    <n v="10.68"/>
    <m/>
    <m/>
    <m/>
    <m/>
    <m/>
    <m/>
    <n v="5.34"/>
    <m/>
    <m/>
    <m/>
    <m/>
    <m/>
    <m/>
    <n v="10.68"/>
    <m/>
    <m/>
    <m/>
    <m/>
    <m/>
    <m/>
    <m/>
    <n v="5.34"/>
    <m/>
    <n v="32.04"/>
  </r>
  <r>
    <n v="4"/>
    <x v="4"/>
    <x v="1"/>
    <n v="171907"/>
    <s v="CANO MANUEL EDUARDO"/>
    <s v="20-34369268-5"/>
    <d v="2016-05-09T00:00:00"/>
    <n v="34369268"/>
    <s v="CANO"/>
    <s v="MANUEL EDUARDO"/>
    <s v="M"/>
    <m/>
    <d v="2016-04-20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MANZANA 14 CASA 40"/>
    <n v="764"/>
    <m/>
    <m/>
    <s v="CAPITAL FEDERAL"/>
    <s v="Capital Federal"/>
    <m/>
    <s v="U.O.Centro Paga Inplant"/>
    <m/>
    <n v="1"/>
    <n v="1"/>
    <n v="356.04"/>
    <n v="71.2"/>
    <m/>
    <m/>
    <n v="284.83999999999997"/>
    <m/>
    <n v="7.12"/>
    <m/>
    <m/>
    <m/>
    <m/>
    <m/>
    <m/>
    <n v="3.56"/>
    <m/>
    <m/>
    <m/>
    <m/>
    <m/>
    <m/>
    <n v="7.12"/>
    <m/>
    <m/>
    <m/>
    <m/>
    <m/>
    <m/>
    <m/>
    <n v="3.56"/>
    <m/>
    <n v="21.36"/>
  </r>
  <r>
    <n v="4"/>
    <x v="4"/>
    <x v="1"/>
    <n v="171587"/>
    <s v="CANTONI DOMINGO FABIO"/>
    <s v="20-94291633-8"/>
    <d v="2016-05-09T00:00:00"/>
    <n v="94291633"/>
    <s v="CANTONI"/>
    <s v="DOMINGO FABIO"/>
    <s v="M"/>
    <m/>
    <d v="2016-04-11T00:00:00"/>
    <m/>
    <m/>
    <s v="GASTRONOMICOS-Hoteles 4 y 5 Estrellas - 362/2003"/>
    <s v="Categoria 1"/>
    <x v="12"/>
    <s v="Unidad Principal"/>
    <s v="Centro"/>
    <s v="Tareas Generales"/>
    <n v="119203"/>
    <s v="OS  DE RELOJEROS Y JOYEROS"/>
    <s v="Capital Federal"/>
    <m/>
    <n v="1129"/>
    <s v="MORENO"/>
    <n v="1891"/>
    <s v="PB"/>
    <n v="5"/>
    <s v="CAPITAL FEDERAL"/>
    <s v="Capital Federal"/>
    <m/>
    <s v="U.O.Centro"/>
    <s v="Alvear Palace"/>
    <n v="1"/>
    <n v="1"/>
    <n v="997.05"/>
    <n v="199.41"/>
    <m/>
    <m/>
    <n v="797.64"/>
    <m/>
    <n v="19.940000000000001"/>
    <m/>
    <m/>
    <m/>
    <m/>
    <m/>
    <m/>
    <n v="9.9700000000000006"/>
    <m/>
    <m/>
    <m/>
    <m/>
    <m/>
    <m/>
    <n v="19.940000000000001"/>
    <m/>
    <m/>
    <m/>
    <m/>
    <m/>
    <m/>
    <m/>
    <n v="9.9700000000000006"/>
    <m/>
    <n v="59.82"/>
  </r>
  <r>
    <n v="4"/>
    <x v="4"/>
    <x v="0"/>
    <n v="171897"/>
    <s v="CAPURRO EDUARDO ADOLFO"/>
    <s v="20-31064205-4"/>
    <d v="2016-05-09T00:00:00"/>
    <n v="31064205"/>
    <s v="CAPURRO"/>
    <s v="EDUARDO ADOLFO"/>
    <s v="M"/>
    <m/>
    <d v="2016-04-19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HILE"/>
    <n v="1225"/>
    <m/>
    <m/>
    <s v="CAPITAL FEDERAL"/>
    <s v="Buenos Aires"/>
    <m/>
    <s v="U.O.Centro"/>
    <m/>
    <n v="1"/>
    <n v="1"/>
    <n v="6663.24"/>
    <n v="1332.65"/>
    <m/>
    <m/>
    <n v="5330.59"/>
    <m/>
    <n v="133.26"/>
    <m/>
    <m/>
    <m/>
    <m/>
    <m/>
    <m/>
    <n v="66.63"/>
    <m/>
    <m/>
    <m/>
    <m/>
    <m/>
    <m/>
    <n v="133.26"/>
    <m/>
    <m/>
    <m/>
    <m/>
    <m/>
    <m/>
    <m/>
    <n v="66.63"/>
    <m/>
    <n v="399.78"/>
  </r>
  <r>
    <n v="4"/>
    <x v="4"/>
    <x v="1"/>
    <n v="171585"/>
    <s v="CARLOMAGNO CRISTIAN ARIEL"/>
    <s v="20-29422761-0"/>
    <d v="2016-05-09T00:00:00"/>
    <n v="29422761"/>
    <s v="CARLOMAGNO"/>
    <s v="CRISTIAN AR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Almafuerte"/>
    <n v="1584"/>
    <s v="PB"/>
    <n v="1"/>
    <s v="CAPITAL FEDERAL"/>
    <s v="Capital Federal"/>
    <m/>
    <s v="U.O.Centro"/>
    <s v="Alvear Palace"/>
    <n v="1"/>
    <n v="1"/>
    <n v="3276.03"/>
    <n v="655.20000000000005"/>
    <m/>
    <m/>
    <n v="2620.83"/>
    <m/>
    <n v="65.52"/>
    <m/>
    <m/>
    <m/>
    <m/>
    <m/>
    <m/>
    <n v="32.76"/>
    <m/>
    <m/>
    <m/>
    <m/>
    <m/>
    <m/>
    <n v="65.52"/>
    <m/>
    <m/>
    <m/>
    <m/>
    <m/>
    <m/>
    <m/>
    <n v="32.76"/>
    <m/>
    <n v="196.56"/>
  </r>
  <r>
    <n v="4"/>
    <x v="4"/>
    <x v="1"/>
    <n v="171894"/>
    <s v="CARO SONIA PAMELA"/>
    <s v="27-26622684-0"/>
    <d v="2016-05-09T00:00:00"/>
    <n v="26622684"/>
    <s v="CARO"/>
    <s v="SONIA PAMELA"/>
    <s v="F"/>
    <m/>
    <d v="2016-04-19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JOSE BARROS PAZOS"/>
    <n v="1891"/>
    <m/>
    <m/>
    <s v="CAPITAL FEDERAL"/>
    <s v="Capital Federal"/>
    <m/>
    <s v="U.O.Centro"/>
    <s v="Alvear Palace"/>
    <n v="1"/>
    <n v="1"/>
    <n v="534.14"/>
    <n v="106.82"/>
    <m/>
    <m/>
    <n v="427.32"/>
    <m/>
    <n v="10.68"/>
    <m/>
    <m/>
    <m/>
    <m/>
    <m/>
    <m/>
    <n v="5.34"/>
    <m/>
    <m/>
    <m/>
    <m/>
    <m/>
    <m/>
    <n v="10.68"/>
    <m/>
    <m/>
    <m/>
    <m/>
    <m/>
    <m/>
    <m/>
    <n v="5.34"/>
    <m/>
    <n v="32.04"/>
  </r>
  <r>
    <n v="4"/>
    <x v="4"/>
    <x v="0"/>
    <n v="141323"/>
    <s v="CARRIZO ENRIQUE ISMAEL"/>
    <s v="20-34731318-2"/>
    <d v="2016-05-09T00:00:00"/>
    <n v="34731318"/>
    <s v="CARRIZO"/>
    <s v="ENRIQUE ISMAEL"/>
    <s v="M"/>
    <m/>
    <d v="2016-04-10T00:00:00"/>
    <m/>
    <m/>
    <s v="GASTRONOMICOS-Hoteles 4 y 5 Estrellas - 362/2003"/>
    <s v="Categoria 6"/>
    <x v="6"/>
    <s v="NUEVOS INGRESOS"/>
    <s v="Centro"/>
    <s v="Camarero/a"/>
    <n v="100304"/>
    <s v="OS  DE  TECNICOS DE VUELO DE LINEAS AEREAS"/>
    <s v="Capital Federal"/>
    <m/>
    <n v="1093"/>
    <n v="31"/>
    <n v="1232"/>
    <m/>
    <m/>
    <s v="CAPITAL FEDERAL"/>
    <s v="Buenos Aires"/>
    <m/>
    <s v="U.O.Centro"/>
    <s v="Banquetes"/>
    <n v="1"/>
    <n v="1"/>
    <n v="4156.16"/>
    <n v="831.22"/>
    <m/>
    <m/>
    <n v="3324.94"/>
    <m/>
    <n v="83.12"/>
    <m/>
    <m/>
    <m/>
    <m/>
    <m/>
    <m/>
    <n v="41.56"/>
    <m/>
    <m/>
    <m/>
    <m/>
    <m/>
    <m/>
    <n v="83.12"/>
    <m/>
    <m/>
    <m/>
    <m/>
    <m/>
    <m/>
    <m/>
    <n v="41.56"/>
    <m/>
    <n v="249.36"/>
  </r>
  <r>
    <n v="4"/>
    <x v="4"/>
    <x v="0"/>
    <n v="172254"/>
    <s v="CASCO MARCO DANIEL RICARDO"/>
    <s v="23-27528459-9"/>
    <d v="2016-05-09T00:00:00"/>
    <n v="27528459"/>
    <s v="CASCO"/>
    <s v="MARCO DANIEL RICARDO"/>
    <s v="M"/>
    <m/>
    <d v="2016-04-27T00:00:00"/>
    <m/>
    <m/>
    <s v="GASTRONOMICOS-Hoteles 4 y 5 Estrellas - 362/2003"/>
    <s v="Categoria 1"/>
    <x v="6"/>
    <s v="NUEVOS INGRESOS"/>
    <s v="Centro"/>
    <s v="Tareas Generales"/>
    <n v="108803"/>
    <s v="O.S.P.Gastronomico"/>
    <s v="Capital Federal"/>
    <m/>
    <n v="1093"/>
    <s v="CALLE 107"/>
    <n v="1232"/>
    <m/>
    <m/>
    <s v="CAPITAL FEDERAL"/>
    <s v="Buenos Aires"/>
    <m/>
    <s v="U.O.Centro"/>
    <s v="Restaurant"/>
    <n v="1"/>
    <n v="1"/>
    <n v="426.25"/>
    <n v="85.26"/>
    <m/>
    <m/>
    <n v="340.99"/>
    <m/>
    <n v="8.5299999999999994"/>
    <m/>
    <m/>
    <m/>
    <m/>
    <m/>
    <m/>
    <n v="4.26"/>
    <m/>
    <m/>
    <m/>
    <m/>
    <m/>
    <m/>
    <n v="8.5299999999999994"/>
    <m/>
    <m/>
    <m/>
    <m/>
    <m/>
    <m/>
    <m/>
    <n v="4.26"/>
    <m/>
    <n v="25.58"/>
  </r>
  <r>
    <n v="4"/>
    <x v="4"/>
    <x v="0"/>
    <n v="148864"/>
    <s v="CASTILLO VERONICA ISABEL"/>
    <s v="27-24767374-7"/>
    <d v="2016-05-09T00:00:00"/>
    <n v="24767374"/>
    <s v="CASTILLO"/>
    <s v="VERONICA ISABEL"/>
    <s v="F"/>
    <m/>
    <d v="2016-04-21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LOS ANDES"/>
    <n v="474"/>
    <m/>
    <m/>
    <s v="CAPITAL FEDERAL"/>
    <s v="Buenos Aires"/>
    <m/>
    <s v="U.O.Centro"/>
    <m/>
    <n v="2"/>
    <n v="1"/>
    <n v="3786.72"/>
    <n v="757.35"/>
    <m/>
    <m/>
    <n v="3029.37"/>
    <m/>
    <n v="75.739999999999995"/>
    <m/>
    <m/>
    <m/>
    <m/>
    <m/>
    <m/>
    <n v="37.869999999999997"/>
    <m/>
    <m/>
    <m/>
    <m/>
    <m/>
    <m/>
    <n v="75.739999999999995"/>
    <n v="33.26"/>
    <m/>
    <m/>
    <m/>
    <m/>
    <m/>
    <m/>
    <n v="4.6100000000000003"/>
    <m/>
    <n v="227.22"/>
  </r>
  <r>
    <n v="4"/>
    <x v="4"/>
    <x v="0"/>
    <n v="144180"/>
    <s v="CATALAN CRISTINA DEL CARMEN"/>
    <s v="27-31138041-4"/>
    <d v="2016-05-09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18146.43"/>
    <n v="3629.28"/>
    <m/>
    <m/>
    <n v="14517.15"/>
    <m/>
    <n v="362.93"/>
    <m/>
    <m/>
    <m/>
    <m/>
    <m/>
    <m/>
    <n v="181.46"/>
    <m/>
    <m/>
    <m/>
    <m/>
    <m/>
    <m/>
    <n v="362.93"/>
    <m/>
    <m/>
    <m/>
    <m/>
    <m/>
    <m/>
    <m/>
    <n v="181.46"/>
    <m/>
    <n v="1088.78"/>
  </r>
  <r>
    <n v="4"/>
    <x v="4"/>
    <x v="0"/>
    <n v="171592"/>
    <s v="CATOLINO MARTIN"/>
    <s v="20-37431566-9"/>
    <d v="2016-05-09T00:00:00"/>
    <n v="37431566"/>
    <s v="CATOLINO"/>
    <s v="MARTIN"/>
    <s v="M"/>
    <m/>
    <d v="2016-04-09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CPSQIN"/>
    <n v="1005"/>
    <m/>
    <m/>
    <s v="CAPITAL FEDERAL"/>
    <s v="Capital Federal"/>
    <m/>
    <s v="U.O.Centro"/>
    <m/>
    <n v="2"/>
    <n v="1"/>
    <n v="9275.08"/>
    <n v="1855.01"/>
    <m/>
    <m/>
    <n v="7420.07"/>
    <m/>
    <n v="185.5"/>
    <m/>
    <m/>
    <m/>
    <m/>
    <m/>
    <m/>
    <n v="92.75"/>
    <m/>
    <m/>
    <m/>
    <m/>
    <m/>
    <m/>
    <n v="185.5"/>
    <m/>
    <m/>
    <m/>
    <m/>
    <m/>
    <m/>
    <m/>
    <n v="92.75"/>
    <m/>
    <n v="556.5"/>
  </r>
  <r>
    <n v="4"/>
    <x v="4"/>
    <x v="0"/>
    <n v="161853"/>
    <s v="CEDRON GISELLE BEATRIZ"/>
    <s v="27-32113031-9"/>
    <d v="2016-05-02T00:00:00"/>
    <n v="32113031"/>
    <s v="CEDRON"/>
    <s v="GISELLE BEATRIZ"/>
    <s v="F"/>
    <m/>
    <d v="2015-11-19T00:00:00"/>
    <d v="2016-11-30T00:00:00"/>
    <m/>
    <s v="GASTRONOMICOS-Hoteles 4 y 5 Estrellas - 362/2003"/>
    <s v="Categoria 6"/>
    <x v="13"/>
    <s v="Unidad Base-GL"/>
    <s v="San Isidro"/>
    <s v="Camarero/a"/>
    <n v="108803"/>
    <s v="O.S.P.Gastronomico"/>
    <s v="Buenos Aires - Tigre"/>
    <s v="Nordelta"/>
    <n v="1648"/>
    <s v="MANZANA 41 CASA"/>
    <n v="240"/>
    <m/>
    <m/>
    <s v="TIGRE"/>
    <s v="Buenos Aires"/>
    <m/>
    <s v="U.O.Casa Central"/>
    <m/>
    <n v="1"/>
    <n v="1"/>
    <n v="155.27000000000001"/>
    <n v="31.06"/>
    <m/>
    <m/>
    <n v="124.21"/>
    <m/>
    <n v="3.11"/>
    <m/>
    <m/>
    <m/>
    <m/>
    <m/>
    <m/>
    <n v="1.55"/>
    <m/>
    <m/>
    <m/>
    <m/>
    <m/>
    <m/>
    <n v="3.11"/>
    <m/>
    <m/>
    <m/>
    <m/>
    <m/>
    <m/>
    <m/>
    <n v="1.55"/>
    <m/>
    <n v="9.32"/>
  </r>
  <r>
    <n v="4"/>
    <x v="4"/>
    <x v="0"/>
    <n v="158525"/>
    <s v="CELIBERTI YESICA ROMINA"/>
    <s v="27-35202883-0"/>
    <d v="2016-05-09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17261.23"/>
    <n v="3538.56"/>
    <m/>
    <m/>
    <n v="13722.67"/>
    <n v="431.53"/>
    <m/>
    <m/>
    <m/>
    <m/>
    <m/>
    <m/>
    <m/>
    <n v="172.61"/>
    <m/>
    <m/>
    <m/>
    <m/>
    <m/>
    <m/>
    <n v="345.22"/>
    <m/>
    <m/>
    <m/>
    <m/>
    <m/>
    <m/>
    <m/>
    <n v="172.61"/>
    <m/>
    <n v="1121.97"/>
  </r>
  <r>
    <n v="4"/>
    <x v="4"/>
    <x v="0"/>
    <n v="162434"/>
    <s v="CENTURION NORMA BEATRIZ"/>
    <s v="27-27888691-9"/>
    <d v="2016-05-02T00:00:00"/>
    <n v="27888691"/>
    <s v="CENTURION"/>
    <s v="NORMA BEATRIZ"/>
    <s v="F"/>
    <m/>
    <d v="2016-02-28T00:00:00"/>
    <d v="2016-02-29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HASCOMUS"/>
    <n v="474"/>
    <m/>
    <m/>
    <s v="CAPITAL FEDERAL"/>
    <s v="Buenos Aires"/>
    <m/>
    <s v="U.O.Casa Central"/>
    <m/>
    <n v="1"/>
    <n v="1"/>
    <n v="1.24"/>
    <n v="0.25"/>
    <m/>
    <m/>
    <n v="0.99"/>
    <m/>
    <n v="0.02"/>
    <m/>
    <m/>
    <m/>
    <m/>
    <m/>
    <m/>
    <n v="0.01"/>
    <m/>
    <m/>
    <m/>
    <m/>
    <m/>
    <m/>
    <n v="0.02"/>
    <m/>
    <m/>
    <m/>
    <m/>
    <m/>
    <m/>
    <m/>
    <n v="0.01"/>
    <m/>
    <n v="0.06"/>
  </r>
  <r>
    <n v="4"/>
    <x v="4"/>
    <x v="0"/>
    <n v="170318"/>
    <s v="CERNEAZ JOANA"/>
    <s v="27-35043953-1"/>
    <d v="2016-05-09T00:00:0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. MEDRANO"/>
    <n v="1225"/>
    <s v="PB"/>
    <m/>
    <s v="CAPITAL FEDERAL"/>
    <s v="Buenos Aires"/>
    <m/>
    <s v="U.O.Centro"/>
    <m/>
    <n v="4"/>
    <n v="1"/>
    <n v="9351.52"/>
    <n v="1870.32"/>
    <m/>
    <m/>
    <n v="7481.2"/>
    <m/>
    <n v="187.03"/>
    <m/>
    <m/>
    <m/>
    <m/>
    <m/>
    <m/>
    <n v="93.52"/>
    <m/>
    <m/>
    <m/>
    <m/>
    <m/>
    <m/>
    <n v="187.03"/>
    <m/>
    <m/>
    <m/>
    <m/>
    <m/>
    <m/>
    <m/>
    <n v="93.52"/>
    <m/>
    <n v="561.1"/>
  </r>
  <r>
    <n v="4"/>
    <x v="4"/>
    <x v="0"/>
    <n v="171029"/>
    <s v="CERRANO PATRICIA VIVIANA"/>
    <s v="23-31509842-4"/>
    <d v="2016-05-09T00:00:00"/>
    <n v="31509842"/>
    <s v="CERRANO"/>
    <s v="PATRICIA VIVIANA"/>
    <s v="F"/>
    <m/>
    <d v="2016-04-01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PASAJE BOLAÑOS"/>
    <n v="474"/>
    <m/>
    <m/>
    <s v="CAPITAL FEDERAL"/>
    <s v="Buenos Aires"/>
    <m/>
    <s v="U.O.Centro"/>
    <m/>
    <n v="1"/>
    <n v="1"/>
    <n v="6913.63"/>
    <n v="1382.73"/>
    <m/>
    <m/>
    <n v="5530.9"/>
    <m/>
    <n v="138.27000000000001"/>
    <m/>
    <m/>
    <m/>
    <m/>
    <m/>
    <m/>
    <n v="69.14"/>
    <m/>
    <m/>
    <m/>
    <m/>
    <m/>
    <m/>
    <n v="138.27000000000001"/>
    <m/>
    <m/>
    <m/>
    <m/>
    <m/>
    <m/>
    <m/>
    <n v="69.14"/>
    <m/>
    <n v="414.82"/>
  </r>
  <r>
    <n v="4"/>
    <x v="4"/>
    <x v="0"/>
    <n v="161041"/>
    <s v="CESANI LEONARDO ROBERTO"/>
    <s v="20-36155165-7"/>
    <d v="2016-05-09T00:00:00"/>
    <n v="36155165"/>
    <s v="CESANI"/>
    <s v="LEONARDO ROBERTO"/>
    <s v="M"/>
    <m/>
    <d v="2016-03-30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STAÑARES"/>
    <n v="1232"/>
    <m/>
    <m/>
    <s v="CAPITAL FEDERAL"/>
    <s v="Buenos Aires"/>
    <m/>
    <s v="U.O.Centro"/>
    <s v="Cocina"/>
    <n v="1"/>
    <n v="1"/>
    <n v="11720.01"/>
    <n v="2344"/>
    <m/>
    <m/>
    <n v="9376.01"/>
    <m/>
    <n v="234.4"/>
    <m/>
    <m/>
    <m/>
    <m/>
    <m/>
    <m/>
    <n v="117.2"/>
    <m/>
    <m/>
    <m/>
    <m/>
    <m/>
    <m/>
    <n v="234.4"/>
    <m/>
    <m/>
    <m/>
    <m/>
    <m/>
    <m/>
    <m/>
    <n v="117.2"/>
    <m/>
    <n v="703.2"/>
  </r>
  <r>
    <n v="4"/>
    <x v="4"/>
    <x v="1"/>
    <n v="112977"/>
    <s v="CHACON NADIA DE LOS ANGELES"/>
    <s v="27-34151854-2"/>
    <d v="2016-05-09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2"/>
    <n v="1"/>
    <n v="13752.25"/>
    <n v="2819.21"/>
    <m/>
    <m/>
    <n v="10933.04"/>
    <n v="343.81"/>
    <m/>
    <m/>
    <m/>
    <m/>
    <m/>
    <m/>
    <m/>
    <n v="137.52000000000001"/>
    <m/>
    <m/>
    <m/>
    <m/>
    <m/>
    <m/>
    <n v="275.04000000000002"/>
    <m/>
    <m/>
    <m/>
    <m/>
    <m/>
    <m/>
    <m/>
    <n v="137.52000000000001"/>
    <m/>
    <n v="893.89"/>
  </r>
  <r>
    <n v="4"/>
    <x v="4"/>
    <x v="1"/>
    <n v="165990"/>
    <s v="CION BEATRIZ  LILIANA"/>
    <s v="27-24432411-3"/>
    <d v="2016-05-09T00:00:00"/>
    <n v="24432411"/>
    <s v="CION"/>
    <s v="BEATRIZ  LILIANA"/>
    <s v="F"/>
    <m/>
    <d v="2016-0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RODO"/>
    <n v="764"/>
    <m/>
    <m/>
    <s v="CAPITAL FEDERAL"/>
    <s v="Capital Federal"/>
    <m/>
    <s v="U.O.Centro Paga Inplant"/>
    <m/>
    <n v="1"/>
    <n v="1"/>
    <n v="1682.39"/>
    <n v="336.47"/>
    <m/>
    <m/>
    <n v="1345.92"/>
    <m/>
    <n v="33.65"/>
    <m/>
    <m/>
    <m/>
    <m/>
    <m/>
    <m/>
    <n v="16.82"/>
    <m/>
    <m/>
    <m/>
    <m/>
    <m/>
    <m/>
    <n v="33.65"/>
    <m/>
    <m/>
    <m/>
    <m/>
    <m/>
    <m/>
    <m/>
    <n v="16.82"/>
    <m/>
    <n v="100.94"/>
  </r>
  <r>
    <n v="4"/>
    <x v="4"/>
    <x v="0"/>
    <n v="171062"/>
    <s v="CIPRIANO RODOLFO DARDO"/>
    <s v="20-22964628-2"/>
    <d v="2016-04-21T00:00:00"/>
    <n v="22964628"/>
    <s v="CIPRIANO"/>
    <s v="RODOLFO DAR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MA"/>
    <n v="1005"/>
    <m/>
    <m/>
    <s v="CAPITAL FEDERAL"/>
    <s v="Capital Federal"/>
    <m/>
    <s v="U.O.Centro"/>
    <m/>
    <n v="1"/>
    <n v="1"/>
    <n v="1361.63"/>
    <n v="272.33"/>
    <m/>
    <m/>
    <n v="1089.3"/>
    <m/>
    <n v="27.23"/>
    <m/>
    <m/>
    <m/>
    <m/>
    <m/>
    <m/>
    <n v="13.62"/>
    <m/>
    <m/>
    <m/>
    <m/>
    <m/>
    <m/>
    <n v="27.23"/>
    <m/>
    <m/>
    <m/>
    <m/>
    <m/>
    <m/>
    <m/>
    <n v="13.62"/>
    <m/>
    <n v="81.7"/>
  </r>
  <r>
    <n v="4"/>
    <x v="4"/>
    <x v="0"/>
    <n v="164608"/>
    <s v="CLERICCETTI ANALIA BELEN"/>
    <s v="27-35139027-7"/>
    <d v="2016-05-09T00:00:00"/>
    <n v="35139027"/>
    <s v="CLERICCETTI"/>
    <s v="ANALIA BELEN"/>
    <s v="F"/>
    <m/>
    <d v="2015-12-29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MENDOZA"/>
    <n v="1225"/>
    <m/>
    <m/>
    <s v="CAPITAL FEDERAL"/>
    <s v="Buenos Aires"/>
    <m/>
    <s v="U.O.Centro"/>
    <m/>
    <n v="2"/>
    <n v="1"/>
    <n v="9067.76"/>
    <n v="1813.54"/>
    <m/>
    <m/>
    <n v="7254.22"/>
    <m/>
    <n v="181.36"/>
    <m/>
    <m/>
    <m/>
    <m/>
    <m/>
    <m/>
    <n v="90.67"/>
    <m/>
    <m/>
    <m/>
    <m/>
    <m/>
    <m/>
    <n v="181.36"/>
    <m/>
    <m/>
    <m/>
    <m/>
    <m/>
    <m/>
    <m/>
    <n v="90.67"/>
    <m/>
    <n v="544.05999999999995"/>
  </r>
  <r>
    <n v="4"/>
    <x v="4"/>
    <x v="0"/>
    <n v="171012"/>
    <s v="CONTE LUCIANO GABRIEL"/>
    <s v="20-36530593-6"/>
    <d v="2016-04-21T00:00:00"/>
    <n v="36530593"/>
    <s v="CONTE"/>
    <s v="LUCIANO GABRIEL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ERETTI"/>
    <n v="1005"/>
    <m/>
    <m/>
    <s v="CAPITAL FEDERAL"/>
    <s v="Capital Federal"/>
    <m/>
    <s v="U.O.Centro"/>
    <m/>
    <n v="1"/>
    <n v="1"/>
    <n v="971.4"/>
    <n v="194.27"/>
    <m/>
    <m/>
    <n v="777.13"/>
    <m/>
    <n v="19.43"/>
    <m/>
    <m/>
    <m/>
    <m/>
    <m/>
    <m/>
    <n v="9.7100000000000009"/>
    <m/>
    <m/>
    <m/>
    <m/>
    <m/>
    <m/>
    <n v="19.43"/>
    <m/>
    <m/>
    <m/>
    <m/>
    <m/>
    <m/>
    <m/>
    <n v="9.7100000000000009"/>
    <m/>
    <n v="58.28"/>
  </r>
  <r>
    <n v="4"/>
    <x v="4"/>
    <x v="0"/>
    <n v="172454"/>
    <s v="CORVALAN ANDREA"/>
    <s v="27-39467778-2"/>
    <d v="2016-05-09T00:00:00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NDEPENDENCIA"/>
    <n v="1225"/>
    <n v="9"/>
    <n v="1"/>
    <s v="CAPITAL FEDERAL"/>
    <s v="Buenos Aires"/>
    <m/>
    <s v="U.O.Centro"/>
    <m/>
    <n v="1"/>
    <n v="1"/>
    <n v="4272.1000000000004"/>
    <n v="854.41"/>
    <m/>
    <m/>
    <n v="3417.69"/>
    <m/>
    <n v="85.44"/>
    <m/>
    <m/>
    <m/>
    <m/>
    <m/>
    <m/>
    <n v="42.72"/>
    <m/>
    <m/>
    <m/>
    <m/>
    <m/>
    <m/>
    <n v="85.44"/>
    <m/>
    <m/>
    <m/>
    <m/>
    <m/>
    <m/>
    <m/>
    <n v="42.72"/>
    <m/>
    <n v="256.32"/>
  </r>
  <r>
    <n v="4"/>
    <x v="4"/>
    <x v="0"/>
    <n v="172089"/>
    <s v="CUESTA NICOLAS"/>
    <s v="20-36989012-4"/>
    <d v="2016-05-09T00:00:00"/>
    <n v="36989012"/>
    <s v="CUESTA"/>
    <s v="NICOLAS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BERTO EINSTEIN"/>
    <n v="1225"/>
    <m/>
    <m/>
    <s v="CAPITAL FEDERAL"/>
    <s v="Buenos Aires"/>
    <m/>
    <s v="U.O.Centro"/>
    <m/>
    <n v="1"/>
    <n v="1"/>
    <n v="5065.41"/>
    <n v="1013.08"/>
    <m/>
    <m/>
    <n v="4052.33"/>
    <m/>
    <n v="101.31"/>
    <m/>
    <m/>
    <m/>
    <m/>
    <m/>
    <m/>
    <n v="50.65"/>
    <m/>
    <m/>
    <m/>
    <m/>
    <m/>
    <m/>
    <n v="101.31"/>
    <m/>
    <m/>
    <m/>
    <m/>
    <m/>
    <m/>
    <m/>
    <n v="50.65"/>
    <m/>
    <n v="303.92"/>
  </r>
  <r>
    <n v="4"/>
    <x v="4"/>
    <x v="1"/>
    <n v="170707"/>
    <s v="D'ALOISIO ANDRES"/>
    <s v="20-28622173-5"/>
    <d v="2016-05-09T00:00:00"/>
    <n v="28622173"/>
    <s v="D'ALOISIO"/>
    <s v="ANDRES"/>
    <s v="M"/>
    <m/>
    <d v="2016-03-22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SAN IRINEO"/>
    <n v="764"/>
    <n v="5"/>
    <n v="16"/>
    <s v="CAPITAL FEDERAL"/>
    <s v="Capital Federal"/>
    <m/>
    <s v="U.O.Centro Paga Inplant"/>
    <m/>
    <n v="1"/>
    <n v="1"/>
    <n v="4264.55"/>
    <n v="852.92"/>
    <m/>
    <m/>
    <n v="3411.63"/>
    <m/>
    <n v="85.29"/>
    <m/>
    <m/>
    <m/>
    <m/>
    <m/>
    <m/>
    <n v="42.65"/>
    <m/>
    <m/>
    <m/>
    <m/>
    <m/>
    <m/>
    <n v="85.29"/>
    <m/>
    <m/>
    <m/>
    <m/>
    <m/>
    <m/>
    <m/>
    <n v="42.65"/>
    <m/>
    <n v="255.88"/>
  </r>
  <r>
    <n v="4"/>
    <x v="4"/>
    <x v="0"/>
    <n v="169237"/>
    <s v="DE MORAES CLAUDIA LILIAN"/>
    <s v="27-28510058-0"/>
    <d v="2016-04-21T00:00:00"/>
    <n v="28510058"/>
    <s v="DE MORAES"/>
    <s v="CLAUDIA LILIAN"/>
    <s v="F"/>
    <m/>
    <d v="2016-02-25T00:00:00"/>
    <d v="2016-04-05T00:00:00"/>
    <d v="2016-04-05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NICOLAS"/>
    <n v="1225"/>
    <m/>
    <m/>
    <s v="CAPITAL FEDERAL"/>
    <s v="Buenos Aires"/>
    <m/>
    <s v="U.O.Centro"/>
    <m/>
    <n v="1"/>
    <n v="1"/>
    <n v="2136.06"/>
    <n v="427.21"/>
    <m/>
    <m/>
    <n v="1708.85"/>
    <m/>
    <n v="42.72"/>
    <m/>
    <m/>
    <m/>
    <m/>
    <m/>
    <m/>
    <n v="21.36"/>
    <m/>
    <m/>
    <m/>
    <m/>
    <m/>
    <m/>
    <n v="42.72"/>
    <m/>
    <m/>
    <m/>
    <m/>
    <m/>
    <m/>
    <m/>
    <n v="21.36"/>
    <m/>
    <n v="128.16"/>
  </r>
  <r>
    <n v="4"/>
    <x v="4"/>
    <x v="0"/>
    <n v="170691"/>
    <s v="DIAZ INGRID"/>
    <s v="27-93051595-2"/>
    <d v="2016-05-09T00:00:00"/>
    <n v="93051595"/>
    <s v="DIAZ"/>
    <s v="INGRID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ISANEWTON"/>
    <n v="1225"/>
    <m/>
    <m/>
    <s v="CAPITAL FEDERAL"/>
    <s v="Buenos Aires"/>
    <m/>
    <s v="U.O.Centro"/>
    <m/>
    <n v="1"/>
    <n v="1"/>
    <n v="4873.38"/>
    <n v="974.67"/>
    <m/>
    <m/>
    <n v="3898.71"/>
    <m/>
    <n v="97.47"/>
    <m/>
    <m/>
    <m/>
    <m/>
    <m/>
    <m/>
    <n v="48.73"/>
    <m/>
    <m/>
    <m/>
    <m/>
    <m/>
    <m/>
    <n v="97.47"/>
    <m/>
    <m/>
    <m/>
    <m/>
    <m/>
    <m/>
    <m/>
    <n v="48.73"/>
    <m/>
    <n v="292.39999999999998"/>
  </r>
  <r>
    <n v="4"/>
    <x v="4"/>
    <x v="0"/>
    <n v="169910"/>
    <s v="DIAZ NANCY"/>
    <s v="27-21949289-3"/>
    <d v="2016-05-09T00:00:0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2"/>
    <n v="1"/>
    <n v="12945.98"/>
    <n v="2589.1999999999998"/>
    <m/>
    <m/>
    <n v="10356.780000000001"/>
    <m/>
    <n v="258.92"/>
    <m/>
    <m/>
    <m/>
    <m/>
    <m/>
    <m/>
    <n v="129.46"/>
    <m/>
    <m/>
    <m/>
    <m/>
    <m/>
    <m/>
    <n v="258.92"/>
    <m/>
    <m/>
    <m/>
    <m/>
    <m/>
    <m/>
    <m/>
    <n v="129.46"/>
    <m/>
    <n v="776.76"/>
  </r>
  <r>
    <n v="4"/>
    <x v="4"/>
    <x v="0"/>
    <n v="162205"/>
    <s v="DOMINGUEZ CABRERA CESAR FERNANDO"/>
    <s v="23-95304555-9"/>
    <d v="2016-05-09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2"/>
    <n v="1"/>
    <n v="14265"/>
    <n v="2853"/>
    <m/>
    <m/>
    <n v="11412"/>
    <m/>
    <n v="285.3"/>
    <m/>
    <m/>
    <m/>
    <m/>
    <m/>
    <m/>
    <n v="142.65"/>
    <m/>
    <m/>
    <m/>
    <m/>
    <m/>
    <m/>
    <n v="285.3"/>
    <m/>
    <m/>
    <m/>
    <m/>
    <m/>
    <m/>
    <m/>
    <n v="142.65"/>
    <m/>
    <n v="855.9"/>
  </r>
  <r>
    <n v="4"/>
    <x v="4"/>
    <x v="1"/>
    <n v="171837"/>
    <s v="DOMINGUEZ CHAVEZ JOSE LUIS JUNNIOR"/>
    <s v="20-95078412-2"/>
    <d v="2016-05-09T00:00:00"/>
    <n v="95078412"/>
    <s v="DOMINGUEZ CHAVEZ"/>
    <s v="JOSE LUIS JUNNIOR"/>
    <s v="M"/>
    <m/>
    <d v="2016-04-18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 VARELA"/>
    <n v="764"/>
    <m/>
    <m/>
    <s v="CAPITAL FEDERAL"/>
    <s v="Capital Federal"/>
    <m/>
    <s v="U.O.Centro"/>
    <m/>
    <n v="1"/>
    <n v="1"/>
    <n v="391.64"/>
    <n v="78.33"/>
    <m/>
    <m/>
    <n v="313.31"/>
    <m/>
    <n v="7.83"/>
    <m/>
    <m/>
    <m/>
    <m/>
    <m/>
    <m/>
    <n v="3.92"/>
    <m/>
    <m/>
    <m/>
    <m/>
    <m/>
    <m/>
    <n v="7.83"/>
    <m/>
    <m/>
    <m/>
    <m/>
    <m/>
    <m/>
    <m/>
    <n v="3.92"/>
    <m/>
    <n v="23.5"/>
  </r>
  <r>
    <n v="4"/>
    <x v="4"/>
    <x v="0"/>
    <n v="171896"/>
    <s v="DUARTE EMANUEL FACUNDO"/>
    <s v="20-35319477-2"/>
    <d v="2016-05-09T00:00:00"/>
    <n v="35319477"/>
    <s v="DUARTE"/>
    <s v="EMANUEL FACUNDO"/>
    <s v="M"/>
    <m/>
    <d v="2016-04-19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Santos Irigoyen"/>
    <n v="1225"/>
    <m/>
    <m/>
    <s v="CAPITAL FEDERAL"/>
    <s v="Buenos Aires"/>
    <m/>
    <s v="U.O.Centro"/>
    <m/>
    <n v="1"/>
    <n v="1"/>
    <n v="6663.24"/>
    <n v="1332.65"/>
    <m/>
    <m/>
    <n v="5330.59"/>
    <m/>
    <n v="133.26"/>
    <m/>
    <m/>
    <m/>
    <m/>
    <m/>
    <m/>
    <n v="66.63"/>
    <m/>
    <m/>
    <m/>
    <m/>
    <m/>
    <m/>
    <n v="133.26"/>
    <m/>
    <m/>
    <m/>
    <m/>
    <m/>
    <m/>
    <m/>
    <n v="66.63"/>
    <m/>
    <n v="399.78"/>
  </r>
  <r>
    <n v="4"/>
    <x v="4"/>
    <x v="0"/>
    <n v="166685"/>
    <s v="DUARTE PICO EVA CLARINA"/>
    <s v="27-94661310-5"/>
    <d v="2016-05-03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5463.2"/>
    <n v="3092.64"/>
    <m/>
    <m/>
    <n v="12370.56"/>
    <m/>
    <n v="309.26"/>
    <m/>
    <m/>
    <m/>
    <m/>
    <m/>
    <m/>
    <n v="154.63"/>
    <m/>
    <m/>
    <m/>
    <m/>
    <m/>
    <m/>
    <n v="309.26"/>
    <m/>
    <m/>
    <m/>
    <m/>
    <m/>
    <m/>
    <m/>
    <n v="154.63"/>
    <m/>
    <n v="927.78"/>
  </r>
  <r>
    <n v="4"/>
    <x v="4"/>
    <x v="0"/>
    <n v="172197"/>
    <s v="ESCOBAR LUZ DE JESUS"/>
    <s v="27-34093592-1"/>
    <d v="2016-05-09T00:00:00"/>
    <n v="34093592"/>
    <s v="ESCOBAR"/>
    <s v="LUZ DE JESUS"/>
    <s v="F"/>
    <m/>
    <d v="2016-04-2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V DERGUI"/>
    <n v="1225"/>
    <m/>
    <m/>
    <s v="CAPITAL FEDERAL"/>
    <s v="Buenos Aires"/>
    <m/>
    <s v="U.O.Centro"/>
    <m/>
    <n v="1"/>
    <n v="1"/>
    <n v="3204.08"/>
    <n v="640.80999999999995"/>
    <m/>
    <m/>
    <n v="2563.27"/>
    <m/>
    <n v="64.08"/>
    <m/>
    <m/>
    <m/>
    <m/>
    <m/>
    <m/>
    <n v="32.04"/>
    <m/>
    <m/>
    <m/>
    <m/>
    <m/>
    <m/>
    <n v="64.08"/>
    <m/>
    <m/>
    <m/>
    <m/>
    <m/>
    <m/>
    <m/>
    <n v="32.04"/>
    <m/>
    <n v="192.24"/>
  </r>
  <r>
    <n v="4"/>
    <x v="4"/>
    <x v="1"/>
    <n v="168279"/>
    <s v="ESPOSITO SERGIO DANIEL"/>
    <s v="20-27215970-0"/>
    <d v="2016-05-09T00:00:00"/>
    <n v="27215970"/>
    <s v="ESPOSITO"/>
    <s v="SERGIO DANIEL"/>
    <s v="M"/>
    <m/>
    <d v="2016-01-3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JO LAS CATONAS"/>
    <n v="764"/>
    <s v="B"/>
    <n v="6"/>
    <s v="CAPITAL FEDERAL"/>
    <s v="Capital Federal"/>
    <m/>
    <s v="U.O.Centro Paga Inplant"/>
    <m/>
    <n v="1"/>
    <n v="1"/>
    <n v="8079.88"/>
    <n v="1615.99"/>
    <m/>
    <m/>
    <n v="6463.89"/>
    <m/>
    <n v="161.6"/>
    <m/>
    <m/>
    <m/>
    <m/>
    <m/>
    <m/>
    <n v="80.8"/>
    <m/>
    <m/>
    <m/>
    <m/>
    <m/>
    <m/>
    <n v="161.6"/>
    <m/>
    <m/>
    <m/>
    <m/>
    <m/>
    <m/>
    <m/>
    <n v="80.8"/>
    <m/>
    <n v="484.8"/>
  </r>
  <r>
    <n v="4"/>
    <x v="4"/>
    <x v="1"/>
    <n v="170170"/>
    <s v="FAT CARLOS SEBASTIAN"/>
    <s v="20-36526648-5"/>
    <d v="2016-05-09T00:00:00"/>
    <n v="36526648"/>
    <s v="FAT"/>
    <s v="CARLOS SEBASTIAN"/>
    <s v="M"/>
    <m/>
    <d v="2016-03-1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QUINTINO BOCAYUVA"/>
    <n v="1891"/>
    <n v="1"/>
    <s v="B"/>
    <s v="CAPITAL FEDERAL"/>
    <s v="Capital Federal"/>
    <m/>
    <s v="U.O.Centro"/>
    <s v="Alvear Palace"/>
    <n v="1"/>
    <n v="1"/>
    <n v="1306.3900000000001"/>
    <n v="261.27"/>
    <m/>
    <m/>
    <n v="1045.1199999999999"/>
    <m/>
    <n v="26.13"/>
    <m/>
    <m/>
    <m/>
    <m/>
    <m/>
    <m/>
    <n v="13.06"/>
    <m/>
    <m/>
    <m/>
    <m/>
    <m/>
    <m/>
    <n v="26.13"/>
    <m/>
    <m/>
    <m/>
    <m/>
    <m/>
    <m/>
    <m/>
    <n v="13.06"/>
    <m/>
    <n v="78.38"/>
  </r>
  <r>
    <n v="4"/>
    <x v="4"/>
    <x v="0"/>
    <n v="170444"/>
    <s v="FELTAN. SILVANA"/>
    <s v="27-37155827-1"/>
    <d v="2016-04-21T00:00:00"/>
    <n v="37155827"/>
    <s v="FELTAN."/>
    <s v="SILVANA"/>
    <s v="F"/>
    <m/>
    <d v="2016-03-18T00:00:00"/>
    <d v="2016-04-05T00:00:00"/>
    <d v="2016-04-05T00:00:00"/>
    <s v="GASTRONOMICOS-Hoteles 4 y 5 Estrellas - 362/2003"/>
    <s v="Categoría 4"/>
    <x v="15"/>
    <s v="Unidad Principal"/>
    <s v="Centro"/>
    <s v="Mucama"/>
    <n v="108803"/>
    <s v="O.S.P.Gastronomico"/>
    <s v="Capital Federal"/>
    <m/>
    <n v="1440"/>
    <s v="SANTOS DUMONT"/>
    <n v="265"/>
    <m/>
    <m/>
    <s v="CAPITAL FEDERAL"/>
    <s v="Capital Federal"/>
    <m/>
    <s v="U.O.Centro"/>
    <s v="Mucama"/>
    <n v="1"/>
    <n v="1"/>
    <n v="1121.5899999999999"/>
    <n v="224.32"/>
    <m/>
    <m/>
    <n v="897.27"/>
    <m/>
    <n v="22.43"/>
    <m/>
    <m/>
    <m/>
    <m/>
    <m/>
    <m/>
    <n v="11.22"/>
    <m/>
    <m/>
    <m/>
    <m/>
    <m/>
    <m/>
    <n v="22.43"/>
    <m/>
    <m/>
    <m/>
    <m/>
    <m/>
    <m/>
    <m/>
    <n v="11.22"/>
    <m/>
    <n v="67.3"/>
  </r>
  <r>
    <n v="4"/>
    <x v="4"/>
    <x v="0"/>
    <n v="138787"/>
    <s v="FERNANDEZ CLAUDIA"/>
    <s v="27-23472256-0"/>
    <d v="2016-05-09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15970.32"/>
    <n v="3194.07"/>
    <m/>
    <m/>
    <n v="12776.25"/>
    <m/>
    <n v="319.41000000000003"/>
    <m/>
    <m/>
    <m/>
    <m/>
    <m/>
    <m/>
    <n v="159.69999999999999"/>
    <m/>
    <m/>
    <m/>
    <m/>
    <m/>
    <m/>
    <n v="319.41000000000003"/>
    <m/>
    <m/>
    <m/>
    <m/>
    <m/>
    <m/>
    <m/>
    <n v="159.69999999999999"/>
    <m/>
    <n v="958.22"/>
  </r>
  <r>
    <n v="4"/>
    <x v="4"/>
    <x v="1"/>
    <n v="170547"/>
    <s v="Ferreyra Angel Matias"/>
    <s v="20-27942786-7"/>
    <d v="2016-05-09T00:00:00"/>
    <n v="27942786"/>
    <s v="Ferreyra"/>
    <s v="Angel Matias"/>
    <s v="F"/>
    <m/>
    <d v="2016-03-22T00:00:00"/>
    <m/>
    <m/>
    <s v="GASTRONOMICOS-Hoteles 4 y 5 Estrellas - 362/2003"/>
    <s v="Categoría 4"/>
    <x v="3"/>
    <s v="Unidad Principal"/>
    <s v="Centro"/>
    <s v="Tareas Generales"/>
    <n v="111704"/>
    <s v="OS  DE ENCARGADOS APUNTADORES MARITIMOS"/>
    <s v="Capital Federal"/>
    <m/>
    <n v="1002"/>
    <s v="Mateo Churich"/>
    <n v="764"/>
    <m/>
    <m/>
    <s v="CAPITAL FEDERAL"/>
    <s v="Capital Federal"/>
    <m/>
    <s v="U.O.Centro Paga Inplant"/>
    <m/>
    <n v="1"/>
    <n v="1"/>
    <n v="16583.439999999999"/>
    <n v="3316.68"/>
    <m/>
    <m/>
    <n v="13266.76"/>
    <m/>
    <n v="331.67"/>
    <m/>
    <m/>
    <m/>
    <m/>
    <m/>
    <m/>
    <n v="165.83"/>
    <m/>
    <m/>
    <m/>
    <m/>
    <m/>
    <m/>
    <n v="331.67"/>
    <m/>
    <m/>
    <m/>
    <m/>
    <m/>
    <m/>
    <m/>
    <n v="165.83"/>
    <m/>
    <n v="995"/>
  </r>
  <r>
    <n v="4"/>
    <x v="4"/>
    <x v="1"/>
    <n v="162823"/>
    <s v="FORETIC IVANA"/>
    <s v="27-36930073-9"/>
    <d v="2016-05-09T00:00:00"/>
    <n v="36930073"/>
    <s v="FORETIC"/>
    <s v="IVANA"/>
    <s v="F"/>
    <m/>
    <d v="2015-12-03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RIVADAVIA"/>
    <n v="764"/>
    <m/>
    <m/>
    <s v="CAPITAL FEDERAL"/>
    <s v="Capital Federal"/>
    <m/>
    <s v="U.O.Centro Paga Inplant"/>
    <m/>
    <n v="1"/>
    <n v="1"/>
    <n v="14460.69"/>
    <n v="2892.14"/>
    <m/>
    <m/>
    <n v="11568.55"/>
    <m/>
    <n v="289.20999999999998"/>
    <m/>
    <m/>
    <m/>
    <m/>
    <m/>
    <m/>
    <n v="144.61000000000001"/>
    <m/>
    <m/>
    <m/>
    <m/>
    <m/>
    <m/>
    <n v="289.20999999999998"/>
    <m/>
    <m/>
    <m/>
    <m/>
    <m/>
    <m/>
    <m/>
    <n v="144.61000000000001"/>
    <m/>
    <n v="867.64"/>
  </r>
  <r>
    <n v="4"/>
    <x v="4"/>
    <x v="0"/>
    <n v="172186"/>
    <s v="GALLARDO MELINA ELIZABETH"/>
    <s v="27-38587519-9"/>
    <d v="2016-05-09T00:00:00"/>
    <n v="38587519"/>
    <s v="GALLARDO"/>
    <s v="MELINA ELIZABETH"/>
    <s v="F"/>
    <m/>
    <d v="2016-04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L CHIRIACHE"/>
    <n v="474"/>
    <m/>
    <m/>
    <s v="CAPITAL FEDERAL"/>
    <s v="Buenos Aires"/>
    <m/>
    <s v="U.O.Centro"/>
    <m/>
    <n v="1"/>
    <n v="1"/>
    <n v="1382.73"/>
    <n v="276.54000000000002"/>
    <m/>
    <m/>
    <n v="1106.19"/>
    <m/>
    <n v="27.65"/>
    <m/>
    <m/>
    <m/>
    <m/>
    <m/>
    <m/>
    <n v="13.83"/>
    <m/>
    <m/>
    <m/>
    <m/>
    <m/>
    <m/>
    <n v="27.65"/>
    <m/>
    <m/>
    <m/>
    <m/>
    <m/>
    <m/>
    <m/>
    <n v="13.83"/>
    <m/>
    <n v="82.96"/>
  </r>
  <r>
    <n v="4"/>
    <x v="4"/>
    <x v="1"/>
    <n v="65418"/>
    <s v="GARAY ANGEL FAUSTINO"/>
    <s v="20-27725694-1"/>
    <d v="2016-05-09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18220.57"/>
    <n v="3735.22"/>
    <m/>
    <m/>
    <n v="14485.35"/>
    <n v="455.51"/>
    <m/>
    <m/>
    <m/>
    <m/>
    <m/>
    <m/>
    <m/>
    <n v="182.21"/>
    <m/>
    <m/>
    <m/>
    <m/>
    <m/>
    <m/>
    <n v="364.41"/>
    <m/>
    <m/>
    <m/>
    <m/>
    <m/>
    <m/>
    <m/>
    <n v="182.21"/>
    <m/>
    <n v="1184.3399999999999"/>
  </r>
  <r>
    <n v="4"/>
    <x v="4"/>
    <x v="0"/>
    <n v="164235"/>
    <s v="GAUTO ALVAREZ BEATRIZ"/>
    <s v="27-94488727-5"/>
    <d v="2016-05-09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n v="6973.6"/>
    <n v="1394.73"/>
    <m/>
    <m/>
    <n v="5578.87"/>
    <m/>
    <n v="139.47"/>
    <m/>
    <m/>
    <m/>
    <m/>
    <m/>
    <m/>
    <n v="69.739999999999995"/>
    <m/>
    <m/>
    <m/>
    <m/>
    <m/>
    <m/>
    <n v="139.47"/>
    <m/>
    <m/>
    <m/>
    <m/>
    <m/>
    <m/>
    <m/>
    <n v="69.739999999999995"/>
    <m/>
    <n v="418.42"/>
  </r>
  <r>
    <n v="4"/>
    <x v="4"/>
    <x v="0"/>
    <n v="171607"/>
    <s v="GENTILE CARLA BELEN"/>
    <s v="27-34482466-0"/>
    <d v="2016-04-21T00:00:00"/>
    <n v="34482466"/>
    <s v="GENTILE"/>
    <s v="CARLA BELEN"/>
    <s v="F"/>
    <m/>
    <d v="2016-04-0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GURRUCHAGA"/>
    <n v="1005"/>
    <m/>
    <m/>
    <s v="CAPITAL FEDERAL"/>
    <s v="Capital Federal"/>
    <m/>
    <s v="U.O.Centro"/>
    <m/>
    <n v="1"/>
    <n v="1"/>
    <n v="886.27"/>
    <n v="177.26"/>
    <m/>
    <m/>
    <n v="709.01"/>
    <m/>
    <n v="17.73"/>
    <m/>
    <m/>
    <m/>
    <m/>
    <m/>
    <m/>
    <n v="8.86"/>
    <m/>
    <m/>
    <m/>
    <m/>
    <m/>
    <m/>
    <n v="17.73"/>
    <m/>
    <m/>
    <m/>
    <m/>
    <m/>
    <m/>
    <m/>
    <n v="8.86"/>
    <m/>
    <n v="53.18"/>
  </r>
  <r>
    <n v="4"/>
    <x v="4"/>
    <x v="0"/>
    <n v="171840"/>
    <s v="GERON PABLO"/>
    <s v="20-34949635-7"/>
    <d v="2016-05-09T00:00:00"/>
    <n v="34949635"/>
    <s v="GERON"/>
    <s v="PABLO"/>
    <s v="M"/>
    <m/>
    <d v="2016-04-19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EL ARREO"/>
    <n v="1005"/>
    <m/>
    <m/>
    <s v="CAPITAL FEDERAL"/>
    <s v="Capital Federal"/>
    <m/>
    <s v="U.O.Centro"/>
    <m/>
    <n v="3"/>
    <n v="1"/>
    <n v="3779.04"/>
    <n v="755.81"/>
    <m/>
    <m/>
    <n v="3023.23"/>
    <m/>
    <n v="75.59"/>
    <m/>
    <m/>
    <m/>
    <m/>
    <m/>
    <m/>
    <n v="37.78"/>
    <m/>
    <m/>
    <m/>
    <m/>
    <m/>
    <m/>
    <n v="75.59"/>
    <m/>
    <m/>
    <m/>
    <m/>
    <m/>
    <m/>
    <m/>
    <n v="37.78"/>
    <m/>
    <n v="226.74"/>
  </r>
  <r>
    <n v="4"/>
    <x v="4"/>
    <x v="0"/>
    <n v="171014"/>
    <s v="GODOY BARBARA DANIELA"/>
    <s v="27-38857611-7"/>
    <d v="2016-05-09T00:00:00"/>
    <n v="38857611"/>
    <s v="GODOY"/>
    <s v="BARBARA DANIELA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DOMINGO SCARLATI"/>
    <n v="1232"/>
    <m/>
    <m/>
    <s v="CAPITAL FEDERAL"/>
    <s v="Buenos Aires"/>
    <m/>
    <s v="U.O.Centro"/>
    <s v="Banquetes"/>
    <n v="1"/>
    <n v="1"/>
    <n v="2121.38"/>
    <n v="424.27"/>
    <m/>
    <m/>
    <n v="1697.11"/>
    <m/>
    <n v="42.43"/>
    <m/>
    <m/>
    <m/>
    <m/>
    <m/>
    <m/>
    <n v="21.21"/>
    <m/>
    <m/>
    <m/>
    <m/>
    <m/>
    <m/>
    <n v="42.43"/>
    <m/>
    <m/>
    <m/>
    <m/>
    <m/>
    <m/>
    <m/>
    <n v="21.21"/>
    <m/>
    <n v="127.28"/>
  </r>
  <r>
    <n v="4"/>
    <x v="4"/>
    <x v="0"/>
    <n v="171275"/>
    <s v="GODOY LUCIA AYMARA"/>
    <s v="27-26465340-7"/>
    <d v="2016-05-09T00:00:00"/>
    <n v="26465340"/>
    <s v="GODOY"/>
    <s v="LUCIA AYMAR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EXICO"/>
    <n v="1225"/>
    <n v="6"/>
    <n v="31"/>
    <s v="CAPITAL FEDERAL"/>
    <s v="Buenos Aires"/>
    <m/>
    <s v="U.O.Centro"/>
    <m/>
    <n v="2"/>
    <n v="1"/>
    <n v="9078.23"/>
    <n v="1815.62"/>
    <m/>
    <m/>
    <n v="7262.61"/>
    <m/>
    <n v="181.56"/>
    <m/>
    <m/>
    <m/>
    <m/>
    <m/>
    <m/>
    <n v="90.78"/>
    <m/>
    <m/>
    <m/>
    <m/>
    <m/>
    <m/>
    <n v="181.56"/>
    <m/>
    <m/>
    <m/>
    <m/>
    <m/>
    <m/>
    <m/>
    <n v="90.78"/>
    <m/>
    <n v="544.67999999999995"/>
  </r>
  <r>
    <n v="4"/>
    <x v="4"/>
    <x v="1"/>
    <n v="164986"/>
    <s v="GOMEZ MIGUEL ANGEL"/>
    <s v="20-40687394-4"/>
    <d v="2016-05-09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1"/>
    <n v="1"/>
    <n v="14623.45"/>
    <n v="2924.68"/>
    <m/>
    <m/>
    <n v="11698.77"/>
    <m/>
    <n v="292.47000000000003"/>
    <m/>
    <m/>
    <m/>
    <m/>
    <m/>
    <m/>
    <n v="146.22999999999999"/>
    <m/>
    <m/>
    <m/>
    <m/>
    <m/>
    <m/>
    <n v="292.47000000000003"/>
    <m/>
    <m/>
    <m/>
    <m/>
    <m/>
    <m/>
    <m/>
    <n v="146.22999999999999"/>
    <m/>
    <n v="877.4"/>
  </r>
  <r>
    <n v="4"/>
    <x v="4"/>
    <x v="0"/>
    <n v="165040"/>
    <s v="GOMEZ GARCIA RAUL ANDRES"/>
    <s v="20-34955035-1"/>
    <d v="2016-05-09T00:00:00"/>
    <n v="34955035"/>
    <s v="GOMEZ GARCIA"/>
    <s v="RAUL ANDRES"/>
    <s v="M"/>
    <m/>
    <d v="2016-03-29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n v="1091"/>
    <s v="José Gola 6010 2º C"/>
    <n v="809"/>
    <s v="2º"/>
    <s v="C"/>
    <s v="CAPITAL FEDERAL"/>
    <s v="Capital Federal"/>
    <m/>
    <s v="U.O.Centro"/>
    <m/>
    <n v="3"/>
    <n v="1"/>
    <n v="18386.95"/>
    <n v="3677.39"/>
    <m/>
    <m/>
    <n v="14709.56"/>
    <m/>
    <n v="367.74"/>
    <m/>
    <m/>
    <m/>
    <m/>
    <m/>
    <m/>
    <n v="183.87"/>
    <m/>
    <m/>
    <m/>
    <m/>
    <m/>
    <m/>
    <n v="367.74"/>
    <m/>
    <m/>
    <m/>
    <m/>
    <m/>
    <m/>
    <m/>
    <n v="183.87"/>
    <m/>
    <n v="1103.22"/>
  </r>
  <r>
    <n v="4"/>
    <x v="4"/>
    <x v="0"/>
    <n v="48107"/>
    <s v="GONZALEZ KARINA ELIZABETH"/>
    <s v="27-23467821-9"/>
    <d v="2016-05-09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14505"/>
    <s v="OS  DE PATRONES DE CABOTAJE DE RIOS Y PUERTOS"/>
    <s v="Capital Federal"/>
    <m/>
    <n v="1093"/>
    <s v="EL HORNERO"/>
    <n v="1232"/>
    <m/>
    <m/>
    <s v="CAPITAL FEDERAL"/>
    <s v="Buenos Aires"/>
    <m/>
    <s v="U.O.Centro"/>
    <s v="Ama de Llaves"/>
    <n v="1"/>
    <n v="1"/>
    <n v="16696.25"/>
    <n v="3339.26"/>
    <m/>
    <m/>
    <n v="13356.99"/>
    <m/>
    <n v="333.93"/>
    <m/>
    <m/>
    <m/>
    <m/>
    <m/>
    <m/>
    <n v="166.96"/>
    <m/>
    <m/>
    <m/>
    <m/>
    <m/>
    <m/>
    <n v="333.93"/>
    <m/>
    <m/>
    <m/>
    <m/>
    <m/>
    <m/>
    <m/>
    <n v="166.96"/>
    <m/>
    <n v="1001.78"/>
  </r>
  <r>
    <n v="4"/>
    <x v="4"/>
    <x v="0"/>
    <n v="164221"/>
    <s v="GONZALEZ MARIA LUJAN"/>
    <s v="27-36902344-1"/>
    <d v="2016-05-09T00:00:00"/>
    <n v="36902344"/>
    <s v="GONZALEZ"/>
    <s v="MARIA LUJA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ODRIGUEZ FLORES"/>
    <n v="1225"/>
    <m/>
    <m/>
    <s v="CAPITAL FEDERAL"/>
    <s v="Buenos Aires"/>
    <m/>
    <s v="U.O.Centro"/>
    <m/>
    <n v="2"/>
    <n v="1"/>
    <n v="6234.37"/>
    <n v="1246.8699999999999"/>
    <m/>
    <m/>
    <n v="4987.5"/>
    <m/>
    <n v="124.69"/>
    <m/>
    <m/>
    <m/>
    <m/>
    <m/>
    <m/>
    <n v="62.34"/>
    <m/>
    <m/>
    <m/>
    <m/>
    <m/>
    <m/>
    <n v="124.69"/>
    <m/>
    <m/>
    <m/>
    <m/>
    <m/>
    <m/>
    <m/>
    <n v="62.34"/>
    <m/>
    <n v="374.06"/>
  </r>
  <r>
    <n v="4"/>
    <x v="4"/>
    <x v="1"/>
    <n v="164224"/>
    <s v="GONZALEZ SALOME NATALIA"/>
    <s v="27-35111714-7"/>
    <d v="2016-05-09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4079.11"/>
    <n v="815.81"/>
    <m/>
    <m/>
    <n v="3263.3"/>
    <m/>
    <n v="81.58"/>
    <m/>
    <m/>
    <m/>
    <m/>
    <m/>
    <m/>
    <n v="40.79"/>
    <m/>
    <m/>
    <m/>
    <m/>
    <m/>
    <m/>
    <n v="81.58"/>
    <m/>
    <m/>
    <m/>
    <m/>
    <m/>
    <m/>
    <m/>
    <n v="40.79"/>
    <m/>
    <n v="244.74"/>
  </r>
  <r>
    <n v="4"/>
    <x v="4"/>
    <x v="1"/>
    <n v="136459"/>
    <s v="GONZALEZ VICTOR HUGO"/>
    <s v="20-37376573-3"/>
    <d v="2016-05-09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1"/>
    <n v="1"/>
    <n v="15078.71"/>
    <n v="3015.74"/>
    <m/>
    <m/>
    <n v="12062.97"/>
    <m/>
    <n v="301.57"/>
    <m/>
    <m/>
    <m/>
    <m/>
    <m/>
    <m/>
    <n v="150.79"/>
    <m/>
    <m/>
    <m/>
    <m/>
    <m/>
    <m/>
    <n v="301.57"/>
    <m/>
    <m/>
    <m/>
    <m/>
    <m/>
    <m/>
    <m/>
    <n v="150.79"/>
    <m/>
    <n v="904.72"/>
  </r>
  <r>
    <n v="4"/>
    <x v="4"/>
    <x v="0"/>
    <n v="171594"/>
    <s v="GOREJKO TATIANA ALEXANDRA"/>
    <s v="27-35227561-7"/>
    <d v="2016-04-21T00:00:00"/>
    <n v="35227561"/>
    <s v="GOREJKO"/>
    <s v="TATIANA ALEXANDRA"/>
    <s v="F"/>
    <m/>
    <d v="2016-04-09T00:00:00"/>
    <m/>
    <m/>
    <s v="GASTRONOMICOS-Hoteles 4 y 5 Estrellas - 362/2003"/>
    <s v="Categoria 6"/>
    <x v="1"/>
    <s v="BANQUETES"/>
    <s v="Centro"/>
    <s v="Tareas Generales"/>
    <n v="123305"/>
    <s v="OS  DEL PERSONAL DE SOCIEDADES DE AUTORES Y AFINES"/>
    <s v="Capital Federal"/>
    <m/>
    <n v="1005"/>
    <s v="DELGADO"/>
    <n v="1005"/>
    <m/>
    <m/>
    <s v="CAPITAL FEDERAL"/>
    <s v="Capital Federal"/>
    <m/>
    <s v="U.O.Centro"/>
    <m/>
    <n v="1"/>
    <n v="1"/>
    <n v="1030.78"/>
    <n v="206.16"/>
    <m/>
    <m/>
    <n v="824.62"/>
    <m/>
    <n v="20.62"/>
    <m/>
    <m/>
    <m/>
    <m/>
    <m/>
    <m/>
    <n v="10.31"/>
    <m/>
    <m/>
    <m/>
    <m/>
    <m/>
    <m/>
    <n v="20.62"/>
    <m/>
    <m/>
    <m/>
    <m/>
    <m/>
    <m/>
    <m/>
    <n v="10.31"/>
    <m/>
    <n v="61.86"/>
  </r>
  <r>
    <n v="4"/>
    <x v="4"/>
    <x v="0"/>
    <n v="160168"/>
    <s v="GOROSITO ORNELLA CECILIA"/>
    <s v="27-32738641-2"/>
    <d v="2016-05-09T00:00:00"/>
    <n v="32738641"/>
    <s v="GOROSITO"/>
    <s v="ORNELLA CECILIA"/>
    <s v="F"/>
    <m/>
    <d v="2016-03-0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J V GONZALEZ"/>
    <n v="181"/>
    <m/>
    <m/>
    <s v="CAPITAL FEDERAL"/>
    <s v="Capital Federal"/>
    <m/>
    <s v="U.O.Centro"/>
    <m/>
    <n v="2"/>
    <n v="1"/>
    <n v="621.36"/>
    <n v="124.27"/>
    <m/>
    <m/>
    <n v="497.09"/>
    <m/>
    <n v="12.42"/>
    <m/>
    <m/>
    <m/>
    <m/>
    <m/>
    <m/>
    <n v="6.22"/>
    <m/>
    <m/>
    <m/>
    <m/>
    <m/>
    <m/>
    <n v="12.42"/>
    <m/>
    <m/>
    <m/>
    <m/>
    <m/>
    <m/>
    <m/>
    <n v="6.22"/>
    <m/>
    <n v="37.28"/>
  </r>
  <r>
    <n v="4"/>
    <x v="4"/>
    <x v="0"/>
    <n v="60672"/>
    <s v="GUERRERO FERNANDO FABIAN"/>
    <s v="20-32210766-9"/>
    <d v="2016-05-09T00:00:00"/>
    <n v="32210766"/>
    <s v="GUERRERO"/>
    <s v="FERNANDO FABIAN"/>
    <s v="M"/>
    <m/>
    <d v="2010-08-26T00:00:00"/>
    <d v="2010-09-01T00:00:00"/>
    <m/>
    <s v="GASTRONOMICOS-Hoteles 4 y 5 Estrellas - 362/2003"/>
    <s v="Categoria 5"/>
    <x v="19"/>
    <s v="Unidad Principal"/>
    <s v="Jujuy"/>
    <s v="Mozo Eventos Especiales"/>
    <n v="108803"/>
    <s v="O.S.P.Gastronomico"/>
    <s v="Jujuy"/>
    <s v="M. Moreno"/>
    <n v="4600"/>
    <s v="O´HIGGINS "/>
    <n v="496"/>
    <m/>
    <m/>
    <s v="SAN SALVADOR DE JUJUY"/>
    <s v="Jujuy  "/>
    <m/>
    <s v="Güemes 864- San Salvador- Jujuy"/>
    <s v="RADIO VISIO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4"/>
    <x v="0"/>
    <n v="138788"/>
    <s v="GUIA VANESA DE LOS ANGELES"/>
    <s v="27-27988325-5"/>
    <d v="2016-05-09T00:00:00"/>
    <n v="27988325"/>
    <s v="GUIA"/>
    <s v="VANESA DE LOS ANGELES"/>
    <s v="F"/>
    <m/>
    <d v="2014-12-01T00:00:00"/>
    <d v="2016-04-23T00:00:00"/>
    <d v="2016-04-23T00:00:00"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GUAPEY"/>
    <n v="1232"/>
    <m/>
    <m/>
    <s v="CAPITAL FEDERAL"/>
    <s v="Buenos Aires"/>
    <m/>
    <s v="U.O.Centro"/>
    <s v="Mucama por Jornada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4"/>
    <x v="1"/>
    <n v="77136"/>
    <s v="HAURET BELTRAN"/>
    <s v="20-31675095-9"/>
    <d v="2016-05-09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1"/>
    <n v="1"/>
    <n v="15903.32"/>
    <n v="3180.67"/>
    <m/>
    <m/>
    <n v="12722.65"/>
    <m/>
    <n v="318.07"/>
    <m/>
    <m/>
    <m/>
    <m/>
    <m/>
    <m/>
    <n v="159.03"/>
    <m/>
    <m/>
    <m/>
    <m/>
    <m/>
    <m/>
    <n v="318.07"/>
    <m/>
    <m/>
    <m/>
    <m/>
    <m/>
    <m/>
    <m/>
    <n v="159.03"/>
    <m/>
    <n v="954.2"/>
  </r>
  <r>
    <n v="4"/>
    <x v="4"/>
    <x v="0"/>
    <n v="170479"/>
    <s v="HERMOSILLA LUIS CARLOS"/>
    <s v="20-93896751-3"/>
    <d v="2016-05-09T00:00:00"/>
    <n v="93896751"/>
    <s v="HERMOSILLA"/>
    <s v="LUIS CARLOS"/>
    <s v="M"/>
    <m/>
    <d v="2016-03-1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ESTEBAN BONORINO"/>
    <n v="1225"/>
    <s v="2C"/>
    <m/>
    <s v="CAPITAL FEDERAL"/>
    <s v="Buenos Aires"/>
    <m/>
    <s v="U.O.Centro"/>
    <m/>
    <n v="2"/>
    <n v="1"/>
    <n v="8312.2900000000009"/>
    <n v="1662.46"/>
    <m/>
    <m/>
    <n v="6649.83"/>
    <m/>
    <n v="166.25"/>
    <m/>
    <m/>
    <m/>
    <m/>
    <m/>
    <m/>
    <n v="83.12"/>
    <m/>
    <m/>
    <m/>
    <m/>
    <m/>
    <m/>
    <n v="166.25"/>
    <m/>
    <m/>
    <m/>
    <m/>
    <m/>
    <m/>
    <m/>
    <n v="83.12"/>
    <m/>
    <n v="498.74"/>
  </r>
  <r>
    <n v="4"/>
    <x v="4"/>
    <x v="0"/>
    <n v="170316"/>
    <s v="HERNÁNDEZ LÓPEZ KEVIN FELIPE"/>
    <s v="20-95292340-5"/>
    <d v="2016-05-09T00:00:00"/>
    <n v="95292340"/>
    <s v="HERNÁNDEZ LÓPEZ"/>
    <s v="KEVIN FELIPE"/>
    <s v="M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 HAYA 3977, CAPITAL FEDERAL"/>
    <n v="1225"/>
    <m/>
    <m/>
    <s v="CAPITAL FEDERAL"/>
    <s v="Buenos Aires"/>
    <m/>
    <s v="U.O.Centro"/>
    <m/>
    <n v="1"/>
    <n v="1"/>
    <n v="2337.89"/>
    <n v="467.59"/>
    <m/>
    <m/>
    <n v="1870.3"/>
    <m/>
    <n v="46.76"/>
    <m/>
    <m/>
    <m/>
    <m/>
    <m/>
    <m/>
    <n v="23.38"/>
    <m/>
    <m/>
    <m/>
    <m/>
    <m/>
    <m/>
    <n v="46.76"/>
    <m/>
    <m/>
    <m/>
    <m/>
    <m/>
    <m/>
    <m/>
    <n v="23.38"/>
    <m/>
    <n v="140.28"/>
  </r>
  <r>
    <n v="4"/>
    <x v="4"/>
    <x v="1"/>
    <n v="171895"/>
    <s v="IBARRA LUISINA YASMIN"/>
    <s v="27-37039024-5"/>
    <d v="2016-05-09T00:00:00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LUMERIZZO"/>
    <n v="764"/>
    <m/>
    <m/>
    <s v="CAPITAL FEDERAL"/>
    <s v="Capital Federal"/>
    <m/>
    <s v="U.O.Centro Paga Inplant"/>
    <m/>
    <n v="1"/>
    <n v="1"/>
    <n v="3084.36"/>
    <n v="616.87"/>
    <m/>
    <m/>
    <n v="2467.4899999999998"/>
    <m/>
    <n v="61.69"/>
    <m/>
    <m/>
    <m/>
    <m/>
    <m/>
    <m/>
    <n v="30.84"/>
    <m/>
    <m/>
    <m/>
    <m/>
    <m/>
    <m/>
    <n v="61.69"/>
    <m/>
    <m/>
    <m/>
    <m/>
    <m/>
    <m/>
    <m/>
    <n v="30.84"/>
    <m/>
    <n v="185.06"/>
  </r>
  <r>
    <n v="4"/>
    <x v="4"/>
    <x v="1"/>
    <n v="152999"/>
    <s v="INOJOSA NELSON RAUL"/>
    <s v="20-25995558-1"/>
    <d v="2016-05-09T00:00:00"/>
    <n v="25995558"/>
    <s v="INOJOSA"/>
    <s v="NELSON RAUL"/>
    <s v="M"/>
    <m/>
    <d v="2015-09-2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SARMIENTO"/>
    <n v="764"/>
    <s v="PB"/>
    <m/>
    <s v="CAPITAL FEDERAL"/>
    <s v="Capital Federal"/>
    <m/>
    <s v="U.O.Centro Paga Inplant"/>
    <m/>
    <n v="1"/>
    <n v="1"/>
    <n v="7975.3"/>
    <n v="1595.06"/>
    <m/>
    <m/>
    <n v="6380.24"/>
    <m/>
    <n v="159.51"/>
    <m/>
    <m/>
    <m/>
    <m/>
    <m/>
    <m/>
    <n v="79.75"/>
    <m/>
    <m/>
    <m/>
    <m/>
    <m/>
    <m/>
    <n v="159.51"/>
    <m/>
    <m/>
    <m/>
    <m/>
    <m/>
    <m/>
    <m/>
    <n v="79.75"/>
    <m/>
    <n v="478.52"/>
  </r>
  <r>
    <n v="4"/>
    <x v="4"/>
    <x v="0"/>
    <n v="171785"/>
    <s v="INSABRALDE HERNAN JOSE"/>
    <s v="23-32191224-9"/>
    <d v="2016-04-21T00:00:00"/>
    <n v="32191224"/>
    <s v="INSABRALDE"/>
    <s v="HERNAN JOSE"/>
    <s v="M"/>
    <m/>
    <d v="2016-04-13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FACUNDO QUIROGA"/>
    <n v="1005"/>
    <m/>
    <m/>
    <s v="CAPITAL FEDERAL"/>
    <s v="Capital Federal"/>
    <m/>
    <s v="U.O.Centro"/>
    <m/>
    <n v="1"/>
    <n v="1"/>
    <n v="549.17999999999995"/>
    <n v="109.84"/>
    <m/>
    <m/>
    <n v="439.34"/>
    <m/>
    <n v="10.98"/>
    <m/>
    <m/>
    <m/>
    <m/>
    <m/>
    <m/>
    <n v="5.49"/>
    <m/>
    <m/>
    <m/>
    <m/>
    <m/>
    <m/>
    <n v="10.98"/>
    <m/>
    <m/>
    <m/>
    <m/>
    <m/>
    <m/>
    <m/>
    <n v="5.49"/>
    <m/>
    <n v="32.94"/>
  </r>
  <r>
    <n v="4"/>
    <x v="4"/>
    <x v="0"/>
    <n v="155922"/>
    <s v="JANNON LUIS AUGUSTO"/>
    <s v="20-32336089-9"/>
    <d v="2016-05-09T00:00:00"/>
    <n v="32336089"/>
    <s v="JANNON"/>
    <s v="LUIS AUGUSTO"/>
    <s v="M"/>
    <m/>
    <d v="2016-02-0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3"/>
    <n v="1"/>
    <n v="11128.52"/>
    <n v="2225.6799999999998"/>
    <m/>
    <m/>
    <n v="8902.84"/>
    <m/>
    <n v="222.57"/>
    <m/>
    <m/>
    <m/>
    <m/>
    <m/>
    <m/>
    <n v="111.28"/>
    <m/>
    <m/>
    <m/>
    <m/>
    <m/>
    <m/>
    <n v="222.57"/>
    <m/>
    <m/>
    <m/>
    <m/>
    <m/>
    <m/>
    <m/>
    <n v="111.28"/>
    <m/>
    <n v="667.7"/>
  </r>
  <r>
    <n v="4"/>
    <x v="4"/>
    <x v="0"/>
    <n v="171022"/>
    <s v="JUAREZ EZEQUIEL JOSE EDUARDO"/>
    <s v="20-40672881-2"/>
    <d v="2016-05-09T00:00:00"/>
    <n v="40672881"/>
    <s v="JUAREZ"/>
    <s v="EZEQUIEL JOSE EDUARDO"/>
    <s v="M"/>
    <m/>
    <d v="2016-04-2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WARNES"/>
    <n v="1232"/>
    <m/>
    <m/>
    <s v="CAPITAL FEDERAL"/>
    <s v="Buenos Aires"/>
    <m/>
    <s v="U.O.Centro"/>
    <s v="Banquetes"/>
    <n v="2"/>
    <n v="1"/>
    <n v="3324.17"/>
    <n v="664.85"/>
    <m/>
    <m/>
    <n v="2659.32"/>
    <m/>
    <n v="66.489999999999995"/>
    <m/>
    <m/>
    <m/>
    <m/>
    <m/>
    <m/>
    <n v="33.24"/>
    <m/>
    <m/>
    <m/>
    <m/>
    <m/>
    <m/>
    <n v="66.489999999999995"/>
    <m/>
    <m/>
    <m/>
    <m/>
    <m/>
    <m/>
    <m/>
    <n v="33.24"/>
    <m/>
    <n v="199.46"/>
  </r>
  <r>
    <n v="4"/>
    <x v="4"/>
    <x v="0"/>
    <n v="170477"/>
    <s v="JUÁREZ MAURO IVÁN"/>
    <s v="20-35753069-6"/>
    <d v="2016-05-09T00:00:00"/>
    <n v="35753069"/>
    <s v="JUÁREZ"/>
    <s v="MAURO IVÁN"/>
    <s v="M"/>
    <m/>
    <d v="2016-03-19T00:00:00"/>
    <d v="2016-05-03T00:00:00"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ALEM"/>
    <n v="1225"/>
    <m/>
    <m/>
    <s v="CAPITAL FEDERAL"/>
    <s v="Buenos Aires"/>
    <m/>
    <s v="U.O.Centro"/>
    <m/>
    <n v="2"/>
    <n v="1"/>
    <n v="2557.63"/>
    <n v="511.52"/>
    <m/>
    <m/>
    <n v="2046.11"/>
    <m/>
    <n v="51.15"/>
    <m/>
    <m/>
    <m/>
    <m/>
    <m/>
    <m/>
    <n v="25.57"/>
    <m/>
    <m/>
    <m/>
    <m/>
    <m/>
    <m/>
    <n v="51.15"/>
    <m/>
    <m/>
    <m/>
    <m/>
    <m/>
    <m/>
    <m/>
    <n v="25.57"/>
    <m/>
    <n v="153.44"/>
  </r>
  <r>
    <n v="4"/>
    <x v="4"/>
    <x v="0"/>
    <n v="162207"/>
    <s v="KOLTOWSKI ALICIA ANDREA"/>
    <s v="27-24905826-8"/>
    <d v="2016-05-09T00:00:00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MONTEVERDE"/>
    <n v="1225"/>
    <m/>
    <m/>
    <s v="CAPITAL FEDERAL"/>
    <s v="Buenos Aires"/>
    <m/>
    <s v="U.O.Centro"/>
    <m/>
    <n v="2"/>
    <n v="1"/>
    <n v="3896.47"/>
    <n v="779.3"/>
    <m/>
    <m/>
    <n v="3117.17"/>
    <m/>
    <n v="77.930000000000007"/>
    <m/>
    <m/>
    <m/>
    <m/>
    <m/>
    <m/>
    <n v="38.96"/>
    <m/>
    <m/>
    <m/>
    <m/>
    <m/>
    <m/>
    <n v="77.930000000000007"/>
    <m/>
    <m/>
    <m/>
    <m/>
    <m/>
    <m/>
    <m/>
    <n v="38.96"/>
    <m/>
    <n v="233.78"/>
  </r>
  <r>
    <n v="4"/>
    <x v="4"/>
    <x v="0"/>
    <n v="172052"/>
    <s v="KUMANI CINTHIA"/>
    <s v="27-36821956-3"/>
    <d v="2016-05-09T00:00:00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N LUIS"/>
    <n v="1225"/>
    <m/>
    <m/>
    <s v="CAPITAL FEDERAL"/>
    <s v="Buenos Aires"/>
    <m/>
    <s v="U.O.Centro"/>
    <m/>
    <n v="1"/>
    <n v="1"/>
    <n v="3117.18"/>
    <n v="623.44000000000005"/>
    <m/>
    <m/>
    <n v="2493.7399999999998"/>
    <m/>
    <n v="62.34"/>
    <m/>
    <m/>
    <m/>
    <m/>
    <m/>
    <m/>
    <n v="31.17"/>
    <m/>
    <m/>
    <m/>
    <m/>
    <m/>
    <m/>
    <n v="62.34"/>
    <m/>
    <m/>
    <m/>
    <m/>
    <m/>
    <m/>
    <m/>
    <n v="31.17"/>
    <m/>
    <n v="187.02"/>
  </r>
  <r>
    <n v="4"/>
    <x v="4"/>
    <x v="1"/>
    <n v="170491"/>
    <s v="LEYES BRIAN RAFAEL"/>
    <s v="20-38422213-8"/>
    <d v="2016-05-09T00:00:00"/>
    <n v="38422213"/>
    <s v="LEYES"/>
    <s v="BRIAN RAFAEL"/>
    <s v="M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CANALES"/>
    <n v="1584"/>
    <m/>
    <m/>
    <s v="CAPITAL FEDERAL"/>
    <s v="Capital Federal"/>
    <m/>
    <s v="U.O.Centro"/>
    <s v="Alvear Palace"/>
    <n v="1"/>
    <n v="1"/>
    <n v="534.14"/>
    <n v="106.82"/>
    <m/>
    <m/>
    <n v="427.32"/>
    <m/>
    <n v="10.68"/>
    <m/>
    <m/>
    <m/>
    <m/>
    <m/>
    <m/>
    <n v="5.34"/>
    <m/>
    <m/>
    <m/>
    <m/>
    <m/>
    <m/>
    <n v="10.68"/>
    <m/>
    <m/>
    <m/>
    <m/>
    <m/>
    <m/>
    <m/>
    <n v="5.34"/>
    <m/>
    <n v="32.04"/>
  </r>
  <r>
    <n v="4"/>
    <x v="4"/>
    <x v="0"/>
    <n v="170301"/>
    <s v="LIRA ELIANA EDITH"/>
    <s v="27-27473307-7"/>
    <d v="2016-05-09T00:00:00"/>
    <n v="27473307"/>
    <s v="LIRA"/>
    <s v="ELIANA EDITH"/>
    <s v="F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RONEL MAGAN"/>
    <n v="1225"/>
    <m/>
    <m/>
    <s v="CAPITAL FEDERAL"/>
    <s v="Buenos Aires"/>
    <m/>
    <s v="U.O.Centro"/>
    <m/>
    <n v="2"/>
    <n v="1"/>
    <n v="4286.13"/>
    <n v="857.21"/>
    <m/>
    <m/>
    <n v="3428.92"/>
    <m/>
    <n v="85.72"/>
    <m/>
    <m/>
    <m/>
    <m/>
    <m/>
    <m/>
    <n v="42.86"/>
    <m/>
    <m/>
    <m/>
    <m/>
    <m/>
    <m/>
    <n v="85.72"/>
    <m/>
    <m/>
    <m/>
    <m/>
    <m/>
    <m/>
    <m/>
    <n v="42.86"/>
    <m/>
    <n v="257.16000000000003"/>
  </r>
  <r>
    <n v="4"/>
    <x v="4"/>
    <x v="1"/>
    <n v="170264"/>
    <s v="LIZARRAGA ARIEL HERNAN"/>
    <s v="20-30593212-5"/>
    <d v="2016-05-09T00:00:00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martinto"/>
    <n v="1891"/>
    <m/>
    <m/>
    <s v="CAPITAL FEDERAL"/>
    <s v="Capital Federal"/>
    <m/>
    <s v="U.O.Centro"/>
    <s v="Alvear Palace"/>
    <n v="1"/>
    <n v="1"/>
    <n v="5202.79"/>
    <n v="1040.56"/>
    <m/>
    <m/>
    <n v="4162.2299999999996"/>
    <m/>
    <n v="104.06"/>
    <m/>
    <m/>
    <m/>
    <m/>
    <m/>
    <m/>
    <n v="52.03"/>
    <m/>
    <m/>
    <m/>
    <m/>
    <m/>
    <m/>
    <n v="104.06"/>
    <m/>
    <m/>
    <m/>
    <m/>
    <m/>
    <m/>
    <m/>
    <n v="52.03"/>
    <m/>
    <n v="312.18"/>
  </r>
  <r>
    <n v="4"/>
    <x v="4"/>
    <x v="0"/>
    <n v="164880"/>
    <s v="LOPEZ DIORIO RODRIGO NAHUEL"/>
    <s v="20-38066576-0"/>
    <d v="2016-05-09T00:00:00"/>
    <n v="38066576"/>
    <s v="LOPEZ DIORIO"/>
    <s v="RODRIGO NAHUEL"/>
    <s v="M"/>
    <m/>
    <d v="2016-02-14T00:00:00"/>
    <m/>
    <m/>
    <s v="GASTRONOMICOS-Hoteles 4 y 5 Estrellas - 362/2003"/>
    <s v="Categoria 3"/>
    <x v="12"/>
    <s v="Unidad Principal"/>
    <s v="Centro"/>
    <s v="Tareas Generales"/>
    <n v="108803"/>
    <s v="O.S.P.Gastronomico"/>
    <s v="Capital Federal"/>
    <m/>
    <n v="1129"/>
    <n v="156"/>
    <n v="1891"/>
    <m/>
    <m/>
    <s v="CAPITAL FEDERAL"/>
    <s v="Capital Federal"/>
    <m/>
    <s v="U.O.Centro"/>
    <s v="Alvear Palace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4"/>
    <x v="0"/>
    <n v="169947"/>
    <s v="LOPEZ ROMERO NESTOR DAMIAN"/>
    <s v="20-94770741-9"/>
    <d v="2016-05-09T00:00:0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RIO IGUAZU"/>
    <n v="1225"/>
    <m/>
    <m/>
    <s v="CAPITAL FEDERAL"/>
    <s v="Buenos Aires"/>
    <m/>
    <s v="U.O.Centro"/>
    <m/>
    <n v="2"/>
    <n v="1"/>
    <n v="8866.51"/>
    <n v="1773.31"/>
    <m/>
    <m/>
    <n v="7093.2"/>
    <m/>
    <n v="177.33"/>
    <m/>
    <m/>
    <m/>
    <m/>
    <m/>
    <m/>
    <n v="88.67"/>
    <m/>
    <m/>
    <m/>
    <m/>
    <m/>
    <m/>
    <n v="177.33"/>
    <m/>
    <m/>
    <m/>
    <m/>
    <m/>
    <m/>
    <m/>
    <n v="88.67"/>
    <m/>
    <n v="532"/>
  </r>
  <r>
    <n v="4"/>
    <x v="4"/>
    <x v="1"/>
    <n v="147835"/>
    <s v="LUQUE JAVIER ANTONIO"/>
    <s v="20-37023577-6"/>
    <d v="2016-05-09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1"/>
    <n v="1"/>
    <n v="9806.61"/>
    <n v="1961.33"/>
    <m/>
    <m/>
    <n v="7845.28"/>
    <m/>
    <n v="196.13"/>
    <m/>
    <m/>
    <m/>
    <m/>
    <m/>
    <m/>
    <n v="98.07"/>
    <m/>
    <m/>
    <m/>
    <m/>
    <m/>
    <m/>
    <n v="196.13"/>
    <m/>
    <m/>
    <m/>
    <m/>
    <m/>
    <m/>
    <m/>
    <n v="98.07"/>
    <m/>
    <n v="588.4"/>
  </r>
  <r>
    <n v="4"/>
    <x v="4"/>
    <x v="1"/>
    <n v="172051"/>
    <s v="MACIEL DIEGO MAXIMILIANO"/>
    <s v="20-37179030-7"/>
    <d v="2016-05-09T00:00:00"/>
    <n v="37179030"/>
    <s v="MACIEL"/>
    <s v="DIEGO MAXIMILIANO"/>
    <s v="M"/>
    <m/>
    <d v="2016-04-2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s v="CARLOS PELLEGRINI"/>
    <n v="507"/>
    <m/>
    <m/>
    <s v="CAPITAL FEDERAL"/>
    <s v="Capital Federal"/>
    <m/>
    <s v="U.O.Centro Paga Inplant"/>
    <m/>
    <n v="1"/>
    <n v="1"/>
    <n v="2779.2"/>
    <n v="555.84"/>
    <m/>
    <m/>
    <n v="2223.36"/>
    <m/>
    <n v="55.58"/>
    <m/>
    <m/>
    <m/>
    <m/>
    <m/>
    <m/>
    <n v="27.79"/>
    <m/>
    <m/>
    <m/>
    <m/>
    <m/>
    <m/>
    <n v="55.58"/>
    <m/>
    <m/>
    <m/>
    <m/>
    <m/>
    <m/>
    <m/>
    <n v="27.79"/>
    <m/>
    <n v="166.74"/>
  </r>
  <r>
    <n v="4"/>
    <x v="4"/>
    <x v="0"/>
    <n v="170140"/>
    <s v="MAIDANA OSCAR RODOLFO"/>
    <s v="20-12573728-6"/>
    <d v="2016-05-09T00:00:0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n v="1104"/>
    <s v="MARCO SASTRE"/>
    <n v="1225"/>
    <m/>
    <m/>
    <s v="CAPITAL FEDERAL"/>
    <s v="Buenos Aires"/>
    <m/>
    <s v="U.O.Centro"/>
    <m/>
    <n v="1"/>
    <n v="1"/>
    <n v="17213.37"/>
    <n v="3442.67"/>
    <m/>
    <m/>
    <n v="13770.7"/>
    <m/>
    <n v="344.27"/>
    <m/>
    <m/>
    <m/>
    <m/>
    <m/>
    <m/>
    <n v="172.13"/>
    <m/>
    <m/>
    <m/>
    <m/>
    <m/>
    <m/>
    <n v="344.27"/>
    <m/>
    <m/>
    <m/>
    <m/>
    <m/>
    <m/>
    <m/>
    <n v="172.13"/>
    <m/>
    <n v="1032.8"/>
  </r>
  <r>
    <n v="4"/>
    <x v="4"/>
    <x v="0"/>
    <n v="171021"/>
    <s v="MAITA GISELLE ELIANA"/>
    <s v="27-34799549-0"/>
    <d v="2016-04-21T00:00:00"/>
    <n v="34799549"/>
    <s v="MAITA"/>
    <s v="GISELLE ELIANA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RQUIMEDES"/>
    <n v="1005"/>
    <m/>
    <m/>
    <s v="CAPITAL FEDERAL"/>
    <s v="Capital Federal"/>
    <m/>
    <s v="U.O.Centro"/>
    <m/>
    <n v="1"/>
    <n v="1"/>
    <n v="2223.87"/>
    <n v="444.79"/>
    <m/>
    <m/>
    <n v="1779.08"/>
    <m/>
    <n v="44.48"/>
    <m/>
    <m/>
    <m/>
    <m/>
    <m/>
    <m/>
    <n v="22.24"/>
    <m/>
    <m/>
    <m/>
    <m/>
    <m/>
    <m/>
    <n v="44.48"/>
    <m/>
    <m/>
    <m/>
    <m/>
    <m/>
    <m/>
    <m/>
    <n v="22.24"/>
    <m/>
    <n v="133.44"/>
  </r>
  <r>
    <n v="4"/>
    <x v="4"/>
    <x v="0"/>
    <n v="163375"/>
    <s v="MANGIN CARINA ANAHI"/>
    <s v="27-31623620-6"/>
    <d v="2016-05-09T00:00:00"/>
    <n v="31623620"/>
    <s v="MANGIN"/>
    <s v="CARINA ANAHI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VIDEO"/>
    <n v="1225"/>
    <m/>
    <s v="PB"/>
    <s v="CAPITAL FEDERAL"/>
    <s v="Buenos Aires"/>
    <m/>
    <s v="U.O.Centro"/>
    <m/>
    <n v="3"/>
    <n v="1"/>
    <n v="9714"/>
    <n v="1942.81"/>
    <m/>
    <m/>
    <n v="7771.19"/>
    <m/>
    <n v="194.28"/>
    <m/>
    <m/>
    <m/>
    <m/>
    <m/>
    <m/>
    <n v="97.14"/>
    <m/>
    <m/>
    <m/>
    <m/>
    <m/>
    <m/>
    <n v="194.28"/>
    <m/>
    <m/>
    <m/>
    <m/>
    <m/>
    <m/>
    <m/>
    <n v="97.14"/>
    <m/>
    <n v="582.84"/>
  </r>
  <r>
    <n v="4"/>
    <x v="4"/>
    <x v="0"/>
    <n v="171277"/>
    <s v="MARKS VANINA"/>
    <s v="27-35454974-9"/>
    <d v="2016-05-09T00:00:00"/>
    <n v="35454974"/>
    <s v="MARKS"/>
    <s v="VANINA"/>
    <s v="F"/>
    <m/>
    <d v="2016-04-01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BENITEZ PEREZ GALDO"/>
    <n v="1225"/>
    <m/>
    <m/>
    <s v="CAPITAL FEDERAL"/>
    <s v="Buenos Aires"/>
    <m/>
    <s v="U.O.Centro"/>
    <m/>
    <n v="1"/>
    <n v="1"/>
    <n v="1970.33"/>
    <n v="394.07"/>
    <m/>
    <m/>
    <n v="1576.26"/>
    <m/>
    <n v="39.409999999999997"/>
    <m/>
    <m/>
    <m/>
    <m/>
    <m/>
    <m/>
    <n v="19.7"/>
    <m/>
    <m/>
    <m/>
    <m/>
    <m/>
    <m/>
    <n v="39.409999999999997"/>
    <m/>
    <m/>
    <m/>
    <m/>
    <m/>
    <m/>
    <m/>
    <n v="19.7"/>
    <m/>
    <n v="118.22"/>
  </r>
  <r>
    <n v="4"/>
    <x v="4"/>
    <x v="1"/>
    <n v="143423"/>
    <s v="MARQUEZ LAURA MABEL"/>
    <s v="27-26174399-5"/>
    <d v="2016-05-09T00:00:00"/>
    <n v="26174399"/>
    <s v="MARQUEZ"/>
    <s v="LAURA MABEL"/>
    <s v="F"/>
    <m/>
    <d v="2015-01-20T00:00:00"/>
    <d v="2016-04-14T00:00:00"/>
    <d v="2016-04-14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UEYRREDON"/>
    <n v="764"/>
    <n v="1"/>
    <s v="A"/>
    <s v="CAPITAL FEDERAL"/>
    <s v="Capital Federal"/>
    <m/>
    <s v="U.O.Centro Paga Inplant"/>
    <m/>
    <n v="1"/>
    <n v="1"/>
    <n v="11247.1"/>
    <n v="2249.41"/>
    <m/>
    <m/>
    <n v="8997.69"/>
    <m/>
    <n v="224.94"/>
    <m/>
    <m/>
    <m/>
    <m/>
    <m/>
    <m/>
    <n v="112.47"/>
    <m/>
    <m/>
    <m/>
    <m/>
    <m/>
    <m/>
    <n v="224.94"/>
    <m/>
    <m/>
    <m/>
    <m/>
    <m/>
    <m/>
    <m/>
    <n v="112.47"/>
    <m/>
    <n v="674.82"/>
  </r>
  <r>
    <n v="4"/>
    <x v="4"/>
    <x v="0"/>
    <n v="170494"/>
    <s v="MARSON EMILIANO DAMIAN"/>
    <s v="24-30778105-7"/>
    <d v="2016-05-09T00:00:00"/>
    <n v="30778105"/>
    <s v="MARSON"/>
    <s v="EMILIANO DAMIAN"/>
    <s v="M"/>
    <m/>
    <d v="2016-03-19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ASAJE M GALINDEZ"/>
    <n v="1225"/>
    <m/>
    <m/>
    <s v="CAPITAL FEDERAL"/>
    <s v="Buenos Aires"/>
    <m/>
    <s v="U.O.Centro"/>
    <m/>
    <n v="2"/>
    <n v="1"/>
    <n v="4675.78"/>
    <n v="935.15"/>
    <m/>
    <m/>
    <n v="3740.63"/>
    <m/>
    <n v="93.52"/>
    <m/>
    <m/>
    <m/>
    <m/>
    <m/>
    <m/>
    <n v="46.76"/>
    <m/>
    <m/>
    <m/>
    <m/>
    <m/>
    <m/>
    <n v="93.52"/>
    <m/>
    <m/>
    <m/>
    <m/>
    <m/>
    <m/>
    <m/>
    <n v="46.76"/>
    <m/>
    <n v="280.56"/>
  </r>
  <r>
    <n v="4"/>
    <x v="4"/>
    <x v="0"/>
    <n v="56094"/>
    <s v="MARTINEZ BUFFA EMMANUEL"/>
    <s v="20-28056479-7"/>
    <d v="2016-05-09T00:00:00"/>
    <n v="28056479"/>
    <s v="MARTINEZ"/>
    <s v="BUFFA EMMANUEL"/>
    <s v="M"/>
    <m/>
    <d v="2010-04-13T00:00:00"/>
    <d v="2011-04-14T00:00:00"/>
    <d v="2011-04-14T00:00:00"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n v="363"/>
    <n v="535"/>
    <m/>
    <m/>
    <s v="CAPITAL FEDERAL"/>
    <s v="Capital Federal"/>
    <s v="U.O. CENTRO"/>
    <s v="U.O.Centro Paga ADP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4"/>
    <x v="1"/>
    <n v="122290"/>
    <s v="MARTINEZ EZEQUIEL FACUNDO"/>
    <s v="20-28328215-6"/>
    <d v="2016-05-09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2"/>
    <n v="1"/>
    <n v="11943.14"/>
    <n v="2448.88"/>
    <m/>
    <n v="21.58"/>
    <n v="9515.84"/>
    <n v="299.12"/>
    <m/>
    <m/>
    <m/>
    <m/>
    <m/>
    <m/>
    <m/>
    <n v="119.43"/>
    <m/>
    <m/>
    <m/>
    <m/>
    <m/>
    <m/>
    <n v="239.29"/>
    <m/>
    <m/>
    <m/>
    <m/>
    <m/>
    <m/>
    <m/>
    <n v="119.43"/>
    <m/>
    <n v="777.27"/>
  </r>
  <r>
    <n v="4"/>
    <x v="4"/>
    <x v="0"/>
    <n v="155981"/>
    <s v="MARTINEZ GABRIEL ALFREDO"/>
    <s v="20-26702400-7"/>
    <d v="2016-04-21T00:00:00"/>
    <n v="26702400"/>
    <s v="MARTINEZ"/>
    <s v="GABRIEL ALFREDO"/>
    <s v="M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ING- CHAPEAUROUGE"/>
    <n v="1005"/>
    <m/>
    <m/>
    <s v="CAPITAL FEDERAL"/>
    <s v="Capital Federal"/>
    <m/>
    <s v="U.O.Centro"/>
    <m/>
    <n v="1"/>
    <n v="1"/>
    <n v="1918.74"/>
    <n v="383.74"/>
    <m/>
    <m/>
    <n v="1535"/>
    <m/>
    <n v="38.369999999999997"/>
    <m/>
    <m/>
    <m/>
    <m/>
    <m/>
    <m/>
    <n v="19.190000000000001"/>
    <m/>
    <m/>
    <m/>
    <m/>
    <m/>
    <m/>
    <n v="38.369999999999997"/>
    <m/>
    <m/>
    <m/>
    <m/>
    <m/>
    <m/>
    <m/>
    <n v="19.190000000000001"/>
    <m/>
    <n v="115.12"/>
  </r>
  <r>
    <n v="4"/>
    <x v="4"/>
    <x v="1"/>
    <n v="171586"/>
    <s v="MARTINEZ JONATHAN"/>
    <s v="20-31158376-0"/>
    <d v="2016-05-09T00:00:00"/>
    <n v="31158376"/>
    <s v="MARTINEZ"/>
    <s v="JONATHAN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LAVALLOL"/>
    <n v="1891"/>
    <n v="1"/>
    <s v="D"/>
    <s v="CAPITAL FEDERAL"/>
    <s v="Capital Federal"/>
    <m/>
    <s v="U.O.Centro"/>
    <s v="Alvear Palace"/>
    <n v="1"/>
    <n v="1"/>
    <n v="3204.81"/>
    <n v="640.96"/>
    <m/>
    <m/>
    <n v="2563.85"/>
    <m/>
    <n v="64.099999999999994"/>
    <m/>
    <m/>
    <m/>
    <m/>
    <m/>
    <m/>
    <n v="32.049999999999997"/>
    <m/>
    <m/>
    <m/>
    <m/>
    <m/>
    <m/>
    <n v="64.099999999999994"/>
    <m/>
    <m/>
    <m/>
    <m/>
    <m/>
    <m/>
    <m/>
    <n v="32.049999999999997"/>
    <m/>
    <n v="192.3"/>
  </r>
  <r>
    <n v="4"/>
    <x v="4"/>
    <x v="1"/>
    <n v="126586"/>
    <s v="MEDINA ANTONIO SAMUEL"/>
    <s v="23-31641343-9"/>
    <d v="2016-05-09T00:00:00"/>
    <n v="31641343"/>
    <s v="MEDINA"/>
    <s v="ANTONIO SAMUEL"/>
    <s v="M"/>
    <m/>
    <d v="2015-03-02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REPUBLICA ARGENTINA"/>
    <n v="507"/>
    <s v="PB"/>
    <n v="2"/>
    <s v="CAPITAL FEDERAL"/>
    <s v="Capital Federal"/>
    <m/>
    <s v="U.O.Centro Paga Inplant"/>
    <m/>
    <n v="3"/>
    <n v="1"/>
    <n v="12789.9"/>
    <n v="2621.91"/>
    <m/>
    <m/>
    <n v="10167.99"/>
    <n v="319.74"/>
    <m/>
    <m/>
    <m/>
    <m/>
    <m/>
    <m/>
    <m/>
    <n v="127.9"/>
    <m/>
    <m/>
    <m/>
    <m/>
    <m/>
    <m/>
    <n v="255.79"/>
    <n v="34.92"/>
    <m/>
    <m/>
    <m/>
    <m/>
    <m/>
    <m/>
    <n v="92.98"/>
    <m/>
    <n v="831.33"/>
  </r>
  <r>
    <n v="4"/>
    <x v="4"/>
    <x v="0"/>
    <n v="161583"/>
    <s v="MEDINA EMILSE RAQUEL"/>
    <s v="27-36216142-3"/>
    <d v="2016-05-09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2"/>
    <n v="1"/>
    <n v="4286.12"/>
    <n v="857.22"/>
    <m/>
    <m/>
    <n v="3428.9"/>
    <m/>
    <n v="85.73"/>
    <m/>
    <m/>
    <m/>
    <m/>
    <m/>
    <m/>
    <n v="42.86"/>
    <m/>
    <m/>
    <m/>
    <m/>
    <m/>
    <m/>
    <n v="85.73"/>
    <m/>
    <m/>
    <m/>
    <m/>
    <m/>
    <m/>
    <m/>
    <n v="42.86"/>
    <m/>
    <n v="257.18"/>
  </r>
  <r>
    <n v="4"/>
    <x v="4"/>
    <x v="1"/>
    <n v="168289"/>
    <s v="MEDINA JESICA FABIANA"/>
    <s v="23-36214863-4"/>
    <d v="2016-05-09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 Paga Inplant"/>
    <m/>
    <n v="1"/>
    <n v="1"/>
    <n v="11456.18"/>
    <n v="2291.2399999999998"/>
    <m/>
    <m/>
    <n v="9164.94"/>
    <m/>
    <n v="229.12"/>
    <m/>
    <m/>
    <m/>
    <m/>
    <m/>
    <m/>
    <n v="114.56"/>
    <m/>
    <m/>
    <m/>
    <m/>
    <m/>
    <m/>
    <n v="229.12"/>
    <m/>
    <m/>
    <m/>
    <m/>
    <m/>
    <m/>
    <m/>
    <n v="114.56"/>
    <m/>
    <n v="687.36"/>
  </r>
  <r>
    <n v="4"/>
    <x v="4"/>
    <x v="1"/>
    <n v="170883"/>
    <s v="MEDINA PUEBLA GISELE DEBORA"/>
    <s v="27-32303353-1"/>
    <d v="2016-05-09T00:00:00"/>
    <n v="32303353"/>
    <s v="MEDINA PUEBLA"/>
    <s v="GISELE DEBORA"/>
    <s v="F"/>
    <m/>
    <d v="2016-03-29T00:00:00"/>
    <d v="2016-04-27T00:00:00"/>
    <d v="2016-04-27T00:00:00"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PEDERNERA"/>
    <n v="764"/>
    <m/>
    <m/>
    <s v="CAPITAL FEDERAL"/>
    <s v="Capital Federal"/>
    <m/>
    <s v="U.O.Centro Paga Inplant"/>
    <m/>
    <n v="1"/>
    <n v="1"/>
    <n v="1915.85"/>
    <n v="383.18"/>
    <m/>
    <m/>
    <n v="1532.67"/>
    <m/>
    <n v="38.32"/>
    <m/>
    <m/>
    <m/>
    <m/>
    <m/>
    <m/>
    <n v="19.16"/>
    <m/>
    <m/>
    <m/>
    <m/>
    <m/>
    <m/>
    <n v="38.32"/>
    <m/>
    <m/>
    <m/>
    <m/>
    <m/>
    <m/>
    <m/>
    <n v="19.16"/>
    <m/>
    <n v="114.96"/>
  </r>
  <r>
    <n v="4"/>
    <x v="4"/>
    <x v="0"/>
    <n v="171008"/>
    <s v="MELIAN CHRISTIAN ALEJANDRO"/>
    <s v="20-38820036-8"/>
    <d v="2016-05-09T00:00:00"/>
    <n v="38820036"/>
    <s v="MELIAN"/>
    <s v="CHRISTIAN ALEJANDR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APRIDA"/>
    <n v="1005"/>
    <m/>
    <m/>
    <s v="CAPITAL FEDERAL"/>
    <s v="Capital Federal"/>
    <m/>
    <s v="U.O.Centro"/>
    <m/>
    <n v="3"/>
    <n v="1"/>
    <n v="1909.64"/>
    <n v="381.95"/>
    <m/>
    <m/>
    <n v="1527.69"/>
    <m/>
    <n v="38.19"/>
    <m/>
    <m/>
    <m/>
    <m/>
    <m/>
    <m/>
    <n v="19.100000000000001"/>
    <m/>
    <m/>
    <m/>
    <m/>
    <m/>
    <m/>
    <n v="38.19"/>
    <m/>
    <m/>
    <m/>
    <m/>
    <m/>
    <m/>
    <m/>
    <n v="19.100000000000001"/>
    <m/>
    <n v="114.58"/>
  </r>
  <r>
    <n v="4"/>
    <x v="4"/>
    <x v="1"/>
    <n v="172224"/>
    <s v="MEZA MAXIMILIANO OMAR"/>
    <s v="20-37205496-5"/>
    <d v="2016-05-09T00:00:00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LVINAS ARGENTINAS"/>
    <n v="764"/>
    <m/>
    <m/>
    <s v="CAPITAL FEDERAL"/>
    <s v="Capital Federal"/>
    <m/>
    <s v="U.O.Centro Paga Inplant"/>
    <m/>
    <n v="1"/>
    <n v="1"/>
    <n v="5705.89"/>
    <n v="1141.19"/>
    <m/>
    <m/>
    <n v="4564.7"/>
    <m/>
    <n v="114.12"/>
    <m/>
    <m/>
    <m/>
    <m/>
    <m/>
    <m/>
    <n v="57.06"/>
    <m/>
    <m/>
    <m/>
    <m/>
    <m/>
    <m/>
    <n v="114.12"/>
    <m/>
    <m/>
    <m/>
    <m/>
    <m/>
    <m/>
    <m/>
    <n v="57.06"/>
    <m/>
    <n v="342.36"/>
  </r>
  <r>
    <n v="4"/>
    <x v="4"/>
    <x v="0"/>
    <n v="163371"/>
    <s v="MEZA PIZARRO CHRISTIAN MERVEN"/>
    <s v="20-92327011-7"/>
    <d v="2016-05-09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2"/>
    <n v="1"/>
    <n v="13269.79"/>
    <n v="2653.95"/>
    <m/>
    <m/>
    <n v="10615.84"/>
    <m/>
    <n v="265.39999999999998"/>
    <m/>
    <m/>
    <m/>
    <m/>
    <m/>
    <m/>
    <n v="132.69"/>
    <m/>
    <m/>
    <m/>
    <m/>
    <m/>
    <m/>
    <n v="265.39999999999998"/>
    <m/>
    <m/>
    <m/>
    <m/>
    <m/>
    <m/>
    <m/>
    <n v="132.69"/>
    <m/>
    <n v="796.18"/>
  </r>
  <r>
    <n v="4"/>
    <x v="4"/>
    <x v="0"/>
    <n v="171023"/>
    <s v="MIRANDA ESCOBAR AMPARO"/>
    <s v="27-94538140-5"/>
    <d v="2016-05-09T00:00:00"/>
    <n v="94538140"/>
    <s v="MIRANDA ESCOBAR"/>
    <s v="AMPARO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BELGRANO"/>
    <n v="1232"/>
    <n v="3"/>
    <n v="1210"/>
    <s v="CAPITAL FEDERAL"/>
    <s v="Buenos Aires"/>
    <m/>
    <s v="U.O.Centro"/>
    <s v="Banquetes"/>
    <n v="2"/>
    <n v="1"/>
    <n v="3740.5"/>
    <n v="748.09"/>
    <m/>
    <m/>
    <n v="2992.41"/>
    <m/>
    <n v="74.81"/>
    <m/>
    <m/>
    <m/>
    <m/>
    <m/>
    <m/>
    <n v="37.4"/>
    <m/>
    <m/>
    <m/>
    <m/>
    <m/>
    <m/>
    <n v="74.81"/>
    <m/>
    <m/>
    <m/>
    <m/>
    <m/>
    <m/>
    <m/>
    <n v="37.4"/>
    <m/>
    <n v="224.42"/>
  </r>
  <r>
    <n v="4"/>
    <x v="4"/>
    <x v="0"/>
    <n v="170007"/>
    <s v="MIRANDA GIMENEZ CLEMENTINA"/>
    <s v="27-19000982-9"/>
    <d v="2016-04-21T00:00:00"/>
    <n v="19000982"/>
    <s v="MIRANDA GIMENEZ"/>
    <s v="CLEMENTINA"/>
    <s v="F"/>
    <m/>
    <d v="2016-03-10T00:00:00"/>
    <d v="2016-04-01T00:00:00"/>
    <d v="2016-04-01T00:00:00"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Avenida Bartolomé Mitre 2100,  AVELLANEDA"/>
    <n v="1225"/>
    <m/>
    <m/>
    <s v="CAPITAL FEDERAL"/>
    <s v="Buenos Aires"/>
    <m/>
    <s v="U.O.Centro"/>
    <m/>
    <n v="1"/>
    <n v="1"/>
    <n v="1477.75"/>
    <n v="295.55"/>
    <m/>
    <m/>
    <n v="1182.2"/>
    <m/>
    <n v="29.56"/>
    <m/>
    <m/>
    <m/>
    <m/>
    <m/>
    <m/>
    <n v="14.78"/>
    <m/>
    <m/>
    <m/>
    <m/>
    <m/>
    <m/>
    <n v="29.56"/>
    <m/>
    <m/>
    <m/>
    <m/>
    <m/>
    <m/>
    <m/>
    <n v="14.78"/>
    <m/>
    <n v="88.68"/>
  </r>
  <r>
    <n v="4"/>
    <x v="4"/>
    <x v="1"/>
    <n v="170274"/>
    <s v="MOLINA LARA MAILEN"/>
    <s v="27-36168085-0"/>
    <d v="2016-05-09T00:00:00"/>
    <n v="36168085"/>
    <s v="MOLINA"/>
    <s v="LARA MAILEN"/>
    <s v="F"/>
    <m/>
    <d v="2016-04-1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ERCEDES"/>
    <n v="764"/>
    <m/>
    <m/>
    <s v="CAPITAL FEDERAL"/>
    <s v="Capital Federal"/>
    <m/>
    <s v="U.O.Centro Paga Inplant"/>
    <m/>
    <n v="1"/>
    <n v="1"/>
    <n v="333.2"/>
    <n v="66.64"/>
    <m/>
    <m/>
    <n v="266.56"/>
    <m/>
    <n v="6.66"/>
    <m/>
    <m/>
    <m/>
    <m/>
    <m/>
    <m/>
    <n v="3.33"/>
    <m/>
    <m/>
    <m/>
    <m/>
    <m/>
    <m/>
    <n v="6.66"/>
    <m/>
    <m/>
    <m/>
    <m/>
    <m/>
    <m/>
    <m/>
    <n v="3.33"/>
    <m/>
    <n v="19.98"/>
  </r>
  <r>
    <n v="4"/>
    <x v="4"/>
    <x v="0"/>
    <n v="170446"/>
    <s v="MONTES LORENA ANDREA"/>
    <s v="27-30914440-1"/>
    <d v="2016-05-09T00:00:0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AREZ"/>
    <n v="1225"/>
    <s v="PB"/>
    <m/>
    <s v="CAPITAL FEDERAL"/>
    <s v="Buenos Aires"/>
    <m/>
    <s v="U.O.Centro"/>
    <m/>
    <n v="2"/>
    <n v="1"/>
    <n v="10680.28"/>
    <n v="2136.0300000000002"/>
    <m/>
    <m/>
    <n v="8544.25"/>
    <m/>
    <n v="213.6"/>
    <m/>
    <m/>
    <m/>
    <m/>
    <m/>
    <m/>
    <n v="106.8"/>
    <m/>
    <m/>
    <m/>
    <m/>
    <m/>
    <m/>
    <n v="213.6"/>
    <m/>
    <m/>
    <m/>
    <m/>
    <m/>
    <m/>
    <m/>
    <n v="106.8"/>
    <m/>
    <n v="640.79999999999995"/>
  </r>
  <r>
    <n v="4"/>
    <x v="4"/>
    <x v="1"/>
    <n v="138653"/>
    <s v="MONZON FERNANDO MIGUEL"/>
    <s v="20-25474322-5"/>
    <d v="2016-05-09T00:00:00"/>
    <n v="25474322"/>
    <s v="MONZON"/>
    <s v="FERNANDO MIGUEL"/>
    <s v="M"/>
    <m/>
    <d v="2016-04-2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RGARITA XIRGU"/>
    <n v="764"/>
    <m/>
    <m/>
    <s v="CAPITAL FEDERAL"/>
    <s v="Capital Federal"/>
    <m/>
    <s v="U.O.Centro Paga Inplant"/>
    <m/>
    <n v="1"/>
    <n v="1"/>
    <n v="1749.24"/>
    <n v="349.85"/>
    <m/>
    <m/>
    <n v="1399.39"/>
    <m/>
    <n v="34.979999999999997"/>
    <m/>
    <m/>
    <m/>
    <m/>
    <m/>
    <m/>
    <n v="17.489999999999998"/>
    <m/>
    <m/>
    <m/>
    <m/>
    <m/>
    <m/>
    <n v="34.979999999999997"/>
    <m/>
    <m/>
    <m/>
    <m/>
    <m/>
    <m/>
    <m/>
    <n v="17.489999999999998"/>
    <m/>
    <n v="104.94"/>
  </r>
  <r>
    <n v="4"/>
    <x v="4"/>
    <x v="0"/>
    <n v="170990"/>
    <s v="MORENO ALAN AGUSTIN"/>
    <s v="20-38998864-3"/>
    <d v="2016-05-09T00:00:00"/>
    <n v="38998864"/>
    <s v="MORENO"/>
    <s v="ALAN AGUSTIN"/>
    <s v="M"/>
    <m/>
    <d v="2016-03-08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SARMIENTO 2544"/>
    <n v="181"/>
    <m/>
    <m/>
    <s v="CAPITAL FEDERAL"/>
    <s v="Capital Federal"/>
    <m/>
    <s v="U.O.Centro"/>
    <m/>
    <n v="1"/>
    <n v="1"/>
    <n v="2436.81"/>
    <n v="487.36"/>
    <m/>
    <m/>
    <n v="1949.45"/>
    <m/>
    <n v="48.74"/>
    <m/>
    <m/>
    <m/>
    <m/>
    <m/>
    <m/>
    <n v="24.37"/>
    <m/>
    <m/>
    <m/>
    <m/>
    <m/>
    <m/>
    <n v="48.74"/>
    <m/>
    <m/>
    <m/>
    <m/>
    <m/>
    <m/>
    <m/>
    <n v="24.37"/>
    <m/>
    <n v="146.22"/>
  </r>
  <r>
    <n v="4"/>
    <x v="4"/>
    <x v="0"/>
    <n v="171266"/>
    <s v="MUJICA CLAUDIO"/>
    <s v="23-35353560-9"/>
    <d v="2016-05-09T00:00:00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MONTEVERDE"/>
    <n v="1225"/>
    <m/>
    <m/>
    <s v="CAPITAL FEDERAL"/>
    <s v="Buenos Aires"/>
    <m/>
    <s v="U.O.Centro"/>
    <m/>
    <n v="3"/>
    <n v="1"/>
    <n v="6165.22"/>
    <n v="1233.06"/>
    <m/>
    <m/>
    <n v="4932.16"/>
    <m/>
    <n v="123.3"/>
    <m/>
    <m/>
    <m/>
    <m/>
    <m/>
    <m/>
    <n v="61.66"/>
    <m/>
    <m/>
    <m/>
    <m/>
    <m/>
    <m/>
    <n v="123.3"/>
    <m/>
    <m/>
    <m/>
    <m/>
    <m/>
    <m/>
    <m/>
    <n v="61.66"/>
    <m/>
    <n v="369.92"/>
  </r>
  <r>
    <n v="4"/>
    <x v="4"/>
    <x v="1"/>
    <n v="152586"/>
    <s v="MUSTAFA SILVIO ROBERTO"/>
    <s v="23-31539279-9"/>
    <d v="2016-05-09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1"/>
    <n v="1"/>
    <n v="7882.87"/>
    <n v="1616"/>
    <m/>
    <m/>
    <n v="6266.87"/>
    <n v="197.07"/>
    <m/>
    <m/>
    <m/>
    <m/>
    <m/>
    <m/>
    <m/>
    <n v="78.83"/>
    <m/>
    <m/>
    <m/>
    <m/>
    <m/>
    <m/>
    <n v="157.66"/>
    <m/>
    <m/>
    <m/>
    <m/>
    <m/>
    <m/>
    <m/>
    <n v="78.83"/>
    <m/>
    <n v="512.39"/>
  </r>
  <r>
    <n v="4"/>
    <x v="4"/>
    <x v="1"/>
    <n v="162147"/>
    <s v="NUÑEZ ANA MARIA"/>
    <s v="27-18222886-4"/>
    <d v="2016-05-09T00:00:00"/>
    <n v="18222886"/>
    <s v="NUÑEZ"/>
    <s v="ANA MARIA"/>
    <s v="F"/>
    <m/>
    <d v="2015-1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ALLE 114"/>
    <n v="764"/>
    <m/>
    <m/>
    <s v="CAPITAL FEDERAL"/>
    <s v="Capital Federal"/>
    <m/>
    <s v="U.O.Centro Paga Inplant"/>
    <m/>
    <n v="1"/>
    <n v="1"/>
    <n v="12537.72"/>
    <n v="2507.54"/>
    <m/>
    <m/>
    <n v="10030.18"/>
    <m/>
    <n v="250.75"/>
    <m/>
    <m/>
    <m/>
    <m/>
    <m/>
    <m/>
    <n v="125.38"/>
    <m/>
    <m/>
    <m/>
    <m/>
    <m/>
    <m/>
    <n v="250.75"/>
    <m/>
    <m/>
    <m/>
    <m/>
    <m/>
    <m/>
    <m/>
    <n v="125.38"/>
    <m/>
    <n v="752.26"/>
  </r>
  <r>
    <n v="4"/>
    <x v="4"/>
    <x v="0"/>
    <n v="171260"/>
    <s v="NUÑEZ BRAIAN DAVID"/>
    <s v="20-39161034-8"/>
    <d v="2016-05-09T00:00:00"/>
    <n v="39161034"/>
    <s v="NUÑEZ"/>
    <s v="BRAIAN DAVID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ZA 21"/>
    <n v="1225"/>
    <s v="PB"/>
    <s v="D"/>
    <s v="CAPITAL FEDERAL"/>
    <s v="Buenos Aires"/>
    <m/>
    <s v="U.O.Centro"/>
    <m/>
    <n v="1"/>
    <n v="1"/>
    <n v="663.49"/>
    <n v="132.68"/>
    <m/>
    <m/>
    <n v="530.80999999999995"/>
    <m/>
    <n v="13.27"/>
    <m/>
    <m/>
    <m/>
    <m/>
    <m/>
    <m/>
    <n v="6.63"/>
    <m/>
    <m/>
    <m/>
    <m/>
    <m/>
    <m/>
    <n v="13.27"/>
    <m/>
    <m/>
    <m/>
    <m/>
    <m/>
    <m/>
    <m/>
    <n v="6.63"/>
    <m/>
    <n v="39.799999999999997"/>
  </r>
  <r>
    <n v="4"/>
    <x v="4"/>
    <x v="0"/>
    <n v="70391"/>
    <s v="NUÑEZ PAOLA GABRIELA"/>
    <s v="23-21761147-4"/>
    <d v="2016-04-21T00:00:00"/>
    <n v="21761147"/>
    <s v="NUÑEZ"/>
    <s v="PAOLA GABRIELA"/>
    <s v="F"/>
    <m/>
    <d v="2015-11-23T00:00:00"/>
    <d v="2016-04-1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ZAPALERI"/>
    <n v="1225"/>
    <m/>
    <m/>
    <s v="CAPITAL FEDERAL"/>
    <s v="Buenos Aires"/>
    <m/>
    <s v="U.O.Centro"/>
    <m/>
    <n v="1"/>
    <n v="1"/>
    <n v="2670.07"/>
    <n v="534.01"/>
    <m/>
    <m/>
    <n v="2136.06"/>
    <m/>
    <n v="53.4"/>
    <m/>
    <m/>
    <m/>
    <m/>
    <m/>
    <m/>
    <n v="26.7"/>
    <m/>
    <m/>
    <m/>
    <m/>
    <m/>
    <m/>
    <n v="53.4"/>
    <m/>
    <m/>
    <m/>
    <m/>
    <m/>
    <m/>
    <m/>
    <n v="26.7"/>
    <m/>
    <n v="160.19999999999999"/>
  </r>
  <r>
    <n v="4"/>
    <x v="4"/>
    <x v="0"/>
    <n v="170706"/>
    <s v="O LEARY JUAN DOMINGO"/>
    <s v="20-25013280-9"/>
    <d v="2016-05-09T00:00:00"/>
    <n v="25013280"/>
    <s v="O LEARY"/>
    <s v="JUAN DOMINGO"/>
    <s v="M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BUENOS AIRES"/>
    <n v="1225"/>
    <m/>
    <m/>
    <s v="CAPITAL FEDERAL"/>
    <s v="Buenos Aires"/>
    <m/>
    <s v="U.O.Centro"/>
    <m/>
    <n v="2"/>
    <n v="1"/>
    <n v="4873.37"/>
    <n v="974.68"/>
    <m/>
    <m/>
    <n v="3898.69"/>
    <m/>
    <n v="97.46"/>
    <m/>
    <m/>
    <m/>
    <m/>
    <m/>
    <m/>
    <n v="48.73"/>
    <m/>
    <m/>
    <m/>
    <m/>
    <m/>
    <m/>
    <n v="97.46"/>
    <m/>
    <m/>
    <m/>
    <m/>
    <m/>
    <m/>
    <m/>
    <n v="48.73"/>
    <m/>
    <n v="292.38"/>
  </r>
  <r>
    <n v="4"/>
    <x v="4"/>
    <x v="0"/>
    <n v="162167"/>
    <s v="OCANTOS MARIA FERNANDA"/>
    <s v="20-26587101-2"/>
    <d v="2016-05-09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2"/>
    <n v="1"/>
    <n v="8961.89"/>
    <n v="1792.39"/>
    <m/>
    <m/>
    <n v="7169.5"/>
    <m/>
    <n v="179.24"/>
    <m/>
    <m/>
    <m/>
    <m/>
    <m/>
    <m/>
    <n v="89.62"/>
    <m/>
    <m/>
    <m/>
    <m/>
    <m/>
    <m/>
    <n v="179.24"/>
    <m/>
    <m/>
    <m/>
    <m/>
    <m/>
    <m/>
    <m/>
    <n v="89.62"/>
    <m/>
    <n v="537.72"/>
  </r>
  <r>
    <n v="4"/>
    <x v="4"/>
    <x v="0"/>
    <n v="156371"/>
    <s v="OJEDA HECTOR ALBERTO"/>
    <s v="20-27373033-9"/>
    <d v="2016-05-09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2"/>
    <n v="1"/>
    <n v="9862.3700000000008"/>
    <n v="1972.47"/>
    <m/>
    <m/>
    <n v="7889.9"/>
    <m/>
    <n v="197.25"/>
    <m/>
    <m/>
    <m/>
    <m/>
    <m/>
    <m/>
    <n v="98.62"/>
    <m/>
    <m/>
    <m/>
    <m/>
    <m/>
    <m/>
    <n v="197.25"/>
    <m/>
    <m/>
    <m/>
    <m/>
    <m/>
    <m/>
    <m/>
    <n v="98.62"/>
    <m/>
    <n v="591.74"/>
  </r>
  <r>
    <n v="4"/>
    <x v="4"/>
    <x v="0"/>
    <n v="171274"/>
    <s v="OJEDA LORENA SUSANA"/>
    <s v="27-34340810-8"/>
    <d v="2016-05-09T00:00:00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LTA"/>
    <n v="1225"/>
    <m/>
    <m/>
    <s v="CAPITAL FEDERAL"/>
    <s v="Buenos Aires"/>
    <m/>
    <s v="U.O.Centro"/>
    <m/>
    <n v="2"/>
    <n v="1"/>
    <n v="7476.19"/>
    <n v="1495.22"/>
    <m/>
    <m/>
    <n v="5980.97"/>
    <m/>
    <n v="149.52000000000001"/>
    <m/>
    <m/>
    <m/>
    <m/>
    <m/>
    <m/>
    <n v="74.760000000000005"/>
    <m/>
    <m/>
    <m/>
    <m/>
    <m/>
    <m/>
    <n v="149.52000000000001"/>
    <m/>
    <m/>
    <m/>
    <m/>
    <m/>
    <m/>
    <m/>
    <n v="74.760000000000005"/>
    <m/>
    <n v="448.56"/>
  </r>
  <r>
    <n v="4"/>
    <x v="4"/>
    <x v="0"/>
    <n v="156032"/>
    <s v="OJEDA VALERIA NOEMI"/>
    <s v="27-33485754-4"/>
    <d v="2016-05-09T00:00:00"/>
    <n v="33485754"/>
    <s v="OJEDA"/>
    <s v="VALERIA NOEMI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2"/>
    <n v="1"/>
    <n v="8271.2999999999993"/>
    <n v="1654.25"/>
    <m/>
    <m/>
    <n v="6617.05"/>
    <m/>
    <n v="165.42"/>
    <m/>
    <m/>
    <m/>
    <m/>
    <m/>
    <m/>
    <n v="82.71"/>
    <m/>
    <m/>
    <m/>
    <m/>
    <m/>
    <m/>
    <n v="165.42"/>
    <m/>
    <m/>
    <m/>
    <m/>
    <m/>
    <m/>
    <m/>
    <n v="82.71"/>
    <m/>
    <n v="496.26"/>
  </r>
  <r>
    <n v="4"/>
    <x v="4"/>
    <x v="0"/>
    <n v="138789"/>
    <s v="OLIVA LILIANA ALEJANDRA"/>
    <s v="27-25730976-8"/>
    <d v="2016-05-09T00:00:0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1"/>
    <n v="1"/>
    <n v="15970.32"/>
    <n v="3194.07"/>
    <m/>
    <m/>
    <n v="12776.25"/>
    <m/>
    <n v="319.41000000000003"/>
    <m/>
    <m/>
    <m/>
    <m/>
    <m/>
    <m/>
    <n v="159.69999999999999"/>
    <m/>
    <m/>
    <m/>
    <m/>
    <m/>
    <m/>
    <n v="319.41000000000003"/>
    <m/>
    <m/>
    <m/>
    <m/>
    <m/>
    <m/>
    <m/>
    <n v="159.69999999999999"/>
    <m/>
    <n v="958.22"/>
  </r>
  <r>
    <n v="4"/>
    <x v="4"/>
    <x v="0"/>
    <n v="170684"/>
    <s v="ORELLANA JUAN PABLO"/>
    <s v="20-37699325-7"/>
    <d v="2016-05-09T00:00:00"/>
    <n v="37699325"/>
    <s v="ORELLANA"/>
    <s v="JUAN PABLO"/>
    <s v="M"/>
    <m/>
    <d v="2016-03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YATAN"/>
    <n v="1225"/>
    <m/>
    <m/>
    <s v="CAPITAL FEDERAL"/>
    <s v="Buenos Aires"/>
    <m/>
    <s v="U.O.Centro"/>
    <m/>
    <n v="2"/>
    <n v="1"/>
    <n v="7595.36"/>
    <n v="1519.06"/>
    <m/>
    <m/>
    <n v="6076.3"/>
    <m/>
    <n v="151.9"/>
    <m/>
    <m/>
    <m/>
    <m/>
    <m/>
    <m/>
    <n v="75.959999999999994"/>
    <m/>
    <m/>
    <m/>
    <m/>
    <m/>
    <m/>
    <n v="151.9"/>
    <m/>
    <m/>
    <m/>
    <m/>
    <m/>
    <m/>
    <m/>
    <n v="75.959999999999994"/>
    <m/>
    <n v="455.72"/>
  </r>
  <r>
    <n v="4"/>
    <x v="4"/>
    <x v="0"/>
    <n v="135237"/>
    <s v="ORELLANO JUANA MARIA"/>
    <s v="27-27696157-3"/>
    <d v="2016-05-09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17422.18"/>
    <n v="3571.55"/>
    <m/>
    <m/>
    <n v="13850.63"/>
    <n v="435.55"/>
    <m/>
    <m/>
    <m/>
    <m/>
    <m/>
    <m/>
    <m/>
    <n v="174.22"/>
    <m/>
    <m/>
    <m/>
    <m/>
    <m/>
    <m/>
    <n v="348.44"/>
    <m/>
    <m/>
    <m/>
    <m/>
    <m/>
    <m/>
    <m/>
    <n v="174.22"/>
    <m/>
    <n v="1132.43"/>
  </r>
  <r>
    <n v="4"/>
    <x v="4"/>
    <x v="0"/>
    <n v="172199"/>
    <s v="ORTIZ ANDRES NICOLAS"/>
    <s v="20-32769991-2"/>
    <d v="2016-05-09T00:00:00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LAVEL"/>
    <n v="1225"/>
    <m/>
    <m/>
    <s v="CAPITAL FEDERAL"/>
    <s v="Buenos Aires"/>
    <m/>
    <s v="U.O.Centro"/>
    <m/>
    <n v="1"/>
    <n v="1"/>
    <n v="4675.7700000000004"/>
    <n v="935.15"/>
    <m/>
    <m/>
    <n v="3740.62"/>
    <m/>
    <n v="93.52"/>
    <m/>
    <m/>
    <m/>
    <m/>
    <m/>
    <m/>
    <n v="46.76"/>
    <m/>
    <m/>
    <m/>
    <m/>
    <m/>
    <m/>
    <n v="93.52"/>
    <m/>
    <m/>
    <m/>
    <m/>
    <m/>
    <m/>
    <m/>
    <n v="46.76"/>
    <m/>
    <n v="280.56"/>
  </r>
  <r>
    <n v="4"/>
    <x v="4"/>
    <x v="1"/>
    <n v="169840"/>
    <s v="ORTIZ CARLOS ERNESTO"/>
    <s v="20-35113842-5"/>
    <d v="2016-05-09T00:00:00"/>
    <n v="35113842"/>
    <s v="ORTIZ"/>
    <s v="CARLOS ERNESTO"/>
    <s v="M"/>
    <m/>
    <d v="2016-03-13T00:00:00"/>
    <m/>
    <m/>
    <s v="GASTRONOMICOS-Hoteles 4 y 5 Estrellas - 362/2003"/>
    <s v="Categoria 1"/>
    <x v="12"/>
    <s v="Unidad Principal"/>
    <s v="Centro"/>
    <s v="Tareas Generales"/>
    <n v="100908"/>
    <s v="OS  DE EMPLEADOS DE AGENCIAS DE INFORMES (O.S.E.D.I.)"/>
    <s v="Capital Federal"/>
    <m/>
    <n v="1440"/>
    <s v="EMILIO BERISSO"/>
    <n v="1584"/>
    <m/>
    <m/>
    <s v="CAPITAL FEDERAL"/>
    <s v="Capital Federal"/>
    <m/>
    <s v="U.O.Centro"/>
    <s v="Alvear Palace"/>
    <n v="1"/>
    <n v="1"/>
    <n v="1175.0999999999999"/>
    <n v="235.01"/>
    <m/>
    <m/>
    <n v="940.09"/>
    <m/>
    <n v="23.5"/>
    <m/>
    <m/>
    <m/>
    <m/>
    <m/>
    <m/>
    <n v="11.75"/>
    <m/>
    <m/>
    <m/>
    <m/>
    <m/>
    <m/>
    <n v="23.5"/>
    <m/>
    <m/>
    <m/>
    <m/>
    <m/>
    <m/>
    <m/>
    <n v="11.75"/>
    <m/>
    <n v="70.5"/>
  </r>
  <r>
    <n v="4"/>
    <x v="4"/>
    <x v="0"/>
    <n v="157576"/>
    <s v="OVEJERO INES CRISTINA"/>
    <s v="27-22982574-2"/>
    <d v="2016-05-09T00:00:00"/>
    <n v="22982574"/>
    <s v="OVEJERO"/>
    <s v="INES CRISTINA"/>
    <s v="F"/>
    <m/>
    <d v="2015-09-3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A. GIRARDOT"/>
    <n v="1232"/>
    <m/>
    <m/>
    <s v="CAPITAL FEDERAL"/>
    <s v="Buenos Aires"/>
    <m/>
    <s v="U.O.Centro"/>
    <s v="Banquetes"/>
    <n v="1"/>
    <n v="1"/>
    <n v="606.11"/>
    <n v="121.21"/>
    <m/>
    <m/>
    <n v="484.9"/>
    <m/>
    <n v="12.12"/>
    <m/>
    <m/>
    <m/>
    <m/>
    <m/>
    <m/>
    <n v="6.06"/>
    <m/>
    <m/>
    <m/>
    <m/>
    <m/>
    <m/>
    <n v="12.12"/>
    <m/>
    <m/>
    <m/>
    <m/>
    <m/>
    <m/>
    <m/>
    <n v="6.06"/>
    <m/>
    <n v="36.36"/>
  </r>
  <r>
    <n v="4"/>
    <x v="4"/>
    <x v="0"/>
    <n v="170321"/>
    <s v="OVIEDO MARIA ALEJANDRA"/>
    <s v="27-33152173-1"/>
    <d v="2016-05-09T00:00:00"/>
    <n v="33152173"/>
    <s v="OVIEDO"/>
    <s v="MARIA ALEJANDRA"/>
    <s v="F"/>
    <m/>
    <d v="2016-03-16T00:00:00"/>
    <m/>
    <m/>
    <s v="GASTRONOMICOS-Hoteles 4 y 5 Estrellas - 362/2003"/>
    <s v="Categoría 4"/>
    <x v="5"/>
    <s v="Mucamas - GL"/>
    <s v="Centro"/>
    <s v="Mucama"/>
    <n v="1508"/>
    <s v="OS  DE LA ASOCIACION CIVIL PRO SINDICATO  AMAS DE CASA DE LA REPUBLICA ARGENTINA"/>
    <s v="Capital Federal"/>
    <m/>
    <n v="1104"/>
    <s v="ALSINA"/>
    <n v="1225"/>
    <n v="3"/>
    <m/>
    <s v="CAPITAL FEDERAL"/>
    <s v="Buenos Aires"/>
    <m/>
    <s v="U.O.Centro"/>
    <m/>
    <n v="2"/>
    <n v="1"/>
    <n v="6408.17"/>
    <n v="1281.6199999999999"/>
    <m/>
    <m/>
    <n v="5126.55"/>
    <m/>
    <n v="128.16"/>
    <m/>
    <m/>
    <m/>
    <m/>
    <m/>
    <m/>
    <n v="64.08"/>
    <m/>
    <m/>
    <m/>
    <m/>
    <m/>
    <m/>
    <n v="128.16"/>
    <m/>
    <m/>
    <m/>
    <m/>
    <m/>
    <m/>
    <m/>
    <n v="64.08"/>
    <m/>
    <n v="384.48"/>
  </r>
  <r>
    <n v="4"/>
    <x v="4"/>
    <x v="0"/>
    <n v="170439"/>
    <s v="PAEZ DAIANA BEATRIZ"/>
    <s v="27-38350463-0"/>
    <d v="2016-05-09T00:00:00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RDENAS"/>
    <n v="1225"/>
    <m/>
    <m/>
    <s v="CAPITAL FEDERAL"/>
    <s v="Buenos Aires"/>
    <m/>
    <s v="U.O.Avellaneda"/>
    <m/>
    <n v="2"/>
    <n v="1"/>
    <n v="10146.26"/>
    <n v="2029.23"/>
    <m/>
    <m/>
    <n v="8117.03"/>
    <m/>
    <n v="202.92"/>
    <m/>
    <m/>
    <m/>
    <m/>
    <m/>
    <m/>
    <n v="101.46"/>
    <m/>
    <m/>
    <m/>
    <m/>
    <m/>
    <m/>
    <n v="202.92"/>
    <m/>
    <m/>
    <m/>
    <m/>
    <m/>
    <m/>
    <m/>
    <n v="101.46"/>
    <m/>
    <n v="608.76"/>
  </r>
  <r>
    <n v="4"/>
    <x v="4"/>
    <x v="0"/>
    <n v="164223"/>
    <s v="PAIS PABLO MARIANO"/>
    <s v="20-23510883-7"/>
    <d v="2016-05-09T00:00:00"/>
    <n v="23510883"/>
    <s v="PAIS"/>
    <s v="PABLO MARIANO"/>
    <s v="M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MARGARIÑOS CERVANTES"/>
    <n v="1005"/>
    <n v="3"/>
    <s v="C"/>
    <s v="CAPITAL FEDERAL"/>
    <s v="Capital Federal"/>
    <m/>
    <s v="U.O.Centro"/>
    <m/>
    <n v="3"/>
    <n v="1"/>
    <n v="3234.24"/>
    <n v="646.86"/>
    <m/>
    <m/>
    <n v="2587.38"/>
    <m/>
    <n v="64.680000000000007"/>
    <m/>
    <m/>
    <m/>
    <m/>
    <m/>
    <m/>
    <n v="32.35"/>
    <m/>
    <m/>
    <m/>
    <m/>
    <m/>
    <m/>
    <n v="64.680000000000007"/>
    <m/>
    <m/>
    <m/>
    <m/>
    <m/>
    <m/>
    <m/>
    <n v="32.35"/>
    <m/>
    <n v="194.06"/>
  </r>
  <r>
    <n v="4"/>
    <x v="4"/>
    <x v="0"/>
    <n v="161855"/>
    <s v="PANIAGUA BRENDA MERCEDES"/>
    <s v="23-34102812-4"/>
    <d v="2016-05-02T00:00:00"/>
    <n v="34102812"/>
    <s v="PANIAGUA"/>
    <s v="BRENDA MERCEDES"/>
    <s v="F"/>
    <m/>
    <d v="2015-11-19T00:00:00"/>
    <d v="2016-12-30T00:00:00"/>
    <m/>
    <s v="GASTRONOMICOS-Hoteles 4 y 5 Estrellas - 362/2003"/>
    <s v="Categoria 6"/>
    <x v="13"/>
    <s v="Unidad Base-GL"/>
    <s v="San Isidro"/>
    <s v="Camarero/a"/>
    <n v="108803"/>
    <s v="O.S.P.Gastronomico"/>
    <s v="Buenos Aires - Tigre"/>
    <s v="Nordelta"/>
    <n v="1648"/>
    <s v="PIO 12"/>
    <n v="240"/>
    <m/>
    <m/>
    <s v="TIGRE"/>
    <s v="Buenos Aires"/>
    <m/>
    <s v="U.O.Casa Central"/>
    <m/>
    <n v="1"/>
    <n v="1"/>
    <n v="165.52"/>
    <n v="33.119999999999997"/>
    <m/>
    <m/>
    <n v="132.4"/>
    <m/>
    <n v="3.31"/>
    <m/>
    <m/>
    <m/>
    <m/>
    <m/>
    <m/>
    <n v="1.66"/>
    <m/>
    <m/>
    <m/>
    <m/>
    <m/>
    <m/>
    <n v="3.31"/>
    <m/>
    <m/>
    <m/>
    <m/>
    <m/>
    <m/>
    <m/>
    <n v="1.66"/>
    <m/>
    <n v="9.94"/>
  </r>
  <r>
    <n v="4"/>
    <x v="4"/>
    <x v="0"/>
    <n v="161159"/>
    <s v="PARISI GABRIEL DARIO"/>
    <s v="20-34384166-4"/>
    <d v="2016-05-09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10443.620000000001"/>
    <n v="2088.7199999999998"/>
    <m/>
    <m/>
    <n v="8354.9"/>
    <m/>
    <n v="208.88"/>
    <m/>
    <m/>
    <m/>
    <m/>
    <m/>
    <m/>
    <n v="104.44"/>
    <m/>
    <m/>
    <m/>
    <m/>
    <m/>
    <m/>
    <n v="208.88"/>
    <m/>
    <m/>
    <m/>
    <m/>
    <m/>
    <m/>
    <m/>
    <n v="104.44"/>
    <m/>
    <n v="626.64"/>
  </r>
  <r>
    <n v="4"/>
    <x v="4"/>
    <x v="0"/>
    <n v="164321"/>
    <s v="PAZ WALTER RICARDO"/>
    <s v="20-28305441-2"/>
    <d v="2016-05-09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4825.08"/>
    <n v="2965.01"/>
    <m/>
    <m/>
    <n v="11860.07"/>
    <m/>
    <n v="296.51"/>
    <m/>
    <m/>
    <m/>
    <m/>
    <m/>
    <m/>
    <n v="148.25"/>
    <m/>
    <m/>
    <m/>
    <m/>
    <m/>
    <m/>
    <n v="296.51"/>
    <m/>
    <m/>
    <m/>
    <m/>
    <m/>
    <m/>
    <m/>
    <n v="148.25"/>
    <m/>
    <n v="889.52"/>
  </r>
  <r>
    <n v="4"/>
    <x v="4"/>
    <x v="1"/>
    <n v="160317"/>
    <s v="PEDROZO GUSTAVO ADOLFO"/>
    <s v="20-23447148-2"/>
    <d v="2016-05-09T00:00:00"/>
    <n v="23447148"/>
    <s v="PEDROZO"/>
    <s v="GUSTAVO ADOLFO"/>
    <s v="M"/>
    <m/>
    <d v="2015-10-3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ALLE 853"/>
    <n v="764"/>
    <m/>
    <m/>
    <s v="CAPITAL FEDERAL"/>
    <s v="Capital Federal"/>
    <m/>
    <s v="U.O.Centro Paga Inplant"/>
    <m/>
    <n v="1"/>
    <n v="1"/>
    <n v="8616.17"/>
    <n v="1723.24"/>
    <m/>
    <m/>
    <n v="6892.93"/>
    <m/>
    <n v="172.32"/>
    <m/>
    <m/>
    <m/>
    <m/>
    <m/>
    <m/>
    <n v="86.16"/>
    <m/>
    <m/>
    <m/>
    <m/>
    <m/>
    <m/>
    <n v="172.32"/>
    <m/>
    <m/>
    <m/>
    <m/>
    <m/>
    <m/>
    <m/>
    <n v="86.16"/>
    <m/>
    <n v="516.96"/>
  </r>
  <r>
    <n v="4"/>
    <x v="4"/>
    <x v="0"/>
    <n v="168102"/>
    <s v="PEÑA LILIA AGUSTINA"/>
    <s v="27-34500792-5"/>
    <d v="2016-05-09T00:00:00"/>
    <n v="34500792"/>
    <s v="PEÑA"/>
    <s v="LILIA AGUSTINA"/>
    <s v="F"/>
    <m/>
    <d v="2016-03-12T00:00:00"/>
    <m/>
    <m/>
    <s v="GASTRONOMICOS-Hoteles 4 y 5 Estrellas - 362/2003"/>
    <s v="Categoría 4"/>
    <x v="7"/>
    <s v="Unidad Base-GL"/>
    <s v="Centro"/>
    <s v="Tareas Generales"/>
    <n v="110800"/>
    <s v="OS  DE LOS TRABAJADORES DE LAS EMPRESAS DE ELECTRICIDAD"/>
    <s v="Capital Federal"/>
    <m/>
    <n v="1022"/>
    <s v="CHILE"/>
    <n v="181"/>
    <m/>
    <m/>
    <s v="CAPITAL FEDERAL"/>
    <s v="Capital Federal"/>
    <m/>
    <s v="U.O.Centro"/>
    <m/>
    <n v="1"/>
    <n v="1"/>
    <n v="6770.82"/>
    <n v="1354.16"/>
    <m/>
    <m/>
    <n v="5416.66"/>
    <m/>
    <n v="135.41999999999999"/>
    <m/>
    <m/>
    <m/>
    <m/>
    <m/>
    <m/>
    <n v="67.709999999999994"/>
    <m/>
    <m/>
    <m/>
    <m/>
    <m/>
    <m/>
    <n v="135.41999999999999"/>
    <m/>
    <m/>
    <m/>
    <m/>
    <m/>
    <m/>
    <m/>
    <n v="67.709999999999994"/>
    <m/>
    <n v="406.26"/>
  </r>
  <r>
    <n v="4"/>
    <x v="4"/>
    <x v="0"/>
    <n v="170486"/>
    <s v="PEPE VALVERDE AGUSTINA"/>
    <s v="27-39761877-9"/>
    <d v="2016-05-09T00:00:00"/>
    <n v="39761877"/>
    <s v="PEPE VALVERDE"/>
    <s v="AGUSTINA"/>
    <s v="F"/>
    <m/>
    <d v="2016-03-18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Provincia de Buenos Aires"/>
    <n v="1005"/>
    <m/>
    <m/>
    <s v="CAPITAL FEDERAL"/>
    <s v="Capital Federal"/>
    <m/>
    <s v="U.O.Centro"/>
    <m/>
    <n v="2"/>
    <n v="1"/>
    <n v="11240.8"/>
    <n v="2248.15"/>
    <m/>
    <m/>
    <n v="8992.65"/>
    <m/>
    <n v="224.82"/>
    <m/>
    <m/>
    <m/>
    <m/>
    <m/>
    <m/>
    <n v="112.4"/>
    <m/>
    <m/>
    <m/>
    <m/>
    <m/>
    <m/>
    <n v="224.82"/>
    <m/>
    <m/>
    <m/>
    <m/>
    <m/>
    <m/>
    <m/>
    <n v="112.4"/>
    <m/>
    <n v="674.44"/>
  </r>
  <r>
    <n v="4"/>
    <x v="4"/>
    <x v="0"/>
    <n v="168239"/>
    <s v="PERALTA RICARDO FRANCISCO"/>
    <s v="20-35719331-2"/>
    <d v="2016-05-09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2"/>
    <n v="1"/>
    <n v="9968.93"/>
    <n v="1993.79"/>
    <m/>
    <m/>
    <n v="7975.14"/>
    <m/>
    <n v="199.38"/>
    <m/>
    <m/>
    <m/>
    <m/>
    <m/>
    <m/>
    <n v="99.69"/>
    <m/>
    <m/>
    <m/>
    <m/>
    <m/>
    <m/>
    <n v="199.38"/>
    <m/>
    <m/>
    <m/>
    <m/>
    <m/>
    <m/>
    <m/>
    <n v="99.69"/>
    <m/>
    <n v="598.14"/>
  </r>
  <r>
    <n v="4"/>
    <x v="4"/>
    <x v="0"/>
    <n v="155712"/>
    <s v="PERALTA DE KEMMETER PABLO ADRIAN"/>
    <s v="20-38404684-4"/>
    <d v="2016-05-09T00:00:00"/>
    <n v="38404684"/>
    <s v="PERALTA DE KEMMETER"/>
    <s v="PABLO ADRIAN"/>
    <s v="M"/>
    <m/>
    <d v="2016-02-08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5"/>
    <n v="1"/>
    <n v="13073.38"/>
    <n v="2614.6999999999998"/>
    <m/>
    <m/>
    <n v="10458.68"/>
    <m/>
    <n v="261.47000000000003"/>
    <m/>
    <m/>
    <m/>
    <m/>
    <m/>
    <m/>
    <n v="130.74"/>
    <m/>
    <m/>
    <m/>
    <m/>
    <m/>
    <m/>
    <n v="261.47000000000003"/>
    <m/>
    <m/>
    <m/>
    <m/>
    <m/>
    <m/>
    <m/>
    <n v="130.74"/>
    <m/>
    <n v="784.42"/>
  </r>
  <r>
    <n v="4"/>
    <x v="4"/>
    <x v="0"/>
    <n v="171019"/>
    <s v="PEREIRA GABRIELA SOLEDAD"/>
    <s v="27-29270885-3"/>
    <d v="2016-05-09T00:00:00"/>
    <n v="29270885"/>
    <s v="PEREIRA"/>
    <s v="GABRIELA SOLEDAD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EL BOYERO"/>
    <n v="1232"/>
    <m/>
    <m/>
    <s v="CAPITAL FEDERAL"/>
    <s v="Buenos Aires"/>
    <m/>
    <s v="U.O.Centro"/>
    <s v="Banquetes"/>
    <n v="2"/>
    <n v="1"/>
    <n v="2712.66"/>
    <n v="542.54"/>
    <m/>
    <m/>
    <n v="2170.12"/>
    <m/>
    <n v="54.25"/>
    <m/>
    <m/>
    <m/>
    <m/>
    <m/>
    <m/>
    <n v="27.13"/>
    <m/>
    <m/>
    <m/>
    <m/>
    <m/>
    <m/>
    <n v="54.25"/>
    <m/>
    <m/>
    <m/>
    <m/>
    <m/>
    <m/>
    <m/>
    <n v="27.13"/>
    <m/>
    <n v="162.76"/>
  </r>
  <r>
    <n v="4"/>
    <x v="4"/>
    <x v="1"/>
    <n v="65369"/>
    <s v="PEREZ RUBEN HORACIO"/>
    <s v="20-28042935-0"/>
    <d v="2016-05-09T00:00:0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2095.5100000000002"/>
    <n v="419.12"/>
    <m/>
    <m/>
    <n v="1676.39"/>
    <m/>
    <n v="41.91"/>
    <m/>
    <m/>
    <m/>
    <m/>
    <m/>
    <m/>
    <n v="20.96"/>
    <m/>
    <m/>
    <m/>
    <m/>
    <m/>
    <m/>
    <n v="41.91"/>
    <m/>
    <m/>
    <m/>
    <m/>
    <m/>
    <m/>
    <m/>
    <n v="20.96"/>
    <m/>
    <n v="125.74"/>
  </r>
  <r>
    <n v="4"/>
    <x v="4"/>
    <x v="0"/>
    <n v="161870"/>
    <s v="PETRONE VICENTE"/>
    <s v="20-27146024-5"/>
    <d v="2016-05-09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2"/>
    <n v="1"/>
    <n v="8572.23"/>
    <n v="1714.45"/>
    <m/>
    <m/>
    <n v="6857.78"/>
    <m/>
    <n v="171.44"/>
    <m/>
    <m/>
    <m/>
    <m/>
    <m/>
    <m/>
    <n v="85.72"/>
    <m/>
    <m/>
    <m/>
    <m/>
    <m/>
    <m/>
    <n v="171.44"/>
    <m/>
    <m/>
    <m/>
    <m/>
    <m/>
    <m/>
    <m/>
    <n v="85.72"/>
    <m/>
    <n v="514.32000000000005"/>
  </r>
  <r>
    <n v="4"/>
    <x v="4"/>
    <x v="0"/>
    <n v="172087"/>
    <s v="POSTERNAK ERIKA ELENA"/>
    <s v="27-38699581-3"/>
    <d v="2016-05-09T00:00:00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INGENIERO HUERGO"/>
    <n v="1225"/>
    <m/>
    <m/>
    <s v="CAPITAL FEDERAL"/>
    <s v="Buenos Aires"/>
    <m/>
    <s v="U.O.Centro"/>
    <m/>
    <n v="1"/>
    <n v="1"/>
    <n v="2337.89"/>
    <n v="467.59"/>
    <m/>
    <m/>
    <n v="1870.3"/>
    <m/>
    <n v="46.76"/>
    <m/>
    <m/>
    <m/>
    <m/>
    <m/>
    <m/>
    <n v="23.38"/>
    <m/>
    <m/>
    <m/>
    <m/>
    <m/>
    <m/>
    <n v="46.76"/>
    <m/>
    <m/>
    <m/>
    <m/>
    <m/>
    <m/>
    <m/>
    <n v="23.38"/>
    <m/>
    <n v="140.28"/>
  </r>
  <r>
    <n v="4"/>
    <x v="4"/>
    <x v="1"/>
    <n v="171908"/>
    <s v="PRADO MARIA FLORENCIA"/>
    <s v="27-33004907-9"/>
    <d v="2016-05-09T00:00:00"/>
    <n v="33004907"/>
    <s v="PRADO"/>
    <s v="MARIA FLORENCIA"/>
    <s v="F"/>
    <m/>
    <d v="2016-04-20T00:00:00"/>
    <m/>
    <m/>
    <s v="GASTRONOMICOS-Hoteles 4 y 5 Estrellas - 362/2003"/>
    <s v="Categoria 3"/>
    <x v="3"/>
    <s v="Unidad Principal"/>
    <s v="Centro"/>
    <s v="Tareas Generales"/>
    <n v="125905"/>
    <s v="OS  ARBITROS DEPORTIVOS DE LA REPUBLICA ARGENTINA"/>
    <s v="Capital Federal"/>
    <m/>
    <n v="1002"/>
    <s v="SARMIENTO"/>
    <n v="764"/>
    <m/>
    <m/>
    <s v="CAPITAL FEDERAL"/>
    <s v="Capital Federal"/>
    <m/>
    <s v="U.O.Centro Paga Inplant"/>
    <m/>
    <n v="1"/>
    <n v="1"/>
    <n v="465.22"/>
    <n v="93.04"/>
    <m/>
    <m/>
    <n v="372.18"/>
    <m/>
    <n v="9.3000000000000007"/>
    <m/>
    <m/>
    <m/>
    <m/>
    <m/>
    <m/>
    <n v="4.6500000000000004"/>
    <m/>
    <m/>
    <m/>
    <m/>
    <m/>
    <m/>
    <n v="9.3000000000000007"/>
    <m/>
    <m/>
    <m/>
    <m/>
    <m/>
    <m/>
    <m/>
    <n v="4.6500000000000004"/>
    <m/>
    <n v="27.9"/>
  </r>
  <r>
    <n v="4"/>
    <x v="4"/>
    <x v="0"/>
    <n v="157561"/>
    <s v="QUESADA HERNAN MATIAS"/>
    <s v="20-33154140-1"/>
    <d v="2016-05-09T00:00:00"/>
    <n v="33154140"/>
    <s v="QUESADA"/>
    <s v="HERNAN MATIAS"/>
    <s v="M"/>
    <m/>
    <d v="2015-09-1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BERTAD"/>
    <n v="1005"/>
    <m/>
    <m/>
    <s v="CAPITAL FEDERAL"/>
    <s v="Capital Federal"/>
    <m/>
    <s v="U.O.Centro"/>
    <m/>
    <n v="3"/>
    <n v="1"/>
    <n v="3423.24"/>
    <n v="684.65"/>
    <m/>
    <m/>
    <n v="2738.59"/>
    <m/>
    <n v="68.459999999999994"/>
    <m/>
    <m/>
    <m/>
    <m/>
    <m/>
    <m/>
    <n v="34.229999999999997"/>
    <m/>
    <m/>
    <m/>
    <m/>
    <m/>
    <m/>
    <n v="68.459999999999994"/>
    <m/>
    <m/>
    <m/>
    <m/>
    <m/>
    <m/>
    <m/>
    <n v="34.229999999999997"/>
    <m/>
    <n v="205.38"/>
  </r>
  <r>
    <n v="4"/>
    <x v="4"/>
    <x v="1"/>
    <n v="168959"/>
    <s v="RAMIREZ ANDREA FABIANA"/>
    <s v="27-22241765-7"/>
    <d v="2016-05-09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 Paga Inplant"/>
    <m/>
    <n v="1"/>
    <n v="1"/>
    <n v="13699.37"/>
    <n v="2739.87"/>
    <m/>
    <m/>
    <n v="10959.5"/>
    <m/>
    <n v="273.99"/>
    <m/>
    <m/>
    <m/>
    <m/>
    <m/>
    <m/>
    <n v="136.99"/>
    <m/>
    <m/>
    <m/>
    <m/>
    <m/>
    <m/>
    <n v="273.99"/>
    <m/>
    <m/>
    <m/>
    <m/>
    <m/>
    <m/>
    <m/>
    <n v="136.99"/>
    <m/>
    <n v="821.96"/>
  </r>
  <r>
    <n v="4"/>
    <x v="4"/>
    <x v="0"/>
    <n v="170302"/>
    <s v="RAMIREZ GABRIEL LEONARDO"/>
    <s v="20-37596484-9"/>
    <d v="2016-05-09T00:00:00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Barilari"/>
    <n v="1225"/>
    <m/>
    <m/>
    <s v="CAPITAL FEDERAL"/>
    <s v="Buenos Aires"/>
    <m/>
    <s v="U.O.Centro"/>
    <m/>
    <n v="1"/>
    <n v="1"/>
    <n v="4286.13"/>
    <n v="857.21"/>
    <m/>
    <m/>
    <n v="3428.92"/>
    <m/>
    <n v="85.72"/>
    <m/>
    <m/>
    <m/>
    <m/>
    <m/>
    <m/>
    <n v="42.86"/>
    <m/>
    <m/>
    <m/>
    <m/>
    <m/>
    <m/>
    <n v="85.72"/>
    <m/>
    <m/>
    <m/>
    <m/>
    <m/>
    <m/>
    <m/>
    <n v="42.86"/>
    <m/>
    <n v="257.16000000000003"/>
  </r>
  <r>
    <n v="4"/>
    <x v="4"/>
    <x v="1"/>
    <n v="171689"/>
    <s v="RAMOS LEONEL ALBERTO"/>
    <s v="23-36484857-9"/>
    <d v="2016-05-09T00:00:00"/>
    <n v="36484857"/>
    <s v="RAMOS"/>
    <s v="LEONEL ALBERTO"/>
    <s v="M"/>
    <m/>
    <d v="2016-04-13T00:00:00"/>
    <m/>
    <m/>
    <s v="GASTRONOMICOS-Hoteles 4 y 5 Estrellas - 362/2003"/>
    <s v="Categoria 2"/>
    <x v="3"/>
    <s v="Unidad Principal"/>
    <s v="Centro"/>
    <s v="Tareas Generales"/>
    <n v="108803"/>
    <s v="O.S.P.Gastronomico"/>
    <s v="Capital Federal"/>
    <m/>
    <n v="1002"/>
    <s v="LORENZINI"/>
    <n v="764"/>
    <m/>
    <m/>
    <s v="CAPITAL FEDERAL"/>
    <s v="Capital Federal"/>
    <m/>
    <s v="U.O.Centro Paga Inplant"/>
    <m/>
    <n v="1"/>
    <n v="1"/>
    <n v="3324.74"/>
    <n v="664.94"/>
    <m/>
    <m/>
    <n v="2659.8"/>
    <m/>
    <n v="66.489999999999995"/>
    <m/>
    <m/>
    <m/>
    <m/>
    <m/>
    <m/>
    <n v="33.25"/>
    <m/>
    <m/>
    <m/>
    <m/>
    <m/>
    <m/>
    <n v="66.489999999999995"/>
    <m/>
    <m/>
    <m/>
    <m/>
    <m/>
    <m/>
    <m/>
    <n v="33.25"/>
    <m/>
    <n v="199.48"/>
  </r>
  <r>
    <n v="4"/>
    <x v="4"/>
    <x v="0"/>
    <n v="169776"/>
    <s v="RENEDO MARINA VANESA"/>
    <s v="27-29268429-6"/>
    <d v="2016-05-09T00:00:00"/>
    <n v="29268429"/>
    <s v="RENEDO"/>
    <s v="MARINA VANESA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LLE 834"/>
    <n v="1225"/>
    <m/>
    <m/>
    <s v="CAPITAL FEDERAL"/>
    <s v="Buenos Aires"/>
    <m/>
    <s v="U.O.Centro"/>
    <m/>
    <n v="2"/>
    <n v="1"/>
    <n v="11214.3"/>
    <n v="2242.85"/>
    <m/>
    <m/>
    <n v="8971.4500000000007"/>
    <m/>
    <n v="224.28"/>
    <m/>
    <m/>
    <m/>
    <m/>
    <m/>
    <m/>
    <n v="112.14"/>
    <m/>
    <m/>
    <m/>
    <m/>
    <m/>
    <m/>
    <n v="224.28"/>
    <m/>
    <m/>
    <m/>
    <m/>
    <m/>
    <m/>
    <m/>
    <n v="112.14"/>
    <m/>
    <n v="672.84"/>
  </r>
  <r>
    <n v="4"/>
    <x v="4"/>
    <x v="0"/>
    <n v="162333"/>
    <s v="RIOS MARIA ROSA"/>
    <s v="27-26405230-6"/>
    <d v="2016-05-09T00:00:00"/>
    <n v="26405230"/>
    <s v="RIOS"/>
    <s v="MARIA ROSA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OLLEDO"/>
    <n v="1225"/>
    <m/>
    <m/>
    <s v="CAPITAL FEDERAL"/>
    <s v="Buenos Aires"/>
    <m/>
    <s v="U.O.Centro"/>
    <m/>
    <n v="3"/>
    <n v="1"/>
    <n v="10259.24"/>
    <n v="2051.85"/>
    <m/>
    <m/>
    <n v="8207.39"/>
    <m/>
    <n v="205.19"/>
    <m/>
    <m/>
    <m/>
    <m/>
    <m/>
    <m/>
    <n v="102.6"/>
    <m/>
    <m/>
    <m/>
    <m/>
    <m/>
    <m/>
    <n v="205.19"/>
    <m/>
    <m/>
    <m/>
    <m/>
    <m/>
    <m/>
    <m/>
    <n v="102.6"/>
    <m/>
    <n v="615.58000000000004"/>
  </r>
  <r>
    <n v="4"/>
    <x v="4"/>
    <x v="0"/>
    <n v="172295"/>
    <s v="RIOS TEODORO HERMES"/>
    <s v="20-25239719-2"/>
    <d v="2016-05-09T00:00:00"/>
    <n v="25239719"/>
    <s v="RIOS"/>
    <s v="TEODORO HERMES"/>
    <s v="M"/>
    <m/>
    <d v="2016-04-28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VENEZUELA"/>
    <n v="1225"/>
    <m/>
    <m/>
    <s v="CAPITAL FEDERAL"/>
    <s v="Buenos Aires"/>
    <m/>
    <s v="U.O.Centro"/>
    <m/>
    <n v="1"/>
    <n v="1"/>
    <n v="1665.81"/>
    <n v="333.16"/>
    <m/>
    <m/>
    <n v="1332.65"/>
    <m/>
    <n v="33.32"/>
    <m/>
    <m/>
    <m/>
    <m/>
    <m/>
    <m/>
    <n v="16.66"/>
    <m/>
    <m/>
    <m/>
    <m/>
    <m/>
    <m/>
    <n v="33.32"/>
    <m/>
    <m/>
    <m/>
    <m/>
    <m/>
    <m/>
    <m/>
    <n v="16.66"/>
    <m/>
    <n v="99.96"/>
  </r>
  <r>
    <n v="4"/>
    <x v="4"/>
    <x v="0"/>
    <n v="164261"/>
    <s v="ROBELEK CARLOS ALEJANDRO"/>
    <s v="20-23256846-2"/>
    <d v="2016-05-09T00:00:00"/>
    <n v="23256846"/>
    <s v="ROBELEK"/>
    <s v="CARLOS ALEJANDRO"/>
    <s v="M"/>
    <m/>
    <d v="2015-12-16T00:00:00"/>
    <d v="2016-02-20T00:00:00"/>
    <d v="2016-02-20T00:00:00"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UDAMERICA"/>
    <n v="764"/>
    <m/>
    <m/>
    <s v="CAPITAL FEDERAL"/>
    <s v="Capital Federal"/>
    <m/>
    <s v="U.O.San Justo"/>
    <m/>
    <n v="1"/>
    <n v="1"/>
    <n v="2082.2600000000002"/>
    <n v="416.46"/>
    <m/>
    <n v="1049.22"/>
    <n v="2715.02"/>
    <m/>
    <n v="41.65"/>
    <m/>
    <m/>
    <m/>
    <m/>
    <m/>
    <m/>
    <n v="20.82"/>
    <m/>
    <m/>
    <m/>
    <m/>
    <m/>
    <m/>
    <n v="41.65"/>
    <m/>
    <m/>
    <m/>
    <m/>
    <m/>
    <m/>
    <m/>
    <n v="20.82"/>
    <m/>
    <n v="124.94"/>
  </r>
  <r>
    <n v="4"/>
    <x v="4"/>
    <x v="1"/>
    <n v="162826"/>
    <s v="RODRIGUEZ CLAUDIO ALEJANDRO"/>
    <s v="20-28807969-3"/>
    <d v="2016-05-09T00:00:00"/>
    <n v="28807969"/>
    <s v="RODRIGUEZ"/>
    <s v="CLAUDIO ALEJANDRO"/>
    <s v="M"/>
    <m/>
    <d v="2015-12-03T00:00:00"/>
    <m/>
    <m/>
    <s v="GASTRONOMICOS-Hoteles 4 y 5 Estrellas - 362/2003"/>
    <s v="Categoria 1"/>
    <x v="3"/>
    <s v="Unidad Principal"/>
    <s v="Centro"/>
    <s v="Tareas Generales"/>
    <n v="127406"/>
    <s v="O.S.Obreros y empleados tintoreros, sombrerero y lavanderos"/>
    <s v="Capital Federal"/>
    <m/>
    <n v="1002"/>
    <s v="JOSE IGNACIO RUCCI"/>
    <n v="764"/>
    <m/>
    <m/>
    <s v="CAPITAL FEDERAL"/>
    <s v="Capital Federal"/>
    <m/>
    <s v="U.O.Centro Paga Inplant"/>
    <m/>
    <n v="1"/>
    <n v="1"/>
    <n v="8865.4"/>
    <n v="1773.07"/>
    <m/>
    <m/>
    <n v="7092.33"/>
    <m/>
    <n v="177.31"/>
    <m/>
    <m/>
    <m/>
    <m/>
    <m/>
    <m/>
    <n v="88.65"/>
    <m/>
    <m/>
    <m/>
    <m/>
    <m/>
    <m/>
    <n v="177.31"/>
    <m/>
    <m/>
    <m/>
    <m/>
    <m/>
    <m/>
    <m/>
    <n v="88.65"/>
    <m/>
    <n v="531.91999999999996"/>
  </r>
  <r>
    <n v="4"/>
    <x v="4"/>
    <x v="1"/>
    <n v="170996"/>
    <s v="RODRIGUEZ ENZO"/>
    <s v="20-95508201-0"/>
    <d v="2016-05-09T00:00:00"/>
    <n v="95508201"/>
    <s v="RODRIGUEZ"/>
    <s v="ENZO"/>
    <s v="M"/>
    <m/>
    <d v="2016-03-31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UAN FRANCISCO SEGUI"/>
    <n v="764"/>
    <n v="14"/>
    <s v="B"/>
    <s v="CAPITAL FEDERAL"/>
    <s v="Capital Federal"/>
    <m/>
    <s v="U.O.Centro"/>
    <m/>
    <n v="1"/>
    <n v="1"/>
    <n v="14580.61"/>
    <n v="2916.13"/>
    <m/>
    <m/>
    <n v="11664.48"/>
    <m/>
    <n v="291.61"/>
    <m/>
    <m/>
    <m/>
    <m/>
    <m/>
    <m/>
    <n v="145.81"/>
    <m/>
    <m/>
    <m/>
    <m/>
    <m/>
    <m/>
    <n v="291.61"/>
    <m/>
    <m/>
    <m/>
    <m/>
    <m/>
    <m/>
    <m/>
    <n v="145.81"/>
    <m/>
    <n v="874.84"/>
  </r>
  <r>
    <n v="4"/>
    <x v="4"/>
    <x v="0"/>
    <n v="169954"/>
    <s v="RODRIGUEZ SARA"/>
    <s v="27-36360779-4"/>
    <d v="2016-05-09T00:00:00"/>
    <n v="36360779"/>
    <s v="RODRIGUEZ"/>
    <s v="SAR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NA MARIA JANER"/>
    <n v="1225"/>
    <n v="7"/>
    <s v="PB"/>
    <s v="CAPITAL FEDERAL"/>
    <s v="Buenos Aires"/>
    <m/>
    <s v="U.O.Centro"/>
    <m/>
    <n v="2"/>
    <n v="1"/>
    <n v="5874.15"/>
    <n v="1174.82"/>
    <m/>
    <m/>
    <n v="4699.33"/>
    <m/>
    <n v="117.48"/>
    <m/>
    <m/>
    <m/>
    <m/>
    <m/>
    <m/>
    <n v="58.74"/>
    <m/>
    <m/>
    <m/>
    <m/>
    <m/>
    <m/>
    <n v="117.48"/>
    <m/>
    <m/>
    <m/>
    <m/>
    <m/>
    <m/>
    <m/>
    <n v="58.74"/>
    <m/>
    <n v="352.44"/>
  </r>
  <r>
    <n v="4"/>
    <x v="4"/>
    <x v="0"/>
    <n v="171276"/>
    <s v="ROMERO BENITEZ EVELIN RAMONA"/>
    <s v="23-94990240-4"/>
    <d v="2016-05-09T00:00:00"/>
    <n v="94990240"/>
    <s v="ROMERO BENITEZ"/>
    <s v="EVELIN RAMO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DIAZ VELEZ"/>
    <n v="1225"/>
    <n v="9"/>
    <s v="B"/>
    <s v="CAPITAL FEDERAL"/>
    <s v="Buenos Aires"/>
    <m/>
    <s v="U.O.Centro"/>
    <m/>
    <n v="2"/>
    <n v="1"/>
    <n v="12015.31"/>
    <n v="2403.06"/>
    <m/>
    <m/>
    <n v="9612.25"/>
    <m/>
    <n v="240.3"/>
    <m/>
    <m/>
    <m/>
    <m/>
    <m/>
    <m/>
    <n v="120.15"/>
    <m/>
    <m/>
    <m/>
    <m/>
    <m/>
    <m/>
    <n v="240.3"/>
    <m/>
    <m/>
    <m/>
    <m/>
    <m/>
    <m/>
    <m/>
    <n v="120.15"/>
    <m/>
    <n v="720.9"/>
  </r>
  <r>
    <n v="4"/>
    <x v="4"/>
    <x v="0"/>
    <n v="170549"/>
    <s v="ROSALES MATIAS SEBASTIAN"/>
    <s v="20-38950370-4"/>
    <d v="2016-05-09T00:00:00"/>
    <n v="38950370"/>
    <s v="ROSALES"/>
    <s v="MATIAS SEBASTIAN"/>
    <s v="M"/>
    <m/>
    <d v="2016-03-22T00:00:00"/>
    <m/>
    <m/>
    <s v="GASTRONOMICOS-Hoteles 4 y 5 Estrellas - 362/2003"/>
    <s v="Categoria 1"/>
    <x v="1"/>
    <s v="BANQUETES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2"/>
    <n v="1"/>
    <n v="10769.43"/>
    <n v="2153.89"/>
    <m/>
    <m/>
    <n v="8615.5400000000009"/>
    <m/>
    <n v="215.39"/>
    <m/>
    <m/>
    <m/>
    <m/>
    <m/>
    <m/>
    <n v="107.7"/>
    <m/>
    <m/>
    <m/>
    <m/>
    <m/>
    <m/>
    <n v="215.39"/>
    <m/>
    <m/>
    <m/>
    <m/>
    <m/>
    <m/>
    <m/>
    <n v="107.7"/>
    <m/>
    <n v="646.17999999999995"/>
  </r>
  <r>
    <n v="4"/>
    <x v="4"/>
    <x v="0"/>
    <n v="171271"/>
    <s v="RUIS SAMANTA SOLEDAD"/>
    <s v="27-32637966-8"/>
    <d v="2016-05-09T00:00:00"/>
    <n v="32637966"/>
    <s v="RUIS"/>
    <s v="SAMANTA SOLEDAD"/>
    <s v="F"/>
    <m/>
    <d v="2016-04-0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JOSE"/>
    <n v="1225"/>
    <m/>
    <m/>
    <s v="CAPITAL FEDERAL"/>
    <s v="Buenos Aires"/>
    <m/>
    <s v="U.O.Centro"/>
    <m/>
    <n v="2"/>
    <n v="1"/>
    <n v="4806.12"/>
    <n v="961.21"/>
    <m/>
    <m/>
    <n v="3844.91"/>
    <m/>
    <n v="96.12"/>
    <m/>
    <m/>
    <m/>
    <m/>
    <m/>
    <m/>
    <n v="48.06"/>
    <m/>
    <m/>
    <m/>
    <m/>
    <m/>
    <m/>
    <n v="96.12"/>
    <m/>
    <m/>
    <m/>
    <m/>
    <m/>
    <m/>
    <m/>
    <n v="48.06"/>
    <m/>
    <n v="288.36"/>
  </r>
  <r>
    <n v="4"/>
    <x v="4"/>
    <x v="0"/>
    <n v="146415"/>
    <s v="RUIZ DIAZ JORGE GUSTAVO"/>
    <s v="20-34079280-8"/>
    <d v="2016-05-03T00:00:00"/>
    <n v="34079280"/>
    <s v="RUIZ DIAZ"/>
    <s v="JORGE GUSTAVO"/>
    <s v="M"/>
    <m/>
    <d v="2015-08-19T00:00:00"/>
    <d v="2016-04-22T00:00:00"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MZA 56"/>
    <n v="841"/>
    <n v="3"/>
    <s v="D"/>
    <s v="CAPITAL FEDERAL"/>
    <s v="Buenos Aires"/>
    <m/>
    <s v="U.O.Centro"/>
    <m/>
    <n v="1"/>
    <n v="1"/>
    <n v="7426.27"/>
    <n v="1485.26"/>
    <m/>
    <m/>
    <n v="5941.01"/>
    <m/>
    <n v="148.53"/>
    <m/>
    <m/>
    <m/>
    <m/>
    <m/>
    <m/>
    <n v="74.260000000000005"/>
    <m/>
    <m/>
    <m/>
    <m/>
    <m/>
    <m/>
    <n v="148.53"/>
    <m/>
    <m/>
    <m/>
    <m/>
    <m/>
    <m/>
    <m/>
    <n v="74.260000000000005"/>
    <m/>
    <n v="445.58"/>
  </r>
  <r>
    <n v="4"/>
    <x v="4"/>
    <x v="1"/>
    <n v="172196"/>
    <s v="SAGARÌA NORBERTO OSVALDO"/>
    <s v="20-24921184-3"/>
    <d v="2016-05-09T00:00:00"/>
    <n v="24921184"/>
    <s v="SAGARÌA"/>
    <s v="NORBERTO OSVALDO"/>
    <s v="M"/>
    <m/>
    <d v="2016-04-25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SAN LUIS"/>
    <n v="507"/>
    <m/>
    <m/>
    <s v="CAPITAL FEDERAL"/>
    <s v="Capital Federal"/>
    <m/>
    <s v="U.O.Centro Paga Inplant"/>
    <m/>
    <n v="1"/>
    <n v="1"/>
    <n v="2918.46"/>
    <n v="583.67999999999995"/>
    <m/>
    <m/>
    <n v="2334.7800000000002"/>
    <m/>
    <n v="58.37"/>
    <m/>
    <m/>
    <m/>
    <m/>
    <m/>
    <m/>
    <n v="29.18"/>
    <m/>
    <m/>
    <m/>
    <m/>
    <m/>
    <m/>
    <n v="58.37"/>
    <m/>
    <m/>
    <m/>
    <m/>
    <m/>
    <m/>
    <m/>
    <n v="29.18"/>
    <m/>
    <n v="175.1"/>
  </r>
  <r>
    <n v="4"/>
    <x v="4"/>
    <x v="0"/>
    <n v="170317"/>
    <s v="SALGUERO EVELYN YAMILA"/>
    <s v="27-37052799-2"/>
    <d v="2016-05-09T00:00:00"/>
    <n v="37052799"/>
    <s v="SALGUERO"/>
    <s v="EVELYN YAMIL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ZAPIOLA"/>
    <n v="1225"/>
    <m/>
    <m/>
    <s v="CAPITAL FEDERAL"/>
    <s v="Buenos Aires"/>
    <m/>
    <s v="U.O.Centro"/>
    <m/>
    <n v="2"/>
    <n v="1"/>
    <n v="5455.06"/>
    <n v="1091.04"/>
    <m/>
    <m/>
    <n v="4364.0200000000004"/>
    <m/>
    <n v="109.1"/>
    <m/>
    <m/>
    <m/>
    <m/>
    <m/>
    <m/>
    <n v="54.56"/>
    <m/>
    <m/>
    <m/>
    <m/>
    <m/>
    <m/>
    <n v="109.1"/>
    <m/>
    <m/>
    <m/>
    <m/>
    <m/>
    <m/>
    <m/>
    <n v="54.56"/>
    <m/>
    <n v="327.32"/>
  </r>
  <r>
    <n v="4"/>
    <x v="4"/>
    <x v="0"/>
    <n v="169948"/>
    <s v="SALOMON EMILCE GISELLE"/>
    <s v="27-41079789-0"/>
    <d v="2016-05-09T00:00:00"/>
    <n v="41079789"/>
    <s v="SALOMON"/>
    <s v="EMILCE GISELLE"/>
    <s v="F"/>
    <m/>
    <d v="2016-03-05T00:00:00"/>
    <d v="2016-04-21T00:00:00"/>
    <d v="2016-04-21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n v="898"/>
    <n v="1225"/>
    <m/>
    <m/>
    <s v="CAPITAL FEDERAL"/>
    <s v="Buenos Aires"/>
    <m/>
    <s v="U.O.Centro"/>
    <m/>
    <n v="3"/>
    <n v="1"/>
    <n v="9625.18"/>
    <n v="1925.04"/>
    <m/>
    <m/>
    <n v="7700.14"/>
    <m/>
    <n v="192.5"/>
    <m/>
    <m/>
    <m/>
    <m/>
    <m/>
    <m/>
    <n v="96.25"/>
    <m/>
    <m/>
    <m/>
    <m/>
    <m/>
    <m/>
    <n v="192.5"/>
    <m/>
    <m/>
    <m/>
    <m/>
    <m/>
    <m/>
    <m/>
    <n v="96.25"/>
    <m/>
    <n v="577.5"/>
  </r>
  <r>
    <n v="4"/>
    <x v="4"/>
    <x v="0"/>
    <n v="170884"/>
    <s v="SANABRIA SERGIO RAMON"/>
    <s v="20-30159356-3"/>
    <d v="2016-05-09T00:00:00"/>
    <n v="30159356"/>
    <s v="SANABRIA"/>
    <s v="SERGIO RAMON"/>
    <s v="M"/>
    <m/>
    <d v="2016-03-29T00:00:00"/>
    <d v="2016-04-10T00:00:00"/>
    <m/>
    <s v="GASTRONOMICOS-Hoteles 4 y 5 Estrellas - 362/2003"/>
    <s v="Categoria 1"/>
    <x v="7"/>
    <s v="Unidad Base-GL"/>
    <s v="Centro"/>
    <s v="Tareas Generales"/>
    <n v="127406"/>
    <s v="O.S.Obreros y empleados tintoreros, sombrerero y lavanderos"/>
    <s v="Capital Federal"/>
    <m/>
    <n v="1022"/>
    <s v="AV. H. IRIGOYEN"/>
    <n v="181"/>
    <m/>
    <m/>
    <s v="CAPITAL FEDERAL"/>
    <s v="Capital Federal"/>
    <m/>
    <s v="U.O.Centro"/>
    <m/>
    <n v="1"/>
    <n v="1"/>
    <n v="448.64"/>
    <n v="89.73"/>
    <m/>
    <m/>
    <n v="358.91"/>
    <m/>
    <n v="8.9700000000000006"/>
    <m/>
    <m/>
    <m/>
    <m/>
    <m/>
    <m/>
    <n v="4.49"/>
    <m/>
    <m/>
    <m/>
    <m/>
    <m/>
    <m/>
    <n v="8.9700000000000006"/>
    <m/>
    <m/>
    <m/>
    <m/>
    <m/>
    <m/>
    <m/>
    <n v="4.49"/>
    <m/>
    <n v="26.92"/>
  </r>
  <r>
    <n v="4"/>
    <x v="4"/>
    <x v="0"/>
    <n v="170780"/>
    <s v="SANCHEZ JAVIER EDUARDO"/>
    <s v="20-29388721-8"/>
    <d v="2016-05-09T00:00:0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MONROE"/>
    <n v="181"/>
    <m/>
    <m/>
    <s v="CAPITAL FEDERAL"/>
    <s v="Capital Federal"/>
    <m/>
    <s v="U.O.Centro"/>
    <m/>
    <n v="1"/>
    <n v="1"/>
    <n v="5227.57"/>
    <n v="1045.52"/>
    <m/>
    <m/>
    <n v="4182.05"/>
    <m/>
    <n v="104.55"/>
    <m/>
    <m/>
    <m/>
    <m/>
    <m/>
    <m/>
    <n v="52.28"/>
    <m/>
    <m/>
    <m/>
    <m/>
    <m/>
    <m/>
    <n v="104.55"/>
    <m/>
    <m/>
    <m/>
    <m/>
    <m/>
    <m/>
    <m/>
    <n v="52.28"/>
    <m/>
    <n v="313.66000000000003"/>
  </r>
  <r>
    <n v="4"/>
    <x v="4"/>
    <x v="0"/>
    <n v="164903"/>
    <s v="SANTO LEANDRO"/>
    <s v="20-39458602-2"/>
    <d v="2016-05-09T00:00:00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MERICA"/>
    <n v="1225"/>
    <m/>
    <m/>
    <s v="CAPITAL FEDERAL"/>
    <s v="Buenos Aires"/>
    <m/>
    <s v="U.O.Centro"/>
    <m/>
    <n v="1"/>
    <n v="1"/>
    <n v="1168.95"/>
    <n v="233.79"/>
    <m/>
    <m/>
    <n v="935.16"/>
    <m/>
    <n v="23.38"/>
    <m/>
    <m/>
    <m/>
    <m/>
    <m/>
    <m/>
    <n v="11.69"/>
    <m/>
    <m/>
    <m/>
    <m/>
    <m/>
    <m/>
    <n v="23.38"/>
    <m/>
    <m/>
    <m/>
    <m/>
    <m/>
    <m/>
    <m/>
    <n v="11.69"/>
    <m/>
    <n v="70.14"/>
  </r>
  <r>
    <n v="4"/>
    <x v="4"/>
    <x v="0"/>
    <n v="163422"/>
    <s v="SAUCEDO BETIANA MAGALI"/>
    <s v="23-38354831-4"/>
    <d v="2016-05-09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3"/>
    <n v="1"/>
    <n v="8539.0400000000009"/>
    <n v="1707.8"/>
    <m/>
    <m/>
    <n v="6831.24"/>
    <m/>
    <n v="170.78"/>
    <m/>
    <m/>
    <m/>
    <m/>
    <m/>
    <m/>
    <n v="85.39"/>
    <m/>
    <m/>
    <m/>
    <m/>
    <m/>
    <m/>
    <n v="170.78"/>
    <m/>
    <m/>
    <m/>
    <m/>
    <m/>
    <m/>
    <m/>
    <n v="85.39"/>
    <m/>
    <n v="512.34"/>
  </r>
  <r>
    <n v="4"/>
    <x v="4"/>
    <x v="0"/>
    <n v="157784"/>
    <s v="SAUCEDO MARCELA"/>
    <s v="27-33197318-7"/>
    <d v="2016-05-09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7980.45"/>
    <n v="3685.98"/>
    <m/>
    <m/>
    <n v="14294.47"/>
    <n v="449.51"/>
    <m/>
    <m/>
    <m/>
    <m/>
    <m/>
    <m/>
    <m/>
    <n v="179.8"/>
    <m/>
    <m/>
    <m/>
    <m/>
    <m/>
    <m/>
    <n v="359.61"/>
    <m/>
    <m/>
    <m/>
    <m/>
    <m/>
    <m/>
    <m/>
    <n v="179.8"/>
    <m/>
    <n v="1168.72"/>
  </r>
  <r>
    <n v="4"/>
    <x v="4"/>
    <x v="0"/>
    <n v="162159"/>
    <s v="SECONDI RAQUEL"/>
    <s v="27-28432257-1"/>
    <d v="2016-04-21T00:00:00"/>
    <n v="28432257"/>
    <s v="SECONDI"/>
    <s v="RAQUEL"/>
    <s v="F"/>
    <m/>
    <d v="2015-12-17T00:00:00"/>
    <m/>
    <m/>
    <s v="GASTRONOMICOS-Hoteles 4 y 5 Estrellas - 362/2003"/>
    <s v="Categoria 6"/>
    <x v="1"/>
    <s v="BANQUETES"/>
    <s v="Centro"/>
    <s v="Tareas Generales"/>
    <n v="127208"/>
    <s v="O.S.de Mandos Medios de Telecomunicaciones"/>
    <s v="Capital Federal"/>
    <m/>
    <n v="1005"/>
    <s v="JERONIMO SALGUERO"/>
    <n v="1005"/>
    <m/>
    <m/>
    <s v="CAPITAL FEDERAL"/>
    <s v="Capital Federal"/>
    <m/>
    <s v="U.O.Centro"/>
    <m/>
    <n v="1"/>
    <n v="1"/>
    <n v="886.27"/>
    <n v="177.26"/>
    <m/>
    <m/>
    <n v="709.01"/>
    <m/>
    <n v="17.73"/>
    <m/>
    <m/>
    <m/>
    <m/>
    <m/>
    <m/>
    <n v="8.86"/>
    <m/>
    <m/>
    <m/>
    <m/>
    <m/>
    <m/>
    <n v="17.73"/>
    <m/>
    <m/>
    <m/>
    <m/>
    <m/>
    <m/>
    <m/>
    <n v="8.86"/>
    <m/>
    <n v="53.18"/>
  </r>
  <r>
    <n v="4"/>
    <x v="4"/>
    <x v="1"/>
    <n v="160863"/>
    <s v="SEQUEIRA GRACIELA ESTER"/>
    <s v="23-25848251-4"/>
    <d v="2016-05-09T00:00:00"/>
    <n v="25848251"/>
    <s v="SEQUEIRA"/>
    <s v="GRACIELA ESTER"/>
    <s v="F"/>
    <m/>
    <d v="2015-11-07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BRAHAM"/>
    <n v="764"/>
    <m/>
    <n v="22"/>
    <s v="CAPITAL FEDERAL"/>
    <s v="Capital Federal"/>
    <m/>
    <s v="U.O.Centro Paga Inplant"/>
    <m/>
    <n v="1"/>
    <n v="1"/>
    <n v="12818.11"/>
    <n v="2563.61"/>
    <m/>
    <m/>
    <n v="10254.5"/>
    <m/>
    <n v="256.36"/>
    <m/>
    <m/>
    <m/>
    <m/>
    <m/>
    <m/>
    <n v="128.18"/>
    <m/>
    <m/>
    <m/>
    <m/>
    <m/>
    <m/>
    <n v="256.36"/>
    <m/>
    <m/>
    <m/>
    <m/>
    <m/>
    <m/>
    <m/>
    <n v="128.18"/>
    <m/>
    <n v="769.08"/>
  </r>
  <r>
    <n v="4"/>
    <x v="4"/>
    <x v="0"/>
    <n v="156318"/>
    <s v="SERRANO ALMONTE MARIANELA"/>
    <s v="27-19029144-3"/>
    <d v="2016-05-09T00:00:00"/>
    <n v="19029144"/>
    <s v="SERRANO ALMONTE"/>
    <s v="MARIANELA"/>
    <s v="F"/>
    <m/>
    <d v="2015-08-18T00:00:00"/>
    <d v="2016-04-30T00:00:00"/>
    <d v="2016-04-30T00:00:00"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REMEDIO DE ESCALADA"/>
    <n v="474"/>
    <m/>
    <m/>
    <s v="CAPITAL FEDERAL"/>
    <s v="Buenos Aires"/>
    <m/>
    <s v="U.O.Centro"/>
    <m/>
    <n v="2"/>
    <n v="1"/>
    <n v="10947.34"/>
    <n v="2189.4699999999998"/>
    <m/>
    <m/>
    <n v="8757.8700000000008"/>
    <m/>
    <n v="218.95"/>
    <m/>
    <m/>
    <m/>
    <m/>
    <m/>
    <m/>
    <n v="109.47"/>
    <m/>
    <m/>
    <m/>
    <m/>
    <m/>
    <m/>
    <n v="218.95"/>
    <n v="3.46"/>
    <m/>
    <m/>
    <m/>
    <m/>
    <m/>
    <m/>
    <n v="106.01"/>
    <m/>
    <n v="656.84"/>
  </r>
  <r>
    <n v="4"/>
    <x v="4"/>
    <x v="0"/>
    <n v="135060"/>
    <s v="SILES MURIEL KARLA"/>
    <s v="27-93985208-0"/>
    <d v="2016-04-21T00:00:00"/>
    <n v="93985208"/>
    <s v="SILES MURIEL"/>
    <s v="KARLA"/>
    <s v="F"/>
    <m/>
    <d v="2015-11-23T00:00:00"/>
    <d v="2016-04-06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GUAZU"/>
    <n v="1225"/>
    <n v="2"/>
    <m/>
    <s v="CAPITAL FEDERAL"/>
    <s v="Buenos Aires"/>
    <m/>
    <s v="U.O.Centro"/>
    <m/>
    <n v="1"/>
    <n v="1"/>
    <n v="1068.03"/>
    <n v="213.6"/>
    <m/>
    <m/>
    <n v="854.43"/>
    <m/>
    <n v="21.36"/>
    <m/>
    <m/>
    <m/>
    <m/>
    <m/>
    <m/>
    <n v="10.68"/>
    <m/>
    <m/>
    <m/>
    <m/>
    <m/>
    <m/>
    <n v="21.36"/>
    <m/>
    <m/>
    <m/>
    <m/>
    <m/>
    <m/>
    <m/>
    <n v="10.68"/>
    <m/>
    <n v="64.08"/>
  </r>
  <r>
    <n v="4"/>
    <x v="4"/>
    <x v="0"/>
    <n v="169945"/>
    <s v="SILVA ADRIANA PAOLA"/>
    <s v="27-38794990-4"/>
    <d v="2016-05-09T00:00:00"/>
    <n v="38794990"/>
    <s v="SILVA"/>
    <s v="ADRIANA PAOL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RONDEAU"/>
    <n v="1225"/>
    <m/>
    <m/>
    <s v="CAPITAL FEDERAL"/>
    <s v="Buenos Aires"/>
    <m/>
    <s v="U.O.Centro"/>
    <m/>
    <n v="3"/>
    <n v="1"/>
    <n v="10146.280000000001"/>
    <n v="2029.22"/>
    <m/>
    <m/>
    <n v="8117.06"/>
    <m/>
    <n v="202.92"/>
    <m/>
    <m/>
    <m/>
    <m/>
    <m/>
    <m/>
    <n v="101.46"/>
    <m/>
    <m/>
    <m/>
    <m/>
    <m/>
    <m/>
    <n v="202.92"/>
    <m/>
    <m/>
    <m/>
    <m/>
    <m/>
    <m/>
    <m/>
    <n v="101.46"/>
    <m/>
    <n v="608.76"/>
  </r>
  <r>
    <n v="4"/>
    <x v="4"/>
    <x v="0"/>
    <n v="169877"/>
    <s v="SILVA MATIAS OSCAR"/>
    <s v="20-30651917-5"/>
    <d v="2016-05-09T00:00:00"/>
    <n v="30651917"/>
    <s v="SILVA"/>
    <s v="MATIAS OSCAR"/>
    <s v="M"/>
    <m/>
    <d v="2016-04-2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IGUALDAD"/>
    <n v="1232"/>
    <m/>
    <m/>
    <s v="CAPITAL FEDERAL"/>
    <s v="Buenos Aires"/>
    <m/>
    <s v="U.O.Centro"/>
    <s v="Banquetes"/>
    <n v="2"/>
    <n v="1"/>
    <n v="1068.71"/>
    <n v="213.76"/>
    <m/>
    <m/>
    <n v="854.95"/>
    <m/>
    <n v="21.37"/>
    <m/>
    <m/>
    <m/>
    <m/>
    <m/>
    <m/>
    <n v="10.69"/>
    <m/>
    <m/>
    <m/>
    <m/>
    <m/>
    <m/>
    <n v="21.37"/>
    <m/>
    <m/>
    <m/>
    <m/>
    <m/>
    <m/>
    <m/>
    <n v="10.69"/>
    <m/>
    <n v="64.12"/>
  </r>
  <r>
    <n v="4"/>
    <x v="4"/>
    <x v="0"/>
    <n v="171605"/>
    <s v="SILVERO OSVALDO MANUEL"/>
    <s v="20-29271878-1"/>
    <d v="2016-05-09T00:00:00"/>
    <n v="29271878"/>
    <s v="SILVERO"/>
    <s v="OSVALDO MANUEL"/>
    <s v="M"/>
    <m/>
    <d v="2016-04-1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SARGENTO CABRAL"/>
    <n v="181"/>
    <m/>
    <m/>
    <s v="CAPITAL FEDERAL"/>
    <s v="Capital Federal"/>
    <m/>
    <s v="U.O.Centro"/>
    <m/>
    <n v="4"/>
    <n v="1"/>
    <n v="6641.84"/>
    <n v="1328.36"/>
    <m/>
    <m/>
    <n v="5313.48"/>
    <m/>
    <n v="132.83000000000001"/>
    <m/>
    <m/>
    <m/>
    <m/>
    <m/>
    <m/>
    <n v="66.430000000000007"/>
    <m/>
    <m/>
    <m/>
    <m/>
    <m/>
    <m/>
    <n v="132.83000000000001"/>
    <m/>
    <m/>
    <m/>
    <m/>
    <m/>
    <m/>
    <m/>
    <n v="66.430000000000007"/>
    <m/>
    <n v="398.52"/>
  </r>
  <r>
    <n v="4"/>
    <x v="4"/>
    <x v="0"/>
    <n v="162176"/>
    <s v="SOMMA GABRIELA ALEJANDRA"/>
    <s v="27-31822042-0"/>
    <d v="2016-05-09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2"/>
    <n v="1"/>
    <n v="10910.12"/>
    <n v="2182.02"/>
    <m/>
    <m/>
    <n v="8728.1"/>
    <m/>
    <n v="218.2"/>
    <m/>
    <m/>
    <m/>
    <m/>
    <m/>
    <m/>
    <n v="109.1"/>
    <m/>
    <m/>
    <m/>
    <m/>
    <m/>
    <m/>
    <n v="218.2"/>
    <m/>
    <m/>
    <m/>
    <m/>
    <m/>
    <m/>
    <m/>
    <n v="109.1"/>
    <m/>
    <n v="654.6"/>
  </r>
  <r>
    <n v="4"/>
    <x v="4"/>
    <x v="1"/>
    <n v="168292"/>
    <s v="SORIA MAIRA SOLEDAD"/>
    <s v="27-38844520-9"/>
    <d v="2016-05-09T00:00:00"/>
    <n v="38844520"/>
    <s v="SORIA"/>
    <s v="MAIRA SOLEDAD"/>
    <s v="F"/>
    <m/>
    <d v="2016-02-15T00:00:00"/>
    <d v="2016-04-08T00:00:00"/>
    <d v="2016-04-08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126 Y 27"/>
    <n v="764"/>
    <m/>
    <m/>
    <s v="CAPITAL FEDERAL"/>
    <s v="Capital Federal"/>
    <m/>
    <s v="U.O.Centro Paga Inplant"/>
    <m/>
    <n v="1"/>
    <n v="1"/>
    <n v="5367.58"/>
    <n v="1073.52"/>
    <m/>
    <m/>
    <n v="4294.0600000000004"/>
    <m/>
    <n v="107.35"/>
    <m/>
    <m/>
    <m/>
    <m/>
    <m/>
    <m/>
    <n v="53.68"/>
    <m/>
    <m/>
    <m/>
    <m/>
    <m/>
    <m/>
    <n v="107.35"/>
    <m/>
    <m/>
    <m/>
    <m/>
    <m/>
    <m/>
    <m/>
    <n v="53.68"/>
    <m/>
    <n v="322.06"/>
  </r>
  <r>
    <n v="4"/>
    <x v="4"/>
    <x v="0"/>
    <n v="170437"/>
    <s v="SOSA BLANCA"/>
    <s v="27-28474500-6"/>
    <d v="2016-05-09T00:00:00"/>
    <n v="28474500"/>
    <s v="SOSA"/>
    <s v="BLANCA"/>
    <s v="F"/>
    <m/>
    <d v="2016-03-18T00:00:00"/>
    <m/>
    <m/>
    <s v="GASTRONOMICOS-Hoteles 4 y 5 Estrellas - 362/2003"/>
    <s v="Categoría 4"/>
    <x v="15"/>
    <s v="Unidad Principal"/>
    <s v="Centro"/>
    <s v="Mucama"/>
    <n v="127505"/>
    <s v="O.S.Asoc.Emp.Faramacia"/>
    <s v="Capital Federal"/>
    <m/>
    <n v="1440"/>
    <s v="VIRGENES"/>
    <n v="265"/>
    <m/>
    <m/>
    <s v="CAPITAL FEDERAL"/>
    <s v="Capital Federal"/>
    <m/>
    <s v="U.O.Centro"/>
    <s v="Mucama"/>
    <n v="2"/>
    <n v="1"/>
    <n v="13124.08"/>
    <n v="2624.82"/>
    <m/>
    <m/>
    <n v="10499.26"/>
    <m/>
    <n v="262.49"/>
    <m/>
    <m/>
    <m/>
    <m/>
    <m/>
    <m/>
    <n v="131.24"/>
    <m/>
    <m/>
    <m/>
    <m/>
    <m/>
    <m/>
    <n v="262.49"/>
    <m/>
    <m/>
    <m/>
    <m/>
    <m/>
    <m/>
    <m/>
    <n v="131.24"/>
    <m/>
    <n v="787.46"/>
  </r>
  <r>
    <n v="4"/>
    <x v="4"/>
    <x v="1"/>
    <n v="171851"/>
    <s v="SOSA GUSTAVO MATIAS"/>
    <s v="20-39468142-4"/>
    <d v="2016-05-09T00:00:00"/>
    <n v="39468142"/>
    <s v="SOSA"/>
    <s v="GUSTAVO MATIAS"/>
    <s v="M"/>
    <m/>
    <d v="2016-04-16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s v="Pasco"/>
    <n v="507"/>
    <s v="PB"/>
    <n v="4"/>
    <s v="CAPITAL FEDERAL"/>
    <s v="Capital Federal"/>
    <m/>
    <s v="U.O.Centro Paga Inplant"/>
    <m/>
    <n v="1"/>
    <n v="1"/>
    <n v="3970.3"/>
    <n v="794.06"/>
    <m/>
    <m/>
    <n v="3176.24"/>
    <m/>
    <n v="79.41"/>
    <m/>
    <m/>
    <m/>
    <m/>
    <m/>
    <m/>
    <n v="39.700000000000003"/>
    <m/>
    <m/>
    <m/>
    <m/>
    <m/>
    <m/>
    <n v="79.41"/>
    <m/>
    <m/>
    <m/>
    <m/>
    <m/>
    <m/>
    <m/>
    <n v="39.700000000000003"/>
    <m/>
    <n v="238.22"/>
  </r>
  <r>
    <n v="4"/>
    <x v="4"/>
    <x v="1"/>
    <n v="154462"/>
    <s v="SOTELO DAMARIS ROXANA"/>
    <s v="27-38100104-6"/>
    <d v="2016-05-09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 Paga Inplant"/>
    <m/>
    <n v="1"/>
    <n v="1"/>
    <n v="2646.23"/>
    <n v="529.25"/>
    <m/>
    <m/>
    <n v="2116.98"/>
    <m/>
    <n v="52.92"/>
    <m/>
    <m/>
    <m/>
    <m/>
    <m/>
    <m/>
    <n v="26.46"/>
    <m/>
    <m/>
    <m/>
    <m/>
    <m/>
    <m/>
    <n v="52.92"/>
    <m/>
    <m/>
    <m/>
    <m/>
    <m/>
    <m/>
    <m/>
    <n v="26.46"/>
    <m/>
    <n v="158.76"/>
  </r>
  <r>
    <n v="4"/>
    <x v="4"/>
    <x v="1"/>
    <n v="93346"/>
    <s v="SOTO JAVIER EDUARDO"/>
    <s v="20-37676002-3"/>
    <d v="2016-05-09T00:00:00"/>
    <n v="37676002"/>
    <s v="SOTO"/>
    <s v="JAVIER EDUARDO"/>
    <s v="M"/>
    <m/>
    <d v="2016-04-01T00:00:00"/>
    <m/>
    <m/>
    <s v="GASTRONOMICOS-Hoteles 4 y 5 Estrellas - 362/2003"/>
    <s v="Categoria 1"/>
    <x v="11"/>
    <s v="Unidad Principal"/>
    <s v="Centro"/>
    <s v="Peón"/>
    <n v="108803"/>
    <s v="O.S.P.Gastronomico"/>
    <s v="Capital Federal"/>
    <m/>
    <n v="1009"/>
    <s v="ALVARADO"/>
    <n v="507"/>
    <m/>
    <m/>
    <s v="CAPITAL FEDERAL"/>
    <s v="Capital Federal"/>
    <m/>
    <s v="U.O.Centro Paga Inplant"/>
    <m/>
    <n v="2"/>
    <n v="1"/>
    <n v="15320.6"/>
    <n v="3064.13"/>
    <m/>
    <m/>
    <n v="12256.47"/>
    <m/>
    <n v="306.41000000000003"/>
    <m/>
    <m/>
    <m/>
    <m/>
    <m/>
    <m/>
    <n v="153.21"/>
    <m/>
    <m/>
    <m/>
    <m/>
    <m/>
    <m/>
    <n v="306.41000000000003"/>
    <m/>
    <m/>
    <m/>
    <m/>
    <m/>
    <m/>
    <m/>
    <n v="153.21"/>
    <m/>
    <n v="919.24"/>
  </r>
  <r>
    <n v="4"/>
    <x v="4"/>
    <x v="0"/>
    <n v="155979"/>
    <s v="SOULE ROMINA SOLEDAD"/>
    <s v="23-34390010-4"/>
    <d v="2016-05-09T00:00:00"/>
    <n v="34390010"/>
    <s v="SOULE"/>
    <s v="ROMINA SOLEDAD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HACO"/>
    <n v="1005"/>
    <n v="1"/>
    <s v="A"/>
    <s v="CAPITAL FEDERAL"/>
    <s v="Capital Federal"/>
    <m/>
    <s v="U.O.Centro"/>
    <m/>
    <n v="2"/>
    <n v="1"/>
    <n v="10109.969999999999"/>
    <n v="2022"/>
    <m/>
    <m/>
    <n v="8087.97"/>
    <m/>
    <n v="202.2"/>
    <m/>
    <m/>
    <m/>
    <m/>
    <m/>
    <m/>
    <n v="101.1"/>
    <m/>
    <m/>
    <m/>
    <m/>
    <m/>
    <m/>
    <n v="202.2"/>
    <m/>
    <m/>
    <m/>
    <m/>
    <m/>
    <m/>
    <m/>
    <n v="101.1"/>
    <m/>
    <n v="606.6"/>
  </r>
  <r>
    <n v="4"/>
    <x v="4"/>
    <x v="0"/>
    <n v="169950"/>
    <s v="SPITALERI IVANA MURIEL"/>
    <s v="23-24946164-4"/>
    <d v="2016-05-09T00:00:00"/>
    <n v="24946164"/>
    <s v="SPITALERI"/>
    <s v="IVANA MURIEL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AIPU"/>
    <n v="1225"/>
    <m/>
    <m/>
    <s v="CAPITAL FEDERAL"/>
    <s v="Buenos Aires"/>
    <m/>
    <s v="U.O.Centro"/>
    <m/>
    <n v="3"/>
    <n v="1"/>
    <n v="9078.25"/>
    <n v="1815.63"/>
    <m/>
    <m/>
    <n v="7262.62"/>
    <m/>
    <n v="181.56"/>
    <m/>
    <m/>
    <m/>
    <m/>
    <m/>
    <m/>
    <n v="90.78"/>
    <m/>
    <m/>
    <m/>
    <m/>
    <m/>
    <m/>
    <n v="181.56"/>
    <m/>
    <m/>
    <m/>
    <m/>
    <m/>
    <m/>
    <m/>
    <n v="90.78"/>
    <m/>
    <n v="544.67999999999995"/>
  </r>
  <r>
    <n v="4"/>
    <x v="4"/>
    <x v="0"/>
    <n v="162209"/>
    <s v="STOCKL BRENDA JENNIFER"/>
    <s v="27-37769971-3"/>
    <d v="2016-05-09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2"/>
    <n v="1"/>
    <n v="11689.42"/>
    <n v="2337.88"/>
    <m/>
    <m/>
    <n v="9351.5400000000009"/>
    <m/>
    <n v="233.79"/>
    <m/>
    <m/>
    <m/>
    <m/>
    <m/>
    <m/>
    <n v="116.9"/>
    <m/>
    <m/>
    <m/>
    <m/>
    <m/>
    <m/>
    <n v="233.79"/>
    <m/>
    <m/>
    <m/>
    <m/>
    <m/>
    <m/>
    <m/>
    <n v="116.9"/>
    <m/>
    <n v="701.38"/>
  </r>
  <r>
    <n v="4"/>
    <x v="4"/>
    <x v="0"/>
    <n v="162177"/>
    <s v="SZYCHOWSKI WALTER TADEO"/>
    <s v="23-20698069-9"/>
    <d v="2016-05-09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m/>
    <n v="2"/>
    <n v="1"/>
    <n v="1948.24"/>
    <n v="389.65"/>
    <m/>
    <m/>
    <n v="1558.59"/>
    <m/>
    <n v="38.96"/>
    <m/>
    <m/>
    <m/>
    <m/>
    <m/>
    <m/>
    <n v="19.489999999999998"/>
    <m/>
    <m/>
    <m/>
    <m/>
    <m/>
    <m/>
    <n v="38.96"/>
    <m/>
    <m/>
    <m/>
    <m/>
    <m/>
    <m/>
    <m/>
    <n v="19.489999999999998"/>
    <m/>
    <n v="116.9"/>
  </r>
  <r>
    <n v="4"/>
    <x v="4"/>
    <x v="0"/>
    <n v="162835"/>
    <s v="TAPIA CARINA ELIZABET"/>
    <s v="27-27804858-1"/>
    <d v="2016-04-21T00:00:00"/>
    <n v="27804858"/>
    <s v="TAPIA"/>
    <s v="CARINA ELIZABET"/>
    <s v="F"/>
    <m/>
    <d v="2015-12-0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MORON"/>
    <n v="1005"/>
    <m/>
    <m/>
    <s v="CAPITAL FEDERAL"/>
    <s v="Capital Federal"/>
    <m/>
    <s v="U.O.Centro"/>
    <m/>
    <n v="1"/>
    <n v="1"/>
    <n v="1724.47"/>
    <n v="344.88"/>
    <m/>
    <m/>
    <n v="1379.59"/>
    <m/>
    <n v="34.49"/>
    <m/>
    <m/>
    <m/>
    <m/>
    <m/>
    <m/>
    <n v="17.239999999999998"/>
    <m/>
    <m/>
    <m/>
    <m/>
    <m/>
    <m/>
    <n v="34.49"/>
    <m/>
    <m/>
    <m/>
    <m/>
    <m/>
    <m/>
    <m/>
    <n v="17.239999999999998"/>
    <m/>
    <n v="103.46"/>
  </r>
  <r>
    <n v="4"/>
    <x v="4"/>
    <x v="0"/>
    <n v="172231"/>
    <s v="TOLABA ANA DANIELA"/>
    <s v="27-28788381-7"/>
    <d v="2016-05-09T00:00:00"/>
    <n v="28788381"/>
    <s v="TOLABA"/>
    <s v="ANA DANIELA"/>
    <s v="F"/>
    <m/>
    <d v="2016-04-2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JOSE"/>
    <n v="1225"/>
    <n v="3"/>
    <s v="B"/>
    <s v="CAPITAL FEDERAL"/>
    <s v="Buenos Aires"/>
    <m/>
    <s v="U.O.Centro"/>
    <m/>
    <n v="1"/>
    <n v="1"/>
    <n v="2136.0500000000002"/>
    <n v="427.21"/>
    <m/>
    <m/>
    <n v="1708.84"/>
    <m/>
    <n v="42.72"/>
    <m/>
    <m/>
    <m/>
    <m/>
    <m/>
    <m/>
    <n v="21.36"/>
    <m/>
    <m/>
    <m/>
    <m/>
    <m/>
    <m/>
    <n v="42.72"/>
    <m/>
    <m/>
    <m/>
    <m/>
    <m/>
    <m/>
    <m/>
    <n v="21.36"/>
    <m/>
    <n v="128.16"/>
  </r>
  <r>
    <n v="4"/>
    <x v="4"/>
    <x v="0"/>
    <n v="169811"/>
    <s v="TOLABA ESTELA MARTINA"/>
    <s v="27-25992551-2"/>
    <d v="2016-05-09T00:00:00"/>
    <n v="25992551"/>
    <s v="TOLABA"/>
    <s v="ESTELA MARTINA"/>
    <s v="F"/>
    <m/>
    <d v="2016-03-0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ULPINA"/>
    <n v="1225"/>
    <m/>
    <m/>
    <s v="CAPITAL FEDERAL"/>
    <s v="Buenos Aires"/>
    <m/>
    <s v="U.O.Centro"/>
    <m/>
    <n v="3"/>
    <n v="1"/>
    <n v="10680.29"/>
    <n v="2136.0300000000002"/>
    <m/>
    <m/>
    <n v="8544.26"/>
    <m/>
    <n v="213.6"/>
    <m/>
    <m/>
    <m/>
    <m/>
    <m/>
    <m/>
    <n v="106.8"/>
    <m/>
    <m/>
    <m/>
    <m/>
    <m/>
    <m/>
    <n v="213.6"/>
    <m/>
    <m/>
    <m/>
    <m/>
    <m/>
    <m/>
    <m/>
    <n v="106.8"/>
    <m/>
    <n v="640.79999999999995"/>
  </r>
  <r>
    <n v="4"/>
    <x v="4"/>
    <x v="0"/>
    <n v="172232"/>
    <s v="TORRES EMILCE LUCIA"/>
    <s v="27-31640139-8"/>
    <d v="2016-05-09T00:00:00"/>
    <n v="31640139"/>
    <s v="TORRES"/>
    <s v="EMILCE LUCIA"/>
    <s v="F"/>
    <m/>
    <d v="2016-04-23T00:00:00"/>
    <d v="2016-05-02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yolas"/>
    <n v="1225"/>
    <m/>
    <m/>
    <s v="CAPITAL FEDERAL"/>
    <s v="Buenos Aires"/>
    <m/>
    <s v="U.O.Centro"/>
    <m/>
    <n v="1"/>
    <n v="1"/>
    <n v="2136.0500000000002"/>
    <n v="427.21"/>
    <m/>
    <m/>
    <n v="1708.84"/>
    <m/>
    <n v="42.72"/>
    <m/>
    <m/>
    <m/>
    <m/>
    <m/>
    <m/>
    <n v="21.36"/>
    <m/>
    <m/>
    <m/>
    <m/>
    <m/>
    <m/>
    <n v="42.72"/>
    <m/>
    <m/>
    <m/>
    <m/>
    <m/>
    <m/>
    <m/>
    <n v="21.36"/>
    <m/>
    <n v="128.16"/>
  </r>
  <r>
    <n v="4"/>
    <x v="4"/>
    <x v="0"/>
    <n v="170180"/>
    <s v="TORRES FERNANDO"/>
    <s v="23-36164521-9"/>
    <d v="2016-05-09T00:00:0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ICARDO ROJAS"/>
    <n v="265"/>
    <m/>
    <m/>
    <s v="CAPITAL FEDERAL"/>
    <s v="Capital Federal"/>
    <m/>
    <s v="U.O.Centro"/>
    <s v="Ayudantes"/>
    <n v="2"/>
    <n v="1"/>
    <n v="11168.34"/>
    <n v="2233.65"/>
    <m/>
    <m/>
    <n v="8934.69"/>
    <m/>
    <n v="223.36"/>
    <m/>
    <m/>
    <m/>
    <m/>
    <m/>
    <m/>
    <n v="111.68"/>
    <m/>
    <m/>
    <m/>
    <m/>
    <m/>
    <m/>
    <n v="223.36"/>
    <m/>
    <m/>
    <m/>
    <m/>
    <m/>
    <m/>
    <m/>
    <n v="111.68"/>
    <m/>
    <n v="670.08"/>
  </r>
  <r>
    <n v="4"/>
    <x v="4"/>
    <x v="1"/>
    <n v="165162"/>
    <s v="TORRES VERONICA ALEJANDRA"/>
    <s v="23-25413259-4"/>
    <d v="2016-05-09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 Paga Inplant"/>
    <m/>
    <n v="1"/>
    <n v="1"/>
    <n v="9373.24"/>
    <n v="1874.65"/>
    <m/>
    <m/>
    <n v="7498.59"/>
    <m/>
    <n v="187.46"/>
    <m/>
    <m/>
    <m/>
    <m/>
    <m/>
    <m/>
    <n v="93.73"/>
    <m/>
    <m/>
    <m/>
    <m/>
    <m/>
    <m/>
    <n v="187.46"/>
    <m/>
    <m/>
    <m/>
    <m/>
    <m/>
    <m/>
    <m/>
    <n v="93.73"/>
    <m/>
    <n v="562.38"/>
  </r>
  <r>
    <n v="4"/>
    <x v="4"/>
    <x v="0"/>
    <n v="170203"/>
    <s v="TOTARO ALEJANDRO EZEQUIEL"/>
    <s v="20-34309566-0"/>
    <d v="2016-05-09T00:00:0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ATANZA"/>
    <n v="1225"/>
    <m/>
    <m/>
    <s v="CAPITAL FEDERAL"/>
    <s v="Buenos Aires"/>
    <m/>
    <s v="U.O.Centro"/>
    <m/>
    <n v="3"/>
    <n v="1"/>
    <n v="9952.36"/>
    <n v="1990.48"/>
    <m/>
    <m/>
    <n v="7961.88"/>
    <m/>
    <n v="199.05"/>
    <m/>
    <m/>
    <m/>
    <m/>
    <m/>
    <m/>
    <n v="99.52"/>
    <m/>
    <m/>
    <m/>
    <m/>
    <m/>
    <m/>
    <n v="199.05"/>
    <m/>
    <m/>
    <m/>
    <m/>
    <m/>
    <m/>
    <m/>
    <n v="99.52"/>
    <m/>
    <n v="597.14"/>
  </r>
  <r>
    <n v="4"/>
    <x v="4"/>
    <x v="1"/>
    <n v="170999"/>
    <s v="URUNAGA HECTOR DANIELl"/>
    <s v="20-30790046-8"/>
    <d v="2016-05-09T00:00:00"/>
    <n v="30790046"/>
    <s v="URUNAGA"/>
    <s v="HECTOR DANIELl"/>
    <s v="M"/>
    <m/>
    <d v="2016-03-31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TUCUMAN"/>
    <n v="764"/>
    <n v="8"/>
    <n v="240"/>
    <s v="CAPITAL FEDERAL"/>
    <s v="Capital Federal"/>
    <m/>
    <s v="U.O.Centro Paga Inplant"/>
    <m/>
    <n v="1"/>
    <n v="1"/>
    <n v="13103.79"/>
    <n v="2620.7600000000002"/>
    <m/>
    <m/>
    <n v="10483.030000000001"/>
    <m/>
    <n v="262.08"/>
    <m/>
    <m/>
    <m/>
    <m/>
    <m/>
    <m/>
    <n v="131.04"/>
    <m/>
    <m/>
    <m/>
    <m/>
    <m/>
    <m/>
    <n v="262.08"/>
    <m/>
    <m/>
    <m/>
    <m/>
    <m/>
    <m/>
    <m/>
    <n v="131.04"/>
    <m/>
    <n v="786.24"/>
  </r>
  <r>
    <n v="4"/>
    <x v="4"/>
    <x v="0"/>
    <n v="60070"/>
    <s v="URZAGASTI ALDO ARIEL"/>
    <s v="20-29942988-2"/>
    <d v="2016-05-09T00:00:00"/>
    <n v="29942988"/>
    <s v="URZAGASTI"/>
    <s v="ALDO ARIEL"/>
    <s v="M"/>
    <m/>
    <d v="2010-07-30T00:00:00"/>
    <d v="2010-09-01T00:00:00"/>
    <m/>
    <s v="GASTRONOMICOS-Hoteles 4 y 5 Estrellas - 362/2003"/>
    <s v="Categoria 5"/>
    <x v="19"/>
    <s v="Unidad Principal"/>
    <s v="Jujuy"/>
    <s v="Mozo Eventos Especiales"/>
    <n v="108803"/>
    <s v="O.S.P.Gastronomico"/>
    <s v="Jujuy"/>
    <s v="M. Moreno"/>
    <n v="4600"/>
    <s v="AV. ILLIA"/>
    <n v="496"/>
    <m/>
    <m/>
    <s v="SAN SALVADOR DE JUJUY"/>
    <s v="Jujuy  "/>
    <m/>
    <s v="Güemes 864- San Salvador- Jujuy"/>
    <s v="RADIO VISIO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4"/>
    <x v="0"/>
    <n v="171016"/>
    <s v="VALDEOLIVAR DIEZ IARA AIME"/>
    <s v="27-37203892-1"/>
    <d v="2016-05-09T00:00:00"/>
    <n v="37203892"/>
    <s v="VALDEOLIVAR DIEZ"/>
    <s v="IARA AIME"/>
    <s v="F"/>
    <m/>
    <d v="2016-04-2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PERU"/>
    <n v="1232"/>
    <n v="9"/>
    <n v="27"/>
    <s v="CAPITAL FEDERAL"/>
    <s v="Buenos Aires"/>
    <m/>
    <s v="U.O.Centro"/>
    <s v="Banquetes"/>
    <n v="2"/>
    <n v="1"/>
    <n v="1614.31"/>
    <n v="322.87"/>
    <m/>
    <m/>
    <n v="1291.44"/>
    <m/>
    <n v="32.28"/>
    <m/>
    <m/>
    <m/>
    <m/>
    <m/>
    <m/>
    <n v="16.149999999999999"/>
    <m/>
    <m/>
    <m/>
    <m/>
    <m/>
    <m/>
    <n v="32.28"/>
    <m/>
    <m/>
    <m/>
    <m/>
    <m/>
    <m/>
    <m/>
    <n v="16.149999999999999"/>
    <m/>
    <n v="96.86"/>
  </r>
  <r>
    <n v="4"/>
    <x v="4"/>
    <x v="0"/>
    <n v="170465"/>
    <s v="VALDEZ ALEJANDRO  DAMIAN"/>
    <s v="20-31963373-2"/>
    <d v="2016-05-09T00:00:00"/>
    <n v="31963373"/>
    <s v="VALDEZ"/>
    <s v="ALEJANDRO  DAMIAN"/>
    <s v="M"/>
    <m/>
    <d v="2016-03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SCANO"/>
    <n v="1225"/>
    <m/>
    <m/>
    <s v="CAPITAL FEDERAL"/>
    <s v="Buenos Aires"/>
    <m/>
    <s v="U.O.Centro"/>
    <m/>
    <n v="2"/>
    <n v="1"/>
    <n v="3117.18"/>
    <n v="623.45000000000005"/>
    <m/>
    <m/>
    <n v="2493.73"/>
    <m/>
    <n v="62.35"/>
    <m/>
    <m/>
    <m/>
    <m/>
    <m/>
    <m/>
    <n v="31.17"/>
    <m/>
    <m/>
    <m/>
    <m/>
    <m/>
    <m/>
    <n v="62.35"/>
    <m/>
    <m/>
    <m/>
    <m/>
    <m/>
    <m/>
    <m/>
    <n v="31.17"/>
    <m/>
    <n v="187.04"/>
  </r>
  <r>
    <n v="4"/>
    <x v="4"/>
    <x v="1"/>
    <n v="159131"/>
    <s v="VALEIRO MARIA SOLEDAD"/>
    <s v="23-27310730-4"/>
    <d v="2016-05-09T00:00:00"/>
    <n v="27310730"/>
    <s v="VALEIRO"/>
    <s v="MARIA SOLEDAD"/>
    <s v="F"/>
    <m/>
    <d v="2015-10-08T00:00:00"/>
    <m/>
    <m/>
    <s v="GASTRONOMICOS-Hoteles 4 y 5 Estrellas - 362/2003"/>
    <s v="Categoria 5"/>
    <x v="3"/>
    <s v="Unidad Principal"/>
    <s v="Centro"/>
    <s v="Tareas Generales"/>
    <n v="101604"/>
    <s v="O.S.P.Automovil Club Argentino*"/>
    <s v="Capital Federal"/>
    <m/>
    <n v="1002"/>
    <s v="GERVASIO POSADAS"/>
    <n v="764"/>
    <m/>
    <m/>
    <s v="CAPITAL FEDERAL"/>
    <s v="Capital Federal"/>
    <m/>
    <s v="U.O.Centro Paga Inplant"/>
    <m/>
    <n v="1"/>
    <n v="1"/>
    <n v="6497.2"/>
    <n v="1299.44"/>
    <m/>
    <m/>
    <n v="5197.76"/>
    <m/>
    <n v="129.94"/>
    <m/>
    <m/>
    <m/>
    <m/>
    <m/>
    <m/>
    <n v="64.97"/>
    <m/>
    <m/>
    <m/>
    <m/>
    <m/>
    <m/>
    <n v="129.94"/>
    <m/>
    <m/>
    <m/>
    <m/>
    <m/>
    <m/>
    <m/>
    <n v="64.97"/>
    <m/>
    <n v="389.82"/>
  </r>
  <r>
    <n v="4"/>
    <x v="4"/>
    <x v="1"/>
    <n v="170492"/>
    <s v="VALIENTE MARIA NAZARENA"/>
    <s v="27-23700239-9"/>
    <d v="2016-05-09T00:00:0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5289.02"/>
    <n v="1057.8"/>
    <m/>
    <m/>
    <n v="4231.22"/>
    <m/>
    <n v="105.78"/>
    <m/>
    <m/>
    <m/>
    <m/>
    <m/>
    <m/>
    <n v="52.89"/>
    <m/>
    <m/>
    <m/>
    <m/>
    <m/>
    <m/>
    <n v="105.78"/>
    <m/>
    <m/>
    <m/>
    <m/>
    <m/>
    <m/>
    <m/>
    <n v="52.89"/>
    <m/>
    <n v="317.33999999999997"/>
  </r>
  <r>
    <n v="4"/>
    <x v="4"/>
    <x v="0"/>
    <n v="163376"/>
    <s v="VARGAS BENITEZ KARINA LUJAN"/>
    <s v="27-37354725-0"/>
    <d v="2016-05-09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2"/>
    <n v="1"/>
    <n v="7403.3"/>
    <n v="1480.67"/>
    <m/>
    <m/>
    <n v="5922.63"/>
    <m/>
    <n v="148.07"/>
    <m/>
    <m/>
    <m/>
    <m/>
    <m/>
    <m/>
    <n v="74.040000000000006"/>
    <m/>
    <m/>
    <m/>
    <m/>
    <m/>
    <m/>
    <n v="148.07"/>
    <m/>
    <m/>
    <m/>
    <m/>
    <m/>
    <m/>
    <m/>
    <n v="74.040000000000006"/>
    <m/>
    <n v="444.22"/>
  </r>
  <r>
    <n v="4"/>
    <x v="4"/>
    <x v="0"/>
    <n v="140009"/>
    <s v="VEGA JUAN JOSE"/>
    <s v="20-34339212-6"/>
    <d v="2016-05-09T00:00:00"/>
    <n v="34339212"/>
    <s v="VEGA"/>
    <s v="JUAN JOSE"/>
    <s v="M"/>
    <m/>
    <d v="2015-11-01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RUDAN"/>
    <n v="1005"/>
    <n v="5"/>
    <n v="5"/>
    <s v="CAPITAL FEDERAL"/>
    <s v="Capital Federal"/>
    <m/>
    <s v="U.O.Centro"/>
    <m/>
    <n v="3"/>
    <n v="1"/>
    <n v="12680.23"/>
    <n v="2574.91"/>
    <m/>
    <m/>
    <n v="10105.32"/>
    <n v="317"/>
    <m/>
    <m/>
    <m/>
    <m/>
    <m/>
    <m/>
    <m/>
    <n v="102.28"/>
    <m/>
    <m/>
    <m/>
    <m/>
    <m/>
    <m/>
    <n v="253.6"/>
    <m/>
    <m/>
    <m/>
    <m/>
    <m/>
    <m/>
    <m/>
    <n v="102.28"/>
    <m/>
    <n v="775.16"/>
  </r>
  <r>
    <n v="4"/>
    <x v="4"/>
    <x v="0"/>
    <n v="143424"/>
    <s v="VELASQUEZ NESTOR IGNACIO"/>
    <s v="20-30830390-0"/>
    <d v="2016-05-09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3"/>
    <n v="1"/>
    <n v="22136.11"/>
    <n v="4537.8999999999996"/>
    <m/>
    <m/>
    <n v="17598.21"/>
    <n v="553.41"/>
    <m/>
    <m/>
    <m/>
    <m/>
    <m/>
    <m/>
    <m/>
    <n v="221.36"/>
    <m/>
    <m/>
    <m/>
    <m/>
    <m/>
    <m/>
    <n v="442.72"/>
    <m/>
    <m/>
    <m/>
    <m/>
    <m/>
    <m/>
    <m/>
    <n v="221.36"/>
    <m/>
    <n v="1438.85"/>
  </r>
  <r>
    <n v="4"/>
    <x v="4"/>
    <x v="0"/>
    <n v="169885"/>
    <s v="VELAZQUEZ NOELIA"/>
    <s v="27-28814358-2"/>
    <d v="2016-05-09T00:00:00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16542.009999999998"/>
    <n v="3308.4"/>
    <m/>
    <m/>
    <n v="13233.61"/>
    <m/>
    <n v="330.84"/>
    <m/>
    <m/>
    <m/>
    <m/>
    <m/>
    <m/>
    <n v="165.42"/>
    <m/>
    <m/>
    <m/>
    <m/>
    <m/>
    <m/>
    <n v="330.84"/>
    <m/>
    <m/>
    <m/>
    <m/>
    <m/>
    <m/>
    <m/>
    <n v="165.42"/>
    <m/>
    <n v="992.52"/>
  </r>
  <r>
    <n v="4"/>
    <x v="4"/>
    <x v="0"/>
    <n v="154683"/>
    <s v="VERGARA GERARDO ANIBAL"/>
    <s v="20-23133676-2"/>
    <d v="2016-05-02T00:00:00"/>
    <n v="23133676"/>
    <s v="VERGARA"/>
    <s v="GERARDO ANIBAL"/>
    <s v="M"/>
    <m/>
    <d v="2015-07-21T00:00:00"/>
    <d v="2016-02-11T00:00:00"/>
    <d v="2016-02-11T00:00:00"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V. GAONA"/>
    <n v="764"/>
    <m/>
    <m/>
    <s v="CAPITAL FEDERAL"/>
    <s v="Capital Federal"/>
    <m/>
    <s v="U.O.Centro Paga Inplant"/>
    <m/>
    <n v="1"/>
    <n v="1"/>
    <n v="1249.46"/>
    <n v="249.88"/>
    <m/>
    <m/>
    <n v="999.58"/>
    <m/>
    <n v="24.99"/>
    <m/>
    <m/>
    <m/>
    <m/>
    <m/>
    <m/>
    <n v="12.49"/>
    <m/>
    <m/>
    <m/>
    <m/>
    <m/>
    <m/>
    <n v="24.99"/>
    <m/>
    <m/>
    <m/>
    <m/>
    <m/>
    <m/>
    <m/>
    <n v="12.49"/>
    <m/>
    <n v="74.959999999999994"/>
  </r>
  <r>
    <n v="4"/>
    <x v="4"/>
    <x v="0"/>
    <n v="169873"/>
    <s v="VIELMA CABRERA TORIBIA"/>
    <s v="27-19026261-3"/>
    <d v="2016-05-09T00:00:00"/>
    <n v="19026261"/>
    <s v="VIELMA CABRERA"/>
    <s v="TORIBIA"/>
    <s v="F"/>
    <m/>
    <d v="2016-03-07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ITALIA"/>
    <n v="181"/>
    <m/>
    <m/>
    <s v="CAPITAL FEDERAL"/>
    <s v="Capital Federal"/>
    <m/>
    <s v="U.O.Centro"/>
    <m/>
    <n v="1"/>
    <n v="1"/>
    <n v="9103.0400000000009"/>
    <n v="1820.6"/>
    <m/>
    <m/>
    <n v="7282.44"/>
    <m/>
    <n v="182.06"/>
    <m/>
    <m/>
    <m/>
    <m/>
    <m/>
    <m/>
    <n v="91.03"/>
    <m/>
    <m/>
    <m/>
    <m/>
    <m/>
    <m/>
    <n v="182.06"/>
    <m/>
    <m/>
    <m/>
    <m/>
    <m/>
    <m/>
    <m/>
    <n v="91.03"/>
    <m/>
    <n v="546.17999999999995"/>
  </r>
  <r>
    <n v="4"/>
    <x v="4"/>
    <x v="0"/>
    <n v="172242"/>
    <s v="VILLALBA SANDRA KARINA"/>
    <s v="23-24570985-4"/>
    <d v="2016-05-09T00:00:00"/>
    <n v="24570985"/>
    <s v="VILLALBA"/>
    <s v="SANDRA KARINA"/>
    <s v="F"/>
    <m/>
    <d v="2016-04-2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GRAL GREGORIO ARAOZ DE LAMADRID"/>
    <n v="1225"/>
    <m/>
    <m/>
    <s v="CAPITAL FEDERAL"/>
    <s v="Buenos Aires"/>
    <m/>
    <s v="U.O.Centro"/>
    <m/>
    <n v="1"/>
    <n v="1"/>
    <n v="2136.0500000000002"/>
    <n v="427.21"/>
    <m/>
    <m/>
    <n v="1708.84"/>
    <m/>
    <n v="42.72"/>
    <m/>
    <m/>
    <m/>
    <m/>
    <m/>
    <m/>
    <n v="21.36"/>
    <m/>
    <m/>
    <m/>
    <m/>
    <m/>
    <m/>
    <n v="42.72"/>
    <m/>
    <m/>
    <m/>
    <m/>
    <m/>
    <m/>
    <m/>
    <n v="21.36"/>
    <m/>
    <n v="128.16"/>
  </r>
  <r>
    <n v="4"/>
    <x v="4"/>
    <x v="0"/>
    <n v="165038"/>
    <s v="VILLAMIZAR SANCHEZ DANIELA CAROLINA"/>
    <s v="27-95495285-7"/>
    <d v="2016-05-09T00:00:00"/>
    <n v="95495285"/>
    <s v="VILLAMIZAR SANCHEZ"/>
    <s v="DANIELA CAROLINA"/>
    <s v="F"/>
    <m/>
    <d v="2016-04-3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COMBATE DE LOS POZOS"/>
    <n v="181"/>
    <m/>
    <m/>
    <s v="CAPITAL FEDERAL"/>
    <s v="Capital Federal"/>
    <m/>
    <s v="U.O.Centro"/>
    <m/>
    <n v="2"/>
    <n v="1"/>
    <n v="1205.71"/>
    <n v="241.14"/>
    <m/>
    <m/>
    <n v="964.57"/>
    <m/>
    <n v="24.11"/>
    <m/>
    <m/>
    <m/>
    <m/>
    <m/>
    <m/>
    <n v="12.06"/>
    <m/>
    <m/>
    <m/>
    <m/>
    <m/>
    <m/>
    <n v="24.11"/>
    <m/>
    <m/>
    <m/>
    <m/>
    <m/>
    <m/>
    <m/>
    <n v="12.06"/>
    <m/>
    <n v="72.34"/>
  </r>
  <r>
    <n v="4"/>
    <x v="4"/>
    <x v="0"/>
    <n v="157641"/>
    <s v="VILLAR CRISTIAN LEANDRO"/>
    <s v="20-32891701-8"/>
    <d v="2016-04-21T00:00:00"/>
    <n v="32891701"/>
    <s v="VILLAR"/>
    <s v="CRISTIAN LEANDRO"/>
    <s v="F"/>
    <m/>
    <d v="2015-11-20T00:00:00"/>
    <m/>
    <m/>
    <s v="GASTRONOMICOS-Hoteles 4 y 5 Estrellas - 362/2003"/>
    <s v="Categoria 6"/>
    <x v="1"/>
    <s v="BANQUETES"/>
    <s v="Centro"/>
    <s v="Tareas Generales"/>
    <n v="106609"/>
    <s v="OS  ELECTRICISTAS NAVALES"/>
    <s v="Capital Federal"/>
    <m/>
    <n v="1005"/>
    <s v="PELAGIO LUNA"/>
    <n v="1005"/>
    <m/>
    <s v="A"/>
    <s v="CAPITAL FEDERAL"/>
    <s v="Capital Federal"/>
    <m/>
    <s v="U.O.Centro"/>
    <m/>
    <n v="1"/>
    <n v="1"/>
    <n v="1120.71"/>
    <n v="224.14"/>
    <m/>
    <m/>
    <n v="896.57"/>
    <m/>
    <n v="22.41"/>
    <m/>
    <m/>
    <m/>
    <m/>
    <m/>
    <m/>
    <n v="11.21"/>
    <m/>
    <m/>
    <m/>
    <m/>
    <m/>
    <m/>
    <n v="22.41"/>
    <m/>
    <m/>
    <m/>
    <m/>
    <m/>
    <m/>
    <m/>
    <n v="11.21"/>
    <m/>
    <n v="67.239999999999995"/>
  </r>
  <r>
    <n v="4"/>
    <x v="4"/>
    <x v="1"/>
    <n v="165035"/>
    <s v="VILLAROEL BARRIOS WILMER OLIVER"/>
    <s v="20-95503977-8"/>
    <d v="2016-05-09T00:00:00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OMBATE DE LOS POZOS"/>
    <n v="764"/>
    <m/>
    <m/>
    <s v="CAPITAL FEDERAL"/>
    <s v="Capital Federal"/>
    <m/>
    <s v="U.O.Centro Paga Inplant"/>
    <m/>
    <n v="1"/>
    <n v="1"/>
    <n v="708.02"/>
    <n v="145.13999999999999"/>
    <m/>
    <m/>
    <n v="562.88"/>
    <n v="17.7"/>
    <m/>
    <m/>
    <m/>
    <m/>
    <m/>
    <m/>
    <m/>
    <n v="7.08"/>
    <m/>
    <m/>
    <m/>
    <m/>
    <m/>
    <m/>
    <n v="14.16"/>
    <m/>
    <m/>
    <m/>
    <m/>
    <m/>
    <m/>
    <m/>
    <n v="7.08"/>
    <m/>
    <n v="46.02"/>
  </r>
  <r>
    <n v="4"/>
    <x v="4"/>
    <x v="0"/>
    <n v="171590"/>
    <s v="VOLPI MARIA CECILIA"/>
    <s v="27-29198078-9"/>
    <d v="2016-05-09T00:00:00"/>
    <n v="29198078"/>
    <s v="VOLPI"/>
    <s v="MARIA CECILIA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BOLIVAR"/>
    <n v="1232"/>
    <m/>
    <m/>
    <s v="CAPITAL FEDERAL"/>
    <s v="Buenos Aires"/>
    <m/>
    <s v="U.O.Centro"/>
    <s v="Banquetes"/>
    <n v="1"/>
    <n v="1"/>
    <n v="3247.01"/>
    <n v="649.4"/>
    <m/>
    <m/>
    <n v="2597.61"/>
    <m/>
    <n v="64.94"/>
    <m/>
    <m/>
    <m/>
    <m/>
    <m/>
    <m/>
    <n v="32.47"/>
    <m/>
    <m/>
    <m/>
    <m/>
    <m/>
    <m/>
    <n v="64.94"/>
    <m/>
    <m/>
    <m/>
    <m/>
    <m/>
    <m/>
    <m/>
    <n v="32.47"/>
    <m/>
    <n v="194.82"/>
  </r>
  <r>
    <n v="4"/>
    <x v="4"/>
    <x v="1"/>
    <n v="130773"/>
    <s v="WTOREK WALTER EZEQUIEL"/>
    <s v="20-30454246-3"/>
    <d v="2016-05-09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6589.349999999999"/>
    <n v="3400.81"/>
    <m/>
    <m/>
    <n v="13188.54"/>
    <n v="414.73"/>
    <m/>
    <m/>
    <m/>
    <m/>
    <m/>
    <m/>
    <m/>
    <n v="165.89"/>
    <m/>
    <m/>
    <m/>
    <m/>
    <m/>
    <m/>
    <n v="331.79"/>
    <m/>
    <m/>
    <m/>
    <m/>
    <m/>
    <m/>
    <m/>
    <n v="165.89"/>
    <m/>
    <n v="1078.3"/>
  </r>
  <r>
    <n v="4"/>
    <x v="4"/>
    <x v="0"/>
    <n v="171787"/>
    <s v="ZACARIAS MAXIMILIANO FABIAN"/>
    <s v="20-35974702-1"/>
    <d v="2016-05-09T00:00:00"/>
    <n v="35974702"/>
    <s v="ZACARIAS"/>
    <s v="MAXIMILIANO FABIAN"/>
    <s v="M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PRINGLES"/>
    <n v="1232"/>
    <m/>
    <m/>
    <s v="CAPITAL FEDERAL"/>
    <s v="Buenos Aires"/>
    <m/>
    <s v="U.O.Centro"/>
    <s v="Banquetes"/>
    <n v="1"/>
    <n v="1"/>
    <n v="2121.38"/>
    <n v="424.27"/>
    <m/>
    <m/>
    <n v="1697.11"/>
    <m/>
    <n v="42.43"/>
    <m/>
    <m/>
    <m/>
    <m/>
    <m/>
    <m/>
    <n v="21.21"/>
    <m/>
    <m/>
    <m/>
    <m/>
    <m/>
    <m/>
    <n v="42.43"/>
    <m/>
    <m/>
    <m/>
    <m/>
    <m/>
    <m/>
    <m/>
    <n v="21.21"/>
    <m/>
    <n v="127.28"/>
  </r>
  <r>
    <n v="4"/>
    <x v="4"/>
    <x v="1"/>
    <n v="130538"/>
    <s v="ZAMORA MAXIMILIANO DAVID"/>
    <s v="20-33687121-3"/>
    <d v="2016-05-09T00:00:00"/>
    <n v="33687121"/>
    <s v="ZAMORA"/>
    <s v="MAXIMILIANO DAVID"/>
    <s v="M"/>
    <m/>
    <d v="2014-07-0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ECHAGUE"/>
    <n v="1584"/>
    <m/>
    <m/>
    <s v="CAPITAL FEDERAL"/>
    <s v="Capital Federal"/>
    <m/>
    <s v="U.O.Centro"/>
    <s v="Alvear Palace"/>
    <n v="1"/>
    <n v="1"/>
    <n v="1043"/>
    <n v="208.6"/>
    <m/>
    <m/>
    <n v="834.4"/>
    <m/>
    <n v="20.86"/>
    <m/>
    <m/>
    <m/>
    <m/>
    <m/>
    <m/>
    <n v="10.43"/>
    <m/>
    <m/>
    <m/>
    <m/>
    <m/>
    <m/>
    <n v="20.86"/>
    <m/>
    <m/>
    <m/>
    <m/>
    <m/>
    <m/>
    <m/>
    <n v="10.43"/>
    <m/>
    <n v="62.58"/>
  </r>
  <r>
    <n v="4"/>
    <x v="4"/>
    <x v="0"/>
    <n v="169892"/>
    <s v="ZARATE MAXIMILIANO AARON BERNABE"/>
    <s v="20-35346973-9"/>
    <d v="2016-05-09T00:00:00"/>
    <n v="35346973"/>
    <s v="ZARATE"/>
    <s v="MAXIMILIANO AARON BERNABE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armenia"/>
    <n v="1225"/>
    <n v="2"/>
    <n v="11"/>
    <s v="CAPITAL FEDERAL"/>
    <s v="Buenos Aires"/>
    <m/>
    <s v="U.O.Centro"/>
    <m/>
    <n v="2"/>
    <n v="1"/>
    <n v="5911.01"/>
    <n v="1182.21"/>
    <m/>
    <m/>
    <n v="4728.8"/>
    <m/>
    <n v="118.23"/>
    <m/>
    <m/>
    <m/>
    <m/>
    <m/>
    <m/>
    <n v="59.11"/>
    <m/>
    <m/>
    <m/>
    <m/>
    <m/>
    <m/>
    <n v="118.23"/>
    <m/>
    <m/>
    <m/>
    <m/>
    <m/>
    <m/>
    <m/>
    <n v="59.11"/>
    <m/>
    <n v="354.68"/>
  </r>
  <r>
    <n v="4"/>
    <x v="4"/>
    <x v="0"/>
    <n v="156235"/>
    <s v="ZENTENO CRISTIAN OSCAR"/>
    <s v="20-37675043-5"/>
    <d v="2016-05-09T00:00:00"/>
    <n v="37675043"/>
    <s v="ZENTENO"/>
    <s v="CRISTIAN OSCAR"/>
    <s v="M"/>
    <m/>
    <d v="2016-02-0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CAMPICHUELO"/>
    <n v="1005"/>
    <m/>
    <m/>
    <s v="CAPITAL FEDERAL"/>
    <s v="Capital Federal"/>
    <m/>
    <s v="U.O.Centro"/>
    <m/>
    <n v="3"/>
    <n v="1"/>
    <n v="12153.6"/>
    <n v="2430.73"/>
    <m/>
    <m/>
    <n v="9722.8700000000008"/>
    <m/>
    <n v="243.08"/>
    <m/>
    <m/>
    <m/>
    <m/>
    <m/>
    <m/>
    <n v="121.53"/>
    <m/>
    <m/>
    <m/>
    <m/>
    <m/>
    <m/>
    <n v="243.08"/>
    <m/>
    <m/>
    <m/>
    <m/>
    <m/>
    <m/>
    <m/>
    <n v="121.53"/>
    <m/>
    <n v="729.22"/>
  </r>
  <r>
    <n v="4"/>
    <x v="4"/>
    <x v="0"/>
    <n v="164888"/>
    <s v="ZURCO IRINA BELEN"/>
    <s v="27-35930307-1"/>
    <d v="2016-05-09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2"/>
    <n v="1"/>
    <n v="8182.6"/>
    <n v="1636.53"/>
    <m/>
    <m/>
    <n v="6546.07"/>
    <m/>
    <n v="163.65"/>
    <m/>
    <m/>
    <m/>
    <m/>
    <m/>
    <m/>
    <n v="81.83"/>
    <m/>
    <m/>
    <m/>
    <m/>
    <m/>
    <m/>
    <n v="163.65"/>
    <m/>
    <m/>
    <m/>
    <m/>
    <m/>
    <m/>
    <m/>
    <n v="81.83"/>
    <m/>
    <n v="490.96"/>
  </r>
  <r>
    <n v="5"/>
    <x v="5"/>
    <x v="1"/>
    <n v="170882"/>
    <s v="ACOSTA ADRIAN JOSE"/>
    <s v="23-30887276-9"/>
    <d v="2016-05-31T00:00:00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GRAL MOLINA"/>
    <n v="764"/>
    <m/>
    <m/>
    <s v="CAPITAL FEDERAL"/>
    <s v="Capital Federal"/>
    <m/>
    <s v="U.O.Centro Paga Inplant"/>
    <m/>
    <n v="1"/>
    <n v="1"/>
    <n v="14835.01"/>
    <n v="2967"/>
    <m/>
    <m/>
    <n v="11868.01"/>
    <m/>
    <n v="296.7"/>
    <m/>
    <m/>
    <m/>
    <m/>
    <m/>
    <m/>
    <n v="148.35"/>
    <m/>
    <m/>
    <m/>
    <m/>
    <m/>
    <m/>
    <n v="296.7"/>
    <m/>
    <m/>
    <m/>
    <m/>
    <m/>
    <m/>
    <m/>
    <n v="148.35"/>
    <m/>
    <n v="890.1"/>
  </r>
  <r>
    <n v="5"/>
    <x v="5"/>
    <x v="0"/>
    <n v="118846"/>
    <s v="ACOSTA SUSANA BEATRIZ"/>
    <s v="27-32902543-3"/>
    <d v="2016-06-06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1"/>
    <n v="1"/>
    <n v="2500.21"/>
    <n v="500.04"/>
    <m/>
    <m/>
    <n v="2000.17"/>
    <m/>
    <n v="50"/>
    <m/>
    <m/>
    <m/>
    <m/>
    <m/>
    <m/>
    <n v="25"/>
    <m/>
    <m/>
    <m/>
    <m/>
    <m/>
    <m/>
    <n v="50"/>
    <m/>
    <m/>
    <m/>
    <m/>
    <m/>
    <m/>
    <m/>
    <n v="25"/>
    <m/>
    <n v="150"/>
  </r>
  <r>
    <n v="5"/>
    <x v="5"/>
    <x v="0"/>
    <n v="139738"/>
    <s v="ALEGRE FLAVIO RODRIGO"/>
    <s v="20-30462269-6"/>
    <d v="2016-06-06T00:00:00"/>
    <n v="30462269"/>
    <s v="ALEGRE"/>
    <s v="FLAVIO RODRIGO"/>
    <s v="M"/>
    <m/>
    <d v="2016-01-02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COMBAT. DE LOS POZOS"/>
    <n v="1005"/>
    <n v="3"/>
    <m/>
    <s v="CAPITAL FEDERAL"/>
    <s v="Capital Federal"/>
    <m/>
    <s v="U.O.Centro"/>
    <m/>
    <n v="5"/>
    <n v="1"/>
    <n v="13880.09"/>
    <n v="2776"/>
    <m/>
    <m/>
    <n v="11104.09"/>
    <m/>
    <n v="277.58999999999997"/>
    <m/>
    <m/>
    <m/>
    <m/>
    <m/>
    <m/>
    <n v="138.80000000000001"/>
    <m/>
    <m/>
    <m/>
    <m/>
    <m/>
    <m/>
    <n v="277.58999999999997"/>
    <m/>
    <m/>
    <m/>
    <m/>
    <m/>
    <m/>
    <m/>
    <n v="138.80000000000001"/>
    <m/>
    <n v="832.78"/>
  </r>
  <r>
    <n v="5"/>
    <x v="5"/>
    <x v="0"/>
    <n v="170315"/>
    <s v="ALFARO XIOMARA"/>
    <s v="27-38154917-3"/>
    <d v="2016-06-06T00:00:00"/>
    <n v="38154917"/>
    <s v="ALFARO"/>
    <s v="XIOMAR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Tres Sargento"/>
    <n v="1225"/>
    <m/>
    <m/>
    <s v="CAPITAL FEDERAL"/>
    <s v="Buenos Aires"/>
    <m/>
    <s v="U.O.Centro"/>
    <m/>
    <n v="3"/>
    <n v="1"/>
    <n v="3201.36"/>
    <n v="640.27"/>
    <m/>
    <m/>
    <n v="2561.09"/>
    <m/>
    <n v="64.03"/>
    <m/>
    <m/>
    <m/>
    <m/>
    <m/>
    <m/>
    <n v="32.01"/>
    <m/>
    <m/>
    <m/>
    <m/>
    <m/>
    <m/>
    <n v="64.03"/>
    <m/>
    <m/>
    <m/>
    <m/>
    <m/>
    <m/>
    <m/>
    <n v="32.01"/>
    <m/>
    <n v="192.08"/>
  </r>
  <r>
    <n v="5"/>
    <x v="5"/>
    <x v="0"/>
    <n v="168236"/>
    <s v="ALFONZO SEBASTIAN ALEJANDRO"/>
    <s v="20-34553164-6"/>
    <d v="2016-06-06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2"/>
    <n v="1"/>
    <n v="8213.73"/>
    <n v="1642.74"/>
    <m/>
    <m/>
    <n v="6570.99"/>
    <m/>
    <n v="164.27"/>
    <m/>
    <m/>
    <m/>
    <m/>
    <m/>
    <m/>
    <n v="82.14"/>
    <m/>
    <m/>
    <m/>
    <m/>
    <m/>
    <m/>
    <n v="164.27"/>
    <m/>
    <m/>
    <m/>
    <m/>
    <m/>
    <m/>
    <m/>
    <n v="82.14"/>
    <m/>
    <n v="492.82"/>
  </r>
  <r>
    <n v="5"/>
    <x v="5"/>
    <x v="0"/>
    <n v="171273"/>
    <s v="ALONSO LUCIANO ANDRES"/>
    <s v="20-37206267-4"/>
    <d v="2016-05-23T00:00:00"/>
    <n v="37206267"/>
    <s v="ALONSO"/>
    <s v="LUCIANO ANDRES"/>
    <s v="F"/>
    <m/>
    <d v="2016-04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RMIENTO"/>
    <n v="1225"/>
    <n v="11"/>
    <m/>
    <s v="CAPITAL FEDERAL"/>
    <s v="Buenos Aires"/>
    <m/>
    <s v="U.O.Centro"/>
    <m/>
    <n v="1"/>
    <n v="1"/>
    <n v="1200.5"/>
    <n v="240.12"/>
    <m/>
    <m/>
    <n v="960.38"/>
    <m/>
    <n v="24.01"/>
    <m/>
    <m/>
    <m/>
    <m/>
    <m/>
    <m/>
    <n v="12.01"/>
    <m/>
    <m/>
    <m/>
    <m/>
    <m/>
    <m/>
    <n v="24.01"/>
    <m/>
    <m/>
    <m/>
    <m/>
    <m/>
    <m/>
    <m/>
    <n v="12.01"/>
    <m/>
    <n v="72.040000000000006"/>
  </r>
  <r>
    <n v="5"/>
    <x v="5"/>
    <x v="0"/>
    <n v="163395"/>
    <s v="ALTAMIRANO EUGENIA DELIA"/>
    <s v="27-33347518-4"/>
    <d v="2016-06-06T00:00:00"/>
    <n v="33347518"/>
    <s v="ALTAMIRANO"/>
    <s v="EUGENIA DELI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GUDO"/>
    <n v="1225"/>
    <m/>
    <m/>
    <s v="CAPITAL FEDERAL"/>
    <s v="Buenos Aires"/>
    <m/>
    <s v="U.O.Pacheco"/>
    <m/>
    <n v="4"/>
    <n v="1"/>
    <n v="5602.38"/>
    <n v="1620.47"/>
    <m/>
    <m/>
    <n v="3981.91"/>
    <m/>
    <n v="112.05"/>
    <m/>
    <m/>
    <m/>
    <m/>
    <m/>
    <m/>
    <n v="56.02"/>
    <m/>
    <m/>
    <m/>
    <m/>
    <n v="500"/>
    <m/>
    <n v="112.05"/>
    <m/>
    <m/>
    <m/>
    <m/>
    <m/>
    <m/>
    <m/>
    <n v="56.02"/>
    <m/>
    <n v="836.14"/>
  </r>
  <r>
    <n v="5"/>
    <x v="5"/>
    <x v="0"/>
    <n v="172088"/>
    <s v="ALVEZ ANTONELLA"/>
    <s v="23-40890504-4"/>
    <d v="2016-05-23T00:00:00"/>
    <n v="40890504"/>
    <s v="ALVEZ"/>
    <s v="ANTONELL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CONQUISTA"/>
    <n v="1225"/>
    <n v="2"/>
    <s v="A"/>
    <s v="CAPITAL FEDERAL"/>
    <s v="Buenos Aires"/>
    <m/>
    <s v="U.O.Centro"/>
    <s v="EMA"/>
    <n v="2"/>
    <n v="1"/>
    <n v="3601.53"/>
    <n v="720.31"/>
    <m/>
    <m/>
    <n v="2881.22"/>
    <m/>
    <n v="72.03"/>
    <m/>
    <m/>
    <m/>
    <m/>
    <m/>
    <m/>
    <n v="36.01"/>
    <m/>
    <m/>
    <m/>
    <m/>
    <m/>
    <m/>
    <n v="72.03"/>
    <m/>
    <m/>
    <m/>
    <m/>
    <m/>
    <m/>
    <m/>
    <n v="36.01"/>
    <m/>
    <n v="216.08"/>
  </r>
  <r>
    <n v="5"/>
    <x v="5"/>
    <x v="0"/>
    <n v="170256"/>
    <s v="AMARILLA JACQUELINE DENISE"/>
    <s v="27-29153317-0"/>
    <d v="2016-05-23T00:00:00"/>
    <n v="29153317"/>
    <s v="AMARILLA"/>
    <s v="JACQUELINE DENISE"/>
    <s v="F"/>
    <m/>
    <d v="2016-03-31T00:00:00"/>
    <m/>
    <m/>
    <s v="GASTRONOMICOS-Hoteles 4 y 5 Estrellas - 362/2003"/>
    <s v="Categoria 6"/>
    <x v="1"/>
    <s v="BANQUETES"/>
    <s v="Centro"/>
    <s v="Tareas Generales"/>
    <n v="101604"/>
    <s v="O.S.P.Automovil Club Argentino*"/>
    <s v="Capital Federal"/>
    <m/>
    <n v="1005"/>
    <s v="JENNER"/>
    <n v="1005"/>
    <m/>
    <m/>
    <s v="CAPITAL FEDERAL"/>
    <s v="Capital Federal"/>
    <m/>
    <s v="U.O.Centro"/>
    <m/>
    <n v="1"/>
    <n v="1"/>
    <n v="73.849999999999994"/>
    <n v="14.78"/>
    <m/>
    <m/>
    <n v="59.07"/>
    <m/>
    <n v="1.48"/>
    <m/>
    <m/>
    <m/>
    <m/>
    <m/>
    <m/>
    <n v="0.74"/>
    <m/>
    <m/>
    <m/>
    <m/>
    <m/>
    <m/>
    <n v="1.48"/>
    <m/>
    <m/>
    <m/>
    <m/>
    <m/>
    <m/>
    <m/>
    <n v="0.74"/>
    <m/>
    <n v="4.4400000000000004"/>
  </r>
  <r>
    <n v="5"/>
    <x v="5"/>
    <x v="0"/>
    <n v="172090"/>
    <s v="ANGULO QUINTERO JUAN FRANCISCO"/>
    <s v="20-62759178-1"/>
    <d v="2016-06-06T00:00:00"/>
    <n v="62759178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LTA"/>
    <n v="1225"/>
    <m/>
    <m/>
    <s v="CAPITAL FEDERAL"/>
    <s v="Buenos Aires"/>
    <m/>
    <s v="U.O.Centro"/>
    <m/>
    <n v="4"/>
    <n v="1"/>
    <n v="7603.23"/>
    <n v="1520.64"/>
    <m/>
    <m/>
    <n v="6082.59"/>
    <m/>
    <n v="152.06"/>
    <m/>
    <m/>
    <m/>
    <m/>
    <m/>
    <m/>
    <n v="76.03"/>
    <m/>
    <m/>
    <m/>
    <m/>
    <m/>
    <m/>
    <n v="152.06"/>
    <m/>
    <m/>
    <m/>
    <m/>
    <m/>
    <m/>
    <m/>
    <n v="76.03"/>
    <m/>
    <n v="456.18"/>
  </r>
  <r>
    <n v="5"/>
    <x v="5"/>
    <x v="0"/>
    <n v="173246"/>
    <s v="ARBOLELLA LAUTARO URIEL GABRIEL"/>
    <s v="27-33782994-0"/>
    <d v="2016-06-06T00:00:00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SALGUERO"/>
    <n v="1225"/>
    <n v="2"/>
    <s v="B"/>
    <s v="CAPITAL FEDERAL"/>
    <s v="Buenos Aires"/>
    <m/>
    <s v="U.O.Centro"/>
    <m/>
    <n v="2"/>
    <n v="1"/>
    <n v="3407"/>
    <n v="681.4"/>
    <m/>
    <m/>
    <n v="2725.6"/>
    <m/>
    <n v="68.14"/>
    <m/>
    <m/>
    <m/>
    <m/>
    <m/>
    <m/>
    <n v="34.07"/>
    <m/>
    <m/>
    <m/>
    <m/>
    <m/>
    <m/>
    <n v="68.14"/>
    <m/>
    <m/>
    <m/>
    <m/>
    <m/>
    <m/>
    <m/>
    <n v="34.07"/>
    <m/>
    <n v="204.42"/>
  </r>
  <r>
    <n v="5"/>
    <x v="5"/>
    <x v="0"/>
    <n v="169461"/>
    <s v="AREGUATI MARIA LUZ"/>
    <s v="27-35880306-2"/>
    <d v="2016-06-06T00:00:00"/>
    <n v="35880306"/>
    <s v="AREGUATI"/>
    <s v="MARIA LUZ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DARCO"/>
    <n v="1225"/>
    <m/>
    <m/>
    <s v="CAPITAL FEDERAL"/>
    <s v="Buenos Aires"/>
    <m/>
    <s v="U.O.San Justo"/>
    <m/>
    <n v="2"/>
    <n v="1"/>
    <n v="7065.97"/>
    <n v="1413.19"/>
    <m/>
    <m/>
    <n v="5652.78"/>
    <m/>
    <n v="141.32"/>
    <m/>
    <m/>
    <m/>
    <m/>
    <m/>
    <m/>
    <n v="70.66"/>
    <m/>
    <m/>
    <m/>
    <m/>
    <m/>
    <m/>
    <n v="141.32"/>
    <m/>
    <m/>
    <m/>
    <m/>
    <m/>
    <m/>
    <m/>
    <n v="70.66"/>
    <m/>
    <n v="423.96"/>
  </r>
  <r>
    <n v="5"/>
    <x v="5"/>
    <x v="0"/>
    <n v="166810"/>
    <s v="ARRIETA CLAUDIA ALEJANDRA"/>
    <s v="27-20538808-2"/>
    <d v="2016-06-06T00:00:00"/>
    <n v="20538808"/>
    <s v="ARRIETA"/>
    <s v="CLAUDIA ALEJANDRA"/>
    <s v="F"/>
    <m/>
    <d v="2016-01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RACAS"/>
    <n v="474"/>
    <m/>
    <m/>
    <s v="CAPITAL FEDERAL"/>
    <s v="Buenos Aires"/>
    <m/>
    <s v="U.O.Centro"/>
    <m/>
    <n v="2"/>
    <n v="1"/>
    <n v="10268.049999999999"/>
    <n v="2053.61"/>
    <m/>
    <m/>
    <n v="8214.44"/>
    <m/>
    <n v="205.36"/>
    <m/>
    <m/>
    <m/>
    <m/>
    <m/>
    <m/>
    <n v="102.68"/>
    <m/>
    <m/>
    <m/>
    <m/>
    <m/>
    <m/>
    <n v="205.36"/>
    <m/>
    <m/>
    <m/>
    <m/>
    <m/>
    <m/>
    <m/>
    <n v="102.68"/>
    <m/>
    <n v="616.08000000000004"/>
  </r>
  <r>
    <n v="5"/>
    <x v="5"/>
    <x v="0"/>
    <n v="172053"/>
    <s v="ARZA BENITEZ ROSA"/>
    <s v="23-94805846-4"/>
    <d v="2016-06-06T00:00:00"/>
    <n v="94805846"/>
    <s v="ARZA BENITEZ"/>
    <s v="ROS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MBATE DE LOS POZOS"/>
    <n v="1225"/>
    <n v="5"/>
    <s v="D"/>
    <s v="CAPITAL FEDERAL"/>
    <s v="Buenos Aires"/>
    <m/>
    <s v="U.O.Centro"/>
    <m/>
    <n v="3"/>
    <n v="1"/>
    <n v="6402.72"/>
    <n v="1280.55"/>
    <m/>
    <m/>
    <n v="5122.17"/>
    <m/>
    <n v="128.05000000000001"/>
    <m/>
    <m/>
    <m/>
    <m/>
    <m/>
    <m/>
    <n v="64.02"/>
    <m/>
    <m/>
    <m/>
    <m/>
    <m/>
    <m/>
    <n v="128.05000000000001"/>
    <m/>
    <m/>
    <m/>
    <m/>
    <m/>
    <m/>
    <m/>
    <n v="64.02"/>
    <m/>
    <n v="384.14"/>
  </r>
  <r>
    <n v="5"/>
    <x v="5"/>
    <x v="0"/>
    <n v="173402"/>
    <s v="AUHAD MARIA DELFINA"/>
    <s v="27-33808278-4"/>
    <d v="2016-06-06T00:00:00"/>
    <n v="33808278"/>
    <s v="AUHAD"/>
    <s v="MARIA DELFINA"/>
    <s v="F"/>
    <m/>
    <d v="2016-05-21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1"/>
    <n v="1"/>
    <n v="5734.91"/>
    <n v="1146.99"/>
    <m/>
    <m/>
    <n v="4587.92"/>
    <m/>
    <n v="114.7"/>
    <m/>
    <m/>
    <m/>
    <m/>
    <m/>
    <m/>
    <n v="57.35"/>
    <m/>
    <m/>
    <m/>
    <m/>
    <m/>
    <m/>
    <n v="114.7"/>
    <m/>
    <m/>
    <m/>
    <m/>
    <m/>
    <m/>
    <m/>
    <n v="57.35"/>
    <m/>
    <n v="344.1"/>
  </r>
  <r>
    <n v="5"/>
    <x v="5"/>
    <x v="0"/>
    <n v="173369"/>
    <s v="AYALA NUÑEZ SONIA REYNA"/>
    <s v="27-95412275-7"/>
    <d v="2016-06-06T00:00:00"/>
    <n v="95412275"/>
    <s v="AYALA NUÑEZ"/>
    <s v="SONIA REYNA"/>
    <s v="F"/>
    <m/>
    <d v="2016-05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LARREA"/>
    <n v="1225"/>
    <n v="1"/>
    <s v="D"/>
    <s v="CAPITAL FEDERAL"/>
    <s v="Buenos Aires"/>
    <m/>
    <s v="U.O.Centro"/>
    <m/>
    <n v="1"/>
    <n v="1"/>
    <n v="1087.06"/>
    <n v="217.41"/>
    <m/>
    <m/>
    <n v="869.65"/>
    <m/>
    <n v="21.74"/>
    <m/>
    <m/>
    <m/>
    <m/>
    <m/>
    <m/>
    <n v="10.87"/>
    <m/>
    <m/>
    <m/>
    <m/>
    <m/>
    <m/>
    <n v="21.74"/>
    <m/>
    <m/>
    <m/>
    <m/>
    <m/>
    <m/>
    <m/>
    <n v="10.87"/>
    <m/>
    <n v="65.22"/>
  </r>
  <r>
    <n v="5"/>
    <x v="5"/>
    <x v="0"/>
    <n v="169864"/>
    <s v="BANEGAS GUSTAVO ALFREDO"/>
    <s v="20-27072360-9"/>
    <d v="2016-06-06T00:00:00"/>
    <n v="27072360"/>
    <s v="BANEGAS"/>
    <s v="GUSTAVO ALFREDO"/>
    <s v="M"/>
    <m/>
    <d v="2016-03-1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ARRASCO"/>
    <n v="764"/>
    <m/>
    <m/>
    <s v="CAPITAL FEDERAL"/>
    <s v="Capital Federal"/>
    <m/>
    <s v="U.O.Centro Paga Inplant"/>
    <m/>
    <n v="2"/>
    <n v="1"/>
    <n v="-6288.85"/>
    <n v="-1257.79"/>
    <m/>
    <m/>
    <n v="-5031.0600000000004"/>
    <m/>
    <n v="-125.78"/>
    <m/>
    <m/>
    <m/>
    <m/>
    <m/>
    <m/>
    <n v="-62.89"/>
    <m/>
    <m/>
    <m/>
    <m/>
    <m/>
    <m/>
    <n v="-125.78"/>
    <m/>
    <m/>
    <m/>
    <m/>
    <m/>
    <m/>
    <m/>
    <n v="-62.89"/>
    <m/>
    <n v="-377.34"/>
  </r>
  <r>
    <n v="5"/>
    <x v="5"/>
    <x v="1"/>
    <n v="162574"/>
    <s v="BANEGAS PEREZ VICTOR GUSTAVO"/>
    <s v="20-47178337-5"/>
    <d v="2016-05-30T00:00:00"/>
    <n v="47178337"/>
    <s v="BANEGAS PEREZ"/>
    <s v="VICTOR GUSTAVO"/>
    <s v="M"/>
    <m/>
    <d v="2015-12-04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 RIVADAVIA"/>
    <n v="764"/>
    <n v="7"/>
    <s v="D"/>
    <s v="CAPITAL FEDERAL"/>
    <s v="Capital Federal"/>
    <m/>
    <s v="U.O.Centro Paga Inplant"/>
    <m/>
    <n v="1"/>
    <n v="1"/>
    <n v="5821.35"/>
    <n v="1164.27"/>
    <m/>
    <m/>
    <n v="4657.08"/>
    <m/>
    <n v="116.43"/>
    <m/>
    <m/>
    <m/>
    <m/>
    <m/>
    <m/>
    <n v="58.21"/>
    <m/>
    <m/>
    <m/>
    <m/>
    <m/>
    <m/>
    <n v="116.43"/>
    <m/>
    <m/>
    <m/>
    <m/>
    <m/>
    <m/>
    <m/>
    <n v="58.21"/>
    <m/>
    <n v="349.28"/>
  </r>
  <r>
    <n v="5"/>
    <x v="5"/>
    <x v="0"/>
    <n v="150709"/>
    <s v="BARRIOS NAHUEL ALEJANDRO"/>
    <s v="20-39155005-1"/>
    <d v="2016-06-06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1"/>
    <n v="1"/>
    <n v="6445.92"/>
    <n v="1289.19"/>
    <m/>
    <m/>
    <n v="5156.7299999999996"/>
    <m/>
    <n v="128.91999999999999"/>
    <m/>
    <m/>
    <m/>
    <m/>
    <m/>
    <m/>
    <n v="64.459999999999994"/>
    <m/>
    <m/>
    <m/>
    <m/>
    <m/>
    <m/>
    <n v="128.91999999999999"/>
    <m/>
    <m/>
    <m/>
    <m/>
    <m/>
    <m/>
    <m/>
    <n v="64.459999999999994"/>
    <m/>
    <n v="386.76"/>
  </r>
  <r>
    <n v="5"/>
    <x v="5"/>
    <x v="1"/>
    <n v="158285"/>
    <s v="BELTRAN CAROLINA VANESA"/>
    <s v="27-35803096-9"/>
    <d v="2016-05-31T00:00:00"/>
    <n v="35803096"/>
    <s v="BELTRAN"/>
    <s v="CAROLINA VANESA"/>
    <s v="F"/>
    <m/>
    <d v="2016-05-1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ANTIAGO DE LINIERS"/>
    <n v="764"/>
    <m/>
    <m/>
    <s v="CAPITAL FEDERAL"/>
    <s v="Capital Federal"/>
    <m/>
    <s v="U.O.Centro Paga Inplant"/>
    <m/>
    <n v="1"/>
    <n v="1"/>
    <n v="720.68"/>
    <n v="144.13"/>
    <m/>
    <m/>
    <n v="576.54999999999995"/>
    <m/>
    <n v="14.41"/>
    <m/>
    <m/>
    <m/>
    <m/>
    <m/>
    <m/>
    <n v="7.21"/>
    <m/>
    <m/>
    <m/>
    <m/>
    <m/>
    <m/>
    <n v="14.41"/>
    <m/>
    <m/>
    <m/>
    <m/>
    <m/>
    <m/>
    <m/>
    <n v="7.21"/>
    <m/>
    <n v="43.24"/>
  </r>
  <r>
    <n v="5"/>
    <x v="5"/>
    <x v="0"/>
    <n v="153657"/>
    <s v="BENITEZ LEONARDO RAMON"/>
    <s v="20-36457404-6"/>
    <d v="2016-06-06T00:00:00"/>
    <n v="36457404"/>
    <s v="BENITEZ"/>
    <s v="LEONARDO RAMON"/>
    <s v="M"/>
    <m/>
    <d v="2016-02-15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1"/>
    <n v="1"/>
    <n v="5136.6000000000004"/>
    <n v="1027.33"/>
    <m/>
    <m/>
    <n v="4109.2700000000004"/>
    <m/>
    <n v="102.73"/>
    <m/>
    <m/>
    <m/>
    <m/>
    <m/>
    <m/>
    <n v="51.37"/>
    <m/>
    <m/>
    <m/>
    <m/>
    <m/>
    <m/>
    <n v="102.73"/>
    <m/>
    <m/>
    <m/>
    <m/>
    <m/>
    <m/>
    <m/>
    <n v="51.37"/>
    <m/>
    <n v="308.2"/>
  </r>
  <r>
    <n v="5"/>
    <x v="5"/>
    <x v="0"/>
    <n v="173675"/>
    <s v="BORTOLUSSI RICARDO JAVIER"/>
    <s v="20-24749111-3"/>
    <d v="2016-06-06T00:00:00"/>
    <n v="24749111"/>
    <s v="BORTOLUSSI"/>
    <s v="RICARDO JAVIER"/>
    <s v="M"/>
    <m/>
    <d v="2016-05-3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GRAL PAZ"/>
    <n v="1225"/>
    <m/>
    <m/>
    <s v="CAPITAL FEDERAL"/>
    <s v="Buenos Aires"/>
    <m/>
    <s v="U.O.Centro"/>
    <m/>
    <n v="1"/>
    <n v="1"/>
    <n v="714.95"/>
    <n v="142.99"/>
    <m/>
    <m/>
    <n v="571.96"/>
    <m/>
    <n v="14.3"/>
    <m/>
    <m/>
    <m/>
    <m/>
    <m/>
    <m/>
    <n v="7.15"/>
    <m/>
    <m/>
    <m/>
    <m/>
    <m/>
    <m/>
    <n v="14.3"/>
    <m/>
    <m/>
    <m/>
    <m/>
    <m/>
    <m/>
    <m/>
    <n v="7.15"/>
    <m/>
    <n v="42.9"/>
  </r>
  <r>
    <n v="5"/>
    <x v="5"/>
    <x v="0"/>
    <n v="169887"/>
    <s v="BOTICELLI LIDIA CAROLINA"/>
    <s v="27-25698889-0"/>
    <d v="2016-06-06T00:00:0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5909.25"/>
    <n v="1181.8599999999999"/>
    <m/>
    <m/>
    <n v="4727.3900000000003"/>
    <m/>
    <n v="118.19"/>
    <m/>
    <m/>
    <m/>
    <m/>
    <m/>
    <m/>
    <n v="59.09"/>
    <m/>
    <m/>
    <m/>
    <m/>
    <m/>
    <m/>
    <n v="118.19"/>
    <m/>
    <m/>
    <m/>
    <m/>
    <m/>
    <m/>
    <m/>
    <n v="59.09"/>
    <m/>
    <n v="354.56"/>
  </r>
  <r>
    <n v="5"/>
    <x v="5"/>
    <x v="0"/>
    <n v="162608"/>
    <s v="BURGOS DAISY ELENA"/>
    <s v="27-95255547-8"/>
    <d v="2016-06-06T00:00:00"/>
    <n v="95255547"/>
    <s v="BURGOS"/>
    <s v="DAISY ELENA"/>
    <s v="F"/>
    <m/>
    <d v="2016-02-18T00:00:00"/>
    <d v="2016-03-05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IRIARTE"/>
    <n v="474"/>
    <m/>
    <m/>
    <s v="CAPITAL FEDERAL"/>
    <s v="Buenos Aires"/>
    <m/>
    <s v="U.O.Casa Central"/>
    <m/>
    <n v="1"/>
    <n v="1"/>
    <n v="177.62"/>
    <n v="35.53"/>
    <m/>
    <m/>
    <n v="142.09"/>
    <m/>
    <n v="3.55"/>
    <m/>
    <m/>
    <m/>
    <m/>
    <m/>
    <m/>
    <n v="1.78"/>
    <m/>
    <m/>
    <m/>
    <m/>
    <m/>
    <m/>
    <n v="3.55"/>
    <m/>
    <m/>
    <m/>
    <m/>
    <m/>
    <m/>
    <m/>
    <n v="1.78"/>
    <m/>
    <n v="10.66"/>
  </r>
  <r>
    <n v="5"/>
    <x v="5"/>
    <x v="1"/>
    <n v="173039"/>
    <s v="CABIATI ELIZABETH ANDREA"/>
    <s v="27-28132105-1"/>
    <d v="2016-05-31T00:00:00"/>
    <n v="28132105"/>
    <s v="CABIATI"/>
    <s v="ELIZABETH ANDREA"/>
    <s v="F"/>
    <m/>
    <d v="2016-05-1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TELLIER"/>
    <n v="764"/>
    <m/>
    <m/>
    <s v="CAPITAL FEDERAL"/>
    <s v="Capital Federal"/>
    <m/>
    <s v="U.O.Centro Paga Inplant"/>
    <m/>
    <n v="1"/>
    <n v="1"/>
    <n v="2283.02"/>
    <n v="456.6"/>
    <m/>
    <m/>
    <n v="1826.42"/>
    <m/>
    <n v="45.66"/>
    <m/>
    <m/>
    <m/>
    <m/>
    <m/>
    <m/>
    <n v="22.83"/>
    <m/>
    <m/>
    <m/>
    <m/>
    <m/>
    <m/>
    <n v="45.66"/>
    <m/>
    <m/>
    <m/>
    <m/>
    <m/>
    <m/>
    <m/>
    <n v="22.83"/>
    <m/>
    <n v="136.97999999999999"/>
  </r>
  <r>
    <n v="5"/>
    <x v="5"/>
    <x v="0"/>
    <n v="171783"/>
    <s v="CACERES ANGEL ESTEBAN"/>
    <s v="20-38536806-3"/>
    <d v="2016-06-06T00:00:00"/>
    <n v="38536806"/>
    <s v="CACERES"/>
    <s v="ANGEL ESTEBAN"/>
    <s v="M"/>
    <m/>
    <d v="2016-04-14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2"/>
    <n v="1"/>
    <n v="12329.81"/>
    <n v="2465.96"/>
    <m/>
    <m/>
    <n v="9863.85"/>
    <m/>
    <n v="246.6"/>
    <m/>
    <m/>
    <m/>
    <m/>
    <m/>
    <m/>
    <n v="123.3"/>
    <m/>
    <m/>
    <m/>
    <m/>
    <m/>
    <m/>
    <n v="246.6"/>
    <m/>
    <m/>
    <m/>
    <m/>
    <m/>
    <m/>
    <m/>
    <n v="123.3"/>
    <m/>
    <n v="739.8"/>
  </r>
  <r>
    <n v="5"/>
    <x v="5"/>
    <x v="0"/>
    <n v="161580"/>
    <s v="CAEIRO MAURO ALBERTO"/>
    <s v="20-30431921-7"/>
    <d v="2016-06-06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4"/>
    <n v="1"/>
    <n v="15606.61"/>
    <n v="3121.33"/>
    <m/>
    <m/>
    <n v="12485.28"/>
    <m/>
    <n v="312.13"/>
    <m/>
    <m/>
    <m/>
    <m/>
    <m/>
    <m/>
    <n v="156.07"/>
    <m/>
    <m/>
    <m/>
    <m/>
    <m/>
    <m/>
    <n v="312.13"/>
    <m/>
    <m/>
    <m/>
    <m/>
    <m/>
    <m/>
    <m/>
    <n v="156.07"/>
    <m/>
    <n v="936.4"/>
  </r>
  <r>
    <n v="5"/>
    <x v="5"/>
    <x v="1"/>
    <n v="172931"/>
    <s v="CALAFAT MARCICHAL ARIS MAXIMILIANO"/>
    <s v="20-94723921-0"/>
    <d v="2016-05-31T00:00:00"/>
    <n v="94723921"/>
    <s v="CALAFAT MARCICHAL"/>
    <s v="ARIS MAXIMILIANO"/>
    <s v="M"/>
    <m/>
    <d v="2016-05-1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ENIDA DERQUI"/>
    <n v="764"/>
    <m/>
    <s v="E"/>
    <s v="CAPITAL FEDERAL"/>
    <s v="Capital Federal"/>
    <m/>
    <s v="U.O.Centro"/>
    <m/>
    <n v="1"/>
    <n v="1"/>
    <n v="4421.3500000000004"/>
    <n v="884.27"/>
    <m/>
    <m/>
    <n v="3537.08"/>
    <m/>
    <n v="88.43"/>
    <m/>
    <m/>
    <m/>
    <m/>
    <m/>
    <m/>
    <n v="44.21"/>
    <m/>
    <m/>
    <m/>
    <m/>
    <m/>
    <m/>
    <n v="88.43"/>
    <m/>
    <m/>
    <m/>
    <m/>
    <m/>
    <m/>
    <m/>
    <n v="44.21"/>
    <m/>
    <n v="265.27999999999997"/>
  </r>
  <r>
    <n v="5"/>
    <x v="5"/>
    <x v="0"/>
    <n v="160997"/>
    <s v="CALLA ADRIANZEN EVELYN MELANIA"/>
    <s v="27-94555348-6"/>
    <d v="2016-06-06T00:00:00"/>
    <n v="94555348"/>
    <s v="CALLA ADRIANZEN"/>
    <s v="EVELYN MELANIA"/>
    <s v="F"/>
    <m/>
    <d v="2015-11-25T00:00:00"/>
    <m/>
    <m/>
    <s v="GASTRONOMICOS-Hoteles 4 y 5 Estrellas - 362/2003"/>
    <s v="Categoria 6"/>
    <x v="5"/>
    <s v="Mozos / camareros - GL"/>
    <s v="Centro"/>
    <s v="Camarero/a"/>
    <n v="115300"/>
    <s v="OS DE  PETROLEROS"/>
    <s v="Capital Federal"/>
    <m/>
    <n v="1104"/>
    <s v="HIDALGO"/>
    <n v="1225"/>
    <n v="3"/>
    <s v="B"/>
    <s v="CAPITAL FEDERAL"/>
    <s v="Buenos Aires"/>
    <m/>
    <s v="U.O.Centro"/>
    <m/>
    <n v="2"/>
    <n v="1"/>
    <n v="1600.68"/>
    <n v="320.14"/>
    <m/>
    <m/>
    <n v="1280.54"/>
    <m/>
    <n v="32.020000000000003"/>
    <m/>
    <m/>
    <m/>
    <m/>
    <m/>
    <m/>
    <n v="16"/>
    <m/>
    <m/>
    <m/>
    <m/>
    <m/>
    <m/>
    <n v="32.020000000000003"/>
    <m/>
    <m/>
    <m/>
    <m/>
    <m/>
    <m/>
    <m/>
    <n v="16"/>
    <m/>
    <n v="96.04"/>
  </r>
  <r>
    <n v="5"/>
    <x v="5"/>
    <x v="1"/>
    <n v="170314"/>
    <s v="CAMPOS ANIBAL EDUARDO"/>
    <s v="20-38361143-2"/>
    <d v="2016-06-06T00:00:00"/>
    <n v="38361143"/>
    <s v="CAMPOS"/>
    <s v="ANIBAL EDUARDO"/>
    <s v="M"/>
    <m/>
    <d v="2016-03-19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INGENIERO HUERGO"/>
    <n v="1891"/>
    <n v="1"/>
    <m/>
    <s v="CAPITAL FEDERAL"/>
    <s v="Capital Federal"/>
    <m/>
    <s v="U.O.Centro"/>
    <s v="Alvear Palace"/>
    <n v="1"/>
    <n v="1"/>
    <n v="2428.13"/>
    <n v="485.61"/>
    <m/>
    <m/>
    <n v="1942.52"/>
    <m/>
    <n v="48.56"/>
    <m/>
    <m/>
    <m/>
    <m/>
    <m/>
    <m/>
    <n v="24.28"/>
    <m/>
    <m/>
    <m/>
    <m/>
    <m/>
    <m/>
    <n v="48.56"/>
    <m/>
    <m/>
    <m/>
    <m/>
    <m/>
    <m/>
    <m/>
    <n v="24.28"/>
    <m/>
    <n v="145.68"/>
  </r>
  <r>
    <n v="5"/>
    <x v="5"/>
    <x v="1"/>
    <n v="173415"/>
    <s v="CAMPUZANO ARIEL ALEJANDRO"/>
    <s v="20-33373560-2"/>
    <d v="2016-06-06T00:00:00"/>
    <n v="33373560"/>
    <s v="CAMPUZANO"/>
    <s v="ARIEL ALEJANDRO"/>
    <s v="M"/>
    <m/>
    <d v="2016-04-29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SANTIAGO DEL ESTERO"/>
    <n v="1891"/>
    <m/>
    <m/>
    <s v="CAPITAL FEDERAL"/>
    <s v="Capital Federal"/>
    <m/>
    <s v="U.O.Centro"/>
    <m/>
    <n v="1"/>
    <n v="1"/>
    <n v="362.41"/>
    <n v="72.48"/>
    <m/>
    <m/>
    <n v="289.93"/>
    <m/>
    <n v="7.25"/>
    <m/>
    <m/>
    <m/>
    <m/>
    <m/>
    <m/>
    <n v="3.62"/>
    <m/>
    <m/>
    <m/>
    <m/>
    <m/>
    <m/>
    <n v="7.25"/>
    <m/>
    <m/>
    <m/>
    <m/>
    <m/>
    <m/>
    <m/>
    <n v="3.62"/>
    <m/>
    <n v="21.74"/>
  </r>
  <r>
    <n v="5"/>
    <x v="5"/>
    <x v="0"/>
    <n v="171587"/>
    <s v="CANTONI DOMINGO FABIO"/>
    <s v="20-94291633-8"/>
    <d v="2016-06-06T00:00:00"/>
    <n v="94291633"/>
    <s v="CANTONI"/>
    <s v="DOMINGO FABIO"/>
    <s v="M"/>
    <m/>
    <d v="2016-04-11T00:00:00"/>
    <d v="2016-04-18T00:00:00"/>
    <m/>
    <s v="GASTRONOMICOS-Hoteles 4 y 5 Estrellas - 362/2003"/>
    <s v="Categoria 1"/>
    <x v="6"/>
    <s v="Unidad Base-GL"/>
    <s v="Centro"/>
    <s v="Tareas Generales"/>
    <n v="119203"/>
    <s v="OS  DE RELOJEROS Y JOYEROS"/>
    <s v="Capital Federal"/>
    <m/>
    <n v="1093"/>
    <s v="MORENO"/>
    <n v="1232"/>
    <s v="PB"/>
    <n v="5"/>
    <s v="CAPITAL FEDERAL"/>
    <s v="Buenos Aires"/>
    <m/>
    <s v="U.O.Centro"/>
    <s v="MANTENIMIENTO"/>
    <n v="1"/>
    <n v="1"/>
    <n v="3196.93"/>
    <n v="639.39"/>
    <m/>
    <m/>
    <n v="2557.54"/>
    <m/>
    <n v="63.94"/>
    <m/>
    <m/>
    <m/>
    <m/>
    <m/>
    <m/>
    <n v="31.97"/>
    <m/>
    <m/>
    <m/>
    <m/>
    <m/>
    <m/>
    <n v="63.94"/>
    <m/>
    <m/>
    <m/>
    <m/>
    <m/>
    <m/>
    <m/>
    <n v="31.97"/>
    <m/>
    <n v="191.82"/>
  </r>
  <r>
    <n v="5"/>
    <x v="5"/>
    <x v="0"/>
    <n v="171897"/>
    <s v="CAPURRO EDUARDO ADOLFO"/>
    <s v="20-31064205-4"/>
    <d v="2016-06-06T00:00:00"/>
    <n v="31064205"/>
    <s v="CAPURRO"/>
    <s v="EDUARDO ADOLFO"/>
    <s v="M"/>
    <m/>
    <d v="2016-04-19T00:00:00"/>
    <d v="2016-05-13T00:00:00"/>
    <d v="2016-05-13T00:00:00"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HILE"/>
    <n v="1225"/>
    <m/>
    <m/>
    <s v="CAPITAL FEDERAL"/>
    <s v="Buenos Aires"/>
    <m/>
    <s v="U.O.Quilmes"/>
    <m/>
    <n v="1"/>
    <n v="1"/>
    <n v="5086.6499999999996"/>
    <n v="1017.33"/>
    <m/>
    <m/>
    <n v="4069.32"/>
    <m/>
    <n v="101.73"/>
    <m/>
    <m/>
    <m/>
    <m/>
    <m/>
    <m/>
    <n v="50.87"/>
    <m/>
    <m/>
    <m/>
    <m/>
    <m/>
    <m/>
    <n v="101.73"/>
    <m/>
    <m/>
    <m/>
    <m/>
    <m/>
    <m/>
    <m/>
    <n v="50.87"/>
    <m/>
    <n v="305.2"/>
  </r>
  <r>
    <n v="5"/>
    <x v="5"/>
    <x v="0"/>
    <n v="155312"/>
    <s v="CARBALLO PABLO ANDRES"/>
    <s v="23-31361633-9"/>
    <d v="2016-06-06T00:00:00"/>
    <n v="31361633"/>
    <s v="CARBALLO"/>
    <s v="PABLO ANDRES"/>
    <s v="M"/>
    <m/>
    <d v="2015-09-20T00:00:00"/>
    <d v="2016-01-24T00:00:00"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RLOS CALVO"/>
    <n v="474"/>
    <m/>
    <m/>
    <s v="CAPITAL FEDERAL"/>
    <s v="Buenos Aires"/>
    <m/>
    <s v="U.O.Casa Central"/>
    <m/>
    <n v="1"/>
    <n v="1"/>
    <n v="255.15"/>
    <n v="51.02"/>
    <m/>
    <n v="276.95999999999998"/>
    <n v="481.09"/>
    <m/>
    <n v="5.0999999999999996"/>
    <m/>
    <m/>
    <m/>
    <m/>
    <m/>
    <m/>
    <n v="2.5499999999999998"/>
    <m/>
    <m/>
    <m/>
    <m/>
    <m/>
    <m/>
    <n v="5.0999999999999996"/>
    <m/>
    <m/>
    <m/>
    <m/>
    <m/>
    <m/>
    <m/>
    <n v="2.5499999999999998"/>
    <m/>
    <n v="15.3"/>
  </r>
  <r>
    <n v="5"/>
    <x v="5"/>
    <x v="0"/>
    <n v="144180"/>
    <s v="CATALAN CRISTINA DEL CARMEN"/>
    <s v="27-31138041-4"/>
    <d v="2016-06-06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11927.61"/>
    <n v="2385.5300000000002"/>
    <m/>
    <m/>
    <n v="9542.08"/>
    <m/>
    <n v="238.55"/>
    <m/>
    <m/>
    <m/>
    <m/>
    <m/>
    <m/>
    <n v="119.28"/>
    <m/>
    <m/>
    <m/>
    <m/>
    <m/>
    <m/>
    <n v="238.55"/>
    <m/>
    <m/>
    <m/>
    <m/>
    <m/>
    <m/>
    <m/>
    <n v="119.28"/>
    <m/>
    <n v="715.66"/>
  </r>
  <r>
    <n v="5"/>
    <x v="5"/>
    <x v="0"/>
    <n v="171592"/>
    <s v="CATOLINO MARTIN"/>
    <s v="20-37431566-9"/>
    <d v="2016-06-06T00:00:00"/>
    <n v="37431566"/>
    <s v="CATOLINO"/>
    <s v="MARTIN"/>
    <s v="M"/>
    <m/>
    <d v="2016-04-09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COSQUIN"/>
    <n v="1005"/>
    <m/>
    <m/>
    <s v="CAPITAL FEDERAL"/>
    <s v="Capital Federal"/>
    <m/>
    <s v="U.O.Centro"/>
    <m/>
    <n v="3"/>
    <n v="1"/>
    <n v="10733.53"/>
    <n v="2146.6799999999998"/>
    <m/>
    <m/>
    <n v="8586.85"/>
    <m/>
    <n v="214.67"/>
    <m/>
    <m/>
    <m/>
    <m/>
    <m/>
    <m/>
    <n v="107.33"/>
    <m/>
    <m/>
    <m/>
    <m/>
    <m/>
    <m/>
    <n v="214.67"/>
    <m/>
    <m/>
    <m/>
    <m/>
    <m/>
    <m/>
    <m/>
    <n v="107.33"/>
    <m/>
    <n v="644"/>
  </r>
  <r>
    <n v="5"/>
    <x v="5"/>
    <x v="0"/>
    <n v="158525"/>
    <s v="CELIBERTI YESICA ROMINA"/>
    <s v="27-35202883-0"/>
    <d v="2016-06-06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8125.23"/>
    <n v="1665.68"/>
    <m/>
    <m/>
    <n v="6459.55"/>
    <n v="203.13"/>
    <m/>
    <m/>
    <m/>
    <m/>
    <m/>
    <m/>
    <m/>
    <n v="81.25"/>
    <m/>
    <m/>
    <m/>
    <m/>
    <m/>
    <m/>
    <n v="162.5"/>
    <m/>
    <m/>
    <m/>
    <m/>
    <m/>
    <m/>
    <m/>
    <n v="81.25"/>
    <m/>
    <n v="528.13"/>
  </r>
  <r>
    <n v="5"/>
    <x v="5"/>
    <x v="0"/>
    <n v="170318"/>
    <s v="CERNEAZ JOANA"/>
    <s v="27-35043953-1"/>
    <d v="2016-06-06T00:00:0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. MEDRANO"/>
    <n v="1225"/>
    <s v="PB"/>
    <m/>
    <s v="CAPITAL FEDERAL"/>
    <s v="Buenos Aires"/>
    <m/>
    <s v="U.O.Centro"/>
    <m/>
    <n v="4"/>
    <n v="1"/>
    <n v="12805.42"/>
    <n v="2561.1"/>
    <m/>
    <m/>
    <n v="10244.32"/>
    <m/>
    <n v="256.11"/>
    <m/>
    <m/>
    <m/>
    <m/>
    <m/>
    <m/>
    <n v="128.06"/>
    <m/>
    <m/>
    <m/>
    <m/>
    <m/>
    <m/>
    <n v="256.11"/>
    <m/>
    <m/>
    <m/>
    <m/>
    <m/>
    <m/>
    <m/>
    <n v="128.06"/>
    <m/>
    <n v="768.34"/>
  </r>
  <r>
    <n v="5"/>
    <x v="5"/>
    <x v="0"/>
    <n v="161041"/>
    <s v="CESANI LEONARDO ROBERTO"/>
    <s v="20-36155165-7"/>
    <d v="2016-06-06T00:00:00"/>
    <n v="36155165"/>
    <s v="CESANI"/>
    <s v="LEONARDO ROBERTO"/>
    <s v="M"/>
    <m/>
    <d v="2016-03-30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STAÑARES"/>
    <n v="1232"/>
    <m/>
    <m/>
    <s v="CAPITAL FEDERAL"/>
    <s v="Buenos Aires"/>
    <m/>
    <s v="U.O.Centro"/>
    <s v="Cocina"/>
    <n v="1"/>
    <n v="1"/>
    <n v="6132.06"/>
    <n v="1226.4100000000001"/>
    <m/>
    <m/>
    <n v="4905.6499999999996"/>
    <m/>
    <n v="122.64"/>
    <m/>
    <m/>
    <m/>
    <m/>
    <m/>
    <m/>
    <n v="61.32"/>
    <m/>
    <m/>
    <m/>
    <m/>
    <m/>
    <m/>
    <n v="122.64"/>
    <m/>
    <m/>
    <m/>
    <m/>
    <m/>
    <m/>
    <m/>
    <n v="61.32"/>
    <m/>
    <n v="367.92"/>
  </r>
  <r>
    <n v="5"/>
    <x v="5"/>
    <x v="1"/>
    <n v="112977"/>
    <s v="CHACON NADIA DE LOS ANGELES"/>
    <s v="27-34151854-2"/>
    <d v="2016-06-06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7298.29"/>
    <n v="1496.15"/>
    <m/>
    <m/>
    <n v="5802.14"/>
    <n v="182.46"/>
    <m/>
    <m/>
    <m/>
    <m/>
    <m/>
    <m/>
    <m/>
    <n v="72.98"/>
    <m/>
    <m/>
    <m/>
    <m/>
    <m/>
    <m/>
    <n v="145.97"/>
    <m/>
    <m/>
    <m/>
    <m/>
    <m/>
    <m/>
    <m/>
    <n v="72.98"/>
    <m/>
    <n v="474.39"/>
  </r>
  <r>
    <n v="5"/>
    <x v="5"/>
    <x v="0"/>
    <n v="171062"/>
    <s v="CIPRIANO RODOLFO DARDO"/>
    <s v="20-22964628-2"/>
    <d v="2016-05-23T00:00:00"/>
    <n v="22964628"/>
    <s v="CIPRIANO"/>
    <s v="RODOLFO DAR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MA"/>
    <n v="1005"/>
    <m/>
    <m/>
    <s v="CAPITAL FEDERAL"/>
    <s v="Capital Federal"/>
    <m/>
    <s v="U.O.Centro"/>
    <m/>
    <n v="1"/>
    <n v="1"/>
    <n v="369.39"/>
    <n v="73.87"/>
    <m/>
    <m/>
    <n v="295.52"/>
    <m/>
    <n v="7.39"/>
    <m/>
    <m/>
    <m/>
    <m/>
    <m/>
    <m/>
    <n v="3.69"/>
    <m/>
    <m/>
    <m/>
    <m/>
    <m/>
    <m/>
    <n v="7.39"/>
    <m/>
    <m/>
    <m/>
    <m/>
    <m/>
    <m/>
    <m/>
    <n v="3.69"/>
    <m/>
    <n v="22.16"/>
  </r>
  <r>
    <n v="5"/>
    <x v="5"/>
    <x v="0"/>
    <n v="164608"/>
    <s v="CLERICCETTI ANALIA BELEN"/>
    <s v="27-35139027-7"/>
    <d v="2016-06-02T00:00:00"/>
    <n v="35139027"/>
    <s v="CLERICCETTI"/>
    <s v="ANALIA BELEN"/>
    <s v="F"/>
    <m/>
    <d v="2015-12-29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MENDOZA"/>
    <n v="1225"/>
    <m/>
    <m/>
    <s v="CAPITAL FEDERAL"/>
    <s v="Buenos Aires"/>
    <m/>
    <s v="U.O.Centro"/>
    <m/>
    <n v="2"/>
    <n v="1"/>
    <n v="1678.57"/>
    <n v="335.72"/>
    <m/>
    <m/>
    <n v="1342.85"/>
    <m/>
    <n v="33.57"/>
    <m/>
    <m/>
    <m/>
    <m/>
    <m/>
    <m/>
    <n v="16.78"/>
    <m/>
    <m/>
    <m/>
    <m/>
    <m/>
    <m/>
    <n v="33.57"/>
    <m/>
    <m/>
    <m/>
    <m/>
    <m/>
    <m/>
    <m/>
    <n v="16.78"/>
    <m/>
    <n v="100.7"/>
  </r>
  <r>
    <n v="5"/>
    <x v="5"/>
    <x v="0"/>
    <n v="172187"/>
    <s v="CONDORI DANIEL"/>
    <s v="20-35216365-2"/>
    <d v="2016-06-01T00:00:00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8273.5"/>
    <n v="1654.72"/>
    <m/>
    <m/>
    <n v="6618.78"/>
    <m/>
    <n v="165.47"/>
    <m/>
    <m/>
    <m/>
    <m/>
    <m/>
    <m/>
    <n v="82.74"/>
    <m/>
    <m/>
    <m/>
    <m/>
    <m/>
    <m/>
    <n v="165.47"/>
    <m/>
    <m/>
    <m/>
    <m/>
    <m/>
    <m/>
    <m/>
    <n v="82.74"/>
    <m/>
    <n v="496.42"/>
  </r>
  <r>
    <n v="5"/>
    <x v="5"/>
    <x v="0"/>
    <n v="172222"/>
    <s v="CORDOBA CARINA"/>
    <s v="27-92547471-7"/>
    <d v="2016-06-01T00:00:00"/>
    <n v="92547471"/>
    <s v="CORDOBA"/>
    <s v="CARINA"/>
    <s v="F"/>
    <m/>
    <d v="2016-04-26T00:00:00"/>
    <d v="2016-05-19T00:00:00"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11 DE SEPTIEMBRE"/>
    <n v="841"/>
    <n v="3"/>
    <m/>
    <s v="CAPITAL FEDERAL"/>
    <s v="Buenos Aires"/>
    <m/>
    <s v="U.O.Centro"/>
    <m/>
    <n v="1"/>
    <n v="1"/>
    <n v="10587.42"/>
    <n v="2117.48"/>
    <m/>
    <m/>
    <n v="8469.94"/>
    <m/>
    <n v="211.75"/>
    <m/>
    <m/>
    <m/>
    <m/>
    <m/>
    <m/>
    <n v="105.87"/>
    <m/>
    <m/>
    <m/>
    <m/>
    <m/>
    <m/>
    <n v="211.75"/>
    <m/>
    <m/>
    <m/>
    <m/>
    <m/>
    <m/>
    <m/>
    <n v="105.87"/>
    <m/>
    <n v="635.24"/>
  </r>
  <r>
    <n v="5"/>
    <x v="5"/>
    <x v="0"/>
    <n v="172454"/>
    <s v="CORVALAN ANDREA"/>
    <s v="27-39467778-2"/>
    <d v="2016-06-06T00:00:00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NDEPENDENCIA"/>
    <n v="1225"/>
    <n v="9"/>
    <n v="1"/>
    <s v="CAPITAL FEDERAL"/>
    <s v="Buenos Aires"/>
    <m/>
    <s v="U.O.Centro"/>
    <m/>
    <n v="2"/>
    <n v="1"/>
    <n v="7065.97"/>
    <n v="1413.19"/>
    <m/>
    <m/>
    <n v="5652.78"/>
    <m/>
    <n v="141.32"/>
    <m/>
    <m/>
    <m/>
    <m/>
    <m/>
    <m/>
    <n v="70.66"/>
    <m/>
    <m/>
    <m/>
    <m/>
    <m/>
    <m/>
    <n v="141.32"/>
    <m/>
    <m/>
    <m/>
    <m/>
    <m/>
    <m/>
    <m/>
    <n v="70.66"/>
    <m/>
    <n v="423.96"/>
  </r>
  <r>
    <n v="5"/>
    <x v="5"/>
    <x v="0"/>
    <n v="170608"/>
    <s v="COTSIFIS LEONARDO CRISTIAN"/>
    <s v="20-28488021-9"/>
    <d v="2016-06-02T00:00:00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n v="1091"/>
    <s v="HIPOLITO YRIGOYEN"/>
    <n v="809"/>
    <m/>
    <m/>
    <s v="CAPITAL FEDERAL"/>
    <s v="Capital Federal"/>
    <m/>
    <s v="U.O.Centro"/>
    <m/>
    <n v="2"/>
    <n v="1"/>
    <n v="17190.080000000002"/>
    <n v="3438"/>
    <m/>
    <m/>
    <n v="13752.08"/>
    <m/>
    <n v="343.8"/>
    <m/>
    <m/>
    <m/>
    <m/>
    <m/>
    <m/>
    <n v="171.9"/>
    <m/>
    <m/>
    <m/>
    <m/>
    <m/>
    <m/>
    <n v="343.8"/>
    <m/>
    <m/>
    <m/>
    <m/>
    <m/>
    <m/>
    <m/>
    <n v="171.9"/>
    <m/>
    <n v="1031.4000000000001"/>
  </r>
  <r>
    <n v="5"/>
    <x v="5"/>
    <x v="0"/>
    <n v="169495"/>
    <s v="CRUZ ARIEL"/>
    <s v="20-23765623-8"/>
    <d v="2016-06-06T00:00:00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3"/>
    <n v="1"/>
    <n v="13896.06"/>
    <n v="2767.23"/>
    <m/>
    <m/>
    <n v="11128.83"/>
    <m/>
    <n v="277.92"/>
    <m/>
    <m/>
    <m/>
    <m/>
    <m/>
    <m/>
    <n v="126.98"/>
    <m/>
    <m/>
    <m/>
    <m/>
    <m/>
    <m/>
    <n v="277.92"/>
    <n v="17.97"/>
    <m/>
    <m/>
    <m/>
    <m/>
    <m/>
    <m/>
    <n v="109.01"/>
    <m/>
    <n v="809.8"/>
  </r>
  <r>
    <n v="5"/>
    <x v="5"/>
    <x v="0"/>
    <n v="172089"/>
    <s v="CUESTA NICOLAS"/>
    <s v="20-36989012-4"/>
    <d v="2016-06-06T00:00:00"/>
    <n v="36989012"/>
    <s v="CUESTA"/>
    <s v="NICOLAS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BERTO EINSTEIN"/>
    <n v="1225"/>
    <m/>
    <m/>
    <s v="CAPITAL FEDERAL"/>
    <s v="Buenos Aires"/>
    <m/>
    <s v="U.O.Centro"/>
    <m/>
    <n v="3"/>
    <n v="1"/>
    <n v="6002.55"/>
    <n v="1200.51"/>
    <m/>
    <m/>
    <n v="4802.04"/>
    <m/>
    <n v="120.05"/>
    <m/>
    <m/>
    <m/>
    <m/>
    <m/>
    <m/>
    <n v="60.02"/>
    <m/>
    <m/>
    <m/>
    <m/>
    <m/>
    <m/>
    <n v="120.05"/>
    <m/>
    <m/>
    <m/>
    <m/>
    <m/>
    <m/>
    <m/>
    <n v="60.02"/>
    <m/>
    <n v="360.14"/>
  </r>
  <r>
    <n v="5"/>
    <x v="5"/>
    <x v="1"/>
    <n v="170707"/>
    <s v="D'ALOISIO ANDRES"/>
    <s v="20-28622173-5"/>
    <d v="2016-05-31T00:00:00"/>
    <n v="28622173"/>
    <s v="D'ALOISIO"/>
    <s v="ANDRES"/>
    <s v="M"/>
    <m/>
    <d v="2016-03-22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SAN IRINEO"/>
    <n v="764"/>
    <n v="5"/>
    <n v="16"/>
    <s v="CAPITAL FEDERAL"/>
    <s v="Capital Federal"/>
    <m/>
    <s v="U.O.Centro Paga Inplant"/>
    <m/>
    <n v="1"/>
    <n v="1"/>
    <n v="3116.93"/>
    <n v="623.39"/>
    <m/>
    <m/>
    <n v="2493.54"/>
    <m/>
    <n v="62.34"/>
    <m/>
    <m/>
    <m/>
    <m/>
    <m/>
    <m/>
    <n v="31.17"/>
    <m/>
    <m/>
    <m/>
    <m/>
    <m/>
    <m/>
    <n v="62.34"/>
    <m/>
    <m/>
    <m/>
    <m/>
    <m/>
    <m/>
    <m/>
    <n v="31.17"/>
    <m/>
    <n v="187.02"/>
  </r>
  <r>
    <n v="5"/>
    <x v="5"/>
    <x v="0"/>
    <n v="170691"/>
    <s v="DIAZ INGRID MANUELA"/>
    <s v="27-93051595-2"/>
    <d v="2016-06-06T00:00:00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ISANEWTON"/>
    <n v="1225"/>
    <m/>
    <m/>
    <s v="CAPITAL FEDERAL"/>
    <s v="Buenos Aires"/>
    <m/>
    <s v="U.O.Centro"/>
    <m/>
    <n v="2"/>
    <n v="1"/>
    <n v="5033.32"/>
    <n v="1006.67"/>
    <m/>
    <m/>
    <n v="4026.65"/>
    <m/>
    <n v="100.66"/>
    <m/>
    <m/>
    <m/>
    <m/>
    <m/>
    <m/>
    <n v="50.34"/>
    <m/>
    <m/>
    <m/>
    <m/>
    <m/>
    <m/>
    <n v="100.66"/>
    <m/>
    <m/>
    <m/>
    <m/>
    <m/>
    <m/>
    <m/>
    <n v="50.34"/>
    <m/>
    <n v="302"/>
  </r>
  <r>
    <n v="5"/>
    <x v="5"/>
    <x v="0"/>
    <n v="169910"/>
    <s v="DIAZ NANCY"/>
    <s v="27-21949289-3"/>
    <d v="2016-06-06T00:00:0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2"/>
    <n v="1"/>
    <n v="6609.07"/>
    <n v="1321.81"/>
    <m/>
    <m/>
    <n v="5287.26"/>
    <m/>
    <n v="132.18"/>
    <m/>
    <m/>
    <m/>
    <m/>
    <m/>
    <m/>
    <n v="66.09"/>
    <m/>
    <m/>
    <m/>
    <m/>
    <m/>
    <m/>
    <n v="132.18"/>
    <m/>
    <m/>
    <m/>
    <m/>
    <m/>
    <m/>
    <m/>
    <n v="66.09"/>
    <m/>
    <n v="396.54"/>
  </r>
  <r>
    <n v="5"/>
    <x v="5"/>
    <x v="0"/>
    <n v="162205"/>
    <s v="DOMINGUEZ CABRERA CESAR FERNANDO"/>
    <s v="23-95304555-9"/>
    <d v="2016-06-06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3"/>
    <n v="1"/>
    <n v="6814"/>
    <n v="1362.8"/>
    <m/>
    <m/>
    <n v="5451.2"/>
    <m/>
    <n v="136.28"/>
    <m/>
    <m/>
    <m/>
    <m/>
    <m/>
    <m/>
    <n v="68.14"/>
    <m/>
    <m/>
    <m/>
    <m/>
    <m/>
    <m/>
    <n v="136.28"/>
    <m/>
    <m/>
    <m/>
    <m/>
    <m/>
    <m/>
    <m/>
    <n v="68.14"/>
    <m/>
    <n v="408.84"/>
  </r>
  <r>
    <n v="5"/>
    <x v="5"/>
    <x v="0"/>
    <n v="166685"/>
    <s v="DUARTE PICO EVA CLARINA"/>
    <s v="27-94661310-5"/>
    <d v="2016-06-01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6742.89"/>
    <n v="3348.59"/>
    <m/>
    <m/>
    <n v="13394.3"/>
    <m/>
    <n v="334.86"/>
    <m/>
    <m/>
    <m/>
    <m/>
    <m/>
    <m/>
    <n v="167.43"/>
    <m/>
    <m/>
    <m/>
    <m/>
    <m/>
    <m/>
    <n v="334.86"/>
    <m/>
    <m/>
    <m/>
    <m/>
    <m/>
    <m/>
    <m/>
    <n v="167.43"/>
    <m/>
    <n v="1004.58"/>
  </r>
  <r>
    <n v="5"/>
    <x v="5"/>
    <x v="0"/>
    <n v="172197"/>
    <s v="ESCOBAR LUZ DE JESUS"/>
    <s v="27-34093592-1"/>
    <d v="2016-05-23T00:00:00"/>
    <n v="34093592"/>
    <s v="ESCOBAR"/>
    <s v="LUZ DE JESUS"/>
    <s v="F"/>
    <m/>
    <d v="2016-04-2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V DERGUI"/>
    <n v="1225"/>
    <m/>
    <m/>
    <s v="CAPITAL FEDERAL"/>
    <s v="Buenos Aires"/>
    <m/>
    <s v="U.O.Centro"/>
    <m/>
    <n v="1"/>
    <n v="1"/>
    <n v="543.53"/>
    <n v="108.72"/>
    <m/>
    <m/>
    <n v="434.81"/>
    <m/>
    <n v="10.87"/>
    <m/>
    <m/>
    <m/>
    <m/>
    <m/>
    <m/>
    <n v="5.44"/>
    <m/>
    <m/>
    <m/>
    <m/>
    <m/>
    <m/>
    <n v="10.87"/>
    <m/>
    <m/>
    <m/>
    <m/>
    <m/>
    <m/>
    <m/>
    <n v="5.44"/>
    <m/>
    <n v="32.619999999999997"/>
  </r>
  <r>
    <n v="5"/>
    <x v="5"/>
    <x v="1"/>
    <n v="168279"/>
    <s v="ESPOSITO SERGIO DANIEL"/>
    <s v="20-27215970-0"/>
    <d v="2016-05-31T00:00:00"/>
    <n v="27215970"/>
    <s v="ESPOSITO"/>
    <s v="SERGIO DANIEL"/>
    <s v="M"/>
    <m/>
    <d v="2016-01-3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JO LAS CATONAS"/>
    <n v="764"/>
    <s v="B"/>
    <n v="6"/>
    <s v="CAPITAL FEDERAL"/>
    <s v="Capital Federal"/>
    <m/>
    <s v="U.O.Centro Paga Inplant"/>
    <m/>
    <n v="1"/>
    <n v="1"/>
    <n v="10894.7"/>
    <n v="2178.94"/>
    <m/>
    <m/>
    <n v="8715.76"/>
    <m/>
    <n v="217.89"/>
    <m/>
    <m/>
    <m/>
    <m/>
    <m/>
    <m/>
    <n v="108.95"/>
    <m/>
    <m/>
    <m/>
    <m/>
    <m/>
    <m/>
    <n v="217.89"/>
    <m/>
    <m/>
    <m/>
    <m/>
    <m/>
    <m/>
    <m/>
    <n v="108.95"/>
    <m/>
    <n v="653.67999999999995"/>
  </r>
  <r>
    <n v="5"/>
    <x v="5"/>
    <x v="0"/>
    <n v="138787"/>
    <s v="FERNANDEZ CLAUDIA"/>
    <s v="27-23472256-0"/>
    <d v="2016-06-06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6709.55"/>
    <n v="1341.92"/>
    <m/>
    <m/>
    <n v="5367.63"/>
    <m/>
    <n v="134.19"/>
    <m/>
    <m/>
    <m/>
    <m/>
    <m/>
    <m/>
    <n v="67.099999999999994"/>
    <m/>
    <m/>
    <m/>
    <m/>
    <m/>
    <m/>
    <n v="134.19"/>
    <m/>
    <m/>
    <m/>
    <m/>
    <m/>
    <m/>
    <m/>
    <n v="67.099999999999994"/>
    <m/>
    <n v="402.58"/>
  </r>
  <r>
    <n v="5"/>
    <x v="5"/>
    <x v="1"/>
    <n v="170547"/>
    <s v="Ferreyra Angel Matias"/>
    <s v="20-27942786-7"/>
    <d v="2016-05-31T00:00:00"/>
    <n v="27942786"/>
    <s v="Ferreyra"/>
    <s v="Angel Matias"/>
    <s v="F"/>
    <m/>
    <d v="2016-03-22T00:00:00"/>
    <m/>
    <m/>
    <s v="GASTRONOMICOS-Hoteles 4 y 5 Estrellas - 362/2003"/>
    <s v="Categoría 4"/>
    <x v="3"/>
    <s v="Unidad Principal"/>
    <s v="Centro"/>
    <s v="Tareas Generales"/>
    <n v="111704"/>
    <s v="OS  DE ENCARGADOS APUNTADORES MARITIMOS"/>
    <s v="Capital Federal"/>
    <m/>
    <n v="1002"/>
    <s v="Mateo Churich"/>
    <n v="764"/>
    <m/>
    <m/>
    <s v="CAPITAL FEDERAL"/>
    <s v="Capital Federal"/>
    <m/>
    <s v="U.O.Centro Paga Inplant"/>
    <m/>
    <n v="1"/>
    <n v="1"/>
    <n v="13616.59"/>
    <n v="2723.32"/>
    <m/>
    <m/>
    <n v="10893.27"/>
    <m/>
    <n v="272.33"/>
    <m/>
    <m/>
    <m/>
    <m/>
    <m/>
    <m/>
    <n v="136.16999999999999"/>
    <m/>
    <m/>
    <m/>
    <m/>
    <m/>
    <m/>
    <n v="272.33"/>
    <m/>
    <m/>
    <m/>
    <m/>
    <m/>
    <m/>
    <m/>
    <n v="136.16999999999999"/>
    <m/>
    <n v="817"/>
  </r>
  <r>
    <n v="5"/>
    <x v="5"/>
    <x v="0"/>
    <n v="173372"/>
    <s v="FILATOVA INNA"/>
    <s v="27-18845947-7"/>
    <d v="2016-06-06T00:00:00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GUALEGUAY"/>
    <n v="1225"/>
    <m/>
    <m/>
    <s v="CAPITAL FEDERAL"/>
    <s v="Buenos Aires"/>
    <m/>
    <s v="U.O.Centro"/>
    <m/>
    <n v="1"/>
    <n v="1"/>
    <n v="1600.68"/>
    <n v="320.13"/>
    <m/>
    <m/>
    <n v="1280.55"/>
    <m/>
    <n v="32.01"/>
    <m/>
    <m/>
    <m/>
    <m/>
    <m/>
    <m/>
    <n v="16.010000000000002"/>
    <m/>
    <m/>
    <m/>
    <m/>
    <m/>
    <m/>
    <n v="32.01"/>
    <m/>
    <m/>
    <m/>
    <m/>
    <m/>
    <m/>
    <m/>
    <n v="16.010000000000002"/>
    <m/>
    <n v="96.04"/>
  </r>
  <r>
    <n v="5"/>
    <x v="5"/>
    <x v="1"/>
    <n v="162823"/>
    <s v="FORETIC IVANA"/>
    <s v="27-36930073-9"/>
    <d v="2016-05-31T00:00:00"/>
    <n v="36930073"/>
    <s v="FORETIC"/>
    <s v="IVANA"/>
    <s v="F"/>
    <m/>
    <d v="2015-12-03T00:00:00"/>
    <d v="2016-05-04T00:00:00"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RIVADAVIA"/>
    <n v="764"/>
    <m/>
    <m/>
    <s v="CAPITAL FEDERAL"/>
    <s v="Capital Federal"/>
    <m/>
    <s v="U.O.Centro Paga Inplant"/>
    <m/>
    <n v="1"/>
    <n v="1"/>
    <n v="4537.3"/>
    <n v="907.46"/>
    <m/>
    <m/>
    <n v="3629.84"/>
    <m/>
    <n v="90.75"/>
    <m/>
    <m/>
    <m/>
    <m/>
    <m/>
    <m/>
    <n v="45.37"/>
    <m/>
    <m/>
    <m/>
    <m/>
    <m/>
    <m/>
    <n v="90.75"/>
    <m/>
    <m/>
    <m/>
    <m/>
    <m/>
    <m/>
    <m/>
    <n v="45.37"/>
    <m/>
    <n v="272.24"/>
  </r>
  <r>
    <n v="5"/>
    <x v="5"/>
    <x v="0"/>
    <n v="172186"/>
    <s v="GALLARDO MELINA ELIZABETH"/>
    <s v="27-38587519-9"/>
    <d v="2016-06-06T00:00:00"/>
    <n v="38587519"/>
    <s v="GALLARDO"/>
    <s v="MELINA ELIZABETH"/>
    <s v="F"/>
    <m/>
    <d v="2016-04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L CHIRIACHE"/>
    <n v="474"/>
    <m/>
    <m/>
    <s v="CAPITAL FEDERAL"/>
    <s v="Buenos Aires"/>
    <m/>
    <s v="U.O.Centro"/>
    <m/>
    <n v="2"/>
    <n v="1"/>
    <n v="7008"/>
    <n v="1401.6"/>
    <m/>
    <m/>
    <n v="5606.4"/>
    <m/>
    <n v="140.16"/>
    <m/>
    <m/>
    <m/>
    <m/>
    <m/>
    <m/>
    <n v="70.08"/>
    <m/>
    <m/>
    <m/>
    <m/>
    <m/>
    <m/>
    <n v="140.16"/>
    <m/>
    <m/>
    <m/>
    <m/>
    <m/>
    <m/>
    <m/>
    <n v="70.08"/>
    <m/>
    <n v="420.48"/>
  </r>
  <r>
    <n v="5"/>
    <x v="5"/>
    <x v="1"/>
    <n v="65418"/>
    <s v="GARAY ANGEL FAUSTINO"/>
    <s v="20-27725694-1"/>
    <d v="2016-06-06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17088.7"/>
    <n v="3503.19"/>
    <m/>
    <m/>
    <n v="13585.51"/>
    <n v="427.22"/>
    <m/>
    <m/>
    <m/>
    <m/>
    <m/>
    <m/>
    <m/>
    <n v="170.89"/>
    <m/>
    <m/>
    <m/>
    <m/>
    <m/>
    <m/>
    <n v="341.77"/>
    <m/>
    <m/>
    <m/>
    <m/>
    <m/>
    <m/>
    <m/>
    <n v="170.89"/>
    <m/>
    <n v="1110.77"/>
  </r>
  <r>
    <n v="5"/>
    <x v="5"/>
    <x v="0"/>
    <n v="164235"/>
    <s v="GAUTO ALVAREZ BEATRIZ"/>
    <s v="27-94488727-5"/>
    <d v="2016-06-06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n v="6430.23"/>
    <n v="1286.05"/>
    <m/>
    <m/>
    <n v="5144.18"/>
    <m/>
    <n v="128.6"/>
    <m/>
    <m/>
    <m/>
    <m/>
    <m/>
    <m/>
    <n v="64.3"/>
    <m/>
    <m/>
    <m/>
    <m/>
    <m/>
    <m/>
    <n v="128.6"/>
    <m/>
    <m/>
    <m/>
    <m/>
    <m/>
    <m/>
    <m/>
    <n v="64.3"/>
    <m/>
    <n v="385.8"/>
  </r>
  <r>
    <n v="5"/>
    <x v="5"/>
    <x v="0"/>
    <n v="171840"/>
    <s v="GERON PABLO"/>
    <s v="20-34949635-7"/>
    <d v="2016-06-06T00:00:00"/>
    <n v="34949635"/>
    <s v="GERON"/>
    <s v="PABLO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EL ARREO"/>
    <n v="1005"/>
    <m/>
    <m/>
    <s v="CAPITAL FEDERAL"/>
    <s v="Capital Federal"/>
    <m/>
    <s v="U.O.Centro"/>
    <m/>
    <n v="2"/>
    <n v="1"/>
    <n v="4508.66"/>
    <n v="901.73"/>
    <m/>
    <m/>
    <n v="3606.93"/>
    <m/>
    <n v="90.17"/>
    <m/>
    <m/>
    <m/>
    <m/>
    <m/>
    <m/>
    <n v="45.09"/>
    <m/>
    <m/>
    <m/>
    <m/>
    <m/>
    <m/>
    <n v="90.17"/>
    <m/>
    <m/>
    <m/>
    <m/>
    <m/>
    <m/>
    <m/>
    <n v="45.09"/>
    <m/>
    <n v="270.52"/>
  </r>
  <r>
    <n v="5"/>
    <x v="5"/>
    <x v="0"/>
    <n v="170166"/>
    <s v="GILBERT GERONIMO"/>
    <s v="20-38989257-3"/>
    <d v="2016-05-23T00:00:00"/>
    <n v="38989257"/>
    <s v="GILBERT"/>
    <s v="GERONIMO"/>
    <s v="F"/>
    <m/>
    <d v="2016-03-0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PARAGUAY"/>
    <n v="1005"/>
    <m/>
    <m/>
    <s v="CAPITAL FEDERAL"/>
    <s v="Capital Federal"/>
    <m/>
    <s v="U.O.Centro"/>
    <m/>
    <n v="1"/>
    <n v="1"/>
    <n v="689.53"/>
    <n v="137.91999999999999"/>
    <m/>
    <m/>
    <n v="551.61"/>
    <m/>
    <n v="13.79"/>
    <m/>
    <m/>
    <m/>
    <m/>
    <m/>
    <m/>
    <n v="6.9"/>
    <m/>
    <m/>
    <m/>
    <m/>
    <m/>
    <m/>
    <n v="13.79"/>
    <m/>
    <m/>
    <m/>
    <m/>
    <m/>
    <m/>
    <m/>
    <n v="6.9"/>
    <m/>
    <n v="41.38"/>
  </r>
  <r>
    <n v="5"/>
    <x v="5"/>
    <x v="0"/>
    <n v="171275"/>
    <s v="GODOY LUCIA AYMARA"/>
    <s v="27-26465340-7"/>
    <d v="2016-06-06T00:00:00"/>
    <n v="26465340"/>
    <s v="GODOY"/>
    <s v="LUCIA AYMAR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EXICO"/>
    <n v="1225"/>
    <n v="6"/>
    <n v="31"/>
    <s v="CAPITAL FEDERAL"/>
    <s v="Buenos Aires"/>
    <m/>
    <s v="U.O.Centro"/>
    <m/>
    <n v="2"/>
    <n v="1"/>
    <n v="4891.83"/>
    <n v="978.35"/>
    <m/>
    <m/>
    <n v="3913.48"/>
    <m/>
    <n v="97.83"/>
    <m/>
    <m/>
    <m/>
    <m/>
    <m/>
    <m/>
    <n v="48.92"/>
    <m/>
    <m/>
    <m/>
    <m/>
    <m/>
    <m/>
    <n v="97.83"/>
    <m/>
    <m/>
    <m/>
    <m/>
    <m/>
    <m/>
    <m/>
    <n v="48.92"/>
    <m/>
    <n v="293.5"/>
  </r>
  <r>
    <n v="5"/>
    <x v="5"/>
    <x v="1"/>
    <n v="164986"/>
    <s v="GOMEZ MIGUEL ANGEL"/>
    <s v="20-40687394-4"/>
    <d v="2016-06-06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1"/>
    <n v="1"/>
    <n v="14504.88"/>
    <n v="2900.99"/>
    <m/>
    <m/>
    <n v="11603.89"/>
    <m/>
    <n v="290.10000000000002"/>
    <m/>
    <m/>
    <m/>
    <m/>
    <m/>
    <m/>
    <n v="145.05000000000001"/>
    <m/>
    <m/>
    <m/>
    <m/>
    <m/>
    <m/>
    <n v="290.10000000000002"/>
    <m/>
    <m/>
    <m/>
    <m/>
    <m/>
    <m/>
    <m/>
    <n v="145.05000000000001"/>
    <m/>
    <n v="870.3"/>
  </r>
  <r>
    <n v="5"/>
    <x v="5"/>
    <x v="0"/>
    <n v="165040"/>
    <s v="GOMEZ GARCIA RAUL ANDRES"/>
    <s v="20-34955035-1"/>
    <d v="2016-05-23T00:00:00"/>
    <n v="34955035"/>
    <s v="GOMEZ GARCIA"/>
    <s v="RAUL ANDRES"/>
    <s v="M"/>
    <m/>
    <d v="2016-03-29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n v="1091"/>
    <s v="José Gola 6010 2º C"/>
    <n v="809"/>
    <s v="2º"/>
    <s v="C"/>
    <s v="CAPITAL FEDERAL"/>
    <s v="Capital Federal"/>
    <m/>
    <s v="U.O.Centro"/>
    <m/>
    <n v="1"/>
    <n v="1"/>
    <n v="1110.2"/>
    <n v="222.04"/>
    <m/>
    <m/>
    <n v="888.16"/>
    <m/>
    <n v="22.2"/>
    <m/>
    <m/>
    <m/>
    <m/>
    <m/>
    <m/>
    <n v="11.1"/>
    <m/>
    <m/>
    <m/>
    <m/>
    <m/>
    <m/>
    <n v="22.2"/>
    <m/>
    <m/>
    <m/>
    <m/>
    <m/>
    <m/>
    <m/>
    <n v="11.1"/>
    <m/>
    <n v="66.599999999999994"/>
  </r>
  <r>
    <n v="5"/>
    <x v="5"/>
    <x v="1"/>
    <n v="172327"/>
    <s v="GONZALEZ GISELLA MARIEL"/>
    <s v="27-36172010-0"/>
    <d v="2016-05-31T00:00:00"/>
    <n v="36172010"/>
    <s v="GONZALEZ"/>
    <s v="GISELLA MARIEL"/>
    <s v="F"/>
    <m/>
    <d v="2016-04-29T00:00:00"/>
    <d v="2016-05-11T00:00:00"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GOBERNADOR ARIAS"/>
    <n v="764"/>
    <s v="-"/>
    <s v="-"/>
    <s v="CAPITAL FEDERAL"/>
    <s v="Capital Federal"/>
    <m/>
    <s v="U.O.Centro Paga Inplant"/>
    <m/>
    <n v="1"/>
    <n v="1"/>
    <n v="815.36"/>
    <n v="163.07"/>
    <m/>
    <m/>
    <n v="652.29"/>
    <m/>
    <n v="16.309999999999999"/>
    <m/>
    <m/>
    <m/>
    <m/>
    <m/>
    <m/>
    <n v="8.15"/>
    <m/>
    <m/>
    <m/>
    <m/>
    <m/>
    <m/>
    <n v="16.309999999999999"/>
    <m/>
    <m/>
    <m/>
    <m/>
    <m/>
    <m/>
    <m/>
    <n v="8.15"/>
    <m/>
    <n v="48.92"/>
  </r>
  <r>
    <n v="5"/>
    <x v="5"/>
    <x v="0"/>
    <n v="48107"/>
    <s v="GONZALEZ KARINA ELIZABETH"/>
    <s v="27-23467821-9"/>
    <d v="2016-06-06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14505"/>
    <s v="OS  DE PATRONES DE CABOTAJE DE RIOS Y PUERTOS"/>
    <s v="Capital Federal"/>
    <m/>
    <n v="1093"/>
    <s v="EL HORNERO"/>
    <n v="1232"/>
    <m/>
    <m/>
    <s v="CAPITAL FEDERAL"/>
    <s v="Buenos Aires"/>
    <m/>
    <s v="U.O.Centro"/>
    <s v="Ama de Llaves"/>
    <n v="1"/>
    <n v="1"/>
    <n v="8200.57"/>
    <n v="1640.12"/>
    <m/>
    <m/>
    <n v="6560.45"/>
    <m/>
    <n v="164.01"/>
    <m/>
    <m/>
    <m/>
    <m/>
    <m/>
    <m/>
    <n v="82.01"/>
    <m/>
    <m/>
    <m/>
    <m/>
    <m/>
    <m/>
    <n v="164.01"/>
    <m/>
    <m/>
    <m/>
    <m/>
    <m/>
    <m/>
    <m/>
    <n v="82.01"/>
    <m/>
    <n v="492.04"/>
  </r>
  <r>
    <n v="5"/>
    <x v="5"/>
    <x v="0"/>
    <n v="164221"/>
    <s v="GONZALEZ MARIA LUJAN"/>
    <s v="27-36902344-1"/>
    <d v="2016-05-23T00:00:00"/>
    <n v="36902344"/>
    <s v="GONZALEZ"/>
    <s v="MARIA LUJA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ODRIGUEZ FLORES"/>
    <n v="1225"/>
    <m/>
    <m/>
    <s v="CAPITAL FEDERAL"/>
    <s v="Buenos Aires"/>
    <m/>
    <s v="U.O.Centro"/>
    <s v="Catering"/>
    <n v="3"/>
    <n v="1"/>
    <n v="5202.21"/>
    <n v="1040.44"/>
    <m/>
    <m/>
    <n v="4161.7700000000004"/>
    <m/>
    <n v="104.04"/>
    <m/>
    <m/>
    <m/>
    <m/>
    <m/>
    <m/>
    <n v="52.02"/>
    <m/>
    <m/>
    <m/>
    <m/>
    <m/>
    <m/>
    <n v="104.04"/>
    <m/>
    <m/>
    <m/>
    <m/>
    <m/>
    <m/>
    <m/>
    <n v="52.02"/>
    <m/>
    <n v="312.12"/>
  </r>
  <r>
    <n v="5"/>
    <x v="5"/>
    <x v="1"/>
    <n v="164224"/>
    <s v="GONZALEZ SALOME NATALIA"/>
    <s v="27-35111714-7"/>
    <d v="2016-06-06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5035.0600000000004"/>
    <n v="1007.01"/>
    <m/>
    <m/>
    <n v="4028.05"/>
    <m/>
    <n v="100.7"/>
    <m/>
    <m/>
    <m/>
    <m/>
    <m/>
    <m/>
    <n v="50.35"/>
    <m/>
    <m/>
    <m/>
    <m/>
    <m/>
    <m/>
    <n v="100.7"/>
    <m/>
    <m/>
    <m/>
    <m/>
    <m/>
    <m/>
    <m/>
    <n v="50.35"/>
    <m/>
    <n v="302.10000000000002"/>
  </r>
  <r>
    <n v="5"/>
    <x v="5"/>
    <x v="1"/>
    <n v="136459"/>
    <s v="GONZALEZ VICTOR HUGO"/>
    <s v="20-37376573-3"/>
    <d v="2016-06-06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1"/>
    <n v="1"/>
    <n v="16286.27"/>
    <n v="3257.26"/>
    <m/>
    <m/>
    <n v="13029.01"/>
    <m/>
    <n v="325.73"/>
    <m/>
    <m/>
    <m/>
    <m/>
    <m/>
    <m/>
    <n v="162.86000000000001"/>
    <m/>
    <m/>
    <m/>
    <m/>
    <m/>
    <m/>
    <n v="325.73"/>
    <m/>
    <m/>
    <m/>
    <m/>
    <m/>
    <m/>
    <m/>
    <n v="162.86000000000001"/>
    <m/>
    <n v="977.18"/>
  </r>
  <r>
    <n v="5"/>
    <x v="5"/>
    <x v="0"/>
    <n v="157880"/>
    <s v="GRILLO PAMELA LORENA"/>
    <s v="27-25978678-4"/>
    <d v="2016-06-06T00:00:00"/>
    <n v="25978678"/>
    <s v="GRILLO"/>
    <s v="PAMELA LORENA"/>
    <s v="F"/>
    <m/>
    <d v="2015-09-20T00:00:00"/>
    <d v="2016-01-21T00:00:00"/>
    <d v="2016-04-20T00:00:00"/>
    <s v="GASTRONOMICOS-Hoteles 4 y 5 Estrellas - 362/2003"/>
    <s v="Categoría 4"/>
    <x v="4"/>
    <s v="Unidad Base-GL"/>
    <s v="Centro"/>
    <s v="Mucama"/>
    <n v="105804"/>
    <s v="O.S.Choferes de Camiones (Metropolitana)"/>
    <s v="Capital Federal"/>
    <m/>
    <n v="1004"/>
    <s v="RIO PILCOMAYO Nº 1276"/>
    <n v="474"/>
    <m/>
    <m/>
    <s v="CAPITAL FEDERAL"/>
    <s v="Buenos Aires"/>
    <m/>
    <s v="U.O.Casa Central"/>
    <m/>
    <n v="1"/>
    <n v="1"/>
    <n v="284.76"/>
    <n v="56.95"/>
    <m/>
    <n v="553.91999999999996"/>
    <n v="781.73"/>
    <m/>
    <n v="5.7"/>
    <m/>
    <m/>
    <m/>
    <m/>
    <m/>
    <m/>
    <n v="2.85"/>
    <m/>
    <m/>
    <m/>
    <m/>
    <m/>
    <m/>
    <n v="5.7"/>
    <m/>
    <m/>
    <m/>
    <m/>
    <m/>
    <m/>
    <m/>
    <n v="2.85"/>
    <m/>
    <n v="17.100000000000001"/>
  </r>
  <r>
    <n v="5"/>
    <x v="5"/>
    <x v="0"/>
    <n v="138788"/>
    <s v="GUIA VANESA DE LOS ANGELES"/>
    <s v="27-27988325-5"/>
    <d v="2016-06-01T00:00:00"/>
    <n v="27988325"/>
    <s v="GUIA"/>
    <s v="VANESA DE LOS ANGELES"/>
    <s v="F"/>
    <m/>
    <d v="2014-12-01T00:00:00"/>
    <d v="2016-04-23T00:00:00"/>
    <d v="2016-04-23T00:00:00"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GUAPEY"/>
    <n v="1232"/>
    <m/>
    <m/>
    <s v="CAPITAL FEDERAL"/>
    <s v="Buenos Aires"/>
    <m/>
    <s v="U.O.Centro"/>
    <s v="Mucama por Jornada"/>
    <n v="1"/>
    <n v="1"/>
    <m/>
    <m/>
    <m/>
    <n v="937.62"/>
    <n v="937.62"/>
    <m/>
    <m/>
    <m/>
    <m/>
    <m/>
    <m/>
    <m/>
    <m/>
    <m/>
    <m/>
    <m/>
    <m/>
    <m/>
    <m/>
    <m/>
    <m/>
    <m/>
    <m/>
    <m/>
    <m/>
    <m/>
    <m/>
    <m/>
    <m/>
    <m/>
    <m/>
  </r>
  <r>
    <n v="5"/>
    <x v="5"/>
    <x v="1"/>
    <n v="77136"/>
    <s v="HAURET BELTRAN"/>
    <s v="20-31675095-9"/>
    <d v="2016-06-06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1"/>
    <n v="1"/>
    <n v="17441.41"/>
    <n v="3488.28"/>
    <m/>
    <m/>
    <n v="13953.13"/>
    <m/>
    <n v="348.83"/>
    <m/>
    <m/>
    <m/>
    <m/>
    <m/>
    <m/>
    <n v="174.41"/>
    <m/>
    <m/>
    <m/>
    <m/>
    <m/>
    <m/>
    <n v="348.83"/>
    <m/>
    <m/>
    <m/>
    <m/>
    <m/>
    <m/>
    <m/>
    <n v="174.41"/>
    <m/>
    <n v="1046.48"/>
  </r>
  <r>
    <n v="5"/>
    <x v="5"/>
    <x v="0"/>
    <n v="170479"/>
    <s v="HERMOSILLA LUIS CARLOS"/>
    <s v="20-93896751-3"/>
    <d v="2016-06-06T00:00:00"/>
    <n v="93896751"/>
    <s v="HERMOSILLA"/>
    <s v="LUIS CARLOS"/>
    <s v="M"/>
    <m/>
    <d v="2016-03-1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ESTEBAN BONORINO"/>
    <n v="1225"/>
    <s v="2C"/>
    <m/>
    <s v="CAPITAL FEDERAL"/>
    <s v="Buenos Aires"/>
    <m/>
    <s v="U.O.Centro"/>
    <m/>
    <n v="2"/>
    <n v="1"/>
    <n v="9849.66"/>
    <n v="1969.93"/>
    <m/>
    <m/>
    <n v="7879.73"/>
    <m/>
    <n v="196.99"/>
    <m/>
    <m/>
    <m/>
    <m/>
    <m/>
    <m/>
    <n v="98.5"/>
    <m/>
    <m/>
    <m/>
    <m/>
    <m/>
    <m/>
    <n v="196.99"/>
    <m/>
    <m/>
    <m/>
    <m/>
    <m/>
    <m/>
    <m/>
    <n v="98.5"/>
    <m/>
    <n v="590.98"/>
  </r>
  <r>
    <n v="5"/>
    <x v="5"/>
    <x v="0"/>
    <n v="170316"/>
    <s v="HERNÁNDEZ LÓPEZ KEVIN FELIPE"/>
    <s v="20-95292340-5"/>
    <d v="2016-06-06T00:00:00"/>
    <n v="95292340"/>
    <s v="HERNÁNDEZ LÓPEZ"/>
    <s v="KEVIN FELIPE"/>
    <s v="M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 HAYA 3977, CAPITAL FEDERAL"/>
    <n v="1225"/>
    <m/>
    <m/>
    <s v="CAPITAL FEDERAL"/>
    <s v="Buenos Aires"/>
    <m/>
    <s v="U.O.Centro"/>
    <m/>
    <n v="3"/>
    <n v="1"/>
    <n v="5602.37"/>
    <n v="1120.51"/>
    <m/>
    <m/>
    <n v="4481.8599999999997"/>
    <m/>
    <n v="112.05"/>
    <m/>
    <m/>
    <m/>
    <m/>
    <m/>
    <m/>
    <n v="56.03"/>
    <m/>
    <m/>
    <m/>
    <m/>
    <m/>
    <m/>
    <n v="112.05"/>
    <m/>
    <m/>
    <m/>
    <m/>
    <m/>
    <m/>
    <m/>
    <n v="56.03"/>
    <m/>
    <n v="336.16"/>
  </r>
  <r>
    <n v="5"/>
    <x v="5"/>
    <x v="0"/>
    <n v="173298"/>
    <s v="HOLUBEK CAROLINA RUTH"/>
    <s v="27-35608240-6"/>
    <d v="2016-06-06T00:00:00"/>
    <n v="35608240"/>
    <s v="HOLUBEK"/>
    <s v="CAROLINA RUTH"/>
    <s v="F"/>
    <m/>
    <d v="2016-05-1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JOSE CUBAS"/>
    <n v="181"/>
    <m/>
    <m/>
    <s v="CAPITAL FEDERAL"/>
    <s v="Capital Federal"/>
    <m/>
    <s v="U.O.Centro"/>
    <m/>
    <n v="1"/>
    <n v="1"/>
    <n v="588.17999999999995"/>
    <n v="117.64"/>
    <m/>
    <m/>
    <n v="470.54"/>
    <m/>
    <n v="11.76"/>
    <m/>
    <m/>
    <m/>
    <m/>
    <m/>
    <m/>
    <n v="5.88"/>
    <m/>
    <m/>
    <m/>
    <m/>
    <m/>
    <m/>
    <n v="11.76"/>
    <m/>
    <m/>
    <m/>
    <m/>
    <m/>
    <m/>
    <m/>
    <n v="5.88"/>
    <m/>
    <n v="35.28"/>
  </r>
  <r>
    <n v="5"/>
    <x v="5"/>
    <x v="1"/>
    <n v="171895"/>
    <s v="IBARRA LUISINA YASMIN"/>
    <s v="27-37039024-5"/>
    <d v="2016-05-31T00:00:00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LUMERIZZO"/>
    <n v="764"/>
    <m/>
    <m/>
    <s v="CAPITAL FEDERAL"/>
    <s v="Capital Federal"/>
    <m/>
    <s v="U.O.Centro Paga Inplant"/>
    <m/>
    <n v="1"/>
    <n v="1"/>
    <n v="7868.27"/>
    <n v="1573.66"/>
    <m/>
    <m/>
    <n v="6294.61"/>
    <m/>
    <n v="157.37"/>
    <m/>
    <m/>
    <m/>
    <m/>
    <m/>
    <m/>
    <n v="78.680000000000007"/>
    <m/>
    <m/>
    <m/>
    <m/>
    <m/>
    <m/>
    <n v="157.37"/>
    <m/>
    <m/>
    <m/>
    <m/>
    <m/>
    <m/>
    <m/>
    <n v="78.680000000000007"/>
    <m/>
    <n v="472.1"/>
  </r>
  <r>
    <n v="5"/>
    <x v="5"/>
    <x v="1"/>
    <n v="152999"/>
    <s v="INOJOSA NELSON RAUL"/>
    <s v="20-25995558-1"/>
    <d v="2016-05-31T00:00:00"/>
    <n v="25995558"/>
    <s v="INOJOSA"/>
    <s v="NELSON RAUL"/>
    <s v="M"/>
    <m/>
    <d v="2015-09-22T00:00:00"/>
    <d v="2016-05-03T00:00:00"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SARMIENTO"/>
    <n v="764"/>
    <s v="PB"/>
    <m/>
    <s v="CAPITAL FEDERAL"/>
    <s v="Capital Federal"/>
    <m/>
    <s v="U.O.Centro Paga Inplant"/>
    <m/>
    <n v="1"/>
    <n v="1"/>
    <n v="1703.32"/>
    <n v="340.67"/>
    <m/>
    <m/>
    <n v="1362.65"/>
    <m/>
    <n v="34.07"/>
    <m/>
    <m/>
    <m/>
    <m/>
    <m/>
    <m/>
    <n v="17.03"/>
    <m/>
    <m/>
    <m/>
    <m/>
    <m/>
    <m/>
    <n v="34.07"/>
    <m/>
    <m/>
    <m/>
    <m/>
    <m/>
    <m/>
    <m/>
    <n v="17.03"/>
    <m/>
    <n v="102.2"/>
  </r>
  <r>
    <n v="5"/>
    <x v="5"/>
    <x v="0"/>
    <n v="155922"/>
    <s v="JANNON LUIS AUGUSTO"/>
    <s v="20-32336089-9"/>
    <d v="2016-06-06T00:00:00"/>
    <n v="32336089"/>
    <s v="JANNON"/>
    <s v="LUIS AUGUSTO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3"/>
    <n v="1"/>
    <n v="9386.4699999999993"/>
    <n v="1877.31"/>
    <m/>
    <m/>
    <n v="7509.16"/>
    <m/>
    <n v="187.73"/>
    <m/>
    <m/>
    <m/>
    <m/>
    <m/>
    <m/>
    <n v="93.87"/>
    <m/>
    <m/>
    <m/>
    <m/>
    <m/>
    <m/>
    <n v="187.73"/>
    <m/>
    <m/>
    <m/>
    <m/>
    <m/>
    <m/>
    <m/>
    <n v="93.87"/>
    <m/>
    <n v="563.20000000000005"/>
  </r>
  <r>
    <n v="5"/>
    <x v="5"/>
    <x v="0"/>
    <n v="112431"/>
    <s v="JARA MONICA ALEJANDRA"/>
    <s v="27-30160632-5"/>
    <d v="2016-06-06T00:00:00"/>
    <n v="30160632"/>
    <s v="JARA"/>
    <s v="MONICA ALEJANDRA"/>
    <s v="F"/>
    <m/>
    <d v="2014-10-08T00:00:00"/>
    <d v="2015-12-30T00:00:00"/>
    <d v="2016-05-08T00:00:00"/>
    <s v="GASTRONOMICOS-Hoteles 4 y 5 Estrellas - 362/2003"/>
    <s v="Categoría 4"/>
    <x v="6"/>
    <s v="Unidad Base-GL"/>
    <s v="Centro"/>
    <s v="Mucama"/>
    <n v="100304"/>
    <s v="OS  DE  TECNICOS DE VUELO DE LINEAS AEREAS"/>
    <s v="Capital Federal"/>
    <m/>
    <n v="1093"/>
    <n v="887"/>
    <n v="1232"/>
    <m/>
    <m/>
    <s v="CAPITAL FEDERAL"/>
    <s v="Buenos Aires"/>
    <m/>
    <s v="U.O.Centro"/>
    <s v="Mucama por Jornada"/>
    <n v="1"/>
    <n v="1"/>
    <m/>
    <m/>
    <m/>
    <n v="3680.25"/>
    <n v="3680.25"/>
    <m/>
    <m/>
    <m/>
    <m/>
    <m/>
    <m/>
    <m/>
    <m/>
    <m/>
    <m/>
    <m/>
    <m/>
    <m/>
    <m/>
    <m/>
    <m/>
    <m/>
    <m/>
    <m/>
    <m/>
    <m/>
    <m/>
    <m/>
    <m/>
    <m/>
    <m/>
  </r>
  <r>
    <n v="5"/>
    <x v="5"/>
    <x v="0"/>
    <n v="168403"/>
    <s v="JUAREZ LILIANA MARCELA"/>
    <s v="27-23887293-1"/>
    <d v="2016-06-01T00:00:00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LA RIOJA"/>
    <n v="841"/>
    <m/>
    <m/>
    <s v="CAPITAL FEDERAL"/>
    <s v="Buenos Aires"/>
    <m/>
    <s v="U.O.Centro"/>
    <m/>
    <n v="1"/>
    <n v="1"/>
    <n v="11285.04"/>
    <n v="2257"/>
    <m/>
    <m/>
    <n v="9028.0400000000009"/>
    <m/>
    <n v="225.7"/>
    <m/>
    <m/>
    <m/>
    <m/>
    <m/>
    <m/>
    <n v="112.85"/>
    <m/>
    <m/>
    <m/>
    <m/>
    <m/>
    <m/>
    <n v="225.7"/>
    <m/>
    <m/>
    <m/>
    <m/>
    <m/>
    <m/>
    <m/>
    <n v="112.85"/>
    <m/>
    <n v="677.1"/>
  </r>
  <r>
    <n v="5"/>
    <x v="5"/>
    <x v="0"/>
    <n v="162207"/>
    <s v="KOLTOWSKI ALICIA ANDREA"/>
    <s v="27-24905826-8"/>
    <d v="2016-06-06T00:00:00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MONTEVERDE"/>
    <n v="1225"/>
    <m/>
    <m/>
    <s v="CAPITAL FEDERAL"/>
    <s v="Buenos Aires"/>
    <m/>
    <s v="U.O.Centro"/>
    <m/>
    <n v="2"/>
    <n v="1"/>
    <n v="1600.66"/>
    <n v="320.14"/>
    <m/>
    <m/>
    <n v="1280.52"/>
    <m/>
    <n v="32.01"/>
    <m/>
    <m/>
    <m/>
    <m/>
    <m/>
    <m/>
    <n v="16.010000000000002"/>
    <m/>
    <m/>
    <m/>
    <m/>
    <m/>
    <m/>
    <n v="32.01"/>
    <m/>
    <m/>
    <m/>
    <m/>
    <m/>
    <m/>
    <m/>
    <n v="16.010000000000002"/>
    <m/>
    <n v="96.04"/>
  </r>
  <r>
    <n v="5"/>
    <x v="5"/>
    <x v="0"/>
    <n v="172052"/>
    <s v="KUMANI CINTHIA"/>
    <s v="27-36821956-3"/>
    <d v="2016-06-06T00:00:00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N LUIS"/>
    <n v="1225"/>
    <m/>
    <m/>
    <s v="CAPITAL FEDERAL"/>
    <s v="Buenos Aires"/>
    <m/>
    <s v="U.O.Centro"/>
    <m/>
    <n v="4"/>
    <n v="1"/>
    <n v="8003.4"/>
    <n v="1600.68"/>
    <m/>
    <m/>
    <n v="6402.72"/>
    <m/>
    <n v="160.06"/>
    <m/>
    <m/>
    <m/>
    <m/>
    <m/>
    <m/>
    <n v="80.03"/>
    <m/>
    <m/>
    <m/>
    <m/>
    <m/>
    <m/>
    <n v="160.06"/>
    <m/>
    <m/>
    <m/>
    <m/>
    <m/>
    <m/>
    <m/>
    <n v="80.03"/>
    <m/>
    <n v="480.18"/>
  </r>
  <r>
    <n v="5"/>
    <x v="5"/>
    <x v="0"/>
    <n v="173371"/>
    <s v="LEON MONROY MARIA FERNANDA"/>
    <s v="27-95365560-3"/>
    <d v="2016-06-06T00:00:00"/>
    <n v="95365560"/>
    <s v="LEON MONROY"/>
    <s v="MARIA FERNANDA"/>
    <s v="F"/>
    <m/>
    <d v="2016-05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PIEDRAS"/>
    <n v="1225"/>
    <n v="1"/>
    <s v="D"/>
    <s v="CAPITAL FEDERAL"/>
    <s v="Buenos Aires"/>
    <m/>
    <s v="U.O.Centro"/>
    <m/>
    <n v="1"/>
    <n v="1"/>
    <n v="1630.61"/>
    <n v="326.13"/>
    <m/>
    <m/>
    <n v="1304.48"/>
    <m/>
    <n v="32.61"/>
    <m/>
    <m/>
    <m/>
    <m/>
    <m/>
    <m/>
    <n v="16.309999999999999"/>
    <m/>
    <m/>
    <m/>
    <m/>
    <m/>
    <m/>
    <n v="32.61"/>
    <m/>
    <m/>
    <m/>
    <m/>
    <m/>
    <m/>
    <m/>
    <n v="16.309999999999999"/>
    <m/>
    <n v="97.84"/>
  </r>
  <r>
    <n v="5"/>
    <x v="5"/>
    <x v="0"/>
    <n v="170301"/>
    <s v="LIRA ELIANA EDITH"/>
    <s v="27-27473307-7"/>
    <d v="2016-05-23T00:00:00"/>
    <n v="27473307"/>
    <s v="LIRA"/>
    <s v="ELIANA EDITH"/>
    <s v="F"/>
    <m/>
    <d v="2016-05-1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ORONEL MAGAN"/>
    <n v="1005"/>
    <m/>
    <m/>
    <s v="CAPITAL FEDERAL"/>
    <s v="Capital Federal"/>
    <m/>
    <s v="U.O.Centro"/>
    <m/>
    <n v="1"/>
    <n v="1"/>
    <n v="277.05"/>
    <n v="55.41"/>
    <m/>
    <m/>
    <n v="221.64"/>
    <m/>
    <n v="5.54"/>
    <m/>
    <m/>
    <m/>
    <m/>
    <m/>
    <m/>
    <n v="2.77"/>
    <m/>
    <m/>
    <m/>
    <m/>
    <m/>
    <m/>
    <n v="5.54"/>
    <m/>
    <m/>
    <m/>
    <m/>
    <m/>
    <m/>
    <m/>
    <n v="2.77"/>
    <m/>
    <n v="16.62"/>
  </r>
  <r>
    <n v="5"/>
    <x v="5"/>
    <x v="1"/>
    <n v="170264"/>
    <s v="LIZARRAGA ARIEL HERNAN"/>
    <s v="20-30593212-5"/>
    <d v="2016-06-06T00:00:00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martinto"/>
    <n v="1891"/>
    <m/>
    <m/>
    <s v="CAPITAL FEDERAL"/>
    <s v="Capital Federal"/>
    <m/>
    <s v="U.O.Centro"/>
    <s v="Alvear Palace"/>
    <n v="1"/>
    <n v="1"/>
    <n v="3334.13"/>
    <n v="666.81"/>
    <m/>
    <m/>
    <n v="2667.32"/>
    <m/>
    <n v="66.680000000000007"/>
    <m/>
    <m/>
    <m/>
    <m/>
    <m/>
    <m/>
    <n v="33.340000000000003"/>
    <m/>
    <m/>
    <m/>
    <m/>
    <m/>
    <m/>
    <n v="66.680000000000007"/>
    <m/>
    <m/>
    <m/>
    <m/>
    <m/>
    <m/>
    <m/>
    <n v="33.340000000000003"/>
    <m/>
    <n v="200.04"/>
  </r>
  <r>
    <n v="5"/>
    <x v="5"/>
    <x v="1"/>
    <n v="166016"/>
    <s v="LOPEZ BILLERI MARIA ANTONELLA"/>
    <s v="27-36157606-9"/>
    <d v="2016-06-06T00:00:00"/>
    <n v="36157606"/>
    <s v="LOPEZ BILLERI"/>
    <s v="MARIA ANTONELLA"/>
    <s v="F"/>
    <m/>
    <d v="2016-0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IRIGOYEN"/>
    <n v="535"/>
    <m/>
    <m/>
    <s v="CAPITAL FEDERAL"/>
    <s v="Capital Federal"/>
    <m/>
    <s v="U.O.Centro"/>
    <m/>
    <n v="2"/>
    <n v="1"/>
    <n v="12336.24"/>
    <n v="2467.2399999999998"/>
    <m/>
    <m/>
    <n v="9869"/>
    <m/>
    <n v="246.73"/>
    <m/>
    <m/>
    <m/>
    <m/>
    <m/>
    <m/>
    <n v="123.36"/>
    <m/>
    <m/>
    <m/>
    <m/>
    <m/>
    <m/>
    <n v="246.73"/>
    <m/>
    <m/>
    <m/>
    <m/>
    <m/>
    <m/>
    <m/>
    <n v="123.36"/>
    <m/>
    <n v="740.18"/>
  </r>
  <r>
    <n v="5"/>
    <x v="5"/>
    <x v="0"/>
    <n v="164880"/>
    <s v="LOPEZ DIORIO RODRIGO NAHUEL"/>
    <s v="20-38066576-0"/>
    <d v="2016-06-06T00:00:00"/>
    <n v="38066576"/>
    <s v="LOPEZ DIORIO"/>
    <s v="RODRIGO NAHUEL"/>
    <s v="M"/>
    <m/>
    <d v="2016-05-18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n v="156"/>
    <n v="181"/>
    <m/>
    <m/>
    <s v="CAPITAL FEDERAL"/>
    <s v="Capital Federal"/>
    <m/>
    <s v="U.O.Centro"/>
    <m/>
    <n v="2"/>
    <n v="1"/>
    <n v="354.53"/>
    <n v="70.92"/>
    <m/>
    <m/>
    <n v="283.61"/>
    <m/>
    <n v="7.09"/>
    <m/>
    <m/>
    <m/>
    <m/>
    <m/>
    <m/>
    <n v="3.55"/>
    <m/>
    <m/>
    <m/>
    <m/>
    <m/>
    <m/>
    <n v="7.09"/>
    <m/>
    <m/>
    <m/>
    <m/>
    <m/>
    <m/>
    <m/>
    <n v="3.55"/>
    <m/>
    <n v="21.28"/>
  </r>
  <r>
    <n v="5"/>
    <x v="5"/>
    <x v="0"/>
    <n v="169947"/>
    <s v="LOPEZ ROMERO NESTOR DAMIAN"/>
    <s v="20-94770741-9"/>
    <d v="2016-06-06T00:00:0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RIO IGUAZU"/>
    <n v="1225"/>
    <m/>
    <m/>
    <s v="CAPITAL FEDERAL"/>
    <s v="Buenos Aires"/>
    <m/>
    <s v="U.O.Centro"/>
    <m/>
    <n v="2"/>
    <n v="1"/>
    <n v="8523.39"/>
    <n v="1704.68"/>
    <m/>
    <m/>
    <n v="6818.71"/>
    <m/>
    <n v="170.47"/>
    <m/>
    <m/>
    <m/>
    <m/>
    <m/>
    <m/>
    <n v="85.24"/>
    <m/>
    <m/>
    <m/>
    <m/>
    <m/>
    <m/>
    <n v="170.47"/>
    <m/>
    <m/>
    <m/>
    <m/>
    <m/>
    <m/>
    <m/>
    <n v="85.24"/>
    <m/>
    <n v="511.42"/>
  </r>
  <r>
    <n v="5"/>
    <x v="5"/>
    <x v="1"/>
    <n v="147835"/>
    <s v="LUQUE JAVIER ANTONIO"/>
    <s v="20-37023577-6"/>
    <d v="2016-06-06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1"/>
    <n v="1"/>
    <n v="12588.58"/>
    <n v="2517.7199999999998"/>
    <m/>
    <m/>
    <n v="10070.86"/>
    <m/>
    <n v="251.77"/>
    <m/>
    <m/>
    <m/>
    <m/>
    <m/>
    <m/>
    <n v="125.89"/>
    <m/>
    <m/>
    <m/>
    <m/>
    <m/>
    <m/>
    <n v="251.77"/>
    <m/>
    <m/>
    <m/>
    <m/>
    <m/>
    <m/>
    <m/>
    <n v="125.89"/>
    <m/>
    <n v="755.32"/>
  </r>
  <r>
    <n v="5"/>
    <x v="5"/>
    <x v="1"/>
    <n v="172051"/>
    <s v="MACIEL DIEGO MAXIMILIANO"/>
    <s v="20-37179030-7"/>
    <d v="2016-06-06T00:00:00"/>
    <n v="37179030"/>
    <s v="MACIEL"/>
    <s v="DIEGO MAXIMILIANO"/>
    <s v="M"/>
    <m/>
    <d v="2016-04-2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s v="CARLOS PELLEGRINI"/>
    <n v="507"/>
    <m/>
    <m/>
    <s v="CAPITAL FEDERAL"/>
    <s v="Capital Federal"/>
    <m/>
    <s v="U.O.Centro Paga Inplant"/>
    <m/>
    <n v="1"/>
    <n v="1"/>
    <n v="10071.75"/>
    <n v="2014.35"/>
    <m/>
    <m/>
    <n v="8057.4"/>
    <m/>
    <n v="201.44"/>
    <m/>
    <m/>
    <m/>
    <m/>
    <m/>
    <m/>
    <n v="100.72"/>
    <m/>
    <m/>
    <m/>
    <m/>
    <m/>
    <m/>
    <n v="201.44"/>
    <m/>
    <m/>
    <m/>
    <m/>
    <m/>
    <m/>
    <m/>
    <n v="100.72"/>
    <m/>
    <n v="604.32000000000005"/>
  </r>
  <r>
    <n v="5"/>
    <x v="5"/>
    <x v="0"/>
    <n v="170140"/>
    <s v="MAIDANA OSCAR RODOLFO"/>
    <s v="20-12573728-6"/>
    <d v="2016-06-06T00:00:0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n v="1104"/>
    <s v="MARCO SASTRE"/>
    <n v="1225"/>
    <m/>
    <m/>
    <s v="CAPITAL FEDERAL"/>
    <s v="Buenos Aires"/>
    <m/>
    <s v="U.O.Centro"/>
    <m/>
    <n v="1"/>
    <n v="1"/>
    <n v="16955.53"/>
    <n v="3391.12"/>
    <m/>
    <m/>
    <n v="13564.41"/>
    <m/>
    <n v="339.11"/>
    <m/>
    <m/>
    <m/>
    <m/>
    <m/>
    <m/>
    <n v="169.56"/>
    <m/>
    <m/>
    <m/>
    <m/>
    <m/>
    <m/>
    <n v="339.11"/>
    <m/>
    <m/>
    <m/>
    <m/>
    <m/>
    <m/>
    <m/>
    <n v="169.56"/>
    <m/>
    <n v="1017.34"/>
  </r>
  <r>
    <n v="5"/>
    <x v="5"/>
    <x v="1"/>
    <n v="171021"/>
    <s v="MAITA GISELLE ELIANA"/>
    <s v="27-34799549-0"/>
    <d v="2016-05-31T00:00:00"/>
    <n v="34799549"/>
    <s v="MAITA"/>
    <s v="GISELLE ELIANA"/>
    <s v="F"/>
    <m/>
    <d v="2016-05-1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RQUIMEDES"/>
    <n v="764"/>
    <m/>
    <m/>
    <s v="CAPITAL FEDERAL"/>
    <s v="Capital Federal"/>
    <m/>
    <s v="U.O.Centro Paga Inplant"/>
    <m/>
    <n v="2"/>
    <n v="1"/>
    <n v="1525.24"/>
    <n v="305.05"/>
    <m/>
    <m/>
    <n v="1220.19"/>
    <m/>
    <n v="30.51"/>
    <m/>
    <m/>
    <m/>
    <m/>
    <m/>
    <m/>
    <n v="15.25"/>
    <m/>
    <m/>
    <m/>
    <m/>
    <m/>
    <m/>
    <n v="30.51"/>
    <m/>
    <m/>
    <m/>
    <m/>
    <m/>
    <m/>
    <m/>
    <n v="15.25"/>
    <m/>
    <n v="91.52"/>
  </r>
  <r>
    <n v="5"/>
    <x v="5"/>
    <x v="0"/>
    <n v="169908"/>
    <s v="MALDONADO ALEJANDRA"/>
    <s v="27-29694948-0"/>
    <d v="2016-06-06T00:00:00"/>
    <n v="29694948"/>
    <s v="MALDONADO"/>
    <s v="ALEJANDRA"/>
    <s v="F"/>
    <m/>
    <d v="2016-03-08T00:00:00"/>
    <d v="2016-03-28T00:00:00"/>
    <m/>
    <s v="GASTRONOMICOS-Hoteles 4 y 5 Estrellas - 362/2003"/>
    <s v="Categoría 4"/>
    <x v="4"/>
    <s v="Unidad Base-GL"/>
    <s v="Centro"/>
    <s v="Mucama"/>
    <n v="123305"/>
    <s v="OS  DEL PERSONAL DE SOCIEDADES DE AUTORES Y AFINES"/>
    <s v="Capital Federal"/>
    <m/>
    <n v="1004"/>
    <s v="AYACUCHO"/>
    <n v="474"/>
    <m/>
    <m/>
    <s v="CAPITAL FEDERAL"/>
    <s v="Buenos Aires"/>
    <m/>
    <s v="U.O.Casa Central"/>
    <m/>
    <n v="1"/>
    <n v="1"/>
    <n v="188.1"/>
    <n v="37.61"/>
    <m/>
    <m/>
    <n v="150.49"/>
    <m/>
    <n v="3.76"/>
    <m/>
    <m/>
    <m/>
    <m/>
    <m/>
    <m/>
    <n v="1.88"/>
    <m/>
    <m/>
    <m/>
    <m/>
    <m/>
    <m/>
    <n v="3.76"/>
    <m/>
    <m/>
    <m/>
    <m/>
    <m/>
    <m/>
    <m/>
    <n v="1.88"/>
    <m/>
    <n v="11.28"/>
  </r>
  <r>
    <n v="5"/>
    <x v="5"/>
    <x v="0"/>
    <n v="163375"/>
    <s v="MANGIN CARINA ANAHI"/>
    <s v="27-31623620-6"/>
    <d v="2016-06-06T00:00:00"/>
    <n v="31623620"/>
    <s v="MANGIN"/>
    <s v="CARINA ANAHI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VIDEO"/>
    <n v="1225"/>
    <m/>
    <s v="PB"/>
    <s v="CAPITAL FEDERAL"/>
    <s v="Buenos Aires"/>
    <m/>
    <s v="U.O.Centro"/>
    <m/>
    <n v="3"/>
    <n v="1"/>
    <n v="8003.39"/>
    <n v="1600.69"/>
    <m/>
    <m/>
    <n v="6402.7"/>
    <m/>
    <n v="160.07"/>
    <m/>
    <m/>
    <m/>
    <m/>
    <m/>
    <m/>
    <n v="80.03"/>
    <m/>
    <m/>
    <m/>
    <m/>
    <m/>
    <m/>
    <n v="160.07"/>
    <m/>
    <m/>
    <m/>
    <m/>
    <m/>
    <m/>
    <m/>
    <n v="80.03"/>
    <m/>
    <n v="480.2"/>
  </r>
  <r>
    <n v="5"/>
    <x v="5"/>
    <x v="0"/>
    <n v="143423"/>
    <s v="MARQUEZ LAURA MABEL"/>
    <s v="27-26174399-5"/>
    <d v="2016-06-01T00:00:00"/>
    <n v="26174399"/>
    <s v="MARQUEZ"/>
    <s v="LAURA MABEL"/>
    <s v="F"/>
    <m/>
    <d v="2015-01-20T00:00:00"/>
    <d v="2016-04-14T00:00:00"/>
    <d v="2016-04-14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UEYRREDON"/>
    <n v="764"/>
    <n v="1"/>
    <s v="A"/>
    <s v="CAPITAL FEDERAL"/>
    <s v="Capital Federal"/>
    <m/>
    <s v="U.O.Centro Paga Inplant"/>
    <m/>
    <n v="1"/>
    <n v="1"/>
    <n v="3215.85"/>
    <n v="643.17999999999995"/>
    <m/>
    <n v="3439.98"/>
    <n v="6012.65"/>
    <m/>
    <n v="64.319999999999993"/>
    <m/>
    <m/>
    <m/>
    <m/>
    <m/>
    <m/>
    <n v="32.159999999999997"/>
    <m/>
    <m/>
    <m/>
    <m/>
    <m/>
    <m/>
    <n v="64.319999999999993"/>
    <m/>
    <m/>
    <m/>
    <m/>
    <m/>
    <m/>
    <m/>
    <n v="32.159999999999997"/>
    <m/>
    <n v="192.96"/>
  </r>
  <r>
    <n v="5"/>
    <x v="5"/>
    <x v="1"/>
    <n v="122290"/>
    <s v="MARTINEZ EZEQUIEL FACUNDO"/>
    <s v="20-28328215-6"/>
    <d v="2016-06-06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2852.15"/>
    <n v="2634.68"/>
    <m/>
    <m/>
    <n v="10217.469999999999"/>
    <n v="321.3"/>
    <m/>
    <m/>
    <m/>
    <m/>
    <m/>
    <m/>
    <m/>
    <n v="128.52000000000001"/>
    <m/>
    <m/>
    <m/>
    <m/>
    <m/>
    <m/>
    <n v="257.04000000000002"/>
    <m/>
    <m/>
    <m/>
    <m/>
    <m/>
    <m/>
    <m/>
    <n v="128.52000000000001"/>
    <m/>
    <n v="835.38"/>
  </r>
  <r>
    <n v="5"/>
    <x v="5"/>
    <x v="0"/>
    <n v="155981"/>
    <s v="MARTINEZ GABRIEL ALFREDO"/>
    <s v="20-26702400-7"/>
    <d v="2016-05-23T00:00:00"/>
    <n v="26702400"/>
    <s v="MARTINEZ"/>
    <s v="GABRIEL ALFREDO"/>
    <s v="M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ING- CHAPEAUROUGE"/>
    <n v="1005"/>
    <m/>
    <m/>
    <s v="CAPITAL FEDERAL"/>
    <s v="Capital Federal"/>
    <m/>
    <s v="U.O.Centro"/>
    <m/>
    <n v="1"/>
    <n v="1"/>
    <n v="1006.6"/>
    <n v="201.33"/>
    <m/>
    <m/>
    <n v="805.27"/>
    <m/>
    <n v="20.13"/>
    <m/>
    <m/>
    <m/>
    <m/>
    <m/>
    <m/>
    <n v="10.07"/>
    <m/>
    <m/>
    <m/>
    <m/>
    <m/>
    <m/>
    <n v="20.13"/>
    <m/>
    <m/>
    <m/>
    <m/>
    <m/>
    <m/>
    <m/>
    <n v="10.07"/>
    <m/>
    <n v="60.4"/>
  </r>
  <r>
    <n v="5"/>
    <x v="5"/>
    <x v="1"/>
    <n v="171586"/>
    <s v="MARTINEZ JONATHAN"/>
    <s v="20-31158376-0"/>
    <d v="2016-06-06T00:00:00"/>
    <n v="31158376"/>
    <s v="MARTINEZ"/>
    <s v="JONATHAN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LAVALLOL"/>
    <n v="1891"/>
    <n v="1"/>
    <s v="D"/>
    <s v="CAPITAL FEDERAL"/>
    <s v="Capital Federal"/>
    <m/>
    <s v="U.O.Centro"/>
    <s v="Alvear Palace"/>
    <n v="1"/>
    <n v="1"/>
    <n v="2718.06"/>
    <n v="543.61"/>
    <m/>
    <m/>
    <n v="2174.4499999999998"/>
    <m/>
    <n v="54.36"/>
    <m/>
    <m/>
    <m/>
    <m/>
    <m/>
    <m/>
    <n v="27.18"/>
    <m/>
    <m/>
    <m/>
    <m/>
    <m/>
    <m/>
    <n v="54.36"/>
    <m/>
    <m/>
    <m/>
    <m/>
    <m/>
    <m/>
    <m/>
    <n v="27.18"/>
    <m/>
    <n v="163.08000000000001"/>
  </r>
  <r>
    <n v="5"/>
    <x v="5"/>
    <x v="1"/>
    <n v="152931"/>
    <s v="MARTINEZ KAREN"/>
    <s v="27-37827128-8"/>
    <d v="2016-06-06T00:00:0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2"/>
    <n v="1"/>
    <n v="28157.39"/>
    <n v="5631.48"/>
    <m/>
    <m/>
    <n v="22525.91"/>
    <m/>
    <n v="563.15"/>
    <m/>
    <m/>
    <m/>
    <m/>
    <m/>
    <m/>
    <n v="281.57"/>
    <m/>
    <m/>
    <m/>
    <m/>
    <m/>
    <m/>
    <n v="563.15"/>
    <m/>
    <m/>
    <m/>
    <m/>
    <m/>
    <m/>
    <m/>
    <n v="281.57"/>
    <m/>
    <n v="1689.44"/>
  </r>
  <r>
    <n v="5"/>
    <x v="5"/>
    <x v="0"/>
    <n v="173660"/>
    <s v="MARTINEZ MAXILIANO GASTON"/>
    <s v="20-33877964-0"/>
    <d v="2016-06-06T00:00:00"/>
    <n v="33877964"/>
    <s v="MARTINEZ"/>
    <s v="MAXILIANO GASTON"/>
    <s v="M"/>
    <m/>
    <d v="2016-05-29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AV CORRIENTES"/>
    <n v="1225"/>
    <m/>
    <m/>
    <s v="CAPITAL FEDERAL"/>
    <s v="Buenos Aires"/>
    <m/>
    <s v="U.O.Centro"/>
    <m/>
    <n v="1"/>
    <n v="1"/>
    <n v="1429.89"/>
    <n v="285.99"/>
    <m/>
    <m/>
    <n v="1143.9000000000001"/>
    <m/>
    <n v="28.6"/>
    <m/>
    <m/>
    <m/>
    <m/>
    <m/>
    <m/>
    <n v="14.3"/>
    <m/>
    <m/>
    <m/>
    <m/>
    <m/>
    <m/>
    <n v="28.6"/>
    <m/>
    <m/>
    <m/>
    <m/>
    <m/>
    <m/>
    <m/>
    <n v="14.3"/>
    <m/>
    <n v="85.8"/>
  </r>
  <r>
    <n v="5"/>
    <x v="5"/>
    <x v="0"/>
    <n v="169944"/>
    <s v="MARTINEZ MIGUEL ANGEL"/>
    <s v="20-35371989-1"/>
    <d v="2016-06-06T00:00:00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ZA 5  CASA 38"/>
    <n v="1225"/>
    <m/>
    <m/>
    <s v="CAPITAL FEDERAL"/>
    <s v="Buenos Aires"/>
    <m/>
    <s v="U.O.Centro"/>
    <m/>
    <n v="2"/>
    <n v="1"/>
    <n v="1313.28"/>
    <n v="262.66000000000003"/>
    <m/>
    <m/>
    <n v="1050.6199999999999"/>
    <m/>
    <n v="26.26"/>
    <m/>
    <m/>
    <m/>
    <m/>
    <m/>
    <m/>
    <n v="13.14"/>
    <m/>
    <m/>
    <m/>
    <m/>
    <m/>
    <m/>
    <n v="26.26"/>
    <m/>
    <m/>
    <m/>
    <m/>
    <m/>
    <m/>
    <m/>
    <n v="13.14"/>
    <m/>
    <n v="78.8"/>
  </r>
  <r>
    <n v="5"/>
    <x v="5"/>
    <x v="0"/>
    <n v="161583"/>
    <s v="MEDINA EMILSE RAQUEL"/>
    <s v="27-36216142-3"/>
    <d v="2016-06-06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5"/>
    <x v="5"/>
    <x v="1"/>
    <n v="168289"/>
    <s v="MEDINA JESICA FABIANA"/>
    <s v="23-36214863-4"/>
    <d v="2016-05-31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 Paga Inplant"/>
    <m/>
    <n v="1"/>
    <n v="1"/>
    <n v="7052.9"/>
    <n v="1410.59"/>
    <m/>
    <m/>
    <n v="5642.31"/>
    <m/>
    <n v="141.06"/>
    <m/>
    <m/>
    <m/>
    <m/>
    <m/>
    <m/>
    <n v="70.53"/>
    <m/>
    <m/>
    <m/>
    <m/>
    <m/>
    <m/>
    <n v="141.06"/>
    <m/>
    <m/>
    <m/>
    <m/>
    <m/>
    <m/>
    <m/>
    <n v="70.53"/>
    <m/>
    <n v="423.18"/>
  </r>
  <r>
    <n v="5"/>
    <x v="5"/>
    <x v="0"/>
    <n v="171008"/>
    <s v="MELIAN CHRISTIAN ALEJANDRO"/>
    <s v="20-38820036-8"/>
    <d v="2016-05-23T00:00:00"/>
    <n v="38820036"/>
    <s v="MELIAN"/>
    <s v="CHRISTIAN ALEJANDR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APRIDA"/>
    <n v="1005"/>
    <m/>
    <m/>
    <s v="CAPITAL FEDERAL"/>
    <s v="Capital Federal"/>
    <m/>
    <s v="U.O.Centro"/>
    <m/>
    <n v="1"/>
    <n v="1"/>
    <n v="1058.93"/>
    <n v="211.79"/>
    <m/>
    <m/>
    <n v="847.14"/>
    <m/>
    <n v="21.18"/>
    <m/>
    <m/>
    <m/>
    <m/>
    <m/>
    <m/>
    <n v="10.59"/>
    <m/>
    <m/>
    <m/>
    <m/>
    <m/>
    <m/>
    <n v="21.18"/>
    <m/>
    <m/>
    <m/>
    <m/>
    <m/>
    <m/>
    <m/>
    <n v="10.59"/>
    <m/>
    <n v="63.54"/>
  </r>
  <r>
    <n v="5"/>
    <x v="5"/>
    <x v="1"/>
    <n v="172224"/>
    <s v="MEZA MAXIMILIANO OMAR"/>
    <s v="20-37205496-5"/>
    <d v="2016-05-31T00:00:00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LVINAS ARGENTINAS"/>
    <n v="764"/>
    <m/>
    <m/>
    <s v="CAPITAL FEDERAL"/>
    <s v="Capital Federal"/>
    <m/>
    <s v="U.O.Centro Paga Inplant"/>
    <m/>
    <n v="1"/>
    <n v="1"/>
    <n v="2119.59"/>
    <n v="423.92"/>
    <m/>
    <m/>
    <n v="1695.67"/>
    <m/>
    <n v="42.39"/>
    <m/>
    <m/>
    <m/>
    <m/>
    <m/>
    <m/>
    <n v="21.2"/>
    <m/>
    <m/>
    <m/>
    <m/>
    <m/>
    <m/>
    <n v="42.39"/>
    <m/>
    <m/>
    <m/>
    <m/>
    <m/>
    <m/>
    <m/>
    <n v="21.2"/>
    <m/>
    <n v="127.18"/>
  </r>
  <r>
    <n v="5"/>
    <x v="5"/>
    <x v="0"/>
    <n v="163371"/>
    <s v="MEZA PIZARRO CHRISTIAN MERVEN"/>
    <s v="20-92327011-7"/>
    <d v="2016-06-06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2"/>
    <n v="1"/>
    <n v="10221"/>
    <n v="2044.2"/>
    <m/>
    <m/>
    <n v="8176.8"/>
    <m/>
    <n v="204.42"/>
    <m/>
    <m/>
    <m/>
    <m/>
    <m/>
    <m/>
    <n v="102.21"/>
    <m/>
    <m/>
    <m/>
    <m/>
    <m/>
    <m/>
    <n v="204.42"/>
    <m/>
    <m/>
    <m/>
    <m/>
    <m/>
    <m/>
    <m/>
    <n v="102.21"/>
    <m/>
    <n v="613.26"/>
  </r>
  <r>
    <n v="5"/>
    <x v="5"/>
    <x v="0"/>
    <n v="171023"/>
    <s v="MIRANDA ESCOBAR AMPARO"/>
    <s v="27-94538140-5"/>
    <d v="2016-06-06T00:00:00"/>
    <n v="94538140"/>
    <s v="MIRANDA ESCOBAR"/>
    <s v="AMPARO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BELGRANO"/>
    <n v="1232"/>
    <n v="3"/>
    <n v="1210"/>
    <s v="CAPITAL FEDERAL"/>
    <s v="Buenos Aires"/>
    <m/>
    <s v="U.O.Centro"/>
    <s v="Banquetes"/>
    <n v="2"/>
    <n v="1"/>
    <n v="1658.73"/>
    <n v="331.74"/>
    <m/>
    <m/>
    <n v="1326.99"/>
    <m/>
    <n v="33.18"/>
    <m/>
    <m/>
    <m/>
    <m/>
    <m/>
    <m/>
    <n v="16.579999999999998"/>
    <m/>
    <m/>
    <m/>
    <m/>
    <m/>
    <m/>
    <n v="33.18"/>
    <m/>
    <m/>
    <m/>
    <m/>
    <m/>
    <m/>
    <m/>
    <n v="16.579999999999998"/>
    <m/>
    <n v="99.52"/>
  </r>
  <r>
    <n v="5"/>
    <x v="5"/>
    <x v="0"/>
    <n v="170446"/>
    <s v="MONTES LORENA ANDREA"/>
    <s v="27-30914440-1"/>
    <d v="2016-06-06T00:00:0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AREZ"/>
    <n v="1225"/>
    <s v="PB"/>
    <m/>
    <s v="CAPITAL FEDERAL"/>
    <s v="Buenos Aires"/>
    <m/>
    <s v="U.O.Centro"/>
    <m/>
    <n v="2"/>
    <n v="1"/>
    <n v="7609.52"/>
    <n v="1521.9"/>
    <m/>
    <m/>
    <n v="6087.62"/>
    <m/>
    <n v="152.19999999999999"/>
    <m/>
    <m/>
    <m/>
    <m/>
    <m/>
    <m/>
    <n v="76.099999999999994"/>
    <m/>
    <m/>
    <m/>
    <m/>
    <m/>
    <m/>
    <n v="152.19999999999999"/>
    <m/>
    <m/>
    <m/>
    <m/>
    <m/>
    <m/>
    <m/>
    <n v="76.099999999999994"/>
    <m/>
    <n v="456.6"/>
  </r>
  <r>
    <n v="5"/>
    <x v="5"/>
    <x v="1"/>
    <n v="138653"/>
    <s v="MONZON FERNANDO MIGUEL"/>
    <s v="20-25474322-5"/>
    <d v="2016-05-31T00:00:00"/>
    <n v="25474322"/>
    <s v="MONZON"/>
    <s v="FERNANDO MIGUEL"/>
    <s v="M"/>
    <m/>
    <d v="2016-04-2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RGARITA XIRGU"/>
    <n v="764"/>
    <m/>
    <m/>
    <s v="CAPITAL FEDERAL"/>
    <s v="Capital Federal"/>
    <m/>
    <s v="U.O.Centro Paga Inplant"/>
    <m/>
    <n v="1"/>
    <n v="1"/>
    <n v="890.23"/>
    <n v="178.05"/>
    <m/>
    <m/>
    <n v="712.18"/>
    <m/>
    <n v="17.8"/>
    <m/>
    <m/>
    <m/>
    <m/>
    <m/>
    <m/>
    <n v="8.9"/>
    <m/>
    <m/>
    <m/>
    <m/>
    <m/>
    <m/>
    <n v="17.8"/>
    <m/>
    <m/>
    <m/>
    <m/>
    <m/>
    <m/>
    <m/>
    <n v="8.9"/>
    <m/>
    <n v="53.4"/>
  </r>
  <r>
    <n v="5"/>
    <x v="5"/>
    <x v="0"/>
    <n v="171266"/>
    <s v="MUJICA CLAUDIO"/>
    <s v="23-35353560-9"/>
    <d v="2016-06-06T00:00:00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MONTEVERDE"/>
    <n v="1225"/>
    <m/>
    <m/>
    <s v="CAPITAL FEDERAL"/>
    <s v="Buenos Aires"/>
    <m/>
    <s v="U.O.Centro"/>
    <m/>
    <n v="2"/>
    <n v="1"/>
    <n v="7247.41"/>
    <n v="1449.47"/>
    <m/>
    <m/>
    <n v="5797.94"/>
    <m/>
    <n v="144.94999999999999"/>
    <m/>
    <m/>
    <m/>
    <m/>
    <m/>
    <m/>
    <n v="72.47"/>
    <m/>
    <m/>
    <m/>
    <m/>
    <m/>
    <m/>
    <n v="144.94999999999999"/>
    <m/>
    <m/>
    <m/>
    <m/>
    <m/>
    <m/>
    <m/>
    <n v="72.47"/>
    <m/>
    <n v="434.84"/>
  </r>
  <r>
    <n v="5"/>
    <x v="5"/>
    <x v="0"/>
    <n v="170206"/>
    <s v="MUÑOZ GARCIA ANDRES ARTURO"/>
    <s v="20-94674385-3"/>
    <d v="2016-06-06T00:00:00"/>
    <n v="94674385"/>
    <s v="MUÑOZ GARCIA"/>
    <s v="ANDRES ARTURO"/>
    <s v="M"/>
    <m/>
    <d v="2016-03-1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PAYSANDU"/>
    <n v="1225"/>
    <n v="1"/>
    <s v="B"/>
    <s v="CAPITAL FEDERAL"/>
    <s v="Buenos Aires"/>
    <m/>
    <s v="U.O.Centro"/>
    <m/>
    <n v="2"/>
    <n v="1"/>
    <n v="2126.0700000000002"/>
    <n v="425.23"/>
    <m/>
    <m/>
    <n v="1700.84"/>
    <m/>
    <n v="42.52"/>
    <m/>
    <m/>
    <m/>
    <m/>
    <m/>
    <m/>
    <n v="21.26"/>
    <m/>
    <m/>
    <m/>
    <m/>
    <m/>
    <m/>
    <n v="42.52"/>
    <m/>
    <m/>
    <m/>
    <m/>
    <m/>
    <m/>
    <m/>
    <n v="21.26"/>
    <m/>
    <n v="127.56"/>
  </r>
  <r>
    <n v="5"/>
    <x v="5"/>
    <x v="1"/>
    <n v="152586"/>
    <s v="MUSTAFA SILVIO ROBERTO"/>
    <s v="23-31539279-9"/>
    <d v="2016-06-06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1"/>
    <n v="1"/>
    <n v="7575.98"/>
    <n v="1704.67"/>
    <m/>
    <m/>
    <n v="5871.31"/>
    <n v="189.4"/>
    <m/>
    <m/>
    <m/>
    <m/>
    <m/>
    <m/>
    <m/>
    <n v="75.760000000000005"/>
    <m/>
    <m/>
    <m/>
    <m/>
    <m/>
    <m/>
    <n v="151.52000000000001"/>
    <m/>
    <m/>
    <m/>
    <m/>
    <m/>
    <m/>
    <m/>
    <n v="75.760000000000005"/>
    <m/>
    <n v="492.44"/>
  </r>
  <r>
    <n v="5"/>
    <x v="5"/>
    <x v="1"/>
    <n v="162147"/>
    <s v="NUÑEZ ANA MARIA"/>
    <s v="27-18222886-4"/>
    <d v="2016-05-31T00:00:00"/>
    <n v="18222886"/>
    <s v="NUÑEZ"/>
    <s v="ANA MARIA"/>
    <s v="F"/>
    <m/>
    <d v="2015-11-12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ALLE 114"/>
    <n v="764"/>
    <m/>
    <m/>
    <s v="CAPITAL FEDERAL"/>
    <s v="Capital Federal"/>
    <m/>
    <s v="U.O.Centro Paga Inplant"/>
    <m/>
    <n v="1"/>
    <n v="1"/>
    <n v="3057.63"/>
    <n v="611.53"/>
    <m/>
    <m/>
    <n v="2446.1"/>
    <m/>
    <n v="61.15"/>
    <m/>
    <m/>
    <m/>
    <m/>
    <m/>
    <m/>
    <n v="30.58"/>
    <m/>
    <m/>
    <m/>
    <m/>
    <m/>
    <m/>
    <n v="61.15"/>
    <m/>
    <m/>
    <m/>
    <m/>
    <m/>
    <m/>
    <m/>
    <n v="30.58"/>
    <m/>
    <n v="183.46"/>
  </r>
  <r>
    <n v="5"/>
    <x v="5"/>
    <x v="0"/>
    <n v="170706"/>
    <s v="O LEARY JUAN DOMINGO"/>
    <s v="20-25013280-9"/>
    <d v="2016-06-06T00:00:00"/>
    <n v="25013280"/>
    <s v="O LEARY"/>
    <s v="JUAN DOMINGO"/>
    <s v="M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BUENOS AIRES"/>
    <n v="1225"/>
    <m/>
    <m/>
    <s v="CAPITAL FEDERAL"/>
    <s v="Buenos Aires"/>
    <m/>
    <s v="U.O.Centro"/>
    <m/>
    <n v="2"/>
    <n v="1"/>
    <n v="6475.18"/>
    <n v="1295.05"/>
    <m/>
    <m/>
    <n v="5180.13"/>
    <m/>
    <n v="129.51"/>
    <m/>
    <m/>
    <m/>
    <m/>
    <m/>
    <m/>
    <n v="64.75"/>
    <m/>
    <m/>
    <m/>
    <m/>
    <m/>
    <m/>
    <n v="129.51"/>
    <m/>
    <m/>
    <m/>
    <m/>
    <m/>
    <m/>
    <m/>
    <n v="64.75"/>
    <m/>
    <n v="388.52"/>
  </r>
  <r>
    <n v="5"/>
    <x v="5"/>
    <x v="0"/>
    <n v="173661"/>
    <s v="OCANTO CHRISTIAN NAHUEL"/>
    <s v="20-36894544-8"/>
    <d v="2016-06-06T00:00:00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JULIAN AGUIRRE"/>
    <n v="1225"/>
    <m/>
    <m/>
    <s v="CAPITAL FEDERAL"/>
    <s v="Buenos Aires"/>
    <m/>
    <s v="U.O.Centro"/>
    <m/>
    <n v="1"/>
    <n v="1"/>
    <n v="1429.89"/>
    <n v="285.99"/>
    <m/>
    <m/>
    <n v="1143.9000000000001"/>
    <m/>
    <n v="28.6"/>
    <m/>
    <m/>
    <m/>
    <m/>
    <m/>
    <m/>
    <n v="14.3"/>
    <m/>
    <m/>
    <m/>
    <m/>
    <m/>
    <m/>
    <n v="28.6"/>
    <m/>
    <m/>
    <m/>
    <m/>
    <m/>
    <m/>
    <m/>
    <n v="14.3"/>
    <m/>
    <n v="85.8"/>
  </r>
  <r>
    <n v="5"/>
    <x v="5"/>
    <x v="0"/>
    <n v="162167"/>
    <s v="OCANTOS MARIA FERNANDA"/>
    <s v="20-26587101-2"/>
    <d v="2016-06-06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4"/>
    <n v="1"/>
    <n v="8403.56"/>
    <n v="1680.71"/>
    <m/>
    <m/>
    <n v="6722.85"/>
    <m/>
    <n v="168.07"/>
    <m/>
    <m/>
    <m/>
    <m/>
    <m/>
    <m/>
    <n v="84.04"/>
    <m/>
    <m/>
    <m/>
    <m/>
    <m/>
    <m/>
    <n v="168.07"/>
    <m/>
    <m/>
    <m/>
    <m/>
    <m/>
    <m/>
    <m/>
    <n v="84.04"/>
    <m/>
    <n v="504.22"/>
  </r>
  <r>
    <n v="5"/>
    <x v="5"/>
    <x v="0"/>
    <n v="164260"/>
    <s v="OJEDA ALAN HERNAN"/>
    <s v="20-37687932-2"/>
    <d v="2016-05-23T00:00:00"/>
    <n v="37687932"/>
    <s v="OJEDA"/>
    <s v="ALAN HERNAN"/>
    <s v="M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JUAN DOMINGO PERON"/>
    <n v="1005"/>
    <n v="8"/>
    <s v="D"/>
    <s v="CAPITAL FEDERAL"/>
    <s v="Capital Federal"/>
    <m/>
    <s v="U.O.Centro"/>
    <m/>
    <n v="1"/>
    <n v="1"/>
    <n v="689.53"/>
    <n v="137.91999999999999"/>
    <m/>
    <m/>
    <n v="551.61"/>
    <m/>
    <n v="13.79"/>
    <m/>
    <m/>
    <m/>
    <m/>
    <m/>
    <m/>
    <n v="6.9"/>
    <m/>
    <m/>
    <m/>
    <m/>
    <m/>
    <m/>
    <n v="13.79"/>
    <m/>
    <m/>
    <m/>
    <m/>
    <m/>
    <m/>
    <m/>
    <n v="6.9"/>
    <m/>
    <n v="41.38"/>
  </r>
  <r>
    <n v="5"/>
    <x v="5"/>
    <x v="0"/>
    <n v="156371"/>
    <s v="OJEDA HECTOR ALBERTO"/>
    <s v="20-27373033-9"/>
    <d v="2016-06-06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3"/>
    <n v="1"/>
    <n v="15608.95"/>
    <n v="3121.8"/>
    <m/>
    <m/>
    <n v="12487.15"/>
    <m/>
    <n v="312.18"/>
    <m/>
    <m/>
    <m/>
    <m/>
    <m/>
    <m/>
    <n v="156.09"/>
    <m/>
    <m/>
    <m/>
    <m/>
    <m/>
    <m/>
    <n v="312.18"/>
    <m/>
    <m/>
    <m/>
    <m/>
    <m/>
    <m/>
    <m/>
    <n v="156.09"/>
    <m/>
    <n v="936.54"/>
  </r>
  <r>
    <n v="5"/>
    <x v="5"/>
    <x v="0"/>
    <n v="171274"/>
    <s v="OJEDA LORENA SUSANA"/>
    <s v="27-34340810-8"/>
    <d v="2016-06-06T00:00:00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LTA"/>
    <n v="1225"/>
    <m/>
    <m/>
    <s v="CAPITAL FEDERAL"/>
    <s v="Buenos Aires"/>
    <m/>
    <s v="U.O.Centro"/>
    <m/>
    <n v="2"/>
    <n v="1"/>
    <n v="6522.44"/>
    <n v="1304.48"/>
    <m/>
    <m/>
    <n v="5217.96"/>
    <m/>
    <n v="130.44999999999999"/>
    <m/>
    <m/>
    <m/>
    <m/>
    <m/>
    <m/>
    <n v="65.22"/>
    <m/>
    <m/>
    <m/>
    <m/>
    <m/>
    <m/>
    <n v="130.44999999999999"/>
    <m/>
    <m/>
    <m/>
    <m/>
    <m/>
    <m/>
    <m/>
    <n v="65.22"/>
    <m/>
    <n v="391.34"/>
  </r>
  <r>
    <n v="5"/>
    <x v="5"/>
    <x v="0"/>
    <n v="156032"/>
    <s v="OJEDA VALERIA NOEMI"/>
    <s v="27-33485754-4"/>
    <d v="2016-06-06T00:00:00"/>
    <n v="33485754"/>
    <s v="OJEDA"/>
    <s v="VALERIA NOEMI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2"/>
    <n v="1"/>
    <n v="5239.24"/>
    <n v="1047.8599999999999"/>
    <m/>
    <m/>
    <n v="4191.38"/>
    <m/>
    <n v="104.79"/>
    <m/>
    <m/>
    <m/>
    <m/>
    <m/>
    <m/>
    <n v="52.39"/>
    <m/>
    <m/>
    <m/>
    <m/>
    <m/>
    <m/>
    <n v="104.79"/>
    <m/>
    <m/>
    <m/>
    <m/>
    <m/>
    <m/>
    <m/>
    <n v="52.39"/>
    <m/>
    <n v="314.36"/>
  </r>
  <r>
    <n v="5"/>
    <x v="5"/>
    <x v="0"/>
    <n v="138789"/>
    <s v="OLIVA LILIANA ALEJANDRA"/>
    <s v="27-25730976-8"/>
    <d v="2016-06-06T00:00:0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1"/>
    <n v="1"/>
    <n v="9691.57"/>
    <n v="1938.32"/>
    <m/>
    <m/>
    <n v="7753.25"/>
    <m/>
    <n v="193.83"/>
    <m/>
    <m/>
    <m/>
    <m/>
    <m/>
    <m/>
    <n v="96.92"/>
    <m/>
    <m/>
    <m/>
    <m/>
    <m/>
    <m/>
    <n v="193.83"/>
    <m/>
    <m/>
    <m/>
    <m/>
    <m/>
    <m/>
    <m/>
    <n v="96.92"/>
    <m/>
    <n v="581.5"/>
  </r>
  <r>
    <n v="5"/>
    <x v="5"/>
    <x v="0"/>
    <n v="170684"/>
    <s v="ORELLANA JUAN PABLO"/>
    <s v="20-37699325-7"/>
    <d v="2016-06-06T00:00:00"/>
    <n v="37699325"/>
    <s v="ORELLANA"/>
    <s v="JUAN PABLO"/>
    <s v="M"/>
    <m/>
    <d v="2016-03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YATAN"/>
    <n v="1225"/>
    <m/>
    <m/>
    <s v="CAPITAL FEDERAL"/>
    <s v="Buenos Aires"/>
    <m/>
    <s v="U.O.Centro"/>
    <m/>
    <n v="2"/>
    <n v="1"/>
    <n v="7247.41"/>
    <n v="1449.47"/>
    <m/>
    <m/>
    <n v="5797.94"/>
    <m/>
    <n v="144.94999999999999"/>
    <m/>
    <m/>
    <m/>
    <m/>
    <m/>
    <m/>
    <n v="72.47"/>
    <m/>
    <m/>
    <m/>
    <m/>
    <m/>
    <m/>
    <n v="144.94999999999999"/>
    <m/>
    <m/>
    <m/>
    <m/>
    <m/>
    <m/>
    <m/>
    <n v="72.47"/>
    <m/>
    <n v="434.84"/>
  </r>
  <r>
    <n v="5"/>
    <x v="5"/>
    <x v="0"/>
    <n v="135237"/>
    <s v="ORELLANO JUANA MARIA"/>
    <s v="27-27696157-3"/>
    <d v="2016-06-06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14164.6"/>
    <n v="2903.76"/>
    <m/>
    <m/>
    <n v="11260.84"/>
    <n v="354.12"/>
    <m/>
    <m/>
    <m/>
    <m/>
    <m/>
    <m/>
    <m/>
    <n v="141.65"/>
    <m/>
    <m/>
    <m/>
    <m/>
    <m/>
    <m/>
    <n v="283.29000000000002"/>
    <m/>
    <m/>
    <m/>
    <m/>
    <m/>
    <m/>
    <m/>
    <n v="141.65"/>
    <m/>
    <n v="920.71"/>
  </r>
  <r>
    <n v="5"/>
    <x v="5"/>
    <x v="0"/>
    <n v="173301"/>
    <s v="ORLANDO PALAVECINO ARTURO GIULIANO"/>
    <s v="20-36567892-9"/>
    <d v="2016-06-06T00:00:00"/>
    <n v="36567892"/>
    <s v="ORLANDO PALAVECINO"/>
    <s v="ARTURO GIULIANO"/>
    <s v="M"/>
    <m/>
    <d v="2016-05-18T00:00:00"/>
    <d v="2016-05-31T00:00:00"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GORRITI"/>
    <n v="1225"/>
    <m/>
    <m/>
    <s v="CAPITAL FEDERAL"/>
    <s v="Buenos Aires"/>
    <m/>
    <s v="U.O.Centro"/>
    <m/>
    <n v="1"/>
    <n v="1"/>
    <n v="681.4"/>
    <n v="136.27000000000001"/>
    <m/>
    <m/>
    <n v="545.13"/>
    <m/>
    <n v="13.63"/>
    <m/>
    <m/>
    <m/>
    <m/>
    <m/>
    <m/>
    <n v="6.81"/>
    <m/>
    <m/>
    <m/>
    <m/>
    <m/>
    <m/>
    <n v="13.63"/>
    <m/>
    <m/>
    <m/>
    <m/>
    <m/>
    <m/>
    <m/>
    <n v="6.81"/>
    <m/>
    <n v="40.880000000000003"/>
  </r>
  <r>
    <n v="5"/>
    <x v="5"/>
    <x v="0"/>
    <n v="172199"/>
    <s v="ORTIZ ANDRES NICOLAS"/>
    <s v="20-32769991-2"/>
    <d v="2016-06-06T00:00:00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LAVEL"/>
    <n v="1225"/>
    <m/>
    <m/>
    <s v="CAPITAL FEDERAL"/>
    <s v="Buenos Aires"/>
    <m/>
    <s v="U.O.Centro"/>
    <m/>
    <n v="3"/>
    <n v="1"/>
    <n v="7603.22"/>
    <n v="1520.64"/>
    <m/>
    <m/>
    <n v="6082.58"/>
    <m/>
    <n v="152.06"/>
    <m/>
    <m/>
    <m/>
    <m/>
    <m/>
    <m/>
    <n v="76.040000000000006"/>
    <m/>
    <m/>
    <m/>
    <m/>
    <m/>
    <m/>
    <n v="152.06"/>
    <m/>
    <m/>
    <m/>
    <m/>
    <m/>
    <m/>
    <m/>
    <n v="76.040000000000006"/>
    <m/>
    <n v="456.2"/>
  </r>
  <r>
    <n v="5"/>
    <x v="5"/>
    <x v="1"/>
    <n v="169840"/>
    <s v="ORTIZ CARLOS ERNESTO"/>
    <s v="20-35113842-5"/>
    <d v="2016-06-06T00:00:00"/>
    <n v="35113842"/>
    <s v="ORTIZ"/>
    <s v="CARLOS ERNESTO"/>
    <s v="M"/>
    <m/>
    <d v="2016-03-13T00:00:00"/>
    <m/>
    <m/>
    <s v="GASTRONOMICOS-Hoteles 4 y 5 Estrellas - 362/2003"/>
    <s v="Categoria 1"/>
    <x v="12"/>
    <s v="Unidad Principal"/>
    <s v="Centro"/>
    <s v="Tareas Generales"/>
    <n v="100908"/>
    <s v="OS  DE EMPLEADOS DE AGENCIAS DE INFORMES (O.S.E.D.I.)"/>
    <s v="Capital Federal"/>
    <m/>
    <n v="1440"/>
    <s v="EMILIO BERISSO"/>
    <n v="1584"/>
    <m/>
    <m/>
    <s v="CAPITAL FEDERAL"/>
    <s v="Capital Federal"/>
    <m/>
    <s v="U.O.Centro"/>
    <s v="Alvear Palace"/>
    <n v="1"/>
    <n v="1"/>
    <n v="652.33000000000004"/>
    <n v="130.47"/>
    <m/>
    <m/>
    <n v="521.86"/>
    <m/>
    <n v="13.05"/>
    <m/>
    <m/>
    <m/>
    <m/>
    <m/>
    <m/>
    <n v="6.52"/>
    <m/>
    <m/>
    <m/>
    <m/>
    <m/>
    <m/>
    <n v="13.05"/>
    <m/>
    <m/>
    <m/>
    <m/>
    <m/>
    <m/>
    <m/>
    <n v="6.52"/>
    <m/>
    <n v="39.14"/>
  </r>
  <r>
    <n v="5"/>
    <x v="5"/>
    <x v="0"/>
    <n v="170439"/>
    <s v="PAEZ DAIANA BEATRIZ"/>
    <s v="27-38350463-0"/>
    <d v="2016-06-06T00:00:00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RDENAS"/>
    <n v="1225"/>
    <m/>
    <m/>
    <s v="CAPITAL FEDERAL"/>
    <s v="Buenos Aires"/>
    <m/>
    <s v="U.O.Avellaneda"/>
    <m/>
    <n v="2"/>
    <n v="1"/>
    <n v="4891.83"/>
    <n v="978.35"/>
    <m/>
    <m/>
    <n v="3913.48"/>
    <m/>
    <n v="97.83"/>
    <m/>
    <m/>
    <m/>
    <m/>
    <m/>
    <m/>
    <n v="48.92"/>
    <m/>
    <m/>
    <m/>
    <m/>
    <m/>
    <m/>
    <n v="97.83"/>
    <m/>
    <m/>
    <m/>
    <m/>
    <m/>
    <m/>
    <m/>
    <n v="48.92"/>
    <m/>
    <n v="293.5"/>
  </r>
  <r>
    <n v="5"/>
    <x v="5"/>
    <x v="0"/>
    <n v="164223"/>
    <s v="PAIS PABLO MARIANO"/>
    <s v="20-23510883-7"/>
    <d v="2016-06-06T00:00:00"/>
    <n v="23510883"/>
    <s v="PAIS"/>
    <s v="PABLO MARIANO"/>
    <s v="M"/>
    <m/>
    <d v="2015-12-24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MARGARIÑOS CERVANTES"/>
    <n v="1232"/>
    <n v="3"/>
    <s v="C"/>
    <s v="CAPITAL FEDERAL"/>
    <s v="Buenos Aires"/>
    <m/>
    <s v="U.O.Centro"/>
    <s v="Banquetes"/>
    <n v="2"/>
    <n v="1"/>
    <n v="2479.9299999999998"/>
    <n v="495.99"/>
    <m/>
    <m/>
    <n v="1983.94"/>
    <m/>
    <n v="49.6"/>
    <m/>
    <m/>
    <m/>
    <m/>
    <m/>
    <m/>
    <n v="24.8"/>
    <m/>
    <m/>
    <m/>
    <m/>
    <m/>
    <m/>
    <n v="49.6"/>
    <m/>
    <m/>
    <m/>
    <m/>
    <m/>
    <m/>
    <m/>
    <n v="24.8"/>
    <m/>
    <n v="148.80000000000001"/>
  </r>
  <r>
    <n v="5"/>
    <x v="5"/>
    <x v="0"/>
    <n v="161159"/>
    <s v="PARISI GABRIEL DARIO"/>
    <s v="20-34384166-4"/>
    <d v="2016-06-06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9180.0400000000009"/>
    <n v="1836.01"/>
    <m/>
    <m/>
    <n v="7344.03"/>
    <m/>
    <n v="183.61"/>
    <m/>
    <m/>
    <m/>
    <m/>
    <m/>
    <m/>
    <n v="91.8"/>
    <m/>
    <m/>
    <m/>
    <m/>
    <m/>
    <m/>
    <n v="183.61"/>
    <m/>
    <m/>
    <m/>
    <m/>
    <m/>
    <m/>
    <m/>
    <n v="91.8"/>
    <m/>
    <n v="550.82000000000005"/>
  </r>
  <r>
    <n v="5"/>
    <x v="5"/>
    <x v="0"/>
    <n v="164321"/>
    <s v="PAZ WALTER RICARDO"/>
    <s v="20-28305441-2"/>
    <d v="2016-06-06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2840.99"/>
    <n v="2568.1999999999998"/>
    <m/>
    <m/>
    <n v="10272.790000000001"/>
    <m/>
    <n v="256.82"/>
    <m/>
    <m/>
    <m/>
    <m/>
    <m/>
    <m/>
    <n v="128.41"/>
    <m/>
    <m/>
    <m/>
    <m/>
    <m/>
    <m/>
    <n v="256.82"/>
    <m/>
    <m/>
    <m/>
    <m/>
    <m/>
    <m/>
    <m/>
    <n v="128.41"/>
    <m/>
    <n v="770.46"/>
  </r>
  <r>
    <n v="5"/>
    <x v="5"/>
    <x v="0"/>
    <n v="173370"/>
    <s v="PEDICINO ROMACHUK YESICA NOEMI"/>
    <s v="27-30911440-5"/>
    <d v="2016-06-06T00:00:00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1ºDE MAYO"/>
    <n v="1225"/>
    <m/>
    <m/>
    <s v="CAPITAL FEDERAL"/>
    <s v="Buenos Aires"/>
    <m/>
    <s v="U.O.Centro"/>
    <m/>
    <n v="1"/>
    <n v="1"/>
    <n v="2415.8000000000002"/>
    <n v="483.16"/>
    <m/>
    <m/>
    <n v="1932.64"/>
    <m/>
    <n v="48.32"/>
    <m/>
    <m/>
    <m/>
    <m/>
    <m/>
    <m/>
    <n v="24.16"/>
    <m/>
    <m/>
    <m/>
    <m/>
    <m/>
    <m/>
    <n v="48.32"/>
    <m/>
    <m/>
    <m/>
    <m/>
    <m/>
    <m/>
    <m/>
    <n v="24.16"/>
    <m/>
    <n v="144.96"/>
  </r>
  <r>
    <n v="5"/>
    <x v="5"/>
    <x v="1"/>
    <n v="160317"/>
    <s v="PEDROZO GUSTAVO ADOLFO"/>
    <s v="20-23447148-2"/>
    <d v="2016-05-31T00:00:00"/>
    <n v="23447148"/>
    <s v="PEDROZO"/>
    <s v="GUSTAVO ADOLFO"/>
    <s v="M"/>
    <m/>
    <d v="2015-10-31T00:00:00"/>
    <d v="2016-05-11T00:00:00"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ALLE 853"/>
    <n v="764"/>
    <m/>
    <m/>
    <s v="CAPITAL FEDERAL"/>
    <s v="Capital Federal"/>
    <m/>
    <s v="U.O.Centro Paga Inplant"/>
    <m/>
    <n v="1"/>
    <n v="1"/>
    <n v="833.55"/>
    <n v="166.72"/>
    <m/>
    <m/>
    <n v="666.83"/>
    <m/>
    <n v="16.670000000000002"/>
    <m/>
    <m/>
    <m/>
    <m/>
    <m/>
    <m/>
    <n v="8.34"/>
    <m/>
    <m/>
    <m/>
    <m/>
    <m/>
    <m/>
    <n v="16.670000000000002"/>
    <m/>
    <m/>
    <m/>
    <m/>
    <m/>
    <m/>
    <m/>
    <n v="8.34"/>
    <m/>
    <n v="50.02"/>
  </r>
  <r>
    <n v="5"/>
    <x v="5"/>
    <x v="0"/>
    <n v="168102"/>
    <s v="PEÑA LILIA AGUSTINA"/>
    <s v="27-34500792-5"/>
    <d v="2016-06-06T00:00:00"/>
    <n v="34500792"/>
    <s v="PEÑA"/>
    <s v="LILIA AGUSTINA"/>
    <s v="F"/>
    <m/>
    <d v="2016-03-12T00:00:00"/>
    <m/>
    <m/>
    <s v="GASTRONOMICOS-Hoteles 4 y 5 Estrellas - 362/2003"/>
    <s v="Categoría 4"/>
    <x v="7"/>
    <s v="Unidad Base-GL"/>
    <s v="Centro"/>
    <s v="Tareas Generales"/>
    <n v="110800"/>
    <s v="OS  DE LOS TRABAJADORES DE LAS EMPRESAS DE ELECTRICIDAD"/>
    <s v="Capital Federal"/>
    <m/>
    <n v="1022"/>
    <s v="CHILE"/>
    <n v="181"/>
    <m/>
    <m/>
    <s v="CAPITAL FEDERAL"/>
    <s v="Capital Federal"/>
    <m/>
    <s v="U.O.Centro"/>
    <m/>
    <n v="1"/>
    <n v="1"/>
    <n v="1463.76"/>
    <n v="292.75"/>
    <m/>
    <m/>
    <n v="1171.01"/>
    <m/>
    <n v="29.28"/>
    <m/>
    <m/>
    <m/>
    <m/>
    <m/>
    <m/>
    <n v="14.64"/>
    <m/>
    <m/>
    <m/>
    <m/>
    <m/>
    <m/>
    <n v="29.28"/>
    <m/>
    <m/>
    <m/>
    <m/>
    <m/>
    <m/>
    <m/>
    <n v="14.64"/>
    <m/>
    <n v="87.84"/>
  </r>
  <r>
    <n v="5"/>
    <x v="5"/>
    <x v="0"/>
    <n v="164243"/>
    <s v="PEÑALVA LUCIANA"/>
    <s v="23-32439144-4"/>
    <d v="2016-06-06T00:00:00"/>
    <n v="32439144"/>
    <s v="PEÑALVA"/>
    <s v="LUCIANA"/>
    <s v="F"/>
    <m/>
    <d v="2015-12-17T00:00:00"/>
    <m/>
    <m/>
    <s v="GASTRONOMICOS-Hoteles 4 y 5 Estrellas - 362/2003"/>
    <s v="Categoria 6"/>
    <x v="1"/>
    <s v="BANQUETES"/>
    <s v="Centro"/>
    <s v="Camarero/a"/>
    <n v="108803"/>
    <s v="O.S.P.Gastronomico"/>
    <s v="Capital Federal"/>
    <m/>
    <n v="1005"/>
    <s v="ALSINA"/>
    <n v="1005"/>
    <m/>
    <m/>
    <s v="CAPITAL FEDERAL"/>
    <s v="Capital Federal"/>
    <m/>
    <s v="U.O.Centro"/>
    <m/>
    <n v="1"/>
    <n v="1"/>
    <n v="4705.2"/>
    <n v="941.04"/>
    <m/>
    <m/>
    <n v="3764.16"/>
    <m/>
    <n v="94.1"/>
    <m/>
    <m/>
    <m/>
    <m/>
    <m/>
    <m/>
    <n v="47.05"/>
    <m/>
    <m/>
    <m/>
    <m/>
    <m/>
    <m/>
    <n v="94.1"/>
    <m/>
    <m/>
    <m/>
    <m/>
    <m/>
    <m/>
    <m/>
    <n v="47.05"/>
    <m/>
    <n v="282.3"/>
  </r>
  <r>
    <n v="5"/>
    <x v="5"/>
    <x v="0"/>
    <n v="170486"/>
    <s v="PEPE VALVERDE AGUSTINA"/>
    <s v="27-39761877-9"/>
    <d v="2016-06-06T00:00:00"/>
    <n v="39761877"/>
    <s v="PEPE VALVERDE"/>
    <s v="AGUSTINA"/>
    <s v="F"/>
    <m/>
    <d v="2016-03-18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Provincia de Buenos Aires"/>
    <n v="1005"/>
    <m/>
    <m/>
    <s v="CAPITAL FEDERAL"/>
    <s v="Capital Federal"/>
    <m/>
    <s v="U.O.Centro"/>
    <m/>
    <n v="3"/>
    <n v="1"/>
    <n v="15930.3"/>
    <n v="3186.05"/>
    <m/>
    <m/>
    <n v="12744.25"/>
    <m/>
    <n v="318.60000000000002"/>
    <m/>
    <m/>
    <m/>
    <m/>
    <m/>
    <m/>
    <n v="159.30000000000001"/>
    <m/>
    <m/>
    <m/>
    <m/>
    <m/>
    <m/>
    <n v="318.60000000000002"/>
    <m/>
    <m/>
    <m/>
    <m/>
    <m/>
    <m/>
    <m/>
    <n v="159.30000000000001"/>
    <m/>
    <n v="955.8"/>
  </r>
  <r>
    <n v="5"/>
    <x v="5"/>
    <x v="0"/>
    <n v="168239"/>
    <s v="PERALTA RICARDO FRANCISCO"/>
    <s v="20-35719331-2"/>
    <d v="2016-06-06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2"/>
    <n v="1"/>
    <n v="8213.7099999999991"/>
    <n v="1642.74"/>
    <m/>
    <m/>
    <n v="6570.97"/>
    <m/>
    <n v="164.28"/>
    <m/>
    <m/>
    <m/>
    <m/>
    <m/>
    <m/>
    <n v="82.13"/>
    <m/>
    <m/>
    <m/>
    <m/>
    <m/>
    <m/>
    <n v="164.28"/>
    <m/>
    <m/>
    <m/>
    <m/>
    <m/>
    <m/>
    <m/>
    <n v="82.13"/>
    <m/>
    <n v="492.82"/>
  </r>
  <r>
    <n v="5"/>
    <x v="5"/>
    <x v="0"/>
    <n v="155712"/>
    <s v="PERALTA DE KEMMETER PABLO ADRIAN"/>
    <s v="20-38404684-4"/>
    <d v="2016-06-06T00:00:00"/>
    <n v="38404684"/>
    <s v="PERALTA DE KEMMETER"/>
    <s v="PABLO ADRIAN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4"/>
    <n v="1"/>
    <n v="14288.06"/>
    <n v="2857.65"/>
    <m/>
    <m/>
    <n v="11430.41"/>
    <m/>
    <n v="285.77"/>
    <m/>
    <m/>
    <m/>
    <m/>
    <m/>
    <m/>
    <n v="142.88999999999999"/>
    <m/>
    <m/>
    <m/>
    <m/>
    <m/>
    <m/>
    <n v="285.77"/>
    <m/>
    <m/>
    <m/>
    <m/>
    <m/>
    <m/>
    <m/>
    <n v="142.88999999999999"/>
    <m/>
    <n v="857.32"/>
  </r>
  <r>
    <n v="5"/>
    <x v="5"/>
    <x v="1"/>
    <n v="65369"/>
    <s v="PEREZ RUBEN HORACIO"/>
    <s v="20-28042935-0"/>
    <d v="2016-06-06T00:00:0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1513.07"/>
    <n v="302.61"/>
    <m/>
    <m/>
    <n v="1210.46"/>
    <m/>
    <n v="30.26"/>
    <m/>
    <m/>
    <m/>
    <m/>
    <m/>
    <m/>
    <n v="15.13"/>
    <m/>
    <m/>
    <m/>
    <m/>
    <m/>
    <m/>
    <n v="30.26"/>
    <m/>
    <m/>
    <m/>
    <m/>
    <m/>
    <m/>
    <m/>
    <n v="15.13"/>
    <m/>
    <n v="90.78"/>
  </r>
  <r>
    <n v="5"/>
    <x v="5"/>
    <x v="0"/>
    <n v="161870"/>
    <s v="PETRONE VICENTE"/>
    <s v="20-27146024-5"/>
    <d v="2016-06-06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4"/>
    <n v="1"/>
    <n v="6402.72"/>
    <n v="1280.53"/>
    <m/>
    <m/>
    <n v="5122.1899999999996"/>
    <m/>
    <n v="128.05000000000001"/>
    <m/>
    <m/>
    <m/>
    <m/>
    <m/>
    <m/>
    <n v="64.03"/>
    <m/>
    <m/>
    <m/>
    <m/>
    <m/>
    <m/>
    <n v="128.05000000000001"/>
    <m/>
    <m/>
    <m/>
    <m/>
    <m/>
    <m/>
    <m/>
    <n v="64.03"/>
    <m/>
    <n v="384.16"/>
  </r>
  <r>
    <n v="5"/>
    <x v="5"/>
    <x v="1"/>
    <n v="173417"/>
    <s v="PILIPCHUK SANTIAGO OSCAR"/>
    <s v="20-26642755-8"/>
    <d v="2016-05-31T00:00:00"/>
    <n v="26642755"/>
    <s v="PILIPCHUK"/>
    <s v="SANTIAGO OSCAR"/>
    <s v="F"/>
    <m/>
    <d v="2016-05-24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San Matías 215, Rafael Castillo, Buenos Aires, Argentina"/>
    <n v="764"/>
    <m/>
    <m/>
    <s v="CAPITAL FEDERAL"/>
    <s v="Capital Federal"/>
    <m/>
    <s v="U.O.Centro Paga Inplant"/>
    <m/>
    <n v="1"/>
    <n v="1"/>
    <n v="678.27"/>
    <n v="135.66"/>
    <m/>
    <m/>
    <n v="542.61"/>
    <m/>
    <n v="13.57"/>
    <m/>
    <m/>
    <m/>
    <m/>
    <m/>
    <m/>
    <n v="6.78"/>
    <m/>
    <m/>
    <m/>
    <m/>
    <m/>
    <m/>
    <n v="13.57"/>
    <m/>
    <m/>
    <m/>
    <m/>
    <m/>
    <m/>
    <m/>
    <n v="6.78"/>
    <m/>
    <n v="40.700000000000003"/>
  </r>
  <r>
    <n v="5"/>
    <x v="5"/>
    <x v="0"/>
    <n v="173659"/>
    <s v="PINGI EMANUEL"/>
    <s v="23-36874910-9"/>
    <d v="2016-06-06T00:00:00"/>
    <n v="36874910"/>
    <s v="PINGI"/>
    <s v="EMANUEL"/>
    <s v="M"/>
    <m/>
    <d v="2016-05-30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ANZANA 2 EDIFICIO B 7"/>
    <n v="1225"/>
    <s v="PB"/>
    <s v="D"/>
    <s v="CAPITAL FEDERAL"/>
    <s v="Buenos Aires"/>
    <m/>
    <s v="U.O.Centro"/>
    <m/>
    <n v="1"/>
    <n v="1"/>
    <n v="1313.28"/>
    <n v="262.66000000000003"/>
    <m/>
    <m/>
    <n v="1050.6199999999999"/>
    <m/>
    <n v="26.27"/>
    <m/>
    <m/>
    <m/>
    <m/>
    <m/>
    <m/>
    <n v="13.13"/>
    <m/>
    <m/>
    <m/>
    <m/>
    <m/>
    <m/>
    <n v="26.27"/>
    <m/>
    <m/>
    <m/>
    <m/>
    <m/>
    <m/>
    <m/>
    <n v="13.13"/>
    <m/>
    <n v="78.8"/>
  </r>
  <r>
    <n v="5"/>
    <x v="5"/>
    <x v="0"/>
    <n v="173662"/>
    <s v="POLVERINI JULIETA"/>
    <s v="27-31251285-3"/>
    <d v="2016-06-06T00:00:00"/>
    <n v="31251285"/>
    <s v="POLVERINI"/>
    <s v="JULIETA"/>
    <s v="F"/>
    <m/>
    <d v="2016-05-27T00:00:00"/>
    <m/>
    <m/>
    <s v="GASTRONOMICOS-Hoteles 4 y 5 Estrellas - 362/2003"/>
    <s v="Categoria 6"/>
    <x v="5"/>
    <s v="Mozos / camareros - GL"/>
    <s v="Centro"/>
    <s v="Camarero/a"/>
    <n v="125905"/>
    <s v="OS  ARBITROS DEPORTIVOS DE LA REPUBLICA ARGENTINA"/>
    <s v="Capital Federal"/>
    <m/>
    <n v="1104"/>
    <s v="MATANZA EDIFICIO 2"/>
    <n v="1225"/>
    <m/>
    <m/>
    <s v="CAPITAL FEDERAL"/>
    <s v="Buenos Aires"/>
    <m/>
    <s v="U.O.Centro"/>
    <m/>
    <n v="1"/>
    <n v="1"/>
    <n v="400.16"/>
    <n v="80.02"/>
    <m/>
    <m/>
    <n v="320.14"/>
    <m/>
    <n v="8"/>
    <m/>
    <m/>
    <m/>
    <m/>
    <m/>
    <m/>
    <n v="4"/>
    <m/>
    <m/>
    <m/>
    <m/>
    <m/>
    <m/>
    <n v="8"/>
    <m/>
    <m/>
    <m/>
    <m/>
    <m/>
    <m/>
    <m/>
    <n v="4"/>
    <m/>
    <n v="24"/>
  </r>
  <r>
    <n v="5"/>
    <x v="5"/>
    <x v="0"/>
    <n v="172087"/>
    <s v="POSTERNAK ERIKA ELENA"/>
    <s v="27-38699581-3"/>
    <d v="2016-06-06T00:00:00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INGENIERO HUERGO"/>
    <n v="1225"/>
    <m/>
    <m/>
    <s v="CAPITAL FEDERAL"/>
    <s v="Buenos Aires"/>
    <m/>
    <s v="U.O.Centro"/>
    <m/>
    <n v="3"/>
    <n v="1"/>
    <n v="5202.21"/>
    <n v="1040.46"/>
    <m/>
    <m/>
    <n v="4161.75"/>
    <m/>
    <n v="104.05"/>
    <m/>
    <m/>
    <m/>
    <m/>
    <m/>
    <m/>
    <n v="52.02"/>
    <m/>
    <m/>
    <m/>
    <m/>
    <m/>
    <m/>
    <n v="104.05"/>
    <m/>
    <m/>
    <m/>
    <m/>
    <m/>
    <m/>
    <m/>
    <n v="52.02"/>
    <m/>
    <n v="312.14"/>
  </r>
  <r>
    <n v="5"/>
    <x v="5"/>
    <x v="0"/>
    <n v="157561"/>
    <s v="QUESADA HERNAN MATIAS"/>
    <s v="20-33154140-1"/>
    <d v="2016-06-06T00:00:00"/>
    <n v="33154140"/>
    <s v="QUESADA"/>
    <s v="HERNAN MATIAS"/>
    <s v="M"/>
    <m/>
    <d v="2015-09-1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BERTAD"/>
    <n v="1005"/>
    <m/>
    <m/>
    <s v="CAPITAL FEDERAL"/>
    <s v="Capital Federal"/>
    <m/>
    <s v="U.O.Centro"/>
    <m/>
    <n v="3"/>
    <n v="1"/>
    <n v="4256.8100000000004"/>
    <n v="851.36"/>
    <m/>
    <m/>
    <n v="3405.45"/>
    <m/>
    <n v="85.14"/>
    <m/>
    <m/>
    <m/>
    <m/>
    <m/>
    <m/>
    <n v="42.57"/>
    <m/>
    <m/>
    <m/>
    <m/>
    <m/>
    <m/>
    <n v="85.14"/>
    <m/>
    <m/>
    <m/>
    <m/>
    <m/>
    <m/>
    <m/>
    <n v="42.57"/>
    <m/>
    <n v="255.42"/>
  </r>
  <r>
    <n v="5"/>
    <x v="5"/>
    <x v="1"/>
    <n v="168959"/>
    <s v="RAMIREZ ANDREA FABIANA"/>
    <s v="27-22241765-7"/>
    <d v="2016-05-31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 Paga Inplant"/>
    <m/>
    <n v="1"/>
    <n v="1"/>
    <n v="7868.27"/>
    <n v="1573.66"/>
    <m/>
    <m/>
    <n v="6294.61"/>
    <m/>
    <n v="157.37"/>
    <m/>
    <m/>
    <m/>
    <m/>
    <m/>
    <m/>
    <n v="78.680000000000007"/>
    <m/>
    <m/>
    <m/>
    <m/>
    <m/>
    <m/>
    <n v="157.37"/>
    <m/>
    <m/>
    <m/>
    <m/>
    <m/>
    <m/>
    <m/>
    <n v="78.680000000000007"/>
    <m/>
    <n v="472.1"/>
  </r>
  <r>
    <n v="5"/>
    <x v="5"/>
    <x v="0"/>
    <n v="170302"/>
    <s v="RAMIREZ GABRIEL LEONARDO"/>
    <s v="20-37596484-9"/>
    <d v="2016-06-06T00:00:00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Barilari"/>
    <n v="1225"/>
    <m/>
    <m/>
    <s v="CAPITAL FEDERAL"/>
    <s v="Buenos Aires"/>
    <m/>
    <s v="U.O.Centro"/>
    <m/>
    <n v="3"/>
    <n v="1"/>
    <n v="4802.04"/>
    <n v="960.41"/>
    <m/>
    <m/>
    <n v="3841.63"/>
    <m/>
    <n v="96.05"/>
    <m/>
    <m/>
    <m/>
    <m/>
    <m/>
    <m/>
    <n v="48.01"/>
    <m/>
    <m/>
    <m/>
    <m/>
    <m/>
    <m/>
    <n v="96.05"/>
    <m/>
    <m/>
    <m/>
    <m/>
    <m/>
    <m/>
    <m/>
    <n v="48.01"/>
    <m/>
    <n v="288.12"/>
  </r>
  <r>
    <n v="5"/>
    <x v="5"/>
    <x v="1"/>
    <n v="171689"/>
    <s v="RAMOS LEONEL ALBERTO"/>
    <s v="23-36484857-9"/>
    <d v="2016-05-31T00:00:00"/>
    <n v="36484857"/>
    <s v="RAMOS"/>
    <s v="LEONEL ALBERTO"/>
    <s v="M"/>
    <m/>
    <d v="2016-04-13T00:00:00"/>
    <m/>
    <m/>
    <s v="GASTRONOMICOS-Hoteles 4 y 5 Estrellas - 362/2003"/>
    <s v="Categoria 2"/>
    <x v="3"/>
    <s v="Unidad Principal"/>
    <s v="Centro"/>
    <s v="Tareas Generales"/>
    <n v="108803"/>
    <s v="O.S.P.Gastronomico"/>
    <s v="Capital Federal"/>
    <m/>
    <n v="1002"/>
    <s v="LORENZINI"/>
    <n v="764"/>
    <m/>
    <m/>
    <s v="CAPITAL FEDERAL"/>
    <s v="Capital Federal"/>
    <m/>
    <s v="U.O.Centro Paga Inplant"/>
    <m/>
    <n v="1"/>
    <n v="1"/>
    <n v="8273.5"/>
    <n v="1654.72"/>
    <m/>
    <m/>
    <n v="6618.78"/>
    <m/>
    <n v="165.47"/>
    <m/>
    <m/>
    <m/>
    <m/>
    <m/>
    <m/>
    <n v="82.74"/>
    <m/>
    <m/>
    <m/>
    <m/>
    <m/>
    <m/>
    <n v="165.47"/>
    <m/>
    <m/>
    <m/>
    <m/>
    <m/>
    <m/>
    <m/>
    <n v="82.74"/>
    <m/>
    <n v="496.42"/>
  </r>
  <r>
    <n v="5"/>
    <x v="5"/>
    <x v="0"/>
    <n v="169776"/>
    <s v="RENEDO MARINA VANESA"/>
    <s v="27-29268429-6"/>
    <d v="2016-06-06T00:00:00"/>
    <n v="29268429"/>
    <s v="RENEDO"/>
    <s v="MARINA VANESA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LLE 834"/>
    <n v="1225"/>
    <m/>
    <m/>
    <s v="CAPITAL FEDERAL"/>
    <s v="Buenos Aires"/>
    <m/>
    <s v="U.O.Centro"/>
    <m/>
    <n v="2"/>
    <n v="1"/>
    <n v="5435.36"/>
    <n v="1087.06"/>
    <m/>
    <m/>
    <n v="4348.3"/>
    <m/>
    <n v="108.7"/>
    <m/>
    <m/>
    <m/>
    <m/>
    <m/>
    <m/>
    <n v="54.36"/>
    <m/>
    <m/>
    <m/>
    <m/>
    <m/>
    <m/>
    <n v="108.7"/>
    <m/>
    <m/>
    <m/>
    <m/>
    <m/>
    <m/>
    <m/>
    <n v="54.36"/>
    <m/>
    <n v="326.12"/>
  </r>
  <r>
    <n v="5"/>
    <x v="5"/>
    <x v="0"/>
    <n v="162333"/>
    <s v="RIOS MARIA ROSA"/>
    <s v="27-26405230-6"/>
    <d v="2016-06-06T00:00:00"/>
    <n v="26405230"/>
    <s v="RIOS"/>
    <s v="MARIA ROSA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OLLEDO"/>
    <n v="1225"/>
    <m/>
    <m/>
    <s v="CAPITAL FEDERAL"/>
    <s v="Buenos Aires"/>
    <m/>
    <s v="U.O.Centro"/>
    <m/>
    <n v="4"/>
    <n v="1"/>
    <n v="6138.05"/>
    <n v="1227.6099999999999"/>
    <m/>
    <m/>
    <n v="4910.4399999999996"/>
    <m/>
    <n v="122.76"/>
    <m/>
    <m/>
    <m/>
    <m/>
    <m/>
    <m/>
    <n v="61.39"/>
    <m/>
    <m/>
    <m/>
    <m/>
    <m/>
    <m/>
    <n v="122.76"/>
    <m/>
    <m/>
    <m/>
    <m/>
    <m/>
    <m/>
    <m/>
    <n v="61.39"/>
    <m/>
    <n v="368.3"/>
  </r>
  <r>
    <n v="5"/>
    <x v="5"/>
    <x v="0"/>
    <n v="173596"/>
    <s v="RIVERO GABRIELA DAYANA"/>
    <s v="27-40019421-7"/>
    <d v="2016-06-06T00:00:00"/>
    <n v="40019421"/>
    <s v="RIVERO"/>
    <s v="GABRIELA DAYANA"/>
    <s v="F"/>
    <m/>
    <d v="2016-05-27T00:00:00"/>
    <m/>
    <m/>
    <s v="GASTRONOMICOS-Hoteles 4 y 5 Estrellas - 362/2003"/>
    <s v="Categoria 6"/>
    <x v="4"/>
    <s v="Unidad Base-GL"/>
    <s v="Centro"/>
    <s v="Camarero/a"/>
    <n v="108803"/>
    <s v="O.S.P.Gastronomico"/>
    <s v="Capital Federal"/>
    <m/>
    <n v="1004"/>
    <s v="MANUELA PEDRAZA"/>
    <n v="474"/>
    <m/>
    <m/>
    <s v="CAPITAL FEDERAL"/>
    <s v="Buenos Aires"/>
    <m/>
    <s v="U.O.Centro"/>
    <m/>
    <n v="1"/>
    <n v="1"/>
    <n v="2082.08"/>
    <n v="416.41"/>
    <m/>
    <m/>
    <n v="1665.67"/>
    <m/>
    <n v="41.64"/>
    <m/>
    <m/>
    <m/>
    <m/>
    <m/>
    <m/>
    <n v="20.82"/>
    <m/>
    <m/>
    <m/>
    <m/>
    <m/>
    <m/>
    <n v="41.64"/>
    <m/>
    <m/>
    <m/>
    <m/>
    <m/>
    <m/>
    <m/>
    <n v="20.82"/>
    <m/>
    <n v="124.92"/>
  </r>
  <r>
    <n v="5"/>
    <x v="5"/>
    <x v="0"/>
    <n v="171589"/>
    <s v="ROCHA DE CAMPOS MANOEL APARECIDO"/>
    <s v="20-94832989-2"/>
    <d v="2016-06-06T00:00:00"/>
    <n v="94832989"/>
    <s v="ROCHA DE CAMPOS"/>
    <s v="MANOEL APARECIDO"/>
    <s v="M"/>
    <m/>
    <d v="2016-04-12T00:00:00"/>
    <m/>
    <m/>
    <s v="GASTRONOMICOS-Hoteles 4 y 5 Estrellas - 362/2003"/>
    <s v="Categoria 1"/>
    <x v="6"/>
    <s v="NUEVOS INGRESOS"/>
    <s v="Centro"/>
    <s v="Tareas Generales"/>
    <n v="406"/>
    <s v="O.S.P.Org.Ctrl.Externo"/>
    <s v="Capital Federal"/>
    <m/>
    <n v="1093"/>
    <s v="AV INDEPENDENCIA"/>
    <n v="1232"/>
    <n v="8"/>
    <s v="C"/>
    <s v="CAPITAL FEDERAL"/>
    <s v="Buenos Aires"/>
    <m/>
    <s v="U.O.Centro"/>
    <s v="MANTENIMIENTO"/>
    <n v="1"/>
    <n v="1"/>
    <n v="3196.93"/>
    <n v="639.39"/>
    <m/>
    <m/>
    <n v="2557.54"/>
    <m/>
    <n v="63.94"/>
    <m/>
    <m/>
    <m/>
    <m/>
    <m/>
    <m/>
    <n v="31.97"/>
    <m/>
    <m/>
    <m/>
    <m/>
    <m/>
    <m/>
    <n v="63.94"/>
    <m/>
    <m/>
    <m/>
    <m/>
    <m/>
    <m/>
    <m/>
    <n v="31.97"/>
    <m/>
    <n v="191.82"/>
  </r>
  <r>
    <n v="5"/>
    <x v="5"/>
    <x v="1"/>
    <n v="162826"/>
    <s v="RODRIGUEZ CLAUDIO ALEJANDRO"/>
    <s v="20-28807969-3"/>
    <d v="2016-05-31T00:00:00"/>
    <n v="28807969"/>
    <s v="RODRIGUEZ"/>
    <s v="CLAUDIO ALEJANDRO"/>
    <s v="M"/>
    <m/>
    <d v="2015-12-03T00:00:00"/>
    <m/>
    <m/>
    <s v="GASTRONOMICOS-Hoteles 4 y 5 Estrellas - 362/2003"/>
    <s v="Categoria 1"/>
    <x v="3"/>
    <s v="Unidad Principal"/>
    <s v="Centro"/>
    <s v="Tareas Generales"/>
    <n v="127406"/>
    <s v="O.S.Obreros y empleados tintoreros, sombrerero y lavanderos"/>
    <s v="Capital Federal"/>
    <m/>
    <n v="1002"/>
    <s v="JOSE IGNACIO RUCCI"/>
    <n v="764"/>
    <m/>
    <m/>
    <s v="CAPITAL FEDERAL"/>
    <s v="Capital Federal"/>
    <m/>
    <s v="U.O.Centro Paga Inplant"/>
    <m/>
    <n v="1"/>
    <n v="1"/>
    <n v="7719.25"/>
    <n v="1543.86"/>
    <m/>
    <m/>
    <n v="6175.39"/>
    <m/>
    <n v="154.38999999999999"/>
    <m/>
    <m/>
    <m/>
    <m/>
    <m/>
    <m/>
    <n v="77.19"/>
    <m/>
    <m/>
    <m/>
    <m/>
    <m/>
    <m/>
    <n v="154.38999999999999"/>
    <m/>
    <m/>
    <m/>
    <m/>
    <m/>
    <m/>
    <m/>
    <n v="77.19"/>
    <m/>
    <n v="463.16"/>
  </r>
  <r>
    <n v="5"/>
    <x v="5"/>
    <x v="0"/>
    <n v="173299"/>
    <s v="RODRIGUEZ EMANUEL AGUSTIN"/>
    <s v="20-39165126-5"/>
    <d v="2016-06-06T00:00:00"/>
    <n v="39165126"/>
    <s v="RODRIGUEZ"/>
    <s v="EMANUEL AGUSTIN"/>
    <s v="M"/>
    <m/>
    <d v="2016-05-1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LFONSINA STORNI"/>
    <n v="1005"/>
    <m/>
    <m/>
    <s v="CAPITAL FEDERAL"/>
    <s v="Capital Federal"/>
    <m/>
    <s v="U.O.Centro"/>
    <m/>
    <n v="1"/>
    <n v="1"/>
    <n v="1754.64"/>
    <n v="350.93"/>
    <m/>
    <m/>
    <n v="1403.71"/>
    <m/>
    <n v="35.090000000000003"/>
    <m/>
    <m/>
    <m/>
    <m/>
    <m/>
    <m/>
    <n v="17.55"/>
    <m/>
    <m/>
    <m/>
    <m/>
    <m/>
    <m/>
    <n v="35.090000000000003"/>
    <m/>
    <m/>
    <m/>
    <m/>
    <m/>
    <m/>
    <m/>
    <n v="17.55"/>
    <m/>
    <n v="105.28"/>
  </r>
  <r>
    <n v="5"/>
    <x v="5"/>
    <x v="1"/>
    <n v="170996"/>
    <s v="RODRIGUEZ ENZO"/>
    <s v="20-95508201-0"/>
    <d v="2016-05-31T00:00:00"/>
    <n v="95508201"/>
    <s v="RODRIGUEZ"/>
    <s v="ENZO"/>
    <s v="M"/>
    <m/>
    <d v="2016-03-31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UAN FRANCISCO SEGUI"/>
    <n v="764"/>
    <n v="14"/>
    <s v="B"/>
    <s v="CAPITAL FEDERAL"/>
    <s v="Capital Federal"/>
    <m/>
    <s v="U.O.Centro"/>
    <m/>
    <n v="1"/>
    <n v="1"/>
    <n v="17122.64"/>
    <n v="3424.53"/>
    <m/>
    <m/>
    <n v="13698.11"/>
    <m/>
    <n v="342.45"/>
    <m/>
    <m/>
    <m/>
    <m/>
    <m/>
    <m/>
    <n v="171.23"/>
    <m/>
    <m/>
    <m/>
    <m/>
    <m/>
    <m/>
    <n v="342.45"/>
    <m/>
    <m/>
    <m/>
    <m/>
    <m/>
    <m/>
    <m/>
    <n v="171.23"/>
    <m/>
    <n v="1027.3599999999999"/>
  </r>
  <r>
    <n v="5"/>
    <x v="5"/>
    <x v="0"/>
    <n v="173655"/>
    <s v="RODRIGUEZ EZEQUIEL"/>
    <s v="20-35792854-1"/>
    <d v="2016-06-06T00:00:00"/>
    <n v="35792854"/>
    <s v="RODRIGUEZ"/>
    <s v="EZEQUIEL"/>
    <s v="M"/>
    <m/>
    <d v="2016-05-31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BERUTTI"/>
    <n v="1225"/>
    <m/>
    <m/>
    <s v="CAPITAL FEDERAL"/>
    <s v="Buenos Aires"/>
    <m/>
    <s v="U.O.Centro"/>
    <m/>
    <n v="1"/>
    <n v="1"/>
    <n v="501.38"/>
    <n v="100.27"/>
    <m/>
    <m/>
    <n v="401.11"/>
    <m/>
    <n v="10.029999999999999"/>
    <m/>
    <m/>
    <m/>
    <m/>
    <m/>
    <m/>
    <n v="5.01"/>
    <m/>
    <m/>
    <m/>
    <m/>
    <m/>
    <m/>
    <n v="10.029999999999999"/>
    <m/>
    <m/>
    <m/>
    <m/>
    <m/>
    <m/>
    <m/>
    <n v="5.01"/>
    <m/>
    <n v="30.08"/>
  </r>
  <r>
    <n v="5"/>
    <x v="5"/>
    <x v="0"/>
    <n v="171842"/>
    <s v="RODRIGUEZ FRANCISCO MIGUEL"/>
    <s v="20-27602868-6"/>
    <d v="2016-06-06T00:00:00"/>
    <n v="27602868"/>
    <s v="RODRIGUEZ"/>
    <s v="FRANCISCO MIGUEL"/>
    <s v="M"/>
    <m/>
    <d v="2016-04-16T00:00:00"/>
    <m/>
    <m/>
    <s v="GASTRONOMICOS-Hoteles 4 y 5 Estrellas - 362/2003"/>
    <s v="Categoria 6"/>
    <x v="6"/>
    <s v="NUEVOS INGRESOS"/>
    <s v="Centro"/>
    <s v="Tareas Generales"/>
    <n v="108803"/>
    <s v="O.S.P.Gastronomico"/>
    <s v="Capital Federal"/>
    <m/>
    <n v="1093"/>
    <s v="villegas"/>
    <n v="1232"/>
    <m/>
    <m/>
    <s v="CAPITAL FEDERAL"/>
    <s v="Buenos Aires"/>
    <m/>
    <s v="U.O.Centro"/>
    <m/>
    <n v="1"/>
    <n v="1"/>
    <n v="779.29"/>
    <n v="155.86000000000001"/>
    <m/>
    <m/>
    <n v="623.42999999999995"/>
    <m/>
    <n v="15.59"/>
    <m/>
    <m/>
    <m/>
    <m/>
    <m/>
    <m/>
    <n v="7.79"/>
    <m/>
    <m/>
    <m/>
    <m/>
    <m/>
    <m/>
    <n v="15.59"/>
    <m/>
    <m/>
    <m/>
    <m/>
    <m/>
    <m/>
    <m/>
    <n v="7.79"/>
    <m/>
    <n v="46.76"/>
  </r>
  <r>
    <n v="5"/>
    <x v="5"/>
    <x v="0"/>
    <n v="169954"/>
    <s v="RODRIGUEZ SARA"/>
    <s v="27-36360779-4"/>
    <d v="2016-06-06T00:00:00"/>
    <n v="36360779"/>
    <s v="RODRIGUEZ"/>
    <s v="SAR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NA MARIA JANER"/>
    <n v="1225"/>
    <n v="7"/>
    <s v="PB"/>
    <s v="CAPITAL FEDERAL"/>
    <s v="Buenos Aires"/>
    <m/>
    <s v="U.O.Centro"/>
    <m/>
    <n v="2"/>
    <n v="1"/>
    <n v="4891.83"/>
    <n v="978.35"/>
    <m/>
    <m/>
    <n v="3913.48"/>
    <m/>
    <n v="97.83"/>
    <m/>
    <m/>
    <m/>
    <m/>
    <m/>
    <m/>
    <n v="48.92"/>
    <m/>
    <m/>
    <m/>
    <m/>
    <m/>
    <m/>
    <n v="97.83"/>
    <m/>
    <m/>
    <m/>
    <m/>
    <m/>
    <m/>
    <m/>
    <n v="48.92"/>
    <m/>
    <n v="293.5"/>
  </r>
  <r>
    <n v="5"/>
    <x v="5"/>
    <x v="1"/>
    <n v="172448"/>
    <s v="ROJAS LUZ NILDA MICAELA"/>
    <s v="27-37722916-4"/>
    <d v="2016-05-31T00:00:00"/>
    <n v="37722916"/>
    <s v="ROJAS"/>
    <s v="LUZ NILDA MICAELA"/>
    <s v="F"/>
    <m/>
    <d v="2016-05-03T00:00:00"/>
    <d v="2016-05-11T00:00:00"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CATAMARCA"/>
    <n v="764"/>
    <n v="6"/>
    <s v="A"/>
    <s v="CAPITAL FEDERAL"/>
    <s v="Capital Federal"/>
    <m/>
    <s v="U.O.Centro Paga Inplant"/>
    <m/>
    <n v="1"/>
    <n v="1"/>
    <n v="1508.43"/>
    <n v="301.68"/>
    <m/>
    <m/>
    <n v="1206.75"/>
    <m/>
    <n v="30.17"/>
    <m/>
    <m/>
    <m/>
    <m/>
    <m/>
    <m/>
    <n v="15.08"/>
    <m/>
    <m/>
    <m/>
    <m/>
    <m/>
    <m/>
    <n v="30.17"/>
    <m/>
    <m/>
    <m/>
    <m/>
    <m/>
    <m/>
    <m/>
    <n v="15.08"/>
    <m/>
    <n v="90.5"/>
  </r>
  <r>
    <n v="5"/>
    <x v="5"/>
    <x v="0"/>
    <n v="171276"/>
    <s v="ROMERO BENITEZ EVELIN RAMONA"/>
    <s v="23-94990240-4"/>
    <d v="2016-05-23T00:00:00"/>
    <n v="94990240"/>
    <s v="ROMERO BENITEZ"/>
    <s v="EVELIN RAMO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DIAZ VELEZ"/>
    <n v="1225"/>
    <n v="9"/>
    <s v="B"/>
    <s v="CAPITAL FEDERAL"/>
    <s v="Buenos Aires"/>
    <m/>
    <s v="U.O.Centro"/>
    <m/>
    <n v="1"/>
    <n v="1"/>
    <n v="2174.15"/>
    <n v="434.82"/>
    <m/>
    <m/>
    <n v="1739.33"/>
    <m/>
    <n v="43.48"/>
    <m/>
    <m/>
    <m/>
    <m/>
    <m/>
    <m/>
    <n v="21.74"/>
    <m/>
    <m/>
    <m/>
    <m/>
    <m/>
    <m/>
    <n v="43.48"/>
    <m/>
    <m/>
    <m/>
    <m/>
    <m/>
    <m/>
    <m/>
    <n v="21.74"/>
    <m/>
    <n v="130.44"/>
  </r>
  <r>
    <n v="5"/>
    <x v="5"/>
    <x v="0"/>
    <n v="170549"/>
    <s v="ROSALES MATIAS SEBASTIAN"/>
    <s v="20-38950370-4"/>
    <d v="2016-06-06T00:00:00"/>
    <n v="38950370"/>
    <s v="ROSALES"/>
    <s v="MATIAS SEBASTIAN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7"/>
    <n v="1"/>
    <n v="13791.19"/>
    <n v="2758.21"/>
    <m/>
    <m/>
    <n v="11032.98"/>
    <m/>
    <n v="275.82"/>
    <m/>
    <m/>
    <m/>
    <m/>
    <m/>
    <m/>
    <n v="137.9"/>
    <m/>
    <m/>
    <m/>
    <m/>
    <m/>
    <m/>
    <n v="275.82"/>
    <m/>
    <m/>
    <m/>
    <m/>
    <m/>
    <m/>
    <m/>
    <n v="137.9"/>
    <m/>
    <n v="827.44"/>
  </r>
  <r>
    <n v="5"/>
    <x v="5"/>
    <x v="0"/>
    <n v="171271"/>
    <s v="RUIS SAMANTA SOLEDAD"/>
    <s v="27-32637966-8"/>
    <d v="2016-06-06T00:00:00"/>
    <n v="32637966"/>
    <s v="RUIS"/>
    <s v="SAMANTA SOLEDAD"/>
    <s v="F"/>
    <m/>
    <d v="2016-04-0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JOSE"/>
    <n v="1225"/>
    <m/>
    <m/>
    <s v="CAPITAL FEDERAL"/>
    <s v="Buenos Aires"/>
    <m/>
    <s v="U.O.Centro"/>
    <m/>
    <n v="2"/>
    <n v="1"/>
    <n v="3804.76"/>
    <n v="760.95"/>
    <m/>
    <m/>
    <n v="3043.81"/>
    <m/>
    <n v="76.09"/>
    <m/>
    <m/>
    <m/>
    <m/>
    <m/>
    <m/>
    <n v="38.049999999999997"/>
    <m/>
    <m/>
    <m/>
    <m/>
    <m/>
    <m/>
    <n v="76.09"/>
    <m/>
    <m/>
    <m/>
    <m/>
    <m/>
    <m/>
    <m/>
    <n v="38.049999999999997"/>
    <m/>
    <n v="228.28"/>
  </r>
  <r>
    <n v="5"/>
    <x v="5"/>
    <x v="0"/>
    <n v="173747"/>
    <s v="RUIZ JUAN MARIO ESEQUIEL"/>
    <s v="20-36944344-6"/>
    <d v="2016-06-06T00:00:00"/>
    <n v="36944344"/>
    <s v="RUIZ"/>
    <s v="JUAN MARIO ESEQUIEL"/>
    <s v="M"/>
    <m/>
    <d v="2016-06-0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ERMA"/>
    <n v="1225"/>
    <n v="3"/>
    <s v="A"/>
    <s v="CAPITAL FEDERAL"/>
    <s v="Buenos Aires"/>
    <m/>
    <s v="U.O.Centro"/>
    <m/>
    <n v="1"/>
    <n v="1"/>
    <n v="656.64"/>
    <n v="131.33000000000001"/>
    <m/>
    <m/>
    <n v="525.30999999999995"/>
    <m/>
    <n v="13.13"/>
    <m/>
    <m/>
    <m/>
    <m/>
    <m/>
    <m/>
    <n v="6.57"/>
    <m/>
    <m/>
    <m/>
    <m/>
    <m/>
    <m/>
    <n v="13.13"/>
    <m/>
    <m/>
    <m/>
    <m/>
    <m/>
    <m/>
    <m/>
    <n v="6.57"/>
    <m/>
    <n v="39.4"/>
  </r>
  <r>
    <n v="5"/>
    <x v="5"/>
    <x v="0"/>
    <n v="146415"/>
    <s v="RUIZ DIAZ JORGE GUSTAVO"/>
    <s v="20-34079280-8"/>
    <d v="2016-06-01T00:00:00"/>
    <n v="34079280"/>
    <s v="RUIZ DIAZ"/>
    <s v="JORGE GUSTAVO"/>
    <s v="M"/>
    <m/>
    <d v="2015-08-19T00:00:00"/>
    <d v="2016-04-22T00:00:00"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MZA 56"/>
    <n v="841"/>
    <n v="3"/>
    <s v="D"/>
    <s v="CAPITAL FEDERAL"/>
    <s v="Buenos Aires"/>
    <m/>
    <s v="U.O.Casa Central"/>
    <m/>
    <n v="1"/>
    <n v="1"/>
    <n v="901"/>
    <n v="180.2"/>
    <m/>
    <m/>
    <n v="720.8"/>
    <m/>
    <n v="18.02"/>
    <m/>
    <m/>
    <m/>
    <m/>
    <m/>
    <m/>
    <n v="9.01"/>
    <m/>
    <m/>
    <m/>
    <m/>
    <m/>
    <m/>
    <n v="18.02"/>
    <m/>
    <m/>
    <m/>
    <m/>
    <m/>
    <m/>
    <m/>
    <n v="9.01"/>
    <m/>
    <n v="54.06"/>
  </r>
  <r>
    <n v="5"/>
    <x v="5"/>
    <x v="1"/>
    <n v="172196"/>
    <s v="SAGARÌA NORBERTO OSVALDO"/>
    <s v="20-24921184-3"/>
    <d v="2016-06-06T00:00:00"/>
    <n v="24921184"/>
    <s v="SAGARÌA"/>
    <s v="NORBERTO OSVALDO"/>
    <s v="M"/>
    <m/>
    <d v="2016-04-25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SAN LUIS"/>
    <n v="507"/>
    <m/>
    <m/>
    <s v="CAPITAL FEDERAL"/>
    <s v="Capital Federal"/>
    <m/>
    <s v="U.O.Centro Paga Inplant"/>
    <m/>
    <n v="1"/>
    <n v="1"/>
    <n v="11844.55"/>
    <n v="2368.92"/>
    <m/>
    <m/>
    <n v="9475.6299999999992"/>
    <m/>
    <n v="236.89"/>
    <m/>
    <m/>
    <m/>
    <m/>
    <m/>
    <m/>
    <n v="118.45"/>
    <m/>
    <m/>
    <m/>
    <m/>
    <m/>
    <m/>
    <n v="236.89"/>
    <m/>
    <m/>
    <m/>
    <m/>
    <m/>
    <m/>
    <m/>
    <n v="118.45"/>
    <m/>
    <n v="710.68"/>
  </r>
  <r>
    <n v="5"/>
    <x v="5"/>
    <x v="0"/>
    <n v="170317"/>
    <s v="SALGUERO EVELYN YAMILA"/>
    <s v="27-37052799-2"/>
    <d v="2016-05-23T00:00:00"/>
    <n v="37052799"/>
    <s v="SALGUERO"/>
    <s v="EVELYN YAMIL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ZAPIOLA"/>
    <n v="1225"/>
    <m/>
    <m/>
    <s v="CAPITAL FEDERAL"/>
    <s v="Buenos Aires"/>
    <m/>
    <s v="U.O.Centro"/>
    <s v="EMA"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5"/>
    <x v="5"/>
    <x v="0"/>
    <n v="170780"/>
    <s v="SANCHEZ JAVIER EDUARDO"/>
    <s v="20-29388721-8"/>
    <d v="2016-06-06T00:00:0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MONROE"/>
    <n v="181"/>
    <m/>
    <m/>
    <s v="CAPITAL FEDERAL"/>
    <s v="Capital Federal"/>
    <m/>
    <s v="U.O.Centro"/>
    <m/>
    <n v="1"/>
    <n v="1"/>
    <n v="2670.27"/>
    <n v="534.05999999999995"/>
    <m/>
    <m/>
    <n v="2136.21"/>
    <m/>
    <n v="53.41"/>
    <m/>
    <m/>
    <m/>
    <m/>
    <m/>
    <m/>
    <n v="26.7"/>
    <m/>
    <m/>
    <m/>
    <m/>
    <m/>
    <m/>
    <n v="53.41"/>
    <m/>
    <m/>
    <m/>
    <m/>
    <m/>
    <m/>
    <m/>
    <n v="26.7"/>
    <m/>
    <n v="160.22"/>
  </r>
  <r>
    <n v="5"/>
    <x v="5"/>
    <x v="0"/>
    <n v="173418"/>
    <s v="SASTRE FEDERICO DAMIAN"/>
    <s v="20-38996895-2"/>
    <d v="2016-06-06T00:00:00"/>
    <n v="38996895"/>
    <s v="SASTRE"/>
    <s v="FEDERICO DAMIAN"/>
    <s v="M"/>
    <m/>
    <d v="2016-05-23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ADINES"/>
    <n v="1225"/>
    <m/>
    <m/>
    <s v="CAPITAL FEDERAL"/>
    <s v="Buenos Aires"/>
    <m/>
    <s v="U.O.Centro"/>
    <m/>
    <n v="1"/>
    <n v="1"/>
    <n v="1313.28"/>
    <n v="262.66000000000003"/>
    <m/>
    <m/>
    <n v="1050.6199999999999"/>
    <m/>
    <n v="26.27"/>
    <m/>
    <m/>
    <m/>
    <m/>
    <m/>
    <m/>
    <n v="13.13"/>
    <m/>
    <m/>
    <m/>
    <m/>
    <m/>
    <m/>
    <n v="26.27"/>
    <m/>
    <m/>
    <m/>
    <m/>
    <m/>
    <m/>
    <m/>
    <n v="13.13"/>
    <m/>
    <n v="78.8"/>
  </r>
  <r>
    <n v="5"/>
    <x v="5"/>
    <x v="0"/>
    <n v="163422"/>
    <s v="SAUCEDO BETIANA MAGALI"/>
    <s v="23-38354831-4"/>
    <d v="2016-06-06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3"/>
    <n v="1"/>
    <n v="3601.52"/>
    <n v="720.32"/>
    <m/>
    <m/>
    <n v="2881.2"/>
    <m/>
    <n v="72.040000000000006"/>
    <m/>
    <m/>
    <m/>
    <m/>
    <m/>
    <m/>
    <n v="36.01"/>
    <m/>
    <m/>
    <m/>
    <m/>
    <m/>
    <m/>
    <n v="72.040000000000006"/>
    <m/>
    <m/>
    <m/>
    <m/>
    <m/>
    <m/>
    <m/>
    <n v="36.01"/>
    <m/>
    <n v="216.1"/>
  </r>
  <r>
    <n v="5"/>
    <x v="5"/>
    <x v="0"/>
    <n v="157784"/>
    <s v="SAUCEDO MARCELA"/>
    <s v="27-33197318-7"/>
    <d v="2016-06-06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0341.19"/>
    <n v="2119.9499999999998"/>
    <m/>
    <m/>
    <n v="8221.24"/>
    <n v="258.52999999999997"/>
    <m/>
    <m/>
    <m/>
    <m/>
    <m/>
    <m/>
    <m/>
    <n v="103.41"/>
    <m/>
    <m/>
    <m/>
    <m/>
    <m/>
    <m/>
    <n v="206.82"/>
    <m/>
    <m/>
    <m/>
    <m/>
    <m/>
    <m/>
    <m/>
    <n v="103.41"/>
    <m/>
    <n v="672.17"/>
  </r>
  <r>
    <n v="5"/>
    <x v="5"/>
    <x v="0"/>
    <n v="172826"/>
    <s v="SENA GABRIEL FABIAN"/>
    <s v="20-34705676-7"/>
    <d v="2016-06-06T00:00:00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1"/>
    <n v="1"/>
    <n v="10901.44"/>
    <n v="2180.2800000000002"/>
    <m/>
    <m/>
    <n v="8721.16"/>
    <m/>
    <n v="218.03"/>
    <m/>
    <m/>
    <m/>
    <m/>
    <m/>
    <m/>
    <n v="109.01"/>
    <m/>
    <m/>
    <m/>
    <m/>
    <m/>
    <m/>
    <n v="218.03"/>
    <m/>
    <m/>
    <m/>
    <m/>
    <m/>
    <m/>
    <m/>
    <n v="109.01"/>
    <m/>
    <n v="654.08000000000004"/>
  </r>
  <r>
    <n v="5"/>
    <x v="5"/>
    <x v="1"/>
    <n v="160863"/>
    <s v="SEQUEIRA GRACIELA ESTER"/>
    <s v="23-25848251-4"/>
    <d v="2016-05-31T00:00:00"/>
    <n v="25848251"/>
    <s v="SEQUEIRA"/>
    <s v="GRACIELA ESTER"/>
    <s v="F"/>
    <m/>
    <d v="2015-11-07T00:00:00"/>
    <m/>
    <d v="2016-05-30T00:00:00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BRAHAM"/>
    <n v="764"/>
    <m/>
    <n v="22"/>
    <s v="CAPITAL FEDERAL"/>
    <s v="Capital Federal"/>
    <m/>
    <s v="U.O.Centro Paga Inplant"/>
    <m/>
    <n v="1"/>
    <n v="1"/>
    <n v="1834.58"/>
    <n v="366.92"/>
    <m/>
    <m/>
    <n v="1467.66"/>
    <m/>
    <n v="36.69"/>
    <m/>
    <m/>
    <m/>
    <m/>
    <m/>
    <m/>
    <n v="18.350000000000001"/>
    <m/>
    <m/>
    <m/>
    <m/>
    <m/>
    <m/>
    <n v="36.69"/>
    <m/>
    <m/>
    <m/>
    <m/>
    <m/>
    <m/>
    <m/>
    <n v="18.350000000000001"/>
    <m/>
    <n v="110.08"/>
  </r>
  <r>
    <n v="5"/>
    <x v="5"/>
    <x v="0"/>
    <n v="156318"/>
    <s v="SERRANO ALMONTE MARIANELA"/>
    <s v="27-19029144-3"/>
    <d v="2016-06-01T00:00:00"/>
    <n v="19029144"/>
    <s v="SERRANO ALMONTE"/>
    <s v="MARIANELA"/>
    <s v="F"/>
    <m/>
    <d v="2015-08-18T00:00:00"/>
    <d v="2016-04-30T00:00:00"/>
    <d v="2016-04-30T00:00:00"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REMEDIO DE ESCALADA"/>
    <n v="474"/>
    <m/>
    <m/>
    <s v="CAPITAL FEDERAL"/>
    <s v="Buenos Aires"/>
    <m/>
    <s v="U.O.Centro"/>
    <m/>
    <n v="2"/>
    <n v="1"/>
    <n v="4455.08"/>
    <n v="891.02"/>
    <m/>
    <n v="1929"/>
    <n v="5493.06"/>
    <m/>
    <n v="89.11"/>
    <m/>
    <m/>
    <m/>
    <m/>
    <m/>
    <m/>
    <n v="44.55"/>
    <m/>
    <m/>
    <m/>
    <m/>
    <m/>
    <m/>
    <n v="89.11"/>
    <m/>
    <m/>
    <m/>
    <m/>
    <m/>
    <m/>
    <m/>
    <n v="44.55"/>
    <m/>
    <n v="267.32"/>
  </r>
  <r>
    <n v="5"/>
    <x v="5"/>
    <x v="0"/>
    <n v="169945"/>
    <s v="SILVA ADRIANA PAOLA"/>
    <s v="27-38794990-4"/>
    <d v="2016-06-06T00:00:00"/>
    <n v="38794990"/>
    <s v="SILVA"/>
    <s v="ADRIANA PAOL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RONDEAU"/>
    <n v="1225"/>
    <m/>
    <m/>
    <s v="CAPITAL FEDERAL"/>
    <s v="Buenos Aires"/>
    <m/>
    <s v="U.O.Centro"/>
    <m/>
    <n v="4"/>
    <n v="1"/>
    <n v="7046.91"/>
    <n v="1409.37"/>
    <m/>
    <m/>
    <n v="5637.54"/>
    <m/>
    <n v="140.93"/>
    <m/>
    <m/>
    <m/>
    <m/>
    <m/>
    <m/>
    <n v="70.47"/>
    <m/>
    <m/>
    <m/>
    <m/>
    <m/>
    <m/>
    <n v="140.93"/>
    <m/>
    <m/>
    <m/>
    <m/>
    <m/>
    <m/>
    <m/>
    <n v="70.47"/>
    <m/>
    <n v="422.8"/>
  </r>
  <r>
    <n v="5"/>
    <x v="5"/>
    <x v="0"/>
    <n v="169877"/>
    <s v="SILVA MATIAS OSCAR"/>
    <s v="20-30651917-5"/>
    <d v="2016-06-06T00:00:00"/>
    <n v="30651917"/>
    <s v="SILVA"/>
    <s v="MATIAS OSCAR"/>
    <s v="M"/>
    <m/>
    <d v="2016-04-2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IGUALDAD"/>
    <n v="1232"/>
    <m/>
    <m/>
    <s v="CAPITAL FEDERAL"/>
    <s v="Buenos Aires"/>
    <m/>
    <s v="U.O.Centro"/>
    <s v="Banquetes"/>
    <n v="2"/>
    <n v="1"/>
    <n v="3223.74"/>
    <n v="644.76"/>
    <m/>
    <m/>
    <n v="2578.98"/>
    <m/>
    <n v="64.47"/>
    <m/>
    <m/>
    <m/>
    <m/>
    <m/>
    <m/>
    <n v="32.24"/>
    <m/>
    <m/>
    <m/>
    <m/>
    <m/>
    <m/>
    <n v="64.47"/>
    <m/>
    <m/>
    <m/>
    <m/>
    <m/>
    <m/>
    <m/>
    <n v="32.24"/>
    <m/>
    <n v="193.42"/>
  </r>
  <r>
    <n v="5"/>
    <x v="5"/>
    <x v="0"/>
    <n v="171605"/>
    <s v="SILVERO OSVALDO MANUEL"/>
    <s v="20-29271878-1"/>
    <d v="2016-06-06T00:00:00"/>
    <n v="29271878"/>
    <s v="SILVERO"/>
    <s v="OSVALDO MANUEL"/>
    <s v="M"/>
    <m/>
    <d v="2016-04-0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RGENTO CABRAL"/>
    <n v="1005"/>
    <m/>
    <m/>
    <s v="CAPITAL FEDERAL"/>
    <s v="Capital Federal"/>
    <m/>
    <s v="U.O.Centro"/>
    <m/>
    <n v="3"/>
    <n v="1"/>
    <n v="9980.4599999999991"/>
    <n v="1996.1"/>
    <m/>
    <m/>
    <n v="7984.36"/>
    <m/>
    <n v="199.61"/>
    <m/>
    <m/>
    <m/>
    <m/>
    <m/>
    <m/>
    <n v="99.8"/>
    <m/>
    <m/>
    <m/>
    <m/>
    <m/>
    <m/>
    <n v="199.61"/>
    <m/>
    <m/>
    <m/>
    <m/>
    <m/>
    <m/>
    <m/>
    <n v="99.8"/>
    <m/>
    <n v="598.82000000000005"/>
  </r>
  <r>
    <n v="5"/>
    <x v="5"/>
    <x v="0"/>
    <n v="162176"/>
    <s v="SOMMA GABRIELA ALEJANDRA"/>
    <s v="27-31822042-0"/>
    <d v="2016-06-06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2"/>
    <n v="1"/>
    <n v="8403.5499999999993"/>
    <n v="1680.72"/>
    <m/>
    <m/>
    <n v="6722.83"/>
    <m/>
    <n v="168.07"/>
    <m/>
    <m/>
    <m/>
    <m/>
    <m/>
    <m/>
    <n v="84.04"/>
    <m/>
    <m/>
    <m/>
    <m/>
    <m/>
    <m/>
    <n v="168.07"/>
    <m/>
    <m/>
    <m/>
    <m/>
    <m/>
    <m/>
    <m/>
    <n v="84.04"/>
    <m/>
    <n v="504.22"/>
  </r>
  <r>
    <n v="5"/>
    <x v="5"/>
    <x v="0"/>
    <n v="170437"/>
    <s v="SOSA BLANCA"/>
    <s v="27-28474500-6"/>
    <d v="2016-06-02T00:00:00"/>
    <n v="28474500"/>
    <s v="SOSA"/>
    <s v="BLANCA"/>
    <s v="F"/>
    <m/>
    <d v="2016-03-18T00:00:00"/>
    <m/>
    <m/>
    <s v="GASTRONOMICOS-Hoteles 4 y 5 Estrellas - 362/2003"/>
    <s v="Categoría 4"/>
    <x v="15"/>
    <s v="Unidad Principal"/>
    <s v="Centro"/>
    <s v="Mucama"/>
    <n v="127505"/>
    <s v="O.S.Asoc.Emp.Faramacia"/>
    <s v="Capital Federal"/>
    <m/>
    <n v="1440"/>
    <s v="VIRGENES"/>
    <n v="265"/>
    <m/>
    <m/>
    <s v="CAPITAL FEDERAL"/>
    <s v="Capital Federal"/>
    <m/>
    <s v="U.O.Centro"/>
    <s v="Mucama"/>
    <n v="2"/>
    <n v="1"/>
    <n v="12067.38"/>
    <n v="2413.48"/>
    <m/>
    <m/>
    <n v="9653.9"/>
    <m/>
    <n v="241.34"/>
    <m/>
    <m/>
    <m/>
    <m/>
    <m/>
    <m/>
    <n v="120.67"/>
    <m/>
    <m/>
    <m/>
    <m/>
    <m/>
    <m/>
    <n v="241.34"/>
    <m/>
    <m/>
    <m/>
    <m/>
    <m/>
    <m/>
    <m/>
    <n v="120.67"/>
    <m/>
    <n v="724.02"/>
  </r>
  <r>
    <n v="5"/>
    <x v="5"/>
    <x v="1"/>
    <n v="154462"/>
    <s v="SOTELO DAMARIS ROXANA"/>
    <s v="27-38100104-6"/>
    <d v="2016-05-31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 Paga Inplant"/>
    <m/>
    <n v="1"/>
    <n v="1"/>
    <n v="1415.62"/>
    <n v="283.13"/>
    <m/>
    <m/>
    <n v="1132.49"/>
    <m/>
    <n v="28.31"/>
    <m/>
    <m/>
    <m/>
    <m/>
    <m/>
    <m/>
    <n v="14.16"/>
    <m/>
    <m/>
    <m/>
    <m/>
    <m/>
    <m/>
    <n v="28.31"/>
    <m/>
    <m/>
    <m/>
    <m/>
    <m/>
    <m/>
    <m/>
    <n v="14.16"/>
    <m/>
    <n v="84.94"/>
  </r>
  <r>
    <n v="5"/>
    <x v="5"/>
    <x v="1"/>
    <n v="93346"/>
    <s v="SOTO JAVIER EDUARDO"/>
    <s v="20-37676002-3"/>
    <d v="2016-06-06T00:00:00"/>
    <n v="37676002"/>
    <s v="SOTO"/>
    <s v="JAVIER EDUARDO"/>
    <s v="M"/>
    <m/>
    <d v="2012-07-06T00:00:00"/>
    <m/>
    <m/>
    <s v="GASTRONOMICOS-Hoteles 4 y 5 Estrellas - 362/2003"/>
    <s v="Categoria 5"/>
    <x v="9"/>
    <s v="Unidad Principal"/>
    <s v="Centro"/>
    <s v="Ayudante de Cocina"/>
    <n v="108803"/>
    <s v="O.S.P.Gastronomico"/>
    <s v="Capital Federal"/>
    <m/>
    <n v="1049"/>
    <s v="ALVARADO"/>
    <n v="535"/>
    <m/>
    <m/>
    <s v="CAPITAL FEDERAL"/>
    <s v="Capital Federal"/>
    <m/>
    <s v="U.O.Centro Paga Inplant"/>
    <s v="PEONES"/>
    <n v="1"/>
    <n v="1"/>
    <n v="14093.36"/>
    <n v="2818.67"/>
    <m/>
    <m/>
    <n v="11274.69"/>
    <m/>
    <n v="281.87"/>
    <m/>
    <m/>
    <m/>
    <m/>
    <m/>
    <m/>
    <n v="140.93"/>
    <m/>
    <m/>
    <m/>
    <m/>
    <m/>
    <m/>
    <n v="281.87"/>
    <m/>
    <m/>
    <m/>
    <m/>
    <m/>
    <m/>
    <m/>
    <n v="140.93"/>
    <m/>
    <n v="845.6"/>
  </r>
  <r>
    <n v="5"/>
    <x v="5"/>
    <x v="0"/>
    <n v="155979"/>
    <s v="SOULE ROMINA SOLEDAD"/>
    <s v="23-34390010-4"/>
    <d v="2016-06-06T00:00:00"/>
    <n v="34390010"/>
    <s v="SOULE"/>
    <s v="ROMINA SOLEDAD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HACO"/>
    <n v="1005"/>
    <n v="1"/>
    <s v="A"/>
    <s v="CAPITAL FEDERAL"/>
    <s v="Capital Federal"/>
    <m/>
    <s v="U.O.Centro"/>
    <m/>
    <n v="2"/>
    <n v="1"/>
    <n v="4026.43"/>
    <n v="805.28"/>
    <m/>
    <m/>
    <n v="3221.15"/>
    <m/>
    <n v="80.53"/>
    <m/>
    <m/>
    <m/>
    <m/>
    <m/>
    <m/>
    <n v="40.26"/>
    <m/>
    <m/>
    <m/>
    <m/>
    <m/>
    <m/>
    <n v="80.53"/>
    <m/>
    <m/>
    <m/>
    <m/>
    <m/>
    <m/>
    <m/>
    <n v="40.26"/>
    <m/>
    <n v="241.58"/>
  </r>
  <r>
    <n v="5"/>
    <x v="5"/>
    <x v="0"/>
    <n v="169950"/>
    <s v="SPITALERI IVANA MURIEL"/>
    <s v="23-24946164-4"/>
    <d v="2016-05-23T00:00:00"/>
    <n v="24946164"/>
    <s v="SPITALERI"/>
    <s v="IVANA MURIEL"/>
    <s v="F"/>
    <m/>
    <d v="2016-03-05T00:00:00"/>
    <d v="2016-05-12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AIPU"/>
    <n v="1225"/>
    <m/>
    <m/>
    <s v="CAPITAL FEDERAL"/>
    <s v="Buenos Aires"/>
    <m/>
    <s v="U.O.Centro"/>
    <m/>
    <n v="1"/>
    <n v="1"/>
    <n v="543.53"/>
    <n v="108.72"/>
    <m/>
    <m/>
    <n v="434.81"/>
    <m/>
    <n v="10.87"/>
    <m/>
    <m/>
    <m/>
    <m/>
    <m/>
    <m/>
    <n v="5.44"/>
    <m/>
    <m/>
    <m/>
    <m/>
    <m/>
    <m/>
    <n v="10.87"/>
    <m/>
    <m/>
    <m/>
    <m/>
    <m/>
    <m/>
    <m/>
    <n v="5.44"/>
    <m/>
    <n v="32.619999999999997"/>
  </r>
  <r>
    <n v="5"/>
    <x v="5"/>
    <x v="0"/>
    <n v="162209"/>
    <s v="STOCKL BRENDA JENNIFER"/>
    <s v="27-37769971-3"/>
    <d v="2016-06-06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3"/>
    <n v="1"/>
    <n v="13605.76"/>
    <n v="2721.14"/>
    <m/>
    <m/>
    <n v="10884.62"/>
    <m/>
    <n v="272.11"/>
    <m/>
    <m/>
    <m/>
    <m/>
    <m/>
    <m/>
    <n v="136.06"/>
    <m/>
    <m/>
    <m/>
    <m/>
    <m/>
    <m/>
    <n v="272.11"/>
    <m/>
    <m/>
    <m/>
    <m/>
    <m/>
    <m/>
    <m/>
    <n v="136.06"/>
    <m/>
    <n v="816.34"/>
  </r>
  <r>
    <n v="5"/>
    <x v="5"/>
    <x v="0"/>
    <n v="162177"/>
    <s v="SZYCHOWSKI WALTER TADEO"/>
    <s v="23-20698069-9"/>
    <d v="2016-05-23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s v="EMA"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5"/>
    <x v="5"/>
    <x v="1"/>
    <n v="172802"/>
    <s v="TANGREDI ESTEBAN ENRIQUE"/>
    <s v="23-36948164-9"/>
    <d v="2016-06-06T00:00:00"/>
    <n v="36948164"/>
    <s v="TANGREDI"/>
    <s v="ESTEBAN ENRIQUE"/>
    <s v="M"/>
    <m/>
    <d v="2016-05-10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HIDALGO"/>
    <n v="764"/>
    <n v="3"/>
    <s v="D"/>
    <s v="CAPITAL FEDERAL"/>
    <s v="Capital Federal"/>
    <m/>
    <s v="U.O.Centro"/>
    <m/>
    <n v="2"/>
    <n v="1"/>
    <n v="2384.66"/>
    <n v="476.94"/>
    <m/>
    <m/>
    <n v="1907.72"/>
    <m/>
    <n v="47.7"/>
    <m/>
    <m/>
    <m/>
    <m/>
    <m/>
    <m/>
    <n v="23.84"/>
    <m/>
    <m/>
    <m/>
    <m/>
    <m/>
    <m/>
    <n v="47.7"/>
    <m/>
    <m/>
    <m/>
    <m/>
    <m/>
    <m/>
    <m/>
    <n v="23.84"/>
    <m/>
    <n v="143.08000000000001"/>
  </r>
  <r>
    <n v="5"/>
    <x v="5"/>
    <x v="0"/>
    <n v="162835"/>
    <s v="TAPIA CARINA ELIZABET"/>
    <s v="27-27804858-1"/>
    <d v="2016-05-23T00:00:00"/>
    <n v="27804858"/>
    <s v="TAPIA"/>
    <s v="CARINA ELIZABET"/>
    <s v="F"/>
    <m/>
    <d v="2015-12-02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MORON"/>
    <n v="1005"/>
    <m/>
    <m/>
    <s v="CAPITAL FEDERAL"/>
    <s v="Capital Federal"/>
    <m/>
    <s v="U.O.Centro"/>
    <m/>
    <n v="1"/>
    <n v="1"/>
    <n v="689.53"/>
    <n v="137.91999999999999"/>
    <m/>
    <m/>
    <n v="551.61"/>
    <m/>
    <n v="13.79"/>
    <m/>
    <m/>
    <m/>
    <m/>
    <m/>
    <m/>
    <n v="6.9"/>
    <m/>
    <m/>
    <m/>
    <m/>
    <m/>
    <m/>
    <n v="13.79"/>
    <m/>
    <m/>
    <m/>
    <m/>
    <m/>
    <m/>
    <m/>
    <n v="6.9"/>
    <m/>
    <n v="41.38"/>
  </r>
  <r>
    <n v="5"/>
    <x v="5"/>
    <x v="0"/>
    <n v="172231"/>
    <s v="TOLABA ANA DANIELA"/>
    <s v="27-28788381-7"/>
    <d v="2016-06-06T00:00:00"/>
    <n v="28788381"/>
    <s v="TOLABA"/>
    <s v="ANA DANIELA"/>
    <s v="F"/>
    <m/>
    <d v="2016-04-27T00:00:00"/>
    <d v="2016-05-24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JOSE"/>
    <n v="1225"/>
    <n v="3"/>
    <s v="B"/>
    <s v="CAPITAL FEDERAL"/>
    <s v="Buenos Aires"/>
    <m/>
    <s v="U.O.Centro"/>
    <m/>
    <n v="2"/>
    <n v="1"/>
    <n v="6522.42"/>
    <n v="1304.48"/>
    <m/>
    <m/>
    <n v="5217.9399999999996"/>
    <m/>
    <n v="130.44"/>
    <m/>
    <m/>
    <m/>
    <m/>
    <m/>
    <m/>
    <n v="65.22"/>
    <m/>
    <m/>
    <m/>
    <m/>
    <m/>
    <m/>
    <n v="130.44"/>
    <m/>
    <m/>
    <m/>
    <m/>
    <m/>
    <m/>
    <m/>
    <n v="65.22"/>
    <m/>
    <n v="391.32"/>
  </r>
  <r>
    <n v="5"/>
    <x v="5"/>
    <x v="0"/>
    <n v="169811"/>
    <s v="TOLABA ESTELA MARTINA"/>
    <s v="27-25992551-2"/>
    <d v="2016-06-06T00:00:00"/>
    <n v="25992551"/>
    <s v="TOLABA"/>
    <s v="ESTELA MARTINA"/>
    <s v="F"/>
    <m/>
    <d v="2016-03-0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ULPINA"/>
    <n v="1225"/>
    <m/>
    <m/>
    <s v="CAPITAL FEDERAL"/>
    <s v="Buenos Aires"/>
    <m/>
    <s v="U.O.Centro"/>
    <m/>
    <n v="2"/>
    <n v="1"/>
    <n v="8696.57"/>
    <n v="1739.31"/>
    <m/>
    <m/>
    <n v="6957.26"/>
    <m/>
    <n v="173.93"/>
    <m/>
    <m/>
    <m/>
    <m/>
    <m/>
    <m/>
    <n v="86.96"/>
    <m/>
    <m/>
    <m/>
    <m/>
    <m/>
    <m/>
    <n v="173.93"/>
    <m/>
    <m/>
    <m/>
    <m/>
    <m/>
    <m/>
    <m/>
    <n v="86.96"/>
    <m/>
    <n v="521.78"/>
  </r>
  <r>
    <n v="5"/>
    <x v="5"/>
    <x v="0"/>
    <n v="161179"/>
    <s v="TORRES CLAUDIA ANDREA"/>
    <s v="27-30236589-5"/>
    <d v="2016-05-23T00:00:00"/>
    <n v="30236589"/>
    <s v="TORRES"/>
    <s v="CLAUDIA ANDREA"/>
    <s v="F"/>
    <m/>
    <d v="2015-11-1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ECIA"/>
    <n v="1225"/>
    <m/>
    <m/>
    <s v="CAPITAL FEDERAL"/>
    <s v="Buenos Aires"/>
    <m/>
    <s v="U.O.Centro"/>
    <m/>
    <n v="1"/>
    <n v="1"/>
    <n v="543.53"/>
    <n v="108.72"/>
    <m/>
    <m/>
    <n v="434.81"/>
    <m/>
    <n v="10.87"/>
    <m/>
    <m/>
    <m/>
    <m/>
    <m/>
    <m/>
    <n v="5.44"/>
    <m/>
    <m/>
    <m/>
    <m/>
    <m/>
    <m/>
    <n v="10.87"/>
    <m/>
    <m/>
    <m/>
    <m/>
    <m/>
    <m/>
    <m/>
    <n v="5.44"/>
    <m/>
    <n v="32.619999999999997"/>
  </r>
  <r>
    <n v="5"/>
    <x v="5"/>
    <x v="0"/>
    <n v="172232"/>
    <s v="TORRES EMILCE LUCIA"/>
    <s v="27-31640139-8"/>
    <d v="2016-06-06T00:00:00"/>
    <n v="31640139"/>
    <s v="TORRES"/>
    <s v="EMILCE LUCIA"/>
    <s v="F"/>
    <m/>
    <d v="2016-04-23T00:00:00"/>
    <d v="2016-05-02T00:00:00"/>
    <d v="2016-05-02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yolas"/>
    <n v="1225"/>
    <m/>
    <m/>
    <s v="CAPITAL FEDERAL"/>
    <s v="Buenos Aires"/>
    <m/>
    <s v="U.O.Centro"/>
    <m/>
    <n v="1"/>
    <n v="1"/>
    <n v="543.54"/>
    <n v="108.72"/>
    <m/>
    <m/>
    <n v="434.82"/>
    <m/>
    <n v="10.87"/>
    <m/>
    <m/>
    <m/>
    <m/>
    <m/>
    <m/>
    <n v="5.44"/>
    <m/>
    <m/>
    <m/>
    <m/>
    <m/>
    <m/>
    <n v="10.87"/>
    <m/>
    <m/>
    <m/>
    <m/>
    <m/>
    <m/>
    <m/>
    <n v="5.44"/>
    <m/>
    <n v="32.619999999999997"/>
  </r>
  <r>
    <n v="5"/>
    <x v="5"/>
    <x v="0"/>
    <n v="170180"/>
    <s v="TORRES FERNANDO"/>
    <s v="23-36164521-9"/>
    <d v="2016-06-02T00:00:0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ICARDO ROJAS"/>
    <n v="265"/>
    <m/>
    <m/>
    <s v="CAPITAL FEDERAL"/>
    <s v="Capital Federal"/>
    <m/>
    <s v="U.O.Centro"/>
    <s v="Ayudantes"/>
    <n v="2"/>
    <n v="1"/>
    <n v="9205.11"/>
    <n v="1841.01"/>
    <m/>
    <m/>
    <n v="7364.1"/>
    <m/>
    <n v="184.1"/>
    <m/>
    <m/>
    <m/>
    <m/>
    <m/>
    <m/>
    <n v="92.05"/>
    <m/>
    <m/>
    <m/>
    <m/>
    <m/>
    <m/>
    <n v="184.1"/>
    <m/>
    <m/>
    <m/>
    <m/>
    <m/>
    <m/>
    <m/>
    <n v="92.05"/>
    <m/>
    <n v="552.29999999999995"/>
  </r>
  <r>
    <n v="5"/>
    <x v="5"/>
    <x v="1"/>
    <n v="165162"/>
    <s v="TORRES VERONICA ALEJANDRA"/>
    <s v="23-25413259-4"/>
    <d v="2016-05-31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 Paga Inplant"/>
    <m/>
    <n v="1"/>
    <n v="1"/>
    <n v="5585.25"/>
    <n v="1117.06"/>
    <m/>
    <m/>
    <n v="4468.1899999999996"/>
    <m/>
    <n v="111.71"/>
    <m/>
    <m/>
    <m/>
    <m/>
    <m/>
    <m/>
    <n v="55.85"/>
    <m/>
    <m/>
    <m/>
    <m/>
    <m/>
    <m/>
    <n v="111.71"/>
    <m/>
    <m/>
    <m/>
    <m/>
    <m/>
    <m/>
    <m/>
    <n v="55.85"/>
    <m/>
    <n v="335.12"/>
  </r>
  <r>
    <n v="5"/>
    <x v="5"/>
    <x v="0"/>
    <n v="170203"/>
    <s v="TOTARO ALEJANDRO EZEQUIEL"/>
    <s v="20-34309566-0"/>
    <d v="2016-06-06T00:00:0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ATANZA"/>
    <n v="1225"/>
    <m/>
    <m/>
    <s v="CAPITAL FEDERAL"/>
    <s v="Buenos Aires"/>
    <m/>
    <s v="U.O.Centro"/>
    <m/>
    <n v="1"/>
    <n v="1"/>
    <n v="2848.64"/>
    <n v="569.73"/>
    <m/>
    <m/>
    <n v="2278.91"/>
    <m/>
    <n v="56.97"/>
    <m/>
    <m/>
    <m/>
    <m/>
    <m/>
    <m/>
    <n v="28.49"/>
    <m/>
    <m/>
    <m/>
    <m/>
    <m/>
    <m/>
    <n v="56.97"/>
    <m/>
    <m/>
    <m/>
    <m/>
    <m/>
    <m/>
    <m/>
    <n v="28.49"/>
    <m/>
    <n v="170.92"/>
  </r>
  <r>
    <n v="5"/>
    <x v="5"/>
    <x v="0"/>
    <n v="172220"/>
    <s v="TULA YAMILA ANELEY"/>
    <s v="27-34863539-0"/>
    <d v="2016-06-01T00:00:00"/>
    <n v="34863539"/>
    <s v="TULA"/>
    <s v="YAMILA ANELEY"/>
    <s v="F"/>
    <m/>
    <d v="2016-04-26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ADOLFO ALSINA"/>
    <n v="841"/>
    <n v="1"/>
    <s v="B"/>
    <s v="CAPITAL FEDERAL"/>
    <s v="Buenos Aires"/>
    <m/>
    <s v="U.O.Centro"/>
    <m/>
    <n v="1"/>
    <n v="1"/>
    <n v="5909.25"/>
    <n v="1181.8599999999999"/>
    <m/>
    <m/>
    <n v="4727.3900000000003"/>
    <m/>
    <n v="118.19"/>
    <m/>
    <m/>
    <m/>
    <m/>
    <m/>
    <m/>
    <n v="59.09"/>
    <m/>
    <m/>
    <m/>
    <m/>
    <m/>
    <m/>
    <n v="118.19"/>
    <m/>
    <m/>
    <m/>
    <m/>
    <m/>
    <m/>
    <m/>
    <n v="59.09"/>
    <m/>
    <n v="354.56"/>
  </r>
  <r>
    <n v="5"/>
    <x v="5"/>
    <x v="0"/>
    <n v="173377"/>
    <s v="URETA MAURO GERMAN"/>
    <s v="20-36075890-8"/>
    <d v="2016-06-06T00:00:00"/>
    <n v="36075890"/>
    <s v="URETA"/>
    <s v="MAURO GERMAN"/>
    <s v="M"/>
    <m/>
    <d v="2016-05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Santa Fe"/>
    <n v="1225"/>
    <m/>
    <m/>
    <s v="CAPITAL FEDERAL"/>
    <s v="Buenos Aires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5"/>
    <x v="5"/>
    <x v="1"/>
    <n v="170999"/>
    <s v="URUNAGA HECTOR DANIELl"/>
    <s v="20-30790046-8"/>
    <d v="2016-05-31T00:00:00"/>
    <n v="30790046"/>
    <s v="URUNAGA"/>
    <s v="HECTOR DANIELl"/>
    <s v="M"/>
    <m/>
    <d v="2016-03-31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TUCUMAN"/>
    <n v="764"/>
    <n v="8"/>
    <n v="240"/>
    <s v="CAPITAL FEDERAL"/>
    <s v="Capital Federal"/>
    <m/>
    <s v="U.O.Centro Paga Inplant"/>
    <m/>
    <n v="1"/>
    <n v="1"/>
    <n v="4497.8599999999997"/>
    <n v="899.58"/>
    <m/>
    <m/>
    <n v="3598.28"/>
    <m/>
    <n v="89.96"/>
    <m/>
    <m/>
    <m/>
    <m/>
    <m/>
    <m/>
    <n v="44.98"/>
    <m/>
    <m/>
    <m/>
    <m/>
    <m/>
    <m/>
    <n v="89.96"/>
    <m/>
    <m/>
    <m/>
    <m/>
    <m/>
    <m/>
    <m/>
    <n v="44.98"/>
    <m/>
    <n v="269.88"/>
  </r>
  <r>
    <n v="5"/>
    <x v="5"/>
    <x v="0"/>
    <n v="170465"/>
    <s v="VALDEZ ALEJANDRO  DAMIAN"/>
    <s v="20-31963373-2"/>
    <d v="2016-05-23T00:00:00"/>
    <n v="31963373"/>
    <s v="VALDEZ"/>
    <s v="ALEJANDRO  DAMIAN"/>
    <s v="M"/>
    <m/>
    <d v="2016-03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SCANO"/>
    <n v="1225"/>
    <m/>
    <m/>
    <s v="CAPITAL FEDERAL"/>
    <s v="Buenos Aires"/>
    <m/>
    <s v="U.O.Centro"/>
    <s v="EMA"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5"/>
    <x v="5"/>
    <x v="1"/>
    <n v="159131"/>
    <s v="VALEIRO MARIA SOLEDAD"/>
    <s v="23-27310730-4"/>
    <d v="2016-05-31T00:00:00"/>
    <n v="27310730"/>
    <s v="VALEIRO"/>
    <s v="MARIA SOLEDAD"/>
    <s v="F"/>
    <m/>
    <d v="2015-10-08T00:00:00"/>
    <d v="2016-05-12T00:00:00"/>
    <m/>
    <s v="GASTRONOMICOS-Hoteles 4 y 5 Estrellas - 362/2003"/>
    <s v="Categoria 5"/>
    <x v="3"/>
    <s v="Unidad Principal"/>
    <s v="Centro"/>
    <s v="Tareas Generales"/>
    <n v="101604"/>
    <s v="O.S.P.Automovil Club Argentino*"/>
    <s v="Capital Federal"/>
    <m/>
    <n v="1002"/>
    <s v="GERVASIO POSADAS"/>
    <n v="764"/>
    <m/>
    <m/>
    <s v="CAPITAL FEDERAL"/>
    <s v="Capital Federal"/>
    <m/>
    <s v="U.O.Centro Paga Inplant"/>
    <m/>
    <n v="1"/>
    <n v="1"/>
    <n v="2585.9"/>
    <n v="517.19000000000005"/>
    <m/>
    <m/>
    <n v="2068.71"/>
    <m/>
    <n v="51.72"/>
    <m/>
    <m/>
    <m/>
    <m/>
    <m/>
    <m/>
    <n v="25.86"/>
    <m/>
    <m/>
    <m/>
    <m/>
    <m/>
    <m/>
    <n v="51.72"/>
    <m/>
    <m/>
    <m/>
    <m/>
    <m/>
    <m/>
    <m/>
    <n v="25.86"/>
    <m/>
    <n v="155.16"/>
  </r>
  <r>
    <n v="5"/>
    <x v="5"/>
    <x v="0"/>
    <n v="173656"/>
    <s v="VALENZUELA LETICIA MERCEDES"/>
    <s v="27-30230511-6"/>
    <d v="2016-06-06T00:00:00"/>
    <n v="30230511"/>
    <s v="VALENZUELA"/>
    <s v="LETICIA MERCEDES"/>
    <s v="F"/>
    <m/>
    <d v="2016-05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IO GALLEGOS"/>
    <n v="1225"/>
    <m/>
    <s v="D"/>
    <s v="CAPITAL FEDERAL"/>
    <s v="Buenos Aires"/>
    <m/>
    <s v="U.O.Quilmes"/>
    <m/>
    <n v="1"/>
    <n v="1"/>
    <n v="1200.5"/>
    <n v="240.12"/>
    <m/>
    <m/>
    <n v="960.38"/>
    <m/>
    <n v="24.01"/>
    <m/>
    <m/>
    <m/>
    <m/>
    <m/>
    <m/>
    <n v="12.01"/>
    <m/>
    <m/>
    <m/>
    <m/>
    <m/>
    <m/>
    <n v="24.01"/>
    <m/>
    <m/>
    <m/>
    <m/>
    <m/>
    <m/>
    <m/>
    <n v="12.01"/>
    <m/>
    <n v="72.040000000000006"/>
  </r>
  <r>
    <n v="5"/>
    <x v="5"/>
    <x v="1"/>
    <n v="170492"/>
    <s v="VALIENTE MARIA NAZARENA"/>
    <s v="27-23700239-9"/>
    <d v="2016-06-06T00:00:0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1159.7"/>
    <n v="231.94"/>
    <m/>
    <m/>
    <n v="927.76"/>
    <m/>
    <n v="23.19"/>
    <m/>
    <m/>
    <m/>
    <m/>
    <m/>
    <m/>
    <n v="11.6"/>
    <m/>
    <m/>
    <m/>
    <m/>
    <m/>
    <m/>
    <n v="23.19"/>
    <m/>
    <m/>
    <m/>
    <m/>
    <m/>
    <m/>
    <m/>
    <n v="11.6"/>
    <m/>
    <n v="69.58"/>
  </r>
  <r>
    <n v="5"/>
    <x v="5"/>
    <x v="0"/>
    <n v="163376"/>
    <s v="VARGAS BENITEZ KARINA LUJAN"/>
    <s v="27-37354725-0"/>
    <d v="2016-06-06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2"/>
    <n v="1"/>
    <n v="3201.36"/>
    <n v="640.27"/>
    <m/>
    <m/>
    <n v="2561.09"/>
    <m/>
    <n v="64.03"/>
    <m/>
    <m/>
    <m/>
    <m/>
    <m/>
    <m/>
    <n v="32.01"/>
    <m/>
    <m/>
    <m/>
    <m/>
    <m/>
    <m/>
    <n v="64.03"/>
    <m/>
    <m/>
    <m/>
    <m/>
    <m/>
    <m/>
    <m/>
    <n v="32.01"/>
    <m/>
    <n v="192.08"/>
  </r>
  <r>
    <n v="5"/>
    <x v="5"/>
    <x v="0"/>
    <n v="172604"/>
    <s v="VARGAS TOLEDO JEAN CARLOS"/>
    <s v="20-94470198-3"/>
    <d v="2016-05-23T00:00:00"/>
    <n v="94470198"/>
    <s v="VARGAS TOLEDO"/>
    <s v="JEAN CARLOS"/>
    <s v="M"/>
    <m/>
    <d v="2016-05-05T00:00:00"/>
    <m/>
    <m/>
    <s v="GASTRONOMICOS-Hoteles 4 y 5 Estrellas - 362/2003"/>
    <s v="Categoria 6"/>
    <x v="1"/>
    <s v="BANQUETES"/>
    <s v="Centro"/>
    <s v="Tareas Generales"/>
    <n v="127208"/>
    <s v="O.S.de Mandos Medios de Telecomunicaciones"/>
    <s v="Capital Federal"/>
    <m/>
    <n v="1005"/>
    <s v="DONADO"/>
    <n v="1005"/>
    <m/>
    <m/>
    <s v="CAPITAL FEDERAL"/>
    <s v="Capital Federal"/>
    <m/>
    <s v="U.O.Centro"/>
    <m/>
    <n v="1"/>
    <n v="1"/>
    <n v="369.39"/>
    <n v="73.87"/>
    <m/>
    <m/>
    <n v="295.52"/>
    <m/>
    <n v="7.39"/>
    <m/>
    <m/>
    <m/>
    <m/>
    <m/>
    <m/>
    <n v="3.69"/>
    <m/>
    <m/>
    <m/>
    <m/>
    <m/>
    <m/>
    <n v="7.39"/>
    <m/>
    <m/>
    <m/>
    <m/>
    <m/>
    <m/>
    <m/>
    <n v="3.69"/>
    <m/>
    <n v="22.16"/>
  </r>
  <r>
    <n v="5"/>
    <x v="5"/>
    <x v="1"/>
    <n v="140009"/>
    <s v="VEGA JUAN JOSE"/>
    <s v="20-34339212-6"/>
    <d v="2016-06-06T00:00:00"/>
    <n v="34339212"/>
    <s v="VEGA"/>
    <s v="JUAN JOSE"/>
    <s v="M"/>
    <m/>
    <d v="2014-12-17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PRUDAN"/>
    <n v="764"/>
    <n v="5"/>
    <n v="5"/>
    <s v="CAPITAL FEDERAL"/>
    <s v="Capital Federal"/>
    <m/>
    <s v="U.O.Centro Paga Inplant"/>
    <m/>
    <n v="2"/>
    <n v="1"/>
    <n v="11808.91"/>
    <n v="2404.87"/>
    <m/>
    <m/>
    <n v="9404.0400000000009"/>
    <n v="295.23"/>
    <m/>
    <m/>
    <m/>
    <m/>
    <m/>
    <m/>
    <m/>
    <n v="102.12"/>
    <m/>
    <m/>
    <m/>
    <m/>
    <m/>
    <m/>
    <n v="236.17"/>
    <m/>
    <m/>
    <m/>
    <m/>
    <m/>
    <m/>
    <m/>
    <n v="102.12"/>
    <m/>
    <n v="735.64"/>
  </r>
  <r>
    <n v="5"/>
    <x v="5"/>
    <x v="0"/>
    <n v="143424"/>
    <s v="VELASQUEZ NESTOR IGNACIO"/>
    <s v="20-30830390-0"/>
    <d v="2016-06-02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2"/>
    <n v="1"/>
    <n v="13268.46"/>
    <n v="2720.02"/>
    <m/>
    <m/>
    <n v="10548.44"/>
    <n v="331.71"/>
    <m/>
    <m/>
    <m/>
    <m/>
    <m/>
    <m/>
    <m/>
    <n v="132.68"/>
    <m/>
    <m/>
    <m/>
    <m/>
    <m/>
    <m/>
    <n v="265.37"/>
    <m/>
    <m/>
    <m/>
    <m/>
    <m/>
    <m/>
    <m/>
    <n v="132.68"/>
    <m/>
    <n v="862.44"/>
  </r>
  <r>
    <n v="5"/>
    <x v="5"/>
    <x v="1"/>
    <n v="170478"/>
    <s v="VELAZQUEZ FERNANDO ARIEL"/>
    <s v="20-18830125-9"/>
    <d v="2016-06-06T00:00:00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n v="1129"/>
    <s v="SARMIENTO"/>
    <n v="1891"/>
    <m/>
    <m/>
    <s v="CAPITAL FEDERAL"/>
    <s v="Capital Federal"/>
    <m/>
    <s v="U.O.Centro"/>
    <s v="Alvear Palace"/>
    <n v="1"/>
    <n v="1"/>
    <n v="4783.76"/>
    <n v="956.75"/>
    <m/>
    <m/>
    <n v="3827.01"/>
    <m/>
    <n v="95.68"/>
    <m/>
    <m/>
    <m/>
    <m/>
    <m/>
    <m/>
    <n v="47.84"/>
    <m/>
    <m/>
    <m/>
    <m/>
    <m/>
    <m/>
    <n v="95.68"/>
    <m/>
    <m/>
    <m/>
    <m/>
    <m/>
    <m/>
    <m/>
    <n v="47.84"/>
    <m/>
    <n v="287.04000000000002"/>
  </r>
  <r>
    <n v="5"/>
    <x v="5"/>
    <x v="0"/>
    <n v="173657"/>
    <s v="VELAZQUEZ LEONARDO GASPAR"/>
    <s v="20-37205067-6"/>
    <d v="2016-06-06T00:00:00"/>
    <n v="37205067"/>
    <s v="VELAZQUEZ"/>
    <s v="LEONARDO GASPAR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BLAS PARERA"/>
    <n v="1225"/>
    <m/>
    <m/>
    <s v="CAPITAL FEDERAL"/>
    <s v="Buenos Aires"/>
    <m/>
    <s v="U.O.Centro"/>
    <m/>
    <n v="1"/>
    <n v="1"/>
    <n v="656.64"/>
    <n v="131.33000000000001"/>
    <m/>
    <m/>
    <n v="525.30999999999995"/>
    <m/>
    <n v="13.13"/>
    <m/>
    <m/>
    <m/>
    <m/>
    <m/>
    <m/>
    <n v="6.57"/>
    <m/>
    <m/>
    <m/>
    <m/>
    <m/>
    <m/>
    <n v="13.13"/>
    <m/>
    <m/>
    <m/>
    <m/>
    <m/>
    <m/>
    <m/>
    <n v="6.57"/>
    <m/>
    <n v="39.4"/>
  </r>
  <r>
    <n v="5"/>
    <x v="5"/>
    <x v="0"/>
    <n v="169885"/>
    <s v="VELAZQUEZ NOELIA"/>
    <s v="27-28814358-2"/>
    <d v="2016-06-06T00:00:00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9602.5300000000007"/>
    <n v="1920.52"/>
    <m/>
    <m/>
    <n v="7682.01"/>
    <m/>
    <n v="192.05"/>
    <m/>
    <m/>
    <m/>
    <m/>
    <m/>
    <m/>
    <n v="96.03"/>
    <m/>
    <m/>
    <m/>
    <m/>
    <m/>
    <m/>
    <n v="192.05"/>
    <m/>
    <m/>
    <m/>
    <m/>
    <m/>
    <m/>
    <m/>
    <n v="96.03"/>
    <m/>
    <n v="576.16"/>
  </r>
  <r>
    <n v="5"/>
    <x v="5"/>
    <x v="0"/>
    <n v="172595"/>
    <s v="VERA GUILLERMO EDUARDO"/>
    <s v="23-28162145-9"/>
    <d v="2016-06-06T00:00:00"/>
    <n v="28162145"/>
    <s v="VERA"/>
    <s v="GUILLERMO EDUARDO"/>
    <s v="M"/>
    <m/>
    <d v="2016-05-05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2"/>
    <n v="1"/>
    <n v="16067.49"/>
    <n v="3213.51"/>
    <m/>
    <m/>
    <n v="12853.98"/>
    <m/>
    <n v="321.35000000000002"/>
    <m/>
    <m/>
    <m/>
    <m/>
    <m/>
    <m/>
    <n v="160.68"/>
    <m/>
    <m/>
    <m/>
    <m/>
    <m/>
    <m/>
    <n v="321.35000000000002"/>
    <m/>
    <m/>
    <m/>
    <m/>
    <m/>
    <m/>
    <m/>
    <n v="160.68"/>
    <m/>
    <n v="964.06"/>
  </r>
  <r>
    <n v="5"/>
    <x v="5"/>
    <x v="0"/>
    <n v="169873"/>
    <s v="VIELMA CABRERA TORIBIA"/>
    <s v="27-19026261-3"/>
    <d v="2016-06-06T00:00:00"/>
    <n v="19026261"/>
    <s v="VIELMA CABRERA"/>
    <s v="TORIBIA"/>
    <s v="F"/>
    <m/>
    <d v="2016-03-07T00:00:00"/>
    <d v="2016-05-23T00:00:00"/>
    <d v="2016-05-23T00:00:00"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ITALIA"/>
    <n v="181"/>
    <m/>
    <m/>
    <s v="CAPITAL FEDERAL"/>
    <s v="Capital Federal"/>
    <m/>
    <s v="U.O.Centro"/>
    <m/>
    <n v="1"/>
    <n v="1"/>
    <n v="411.54"/>
    <n v="82.32"/>
    <m/>
    <m/>
    <n v="329.22"/>
    <m/>
    <n v="8.23"/>
    <m/>
    <m/>
    <m/>
    <m/>
    <m/>
    <m/>
    <n v="4.12"/>
    <m/>
    <m/>
    <m/>
    <m/>
    <m/>
    <m/>
    <n v="8.23"/>
    <m/>
    <m/>
    <m/>
    <m/>
    <m/>
    <m/>
    <m/>
    <n v="4.12"/>
    <m/>
    <n v="24.7"/>
  </r>
  <r>
    <n v="5"/>
    <x v="5"/>
    <x v="0"/>
    <n v="172242"/>
    <s v="VILLALBA SANDRA KARINA"/>
    <s v="23-24570985-4"/>
    <d v="2016-05-23T00:00:00"/>
    <n v="24570985"/>
    <s v="VILLALBA"/>
    <s v="SANDRA KARINA"/>
    <s v="F"/>
    <m/>
    <d v="2016-04-27T00:00:00"/>
    <d v="2016-05-15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GRAL GREGORIO ARAOZ DE LAMADRID"/>
    <n v="1225"/>
    <m/>
    <m/>
    <s v="CAPITAL FEDERAL"/>
    <s v="Buenos Aires"/>
    <m/>
    <s v="U.O.Centro"/>
    <m/>
    <n v="1"/>
    <n v="1"/>
    <n v="3261.21"/>
    <n v="652.24"/>
    <m/>
    <m/>
    <n v="2608.9699999999998"/>
    <m/>
    <n v="65.22"/>
    <m/>
    <m/>
    <m/>
    <m/>
    <m/>
    <m/>
    <n v="32.61"/>
    <m/>
    <m/>
    <m/>
    <m/>
    <m/>
    <m/>
    <n v="65.22"/>
    <m/>
    <m/>
    <m/>
    <m/>
    <m/>
    <m/>
    <m/>
    <n v="32.61"/>
    <m/>
    <n v="195.66"/>
  </r>
  <r>
    <n v="5"/>
    <x v="5"/>
    <x v="0"/>
    <n v="170044"/>
    <s v="VILLANUEVA STELLA MARIS"/>
    <s v="27-24358222-4"/>
    <d v="2016-06-06T00:00:00"/>
    <n v="24358222"/>
    <s v="VILLANUEVA"/>
    <s v="STELLA MARIS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OLIVAR"/>
    <n v="1232"/>
    <m/>
    <m/>
    <s v="CAPITAL FEDERAL"/>
    <s v="Buenos Aires"/>
    <m/>
    <s v="U.O.Centro"/>
    <s v="Ama de Llaves"/>
    <n v="2"/>
    <n v="1"/>
    <n v="21032.62"/>
    <n v="4206.53"/>
    <m/>
    <m/>
    <n v="16826.09"/>
    <m/>
    <n v="420.65"/>
    <m/>
    <m/>
    <m/>
    <m/>
    <m/>
    <m/>
    <n v="210.33"/>
    <m/>
    <m/>
    <m/>
    <m/>
    <m/>
    <m/>
    <n v="420.65"/>
    <m/>
    <m/>
    <m/>
    <m/>
    <m/>
    <m/>
    <m/>
    <n v="210.33"/>
    <m/>
    <n v="1261.96"/>
  </r>
  <r>
    <n v="5"/>
    <x v="5"/>
    <x v="0"/>
    <n v="171590"/>
    <s v="VOLPI MARIA CECILIA"/>
    <s v="27-29198078-9"/>
    <d v="2016-06-06T00:00:00"/>
    <n v="29198078"/>
    <s v="VOLPI"/>
    <s v="MARIA CECILIA"/>
    <s v="F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BOLIVAR"/>
    <n v="1232"/>
    <m/>
    <m/>
    <s v="CAPITAL FEDERAL"/>
    <s v="Buenos Aires"/>
    <m/>
    <s v="U.O.Centro"/>
    <s v="Banquetes"/>
    <n v="1"/>
    <n v="1"/>
    <n v="1778.4"/>
    <n v="355.67"/>
    <m/>
    <m/>
    <n v="1422.73"/>
    <m/>
    <n v="35.57"/>
    <m/>
    <m/>
    <m/>
    <m/>
    <m/>
    <m/>
    <n v="17.78"/>
    <m/>
    <m/>
    <m/>
    <m/>
    <m/>
    <m/>
    <n v="35.57"/>
    <m/>
    <m/>
    <m/>
    <m/>
    <m/>
    <m/>
    <m/>
    <n v="17.78"/>
    <m/>
    <n v="106.7"/>
  </r>
  <r>
    <n v="5"/>
    <x v="5"/>
    <x v="0"/>
    <n v="173669"/>
    <s v="WEBER DARIO"/>
    <s v="20-26379060-0"/>
    <d v="2016-06-06T00:00:00"/>
    <n v="26379060"/>
    <s v="WEBER"/>
    <s v="DARIO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SAN MARTIN"/>
    <n v="1225"/>
    <n v="2"/>
    <s v="B"/>
    <s v="CAPITAL FEDERAL"/>
    <s v="Buenos Aires"/>
    <m/>
    <s v="U.O.Centro"/>
    <m/>
    <n v="1"/>
    <n v="1"/>
    <n v="656.64"/>
    <n v="131.33000000000001"/>
    <m/>
    <m/>
    <n v="525.30999999999995"/>
    <m/>
    <n v="13.13"/>
    <m/>
    <m/>
    <m/>
    <m/>
    <m/>
    <m/>
    <n v="6.57"/>
    <m/>
    <m/>
    <m/>
    <m/>
    <m/>
    <m/>
    <n v="13.13"/>
    <m/>
    <m/>
    <m/>
    <m/>
    <m/>
    <m/>
    <m/>
    <n v="6.57"/>
    <m/>
    <n v="39.4"/>
  </r>
  <r>
    <n v="5"/>
    <x v="5"/>
    <x v="1"/>
    <n v="130773"/>
    <s v="WTOREK WALTER EZEQUIEL"/>
    <s v="20-30454246-3"/>
    <d v="2016-06-06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7610.669999999998"/>
    <n v="3610.19"/>
    <m/>
    <m/>
    <n v="14000.48"/>
    <n v="440.27"/>
    <m/>
    <m/>
    <m/>
    <m/>
    <m/>
    <m/>
    <m/>
    <n v="176.11"/>
    <m/>
    <m/>
    <m/>
    <m/>
    <m/>
    <m/>
    <n v="352.21"/>
    <m/>
    <m/>
    <m/>
    <m/>
    <m/>
    <m/>
    <m/>
    <n v="176.11"/>
    <m/>
    <n v="1144.7"/>
  </r>
  <r>
    <n v="5"/>
    <x v="5"/>
    <x v="0"/>
    <n v="173040"/>
    <s v="YOUGUITCH MARTIN RODRIGO"/>
    <s v="20-31729666-6"/>
    <d v="2016-05-23T00:00:00"/>
    <n v="31729666"/>
    <s v="YOUGUITCH"/>
    <s v="MARTIN RODRIGO"/>
    <s v="M"/>
    <m/>
    <d v="2016-05-13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24 DE OCTUBRE"/>
    <n v="1225"/>
    <m/>
    <m/>
    <s v="CAPITAL FEDERAL"/>
    <s v="Buenos Aires"/>
    <m/>
    <s v="U.O.Centro"/>
    <m/>
    <n v="1"/>
    <n v="1"/>
    <n v="681.4"/>
    <n v="136.27000000000001"/>
    <m/>
    <m/>
    <n v="545.13"/>
    <m/>
    <n v="13.63"/>
    <m/>
    <m/>
    <m/>
    <m/>
    <m/>
    <m/>
    <n v="6.81"/>
    <m/>
    <m/>
    <m/>
    <m/>
    <m/>
    <m/>
    <n v="13.63"/>
    <m/>
    <m/>
    <m/>
    <m/>
    <m/>
    <m/>
    <m/>
    <n v="6.81"/>
    <m/>
    <n v="40.880000000000003"/>
  </r>
  <r>
    <n v="5"/>
    <x v="5"/>
    <x v="0"/>
    <n v="171787"/>
    <s v="ZACARIAS MAXIMILIANO FABIAN"/>
    <s v="20-35974702-1"/>
    <d v="2016-06-06T00:00:00"/>
    <n v="35974702"/>
    <s v="ZACARIAS"/>
    <s v="MAXIMILIANO FABIAN"/>
    <s v="M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PRINGLES"/>
    <n v="1232"/>
    <m/>
    <m/>
    <s v="CAPITAL FEDERAL"/>
    <s v="Buenos Aires"/>
    <m/>
    <s v="U.O.Centro"/>
    <s v="Banquetes"/>
    <n v="1"/>
    <n v="1"/>
    <n v="755.82"/>
    <n v="151.16"/>
    <m/>
    <m/>
    <n v="604.66"/>
    <m/>
    <n v="15.12"/>
    <m/>
    <m/>
    <m/>
    <m/>
    <m/>
    <m/>
    <n v="7.56"/>
    <m/>
    <m/>
    <m/>
    <m/>
    <m/>
    <m/>
    <n v="15.12"/>
    <m/>
    <m/>
    <m/>
    <m/>
    <m/>
    <m/>
    <m/>
    <n v="7.56"/>
    <m/>
    <n v="45.36"/>
  </r>
  <r>
    <n v="5"/>
    <x v="5"/>
    <x v="0"/>
    <n v="173041"/>
    <s v="ZARLENGO LUCAS DANIEL"/>
    <s v="20-39064151-7"/>
    <d v="2016-05-23T00:00:00"/>
    <n v="39064151"/>
    <s v="ZARLENGO"/>
    <s v="LUCAS DANIEL"/>
    <s v="M"/>
    <m/>
    <d v="2016-05-13T00:00:00"/>
    <m/>
    <d v="2016-05-14T00:00:00"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ORON"/>
    <n v="1225"/>
    <m/>
    <m/>
    <s v="CAPITAL FEDERAL"/>
    <s v="Buenos Aires"/>
    <m/>
    <s v="U.O.Centro"/>
    <m/>
    <n v="1"/>
    <n v="1"/>
    <n v="1362.8"/>
    <n v="272.56"/>
    <m/>
    <m/>
    <n v="1090.24"/>
    <m/>
    <n v="27.26"/>
    <m/>
    <m/>
    <m/>
    <m/>
    <m/>
    <m/>
    <n v="13.63"/>
    <m/>
    <m/>
    <m/>
    <m/>
    <m/>
    <m/>
    <n v="27.26"/>
    <m/>
    <m/>
    <m/>
    <m/>
    <m/>
    <m/>
    <m/>
    <n v="13.63"/>
    <m/>
    <n v="81.78"/>
  </r>
  <r>
    <n v="5"/>
    <x v="5"/>
    <x v="0"/>
    <n v="156235"/>
    <s v="ZENTENO CRISTIAN OSCAR"/>
    <s v="20-37675043-5"/>
    <d v="2016-06-06T00:00:00"/>
    <n v="37675043"/>
    <s v="ZENTENO"/>
    <s v="CRISTIAN OSCAR"/>
    <s v="M"/>
    <m/>
    <d v="2016-02-0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CAMPICHUELO"/>
    <n v="1005"/>
    <m/>
    <m/>
    <s v="CAPITAL FEDERAL"/>
    <s v="Capital Federal"/>
    <m/>
    <s v="U.O.Centro"/>
    <m/>
    <n v="3"/>
    <n v="1"/>
    <n v="13528.07"/>
    <n v="2705.62"/>
    <m/>
    <m/>
    <n v="10822.45"/>
    <m/>
    <n v="270.56"/>
    <m/>
    <m/>
    <m/>
    <m/>
    <m/>
    <m/>
    <n v="135.28"/>
    <m/>
    <m/>
    <m/>
    <m/>
    <m/>
    <m/>
    <n v="270.56"/>
    <m/>
    <m/>
    <m/>
    <m/>
    <m/>
    <m/>
    <m/>
    <n v="135.28"/>
    <m/>
    <n v="811.68"/>
  </r>
  <r>
    <n v="5"/>
    <x v="5"/>
    <x v="0"/>
    <n v="172976"/>
    <s v="ZOZAYA GABRIELA ALICIA"/>
    <s v="27-36457426-1"/>
    <d v="2016-05-23T00:00:00"/>
    <n v="36457426"/>
    <s v="ZOZAYA"/>
    <s v="GABRIELA ALICIA"/>
    <s v="F"/>
    <m/>
    <d v="2016-05-1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ABO VERDE"/>
    <n v="1005"/>
    <m/>
    <m/>
    <s v="CAPITAL FEDERAL"/>
    <s v="Capital Federal"/>
    <m/>
    <s v="U.O.Centro"/>
    <m/>
    <n v="1"/>
    <n v="1"/>
    <n v="277.05"/>
    <n v="55.41"/>
    <m/>
    <m/>
    <n v="221.64"/>
    <m/>
    <n v="5.54"/>
    <m/>
    <m/>
    <m/>
    <m/>
    <m/>
    <m/>
    <n v="2.77"/>
    <m/>
    <m/>
    <m/>
    <m/>
    <m/>
    <m/>
    <n v="5.54"/>
    <m/>
    <m/>
    <m/>
    <m/>
    <m/>
    <m/>
    <m/>
    <n v="2.77"/>
    <m/>
    <n v="16.62"/>
  </r>
  <r>
    <n v="5"/>
    <x v="5"/>
    <x v="0"/>
    <n v="164888"/>
    <s v="ZURCO IRINA BELEN"/>
    <s v="27-35930307-1"/>
    <d v="2016-06-06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3"/>
    <n v="1"/>
    <n v="5202.2"/>
    <n v="1040.44"/>
    <m/>
    <m/>
    <n v="4161.76"/>
    <m/>
    <n v="104.04"/>
    <m/>
    <m/>
    <m/>
    <m/>
    <m/>
    <m/>
    <n v="52.03"/>
    <m/>
    <m/>
    <m/>
    <m/>
    <m/>
    <m/>
    <n v="104.04"/>
    <m/>
    <m/>
    <m/>
    <m/>
    <m/>
    <m/>
    <m/>
    <n v="52.03"/>
    <m/>
    <n v="312.14"/>
  </r>
  <r>
    <n v="6"/>
    <x v="6"/>
    <x v="1"/>
    <n v="170882"/>
    <s v="ACOSTA ADRIAN JOSE"/>
    <s v="23-30887276-9"/>
    <d v="2016-06-29T00:00:00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GRAL MOLINA"/>
    <n v="764"/>
    <m/>
    <m/>
    <s v="CAPITAL FEDERAL"/>
    <s v="Capital Federal"/>
    <m/>
    <s v="U.O.Centro Paga Inplant"/>
    <m/>
    <n v="1"/>
    <n v="1"/>
    <n v="16578.689999999999"/>
    <n v="3315.74"/>
    <m/>
    <m/>
    <n v="13262.95"/>
    <m/>
    <n v="331.57"/>
    <m/>
    <m/>
    <m/>
    <m/>
    <m/>
    <m/>
    <n v="165.79"/>
    <m/>
    <m/>
    <m/>
    <m/>
    <m/>
    <m/>
    <n v="331.57"/>
    <m/>
    <m/>
    <m/>
    <m/>
    <m/>
    <m/>
    <m/>
    <n v="165.79"/>
    <m/>
    <n v="994.72"/>
  </r>
  <r>
    <n v="6"/>
    <x v="6"/>
    <x v="0"/>
    <n v="118846"/>
    <s v="ACOSTA SUSANA BEATRIZ"/>
    <s v="27-32902543-3"/>
    <d v="2016-07-06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1"/>
    <n v="1"/>
    <n v="9346.1"/>
    <n v="1869.21"/>
    <m/>
    <m/>
    <n v="7476.89"/>
    <m/>
    <n v="186.92"/>
    <m/>
    <m/>
    <m/>
    <m/>
    <m/>
    <m/>
    <n v="93.46"/>
    <m/>
    <m/>
    <m/>
    <m/>
    <m/>
    <m/>
    <n v="186.92"/>
    <m/>
    <m/>
    <m/>
    <m/>
    <m/>
    <m/>
    <m/>
    <n v="93.46"/>
    <m/>
    <n v="560.76"/>
  </r>
  <r>
    <n v="6"/>
    <x v="6"/>
    <x v="0"/>
    <n v="168236"/>
    <s v="ALFONZO SEBASTIAN ALEJANDRO"/>
    <s v="20-34553164-6"/>
    <d v="2016-07-06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2"/>
    <n v="1"/>
    <n v="6866.23"/>
    <n v="1373.25"/>
    <m/>
    <m/>
    <n v="5492.98"/>
    <m/>
    <n v="137.33000000000001"/>
    <m/>
    <m/>
    <m/>
    <m/>
    <m/>
    <m/>
    <n v="68.66"/>
    <m/>
    <m/>
    <m/>
    <m/>
    <m/>
    <m/>
    <n v="137.33000000000001"/>
    <m/>
    <m/>
    <m/>
    <m/>
    <m/>
    <m/>
    <m/>
    <n v="68.66"/>
    <m/>
    <n v="411.98"/>
  </r>
  <r>
    <n v="6"/>
    <x v="6"/>
    <x v="0"/>
    <n v="171273"/>
    <s v="ALONSO LUCIANO ANDRES"/>
    <s v="20-37206267-4"/>
    <d v="2016-07-06T00:00:00"/>
    <n v="37206267"/>
    <s v="ALONSO"/>
    <s v="LUCIANO ANDRES"/>
    <s v="F"/>
    <m/>
    <d v="2016-04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RMIENTO"/>
    <n v="1225"/>
    <n v="11"/>
    <m/>
    <s v="CAPITAL FEDERAL"/>
    <s v="Buenos Aires"/>
    <m/>
    <s v="U.O.Centro"/>
    <m/>
    <n v="1"/>
    <n v="1"/>
    <n v="2000.84"/>
    <n v="400.18"/>
    <m/>
    <m/>
    <n v="1600.66"/>
    <m/>
    <n v="40.020000000000003"/>
    <m/>
    <m/>
    <m/>
    <m/>
    <m/>
    <m/>
    <n v="20.010000000000002"/>
    <m/>
    <m/>
    <m/>
    <m/>
    <m/>
    <m/>
    <n v="40.020000000000003"/>
    <m/>
    <m/>
    <m/>
    <m/>
    <m/>
    <m/>
    <m/>
    <n v="20.010000000000002"/>
    <m/>
    <n v="120.06"/>
  </r>
  <r>
    <n v="6"/>
    <x v="6"/>
    <x v="0"/>
    <n v="163395"/>
    <s v="ALTAMIRANO EUGENIA DELIA"/>
    <s v="27-33347518-4"/>
    <d v="2016-07-06T00:00:00"/>
    <n v="33347518"/>
    <s v="ALTAMIRANO"/>
    <s v="EUGENIA DELI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GUDO"/>
    <n v="1225"/>
    <m/>
    <m/>
    <s v="CAPITAL FEDERAL"/>
    <s v="Buenos Aires"/>
    <m/>
    <s v="U.O.Pacheco"/>
    <m/>
    <n v="3"/>
    <n v="1"/>
    <n v="4401.8599999999997"/>
    <n v="880.36"/>
    <m/>
    <m/>
    <n v="3521.5"/>
    <m/>
    <n v="88.04"/>
    <m/>
    <m/>
    <m/>
    <m/>
    <m/>
    <m/>
    <n v="44.01"/>
    <m/>
    <m/>
    <m/>
    <m/>
    <m/>
    <m/>
    <n v="88.04"/>
    <m/>
    <m/>
    <m/>
    <m/>
    <m/>
    <m/>
    <m/>
    <n v="44.01"/>
    <m/>
    <n v="264.10000000000002"/>
  </r>
  <r>
    <n v="6"/>
    <x v="6"/>
    <x v="0"/>
    <n v="174245"/>
    <s v="ANGULO  QUINTERO JUAN FRANCISCO"/>
    <s v="20-95530684-9"/>
    <d v="2016-06-21T00:00:00"/>
    <n v="95530684"/>
    <s v="ANGULO  QUINTERO"/>
    <s v="JUAN FRANCISCO"/>
    <s v="M"/>
    <m/>
    <d v="2016-04-20T00:00:00"/>
    <d v="2016-06-13T00:00:00"/>
    <m/>
    <s v="GASTRONOMICOS-Hoteles 4 y 5 Estrellas - 362/2003"/>
    <s v="Categoria 6"/>
    <x v="20"/>
    <s v="Capital Federal - GL"/>
    <s v="Centro"/>
    <s v="Camarero/a"/>
    <n v="108803"/>
    <s v="O.S.P.Gastronomico"/>
    <s v="Capital Federal"/>
    <m/>
    <n v="1425"/>
    <s v="SALTA"/>
    <n v="3125"/>
    <m/>
    <m/>
    <s v="CAPITAL FEDERAL"/>
    <s v="Capital Federal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6"/>
    <x v="6"/>
    <x v="0"/>
    <n v="172090"/>
    <s v="ANGULO QUINTERO JUAN FRANCISCO"/>
    <s v="20-62759178-1"/>
    <d v="2016-07-06T00:00:00"/>
    <n v="62759178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LTA"/>
    <n v="1225"/>
    <m/>
    <m/>
    <s v="CAPITAL FEDERAL"/>
    <s v="Buenos Aires"/>
    <m/>
    <s v="U.O.Centro"/>
    <m/>
    <n v="2"/>
    <n v="1"/>
    <n v="4001.69"/>
    <n v="800.34"/>
    <m/>
    <m/>
    <n v="3201.35"/>
    <m/>
    <n v="80.03"/>
    <m/>
    <m/>
    <m/>
    <m/>
    <m/>
    <m/>
    <n v="40.020000000000003"/>
    <m/>
    <m/>
    <m/>
    <m/>
    <m/>
    <m/>
    <n v="80.03"/>
    <m/>
    <m/>
    <m/>
    <m/>
    <m/>
    <m/>
    <m/>
    <n v="40.020000000000003"/>
    <m/>
    <n v="240.1"/>
  </r>
  <r>
    <n v="6"/>
    <x v="6"/>
    <x v="0"/>
    <n v="173246"/>
    <s v="ARBOLELLA LAUTARO URIEL GABRIEL"/>
    <s v="27-33782994-0"/>
    <d v="2016-07-06T00:00:00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SALGUERO"/>
    <n v="1225"/>
    <n v="2"/>
    <s v="B"/>
    <s v="CAPITAL FEDERAL"/>
    <s v="Buenos Aires"/>
    <m/>
    <s v="U.O.Centro"/>
    <m/>
    <n v="2"/>
    <n v="1"/>
    <n v="3407"/>
    <n v="681.4"/>
    <m/>
    <m/>
    <n v="2725.6"/>
    <m/>
    <n v="68.14"/>
    <m/>
    <m/>
    <m/>
    <m/>
    <m/>
    <m/>
    <n v="34.07"/>
    <m/>
    <m/>
    <m/>
    <m/>
    <m/>
    <m/>
    <n v="68.14"/>
    <m/>
    <m/>
    <m/>
    <m/>
    <m/>
    <m/>
    <m/>
    <n v="34.07"/>
    <m/>
    <n v="204.42"/>
  </r>
  <r>
    <n v="6"/>
    <x v="6"/>
    <x v="0"/>
    <n v="169461"/>
    <s v="AREGUATI MARIA LUZ"/>
    <s v="27-35880306-2"/>
    <d v="2016-07-06T00:00:00"/>
    <n v="35880306"/>
    <s v="AREGUATI"/>
    <s v="MARIA LUZ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DARCO"/>
    <n v="1225"/>
    <m/>
    <m/>
    <s v="CAPITAL FEDERAL"/>
    <s v="Buenos Aires"/>
    <m/>
    <s v="U.O.San Justo"/>
    <m/>
    <n v="2"/>
    <n v="1"/>
    <n v="6387.07"/>
    <n v="1277.4000000000001"/>
    <m/>
    <m/>
    <n v="5109.67"/>
    <m/>
    <n v="127.74"/>
    <m/>
    <m/>
    <m/>
    <m/>
    <m/>
    <m/>
    <n v="63.87"/>
    <m/>
    <m/>
    <m/>
    <m/>
    <m/>
    <m/>
    <n v="127.74"/>
    <m/>
    <m/>
    <m/>
    <m/>
    <m/>
    <m/>
    <m/>
    <n v="63.87"/>
    <m/>
    <n v="383.22"/>
  </r>
  <r>
    <n v="6"/>
    <x v="6"/>
    <x v="0"/>
    <n v="166810"/>
    <s v="ARRIETA CLAUDIA ALEJANDRA"/>
    <s v="27-20538808-2"/>
    <d v="2016-07-06T00:00:00"/>
    <n v="20538808"/>
    <s v="ARRIETA"/>
    <s v="CLAUDIA ALEJANDRA"/>
    <s v="F"/>
    <m/>
    <d v="2016-01-22T00:00:00"/>
    <d v="2016-06-09T00:00:00"/>
    <m/>
    <s v="GASTRONOMICOS-Hoteles 4 y 5 Estrellas - 362/2003"/>
    <s v="Categoría 4"/>
    <x v="16"/>
    <s v="Back Office"/>
    <s v="Back Office"/>
    <s v="Mucama"/>
    <n v="108803"/>
    <s v="O.S.P.Gastronomico"/>
    <s v="Buenos Aires - Almte. Brown"/>
    <m/>
    <n v="1019"/>
    <s v="CARACAS"/>
    <n v="513"/>
    <m/>
    <m/>
    <s v="CAPITAL FEDERAL"/>
    <s v="Buenos Aires"/>
    <m/>
    <m/>
    <m/>
    <n v="3"/>
    <n v="1"/>
    <n v="6211.64"/>
    <n v="1242.33"/>
    <m/>
    <n v="28497.8"/>
    <n v="33467.11"/>
    <m/>
    <n v="124.23"/>
    <m/>
    <m/>
    <m/>
    <m/>
    <m/>
    <m/>
    <n v="62.12"/>
    <m/>
    <m/>
    <m/>
    <m/>
    <m/>
    <m/>
    <n v="124.23"/>
    <m/>
    <m/>
    <m/>
    <m/>
    <m/>
    <m/>
    <m/>
    <n v="62.12"/>
    <m/>
    <n v="372.7"/>
  </r>
  <r>
    <n v="6"/>
    <x v="6"/>
    <x v="0"/>
    <n v="173402"/>
    <s v="AUHAD MARIA DELFINA"/>
    <s v="27-33808278-4"/>
    <d v="2016-07-06T00:00:00"/>
    <n v="33808278"/>
    <s v="AUHAD"/>
    <s v="MARIA DELFINA"/>
    <s v="F"/>
    <m/>
    <d v="2016-05-21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2"/>
    <n v="1"/>
    <n v="12409.57"/>
    <n v="2481.92"/>
    <m/>
    <m/>
    <n v="9927.65"/>
    <m/>
    <n v="248.19"/>
    <m/>
    <m/>
    <m/>
    <m/>
    <m/>
    <m/>
    <n v="124.1"/>
    <m/>
    <m/>
    <m/>
    <m/>
    <m/>
    <m/>
    <n v="248.19"/>
    <m/>
    <m/>
    <m/>
    <m/>
    <m/>
    <m/>
    <m/>
    <n v="124.1"/>
    <m/>
    <n v="744.58"/>
  </r>
  <r>
    <n v="6"/>
    <x v="6"/>
    <x v="0"/>
    <n v="173369"/>
    <s v="AYALA NUÑEZ SONIA REYNA"/>
    <s v="27-95412275-7"/>
    <d v="2016-07-06T00:00:00"/>
    <n v="95412275"/>
    <s v="AYALA NUÑEZ"/>
    <s v="SONIA REYNA"/>
    <s v="F"/>
    <m/>
    <d v="2016-05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LARREA"/>
    <n v="1225"/>
    <n v="1"/>
    <s v="D"/>
    <s v="CAPITAL FEDERAL"/>
    <s v="Buenos Aires"/>
    <m/>
    <s v="U.O.Centro"/>
    <m/>
    <n v="3"/>
    <n v="1"/>
    <n v="11205.08"/>
    <n v="2241.0300000000002"/>
    <m/>
    <m/>
    <n v="8964.0499999999993"/>
    <m/>
    <n v="224.1"/>
    <m/>
    <m/>
    <m/>
    <m/>
    <m/>
    <m/>
    <n v="112.05"/>
    <m/>
    <m/>
    <m/>
    <m/>
    <m/>
    <m/>
    <n v="224.1"/>
    <m/>
    <m/>
    <m/>
    <m/>
    <m/>
    <m/>
    <m/>
    <n v="112.05"/>
    <m/>
    <n v="672.3"/>
  </r>
  <r>
    <n v="6"/>
    <x v="6"/>
    <x v="1"/>
    <n v="162574"/>
    <s v="BANEGAS PEREZ VICTOR GUSTAVO"/>
    <s v="20-47178337-5"/>
    <d v="2016-06-29T00:00:00"/>
    <n v="47178337"/>
    <s v="BANEGAS PEREZ"/>
    <s v="VICTOR GUSTAVO"/>
    <s v="M"/>
    <m/>
    <d v="2015-12-04T00:00:00"/>
    <d v="2016-06-16T00:00:00"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 RIVADAVIA"/>
    <n v="764"/>
    <n v="7"/>
    <s v="D"/>
    <s v="CAPITAL FEDERAL"/>
    <s v="Capital Federal"/>
    <m/>
    <s v="U.O.Centro Paga Inplant"/>
    <m/>
    <n v="1"/>
    <n v="1"/>
    <n v="298.27"/>
    <n v="59.66"/>
    <m/>
    <m/>
    <n v="238.61"/>
    <m/>
    <n v="5.97"/>
    <m/>
    <m/>
    <m/>
    <m/>
    <m/>
    <m/>
    <n v="2.98"/>
    <m/>
    <m/>
    <m/>
    <m/>
    <m/>
    <m/>
    <n v="5.97"/>
    <m/>
    <m/>
    <m/>
    <m/>
    <m/>
    <m/>
    <m/>
    <n v="2.98"/>
    <m/>
    <n v="17.899999999999999"/>
  </r>
  <r>
    <n v="6"/>
    <x v="6"/>
    <x v="0"/>
    <n v="150709"/>
    <s v="BARRIOS NAHUEL ALEJANDRO"/>
    <s v="20-39155005-1"/>
    <d v="2016-07-06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1"/>
    <n v="1"/>
    <n v="7212.19"/>
    <n v="1442.44"/>
    <m/>
    <m/>
    <n v="5769.75"/>
    <m/>
    <n v="144.24"/>
    <m/>
    <m/>
    <m/>
    <m/>
    <m/>
    <m/>
    <n v="72.12"/>
    <m/>
    <m/>
    <m/>
    <m/>
    <m/>
    <m/>
    <n v="144.24"/>
    <m/>
    <m/>
    <m/>
    <m/>
    <m/>
    <m/>
    <m/>
    <n v="72.12"/>
    <m/>
    <n v="432.72"/>
  </r>
  <r>
    <n v="6"/>
    <x v="6"/>
    <x v="0"/>
    <n v="171010"/>
    <s v="BAYA ANDRES FERNANDO"/>
    <s v="20-32123994-4"/>
    <d v="2016-07-06T00:00:00"/>
    <n v="32123994"/>
    <s v="BAYA"/>
    <s v="ANDRES FERNANDO"/>
    <s v="M"/>
    <m/>
    <d v="2016-04-10T00:00:00"/>
    <m/>
    <m/>
    <s v="GASTRONOMICOS-Hoteles 4 y 5 Estrellas - 362/2003"/>
    <s v="Categoria 6"/>
    <x v="6"/>
    <s v="NUEVOS INGRESOS"/>
    <s v="Centro"/>
    <s v="Tareas Generales"/>
    <n v="108803"/>
    <s v="O.S.P.Gastronomico"/>
    <s v="Capital Federal"/>
    <m/>
    <n v="1093"/>
    <s v="MARCELO T DE ALVEAR"/>
    <n v="1232"/>
    <m/>
    <m/>
    <s v="CAPITAL FEDERAL"/>
    <s v="Buenos Aires"/>
    <m/>
    <s v="U.O.Centro"/>
    <s v="Restaurant"/>
    <n v="2"/>
    <n v="1"/>
    <n v="6188.53"/>
    <n v="1237.68"/>
    <m/>
    <m/>
    <n v="4950.8500000000004"/>
    <m/>
    <n v="123.77"/>
    <m/>
    <m/>
    <m/>
    <m/>
    <m/>
    <m/>
    <n v="61.88"/>
    <m/>
    <m/>
    <m/>
    <m/>
    <m/>
    <m/>
    <n v="123.77"/>
    <m/>
    <m/>
    <m/>
    <m/>
    <m/>
    <m/>
    <m/>
    <n v="61.88"/>
    <m/>
    <n v="371.3"/>
  </r>
  <r>
    <n v="6"/>
    <x v="6"/>
    <x v="0"/>
    <n v="153657"/>
    <s v="BENITEZ LEONARDO RAMON"/>
    <s v="20-36457404-6"/>
    <d v="2016-07-06T00:00:00"/>
    <n v="36457404"/>
    <s v="BENITEZ"/>
    <s v="LEONARDO RAMON"/>
    <s v="M"/>
    <m/>
    <d v="2016-02-15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1"/>
    <n v="1"/>
    <n v="2086.75"/>
    <n v="417.35"/>
    <m/>
    <m/>
    <n v="1669.4"/>
    <m/>
    <n v="41.74"/>
    <m/>
    <m/>
    <m/>
    <m/>
    <m/>
    <m/>
    <n v="20.87"/>
    <m/>
    <m/>
    <m/>
    <m/>
    <m/>
    <m/>
    <n v="41.74"/>
    <m/>
    <m/>
    <m/>
    <m/>
    <m/>
    <m/>
    <m/>
    <n v="20.87"/>
    <m/>
    <n v="125.22"/>
  </r>
  <r>
    <n v="6"/>
    <x v="6"/>
    <x v="0"/>
    <n v="173416"/>
    <s v="BERGARA LUIS ERNESTO"/>
    <s v="20-39492544-7"/>
    <d v="2016-07-06T00:00:00"/>
    <n v="39492544"/>
    <s v="BERGARA"/>
    <s v="LUIS ERNESTO"/>
    <s v="M"/>
    <m/>
    <d v="2016-06-1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SUAREZ"/>
    <n v="1232"/>
    <n v="1"/>
    <n v="1"/>
    <s v="CAPITAL FEDERAL"/>
    <s v="Buenos Aires"/>
    <m/>
    <s v="U.O.Centro"/>
    <s v="Cocina"/>
    <n v="1"/>
    <n v="1"/>
    <n v="681.34"/>
    <n v="136.27000000000001"/>
    <m/>
    <m/>
    <n v="545.07000000000005"/>
    <m/>
    <n v="13.63"/>
    <m/>
    <m/>
    <m/>
    <m/>
    <m/>
    <m/>
    <n v="6.81"/>
    <m/>
    <m/>
    <m/>
    <m/>
    <m/>
    <m/>
    <n v="13.63"/>
    <m/>
    <m/>
    <m/>
    <m/>
    <m/>
    <m/>
    <m/>
    <n v="6.81"/>
    <m/>
    <n v="40.880000000000003"/>
  </r>
  <r>
    <n v="6"/>
    <x v="6"/>
    <x v="0"/>
    <n v="174969"/>
    <s v="BERRUTI MARTIN EZEQUIEL"/>
    <s v="20-37249383-7"/>
    <d v="2016-07-06T00:00:00"/>
    <n v="37249383"/>
    <s v="BERRUTI"/>
    <s v="MARTIN EZEQUIEL"/>
    <s v="M"/>
    <m/>
    <d v="2016-06-30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LAMBARDI"/>
    <n v="1225"/>
    <m/>
    <m/>
    <s v="CAPITAL FEDERAL"/>
    <s v="Buenos Aires"/>
    <m/>
    <s v="U.O.Centro"/>
    <m/>
    <n v="1"/>
    <n v="1"/>
    <n v="501.38"/>
    <n v="100.27"/>
    <m/>
    <m/>
    <n v="401.11"/>
    <m/>
    <n v="10.029999999999999"/>
    <m/>
    <m/>
    <m/>
    <m/>
    <m/>
    <m/>
    <n v="5.01"/>
    <m/>
    <m/>
    <m/>
    <m/>
    <m/>
    <m/>
    <n v="10.029999999999999"/>
    <m/>
    <m/>
    <m/>
    <m/>
    <m/>
    <m/>
    <m/>
    <n v="5.01"/>
    <m/>
    <n v="30.08"/>
  </r>
  <r>
    <n v="6"/>
    <x v="6"/>
    <x v="0"/>
    <n v="173675"/>
    <s v="BORTOLUSSI RICARDO JAVIER"/>
    <s v="20-24749111-3"/>
    <d v="2016-07-06T00:00:00"/>
    <n v="24749111"/>
    <s v="BORTOLUSSI"/>
    <s v="RICARDO JAVIER"/>
    <s v="M"/>
    <m/>
    <d v="2016-05-3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GRAL PAZ"/>
    <n v="1225"/>
    <m/>
    <m/>
    <s v="CAPITAL FEDERAL"/>
    <s v="Buenos Aires"/>
    <m/>
    <s v="U.O.Centro"/>
    <m/>
    <n v="2"/>
    <n v="1"/>
    <n v="1787.37"/>
    <n v="357.47"/>
    <m/>
    <m/>
    <n v="1429.9"/>
    <m/>
    <n v="35.75"/>
    <m/>
    <m/>
    <m/>
    <m/>
    <m/>
    <m/>
    <n v="17.87"/>
    <m/>
    <m/>
    <m/>
    <m/>
    <m/>
    <m/>
    <n v="35.75"/>
    <m/>
    <m/>
    <m/>
    <m/>
    <m/>
    <m/>
    <m/>
    <n v="17.87"/>
    <m/>
    <n v="107.24"/>
  </r>
  <r>
    <n v="6"/>
    <x v="6"/>
    <x v="0"/>
    <n v="169887"/>
    <s v="BOTICELLI LIDIA CAROLINA"/>
    <s v="27-25698889-0"/>
    <d v="2016-07-06T00:00:0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8125.23"/>
    <n v="1625.05"/>
    <m/>
    <m/>
    <n v="6500.18"/>
    <m/>
    <n v="162.5"/>
    <m/>
    <m/>
    <m/>
    <m/>
    <m/>
    <m/>
    <n v="81.25"/>
    <m/>
    <m/>
    <m/>
    <m/>
    <m/>
    <m/>
    <n v="162.5"/>
    <m/>
    <m/>
    <m/>
    <m/>
    <m/>
    <m/>
    <m/>
    <n v="81.25"/>
    <m/>
    <n v="487.5"/>
  </r>
  <r>
    <n v="6"/>
    <x v="6"/>
    <x v="0"/>
    <n v="164254"/>
    <s v="BUSTILLO MARIANO"/>
    <s v="20-26096743-7"/>
    <d v="2016-06-21T00:00:00"/>
    <n v="26096743"/>
    <s v="BUSTILLO"/>
    <s v="MARIANO"/>
    <s v="M"/>
    <m/>
    <d v="2016-06-13T00:00:00"/>
    <d v="2016-06-13T00:00:00"/>
    <m/>
    <s v="GASTRONOMICOS-Hoteles 4 y 5 Estrellas - 362/2003"/>
    <s v="Categoria 6"/>
    <x v="20"/>
    <s v="Capital Federal - GL"/>
    <s v="Centro"/>
    <s v="Camarero/a"/>
    <n v="108803"/>
    <s v="O.S.P.Gastronomico"/>
    <s v="Capital Federal"/>
    <m/>
    <n v="1425"/>
    <s v="CORDOBA"/>
    <n v="3125"/>
    <n v="11"/>
    <s v="C"/>
    <s v="CAPITAL FEDERAL"/>
    <s v="Capital Federal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6"/>
    <x v="6"/>
    <x v="1"/>
    <n v="173039"/>
    <s v="CABIATI ELIZABETH ANDREA"/>
    <s v="27-28132105-1"/>
    <d v="2016-06-29T00:00:00"/>
    <n v="28132105"/>
    <s v="CABIATI"/>
    <s v="ELIZABETH ANDREA"/>
    <s v="F"/>
    <m/>
    <d v="2016-05-1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TELLIER"/>
    <n v="764"/>
    <m/>
    <m/>
    <s v="CAPITAL FEDERAL"/>
    <s v="Capital Federal"/>
    <m/>
    <s v="U.O.Centro Paga Inplant"/>
    <m/>
    <n v="1"/>
    <n v="1"/>
    <n v="3338.47"/>
    <n v="667.68"/>
    <m/>
    <m/>
    <n v="2670.79"/>
    <m/>
    <n v="66.77"/>
    <m/>
    <m/>
    <m/>
    <m/>
    <m/>
    <m/>
    <n v="33.380000000000003"/>
    <m/>
    <m/>
    <m/>
    <m/>
    <m/>
    <m/>
    <n v="66.77"/>
    <m/>
    <m/>
    <m/>
    <m/>
    <m/>
    <m/>
    <m/>
    <n v="33.380000000000003"/>
    <m/>
    <n v="200.3"/>
  </r>
  <r>
    <n v="6"/>
    <x v="6"/>
    <x v="0"/>
    <n v="171783"/>
    <s v="CACERES ANGEL ESTEBAN"/>
    <s v="20-38536806-3"/>
    <d v="2016-06-21T00:00:00"/>
    <n v="38536806"/>
    <s v="CACERES"/>
    <s v="ANGEL ESTEBAN"/>
    <s v="M"/>
    <m/>
    <d v="2016-04-14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1"/>
    <n v="1"/>
    <n v="2925.1"/>
    <n v="585.01"/>
    <m/>
    <m/>
    <n v="2340.09"/>
    <m/>
    <n v="58.5"/>
    <m/>
    <m/>
    <m/>
    <m/>
    <m/>
    <m/>
    <n v="29.25"/>
    <m/>
    <m/>
    <m/>
    <m/>
    <m/>
    <m/>
    <n v="58.5"/>
    <m/>
    <m/>
    <m/>
    <m/>
    <m/>
    <m/>
    <m/>
    <n v="29.25"/>
    <m/>
    <n v="175.5"/>
  </r>
  <r>
    <n v="6"/>
    <x v="6"/>
    <x v="0"/>
    <n v="161580"/>
    <s v="CAEIRO MAURO ALBERTO"/>
    <s v="20-30431921-7"/>
    <d v="2016-07-06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2"/>
    <n v="1"/>
    <n v="11204.74"/>
    <n v="2240.9499999999998"/>
    <m/>
    <m/>
    <n v="8963.7900000000009"/>
    <m/>
    <n v="224.09"/>
    <m/>
    <m/>
    <m/>
    <m/>
    <m/>
    <m/>
    <n v="112.05"/>
    <m/>
    <m/>
    <m/>
    <m/>
    <m/>
    <m/>
    <n v="224.09"/>
    <m/>
    <m/>
    <m/>
    <m/>
    <m/>
    <m/>
    <m/>
    <n v="112.05"/>
    <m/>
    <n v="672.28"/>
  </r>
  <r>
    <n v="6"/>
    <x v="6"/>
    <x v="1"/>
    <n v="172931"/>
    <s v="CALAFAT MARCICHAL ARIS MAXIMILIANO"/>
    <s v="20-94723921-0"/>
    <d v="2016-06-29T00:00:00"/>
    <n v="94723921"/>
    <s v="CALAFAT MARCICHAL"/>
    <s v="ARIS MAXIMILIANO"/>
    <s v="M"/>
    <m/>
    <d v="2016-05-1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ENIDA DERQUI"/>
    <n v="764"/>
    <m/>
    <s v="E"/>
    <s v="CAPITAL FEDERAL"/>
    <s v="Capital Federal"/>
    <m/>
    <s v="U.O.Centro"/>
    <m/>
    <n v="1"/>
    <n v="1"/>
    <n v="3054.37"/>
    <n v="610.87"/>
    <m/>
    <m/>
    <n v="2443.5"/>
    <m/>
    <n v="61.09"/>
    <m/>
    <m/>
    <m/>
    <m/>
    <m/>
    <m/>
    <n v="30.54"/>
    <m/>
    <m/>
    <m/>
    <m/>
    <m/>
    <m/>
    <n v="61.09"/>
    <m/>
    <m/>
    <m/>
    <m/>
    <m/>
    <m/>
    <m/>
    <n v="30.54"/>
    <m/>
    <n v="183.26"/>
  </r>
  <r>
    <n v="6"/>
    <x v="6"/>
    <x v="0"/>
    <n v="160997"/>
    <s v="CALLA ADRIANZEN EVELYN MELANIA"/>
    <s v="27-94555348-6"/>
    <d v="2016-07-06T00:00:00"/>
    <n v="94555348"/>
    <s v="CALLA ADRIANZEN"/>
    <s v="EVELYN MELANIA"/>
    <s v="F"/>
    <m/>
    <d v="2015-11-25T00:00:00"/>
    <d v="2016-07-01T00:00:00"/>
    <m/>
    <s v="GASTRONOMICOS-Hoteles 4 y 5 Estrellas - 362/2003"/>
    <s v="Categoria 6"/>
    <x v="5"/>
    <s v="Mozos / camareros - GL"/>
    <s v="Centro"/>
    <s v="Camarero/a"/>
    <n v="115300"/>
    <s v="OS DE  PETROLEROS"/>
    <s v="Capital Federal"/>
    <m/>
    <n v="1104"/>
    <s v="HIDALGO"/>
    <n v="1225"/>
    <n v="3"/>
    <s v="B"/>
    <s v="CAPITAL FEDERAL"/>
    <s v="Buenos Aires"/>
    <m/>
    <s v="U.O.Centro"/>
    <m/>
    <n v="3"/>
    <n v="1"/>
    <n v="4001.69"/>
    <n v="800.33"/>
    <m/>
    <m/>
    <n v="3201.36"/>
    <m/>
    <n v="80.03"/>
    <m/>
    <m/>
    <m/>
    <m/>
    <m/>
    <m/>
    <n v="40.01"/>
    <m/>
    <m/>
    <m/>
    <m/>
    <m/>
    <m/>
    <n v="80.03"/>
    <m/>
    <m/>
    <m/>
    <m/>
    <m/>
    <m/>
    <m/>
    <n v="40.01"/>
    <m/>
    <n v="240.08"/>
  </r>
  <r>
    <n v="6"/>
    <x v="6"/>
    <x v="1"/>
    <n v="170314"/>
    <s v="CAMPOS ANIBAL EDUARDO"/>
    <s v="20-38361143-2"/>
    <d v="2016-07-06T00:00:00"/>
    <n v="38361143"/>
    <s v="CAMPOS"/>
    <s v="ANIBAL EDUARDO"/>
    <s v="M"/>
    <m/>
    <d v="2016-03-19T00:00:00"/>
    <d v="2016-06-10T00:00:00"/>
    <d v="2016-06-10T00:00:00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INGENIERO HUERGO"/>
    <n v="1891"/>
    <n v="1"/>
    <m/>
    <s v="CAPITAL FEDERAL"/>
    <s v="Capital Federal"/>
    <m/>
    <s v="U.O.Centro"/>
    <s v="Alvear Palace"/>
    <n v="1"/>
    <n v="1"/>
    <n v="1449.62"/>
    <n v="289.93"/>
    <m/>
    <m/>
    <n v="1159.69"/>
    <m/>
    <n v="28.99"/>
    <m/>
    <m/>
    <m/>
    <m/>
    <m/>
    <m/>
    <n v="14.5"/>
    <m/>
    <m/>
    <m/>
    <m/>
    <m/>
    <m/>
    <n v="28.99"/>
    <m/>
    <m/>
    <m/>
    <m/>
    <m/>
    <m/>
    <m/>
    <n v="14.5"/>
    <m/>
    <n v="86.98"/>
  </r>
  <r>
    <n v="6"/>
    <x v="6"/>
    <x v="0"/>
    <n v="163383"/>
    <s v="CAÑETE SHEILA YAMILA"/>
    <s v="27-35905597-3"/>
    <d v="2016-07-06T00:00:00"/>
    <n v="35905597"/>
    <s v="CAÑETE"/>
    <s v="SHEILA YAMILA"/>
    <s v="F"/>
    <m/>
    <d v="2015-12-03T00:00:00"/>
    <d v="2016-04-05T00:00:00"/>
    <d v="2016-04-05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CHABAL RODRIGUEZ"/>
    <n v="1225"/>
    <m/>
    <m/>
    <s v="CAPITAL FEDERAL"/>
    <s v="Buenos Aires"/>
    <m/>
    <s v="U.O.Centro"/>
    <m/>
    <n v="1"/>
    <n v="1"/>
    <n v="1395.11"/>
    <n v="279.01"/>
    <m/>
    <n v="849.29"/>
    <n v="1965.39"/>
    <m/>
    <n v="27.9"/>
    <m/>
    <m/>
    <m/>
    <m/>
    <m/>
    <m/>
    <n v="13.95"/>
    <m/>
    <m/>
    <m/>
    <m/>
    <m/>
    <m/>
    <n v="27.9"/>
    <m/>
    <m/>
    <m/>
    <m/>
    <m/>
    <m/>
    <m/>
    <n v="13.95"/>
    <m/>
    <n v="83.7"/>
  </r>
  <r>
    <n v="6"/>
    <x v="6"/>
    <x v="0"/>
    <n v="171897"/>
    <s v="CAPURRO EDUARDO ADOLFO"/>
    <s v="20-31064205-4"/>
    <d v="2016-06-21T00:00:00"/>
    <n v="31064205"/>
    <s v="CAPURRO"/>
    <s v="EDUARDO ADOLFO"/>
    <s v="M"/>
    <m/>
    <d v="2016-04-19T00:00:00"/>
    <d v="2016-05-13T00:00:00"/>
    <d v="2016-05-13T00:00:00"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HILE"/>
    <n v="1225"/>
    <m/>
    <m/>
    <s v="CAPITAL FEDERAL"/>
    <s v="Buenos Aires"/>
    <m/>
    <s v="U.O.Quilmes"/>
    <m/>
    <n v="1"/>
    <n v="1"/>
    <n v="2260.73"/>
    <n v="452.14"/>
    <m/>
    <m/>
    <n v="1808.59"/>
    <m/>
    <n v="45.21"/>
    <m/>
    <m/>
    <m/>
    <m/>
    <m/>
    <m/>
    <n v="22.61"/>
    <m/>
    <m/>
    <m/>
    <m/>
    <m/>
    <m/>
    <n v="45.21"/>
    <m/>
    <m/>
    <m/>
    <m/>
    <m/>
    <m/>
    <m/>
    <n v="22.61"/>
    <m/>
    <n v="135.63999999999999"/>
  </r>
  <r>
    <n v="6"/>
    <x v="6"/>
    <x v="0"/>
    <n v="148864"/>
    <s v="CASTILLO VERONICA ISABEL"/>
    <s v="27-24767374-7"/>
    <d v="2016-07-06T00:00:00"/>
    <n v="24767374"/>
    <s v="CASTILLO"/>
    <s v="VERONICA ISABEL"/>
    <s v="F"/>
    <m/>
    <d v="2016-04-21T00:00:00"/>
    <d v="2016-04-21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LOS ANDES"/>
    <n v="474"/>
    <m/>
    <m/>
    <s v="CAPITAL FEDERAL"/>
    <s v="Buenos Aires"/>
    <m/>
    <s v="U.O.Casa Central"/>
    <m/>
    <n v="2"/>
    <n v="1"/>
    <n v="4545.29"/>
    <n v="909.06"/>
    <m/>
    <m/>
    <n v="3636.23"/>
    <m/>
    <n v="90.91"/>
    <m/>
    <m/>
    <m/>
    <m/>
    <m/>
    <m/>
    <n v="45.45"/>
    <m/>
    <m/>
    <m/>
    <m/>
    <m/>
    <m/>
    <n v="90.91"/>
    <n v="45.44"/>
    <m/>
    <m/>
    <m/>
    <m/>
    <m/>
    <m/>
    <n v="0.01"/>
    <m/>
    <n v="272.72000000000003"/>
  </r>
  <r>
    <n v="6"/>
    <x v="6"/>
    <x v="0"/>
    <n v="144180"/>
    <s v="CATALAN CRISTINA DEL CARMEN"/>
    <s v="27-31138041-4"/>
    <d v="2016-07-06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8200.23"/>
    <n v="1640.05"/>
    <m/>
    <m/>
    <n v="6560.18"/>
    <m/>
    <n v="164"/>
    <m/>
    <m/>
    <m/>
    <m/>
    <m/>
    <m/>
    <n v="82"/>
    <m/>
    <m/>
    <m/>
    <m/>
    <m/>
    <m/>
    <n v="164"/>
    <m/>
    <m/>
    <m/>
    <m/>
    <m/>
    <m/>
    <m/>
    <n v="82"/>
    <m/>
    <n v="492"/>
  </r>
  <r>
    <n v="6"/>
    <x v="6"/>
    <x v="0"/>
    <n v="158525"/>
    <s v="CELIBERTI YESICA ROMINA"/>
    <s v="27-35202883-0"/>
    <d v="2016-07-06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7386.57"/>
    <n v="1514.25"/>
    <m/>
    <m/>
    <n v="5872.32"/>
    <n v="184.66"/>
    <m/>
    <m/>
    <m/>
    <m/>
    <m/>
    <m/>
    <m/>
    <n v="73.87"/>
    <m/>
    <m/>
    <m/>
    <m/>
    <m/>
    <m/>
    <n v="147.72999999999999"/>
    <m/>
    <m/>
    <m/>
    <m/>
    <m/>
    <m/>
    <m/>
    <n v="73.87"/>
    <m/>
    <n v="480.13"/>
  </r>
  <r>
    <n v="6"/>
    <x v="6"/>
    <x v="0"/>
    <n v="170318"/>
    <s v="CERNEAZ JOANA"/>
    <s v="27-35043953-1"/>
    <d v="2016-07-06T00:00:0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. MEDRANO"/>
    <n v="1225"/>
    <s v="PB"/>
    <m/>
    <s v="CAPITAL FEDERAL"/>
    <s v="Buenos Aires"/>
    <m/>
    <s v="U.O.Centro"/>
    <m/>
    <n v="3"/>
    <n v="1"/>
    <n v="12405.24"/>
    <n v="2481.06"/>
    <m/>
    <m/>
    <n v="9924.18"/>
    <m/>
    <n v="248.11"/>
    <m/>
    <m/>
    <m/>
    <m/>
    <m/>
    <m/>
    <n v="124.05"/>
    <m/>
    <m/>
    <m/>
    <m/>
    <m/>
    <m/>
    <n v="248.11"/>
    <m/>
    <m/>
    <m/>
    <m/>
    <m/>
    <m/>
    <m/>
    <n v="124.05"/>
    <m/>
    <n v="744.32"/>
  </r>
  <r>
    <n v="6"/>
    <x v="6"/>
    <x v="0"/>
    <n v="171029"/>
    <s v="CERRANO PATRICIA VIVIANA"/>
    <s v="23-31509842-4"/>
    <d v="2016-07-06T00:00:00"/>
    <n v="31509842"/>
    <s v="CERRANO"/>
    <s v="PATRICIA VIVIANA"/>
    <s v="F"/>
    <m/>
    <d v="2016-04-01T00:00:00"/>
    <d v="2016-04-24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PASAJE BOLAÑOS"/>
    <n v="474"/>
    <m/>
    <m/>
    <s v="CAPITAL FEDERAL"/>
    <s v="Buenos Aires"/>
    <m/>
    <s v="U.O.Casa Central"/>
    <m/>
    <n v="1"/>
    <n v="1"/>
    <n v="461.14"/>
    <n v="92.22"/>
    <m/>
    <m/>
    <n v="368.92"/>
    <m/>
    <n v="9.2200000000000006"/>
    <m/>
    <m/>
    <m/>
    <m/>
    <m/>
    <m/>
    <n v="4.6100000000000003"/>
    <m/>
    <m/>
    <m/>
    <m/>
    <m/>
    <m/>
    <n v="9.2200000000000006"/>
    <m/>
    <m/>
    <m/>
    <m/>
    <m/>
    <m/>
    <m/>
    <n v="4.6100000000000003"/>
    <m/>
    <n v="27.66"/>
  </r>
  <r>
    <n v="6"/>
    <x v="6"/>
    <x v="0"/>
    <n v="161041"/>
    <s v="CESANI LEONARDO ROBERTO"/>
    <s v="20-36155165-7"/>
    <d v="2016-07-06T00:00:00"/>
    <n v="36155165"/>
    <s v="CESANI"/>
    <s v="LEONARDO ROBERTO"/>
    <s v="M"/>
    <m/>
    <d v="2016-03-30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STAÑARES"/>
    <n v="1232"/>
    <m/>
    <m/>
    <s v="CAPITAL FEDERAL"/>
    <s v="Buenos Aires"/>
    <m/>
    <s v="U.O.Centro"/>
    <s v="Cocina"/>
    <n v="1"/>
    <n v="1"/>
    <n v="6132.06"/>
    <n v="1226.4100000000001"/>
    <m/>
    <m/>
    <n v="4905.6499999999996"/>
    <m/>
    <n v="122.64"/>
    <m/>
    <m/>
    <m/>
    <m/>
    <m/>
    <m/>
    <n v="61.32"/>
    <m/>
    <m/>
    <m/>
    <m/>
    <m/>
    <m/>
    <n v="122.64"/>
    <m/>
    <m/>
    <m/>
    <m/>
    <m/>
    <m/>
    <m/>
    <n v="61.32"/>
    <m/>
    <n v="367.92"/>
  </r>
  <r>
    <n v="6"/>
    <x v="6"/>
    <x v="1"/>
    <n v="112977"/>
    <s v="CHACON NADIA DE LOS ANGELES"/>
    <s v="27-34151854-2"/>
    <d v="2016-07-06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8959.6299999999992"/>
    <n v="1836.73"/>
    <m/>
    <m/>
    <n v="7122.9"/>
    <n v="223.99"/>
    <m/>
    <m/>
    <m/>
    <m/>
    <m/>
    <m/>
    <m/>
    <n v="89.6"/>
    <m/>
    <m/>
    <m/>
    <m/>
    <m/>
    <m/>
    <n v="179.19"/>
    <m/>
    <m/>
    <m/>
    <m/>
    <m/>
    <m/>
    <m/>
    <n v="89.6"/>
    <m/>
    <n v="582.38"/>
  </r>
  <r>
    <n v="6"/>
    <x v="6"/>
    <x v="0"/>
    <n v="162208"/>
    <s v="COCCOLO GARCIA MARTIN ARIEL"/>
    <s v="23-95500284-9"/>
    <d v="2016-06-21T00:00:00"/>
    <n v="95500284"/>
    <s v="COCCOLO GARCIA"/>
    <s v="MARTIN ARIEL"/>
    <s v="M"/>
    <m/>
    <d v="2016-06-13T00:00:00"/>
    <d v="2016-06-13T00:00:00"/>
    <m/>
    <s v="GASTRONOMICOS-Hoteles 4 y 5 Estrellas - 362/2003"/>
    <s v="Categoria 6"/>
    <x v="20"/>
    <s v="Capital Federal - GL"/>
    <s v="Centro"/>
    <s v="Camarero/a"/>
    <n v="108803"/>
    <s v="O.S.P.Gastronomico"/>
    <s v="Capital Federal"/>
    <m/>
    <n v="1425"/>
    <s v="PAEZ"/>
    <n v="3125"/>
    <n v="2"/>
    <m/>
    <s v="CAPITAL FEDERAL"/>
    <s v="Capital Federal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6"/>
    <x v="6"/>
    <x v="0"/>
    <n v="172187"/>
    <s v="CONDORI DANIEL"/>
    <s v="20-35216365-2"/>
    <d v="2016-07-01T00:00:00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9790.0300000000007"/>
    <n v="1958"/>
    <m/>
    <m/>
    <n v="7832.03"/>
    <m/>
    <n v="195.8"/>
    <m/>
    <m/>
    <m/>
    <m/>
    <m/>
    <m/>
    <n v="97.9"/>
    <m/>
    <m/>
    <m/>
    <m/>
    <m/>
    <m/>
    <n v="195.8"/>
    <m/>
    <m/>
    <m/>
    <m/>
    <m/>
    <m/>
    <m/>
    <n v="97.9"/>
    <m/>
    <n v="587.4"/>
  </r>
  <r>
    <n v="6"/>
    <x v="6"/>
    <x v="0"/>
    <n v="172454"/>
    <s v="CORVALAN ANDREA"/>
    <s v="27-39467778-2"/>
    <d v="2016-07-06T00:00:00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NDEPENDENCIA"/>
    <n v="1225"/>
    <n v="9"/>
    <n v="1"/>
    <s v="CAPITAL FEDERAL"/>
    <s v="Buenos Aires"/>
    <m/>
    <s v="U.O.Centro"/>
    <m/>
    <n v="3"/>
    <n v="1"/>
    <n v="9511.9"/>
    <n v="1902.39"/>
    <m/>
    <m/>
    <n v="7609.51"/>
    <m/>
    <n v="190.24"/>
    <m/>
    <m/>
    <m/>
    <m/>
    <m/>
    <m/>
    <n v="95.12"/>
    <m/>
    <m/>
    <m/>
    <m/>
    <m/>
    <m/>
    <n v="190.24"/>
    <m/>
    <m/>
    <m/>
    <m/>
    <m/>
    <m/>
    <m/>
    <n v="95.12"/>
    <m/>
    <n v="570.72"/>
  </r>
  <r>
    <n v="6"/>
    <x v="6"/>
    <x v="0"/>
    <n v="170608"/>
    <s v="COTSIFIS LEONARDO CRISTIAN"/>
    <s v="20-28488021-9"/>
    <d v="2016-07-06T00:00:00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n v="1091"/>
    <s v="HIPOLITO YRIGOYEN"/>
    <n v="809"/>
    <m/>
    <m/>
    <s v="CAPITAL FEDERAL"/>
    <s v="Capital Federal"/>
    <m/>
    <s v="U.O.Centro"/>
    <m/>
    <n v="2"/>
    <n v="1"/>
    <n v="20578.59"/>
    <n v="4115.7299999999996"/>
    <m/>
    <m/>
    <n v="16462.86"/>
    <m/>
    <n v="411.58"/>
    <m/>
    <m/>
    <m/>
    <m/>
    <m/>
    <m/>
    <n v="205.78"/>
    <m/>
    <m/>
    <m/>
    <m/>
    <m/>
    <m/>
    <n v="411.58"/>
    <m/>
    <m/>
    <m/>
    <m/>
    <m/>
    <m/>
    <m/>
    <n v="205.78"/>
    <m/>
    <n v="1234.72"/>
  </r>
  <r>
    <n v="6"/>
    <x v="6"/>
    <x v="0"/>
    <n v="169495"/>
    <s v="CRUZ ARIEL"/>
    <s v="20-23765623-8"/>
    <d v="2016-07-06T00:00:00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1"/>
    <n v="1"/>
    <n v="12945.47"/>
    <n v="2589.08"/>
    <m/>
    <m/>
    <n v="10356.39"/>
    <m/>
    <n v="258.91000000000003"/>
    <m/>
    <m/>
    <m/>
    <m/>
    <m/>
    <m/>
    <n v="129.44999999999999"/>
    <m/>
    <m/>
    <m/>
    <m/>
    <m/>
    <m/>
    <n v="258.91000000000003"/>
    <m/>
    <m/>
    <m/>
    <m/>
    <m/>
    <m/>
    <m/>
    <n v="129.44999999999999"/>
    <m/>
    <n v="776.72"/>
  </r>
  <r>
    <n v="6"/>
    <x v="6"/>
    <x v="0"/>
    <n v="172089"/>
    <s v="CUESTA NICOLAS"/>
    <s v="20-36989012-4"/>
    <d v="2016-07-06T00:00:00"/>
    <n v="36989012"/>
    <s v="CUESTA"/>
    <s v="NICOLAS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BERTO EINSTEIN"/>
    <n v="1225"/>
    <m/>
    <m/>
    <s v="CAPITAL FEDERAL"/>
    <s v="Buenos Aires"/>
    <m/>
    <s v="U.O.Centro"/>
    <m/>
    <n v="3"/>
    <n v="1"/>
    <n v="4001.68"/>
    <n v="800.37"/>
    <m/>
    <m/>
    <n v="3201.31"/>
    <m/>
    <n v="80.040000000000006"/>
    <m/>
    <m/>
    <m/>
    <m/>
    <m/>
    <m/>
    <n v="40.020000000000003"/>
    <m/>
    <m/>
    <m/>
    <m/>
    <m/>
    <m/>
    <n v="80.040000000000006"/>
    <m/>
    <m/>
    <m/>
    <m/>
    <m/>
    <m/>
    <m/>
    <n v="40.020000000000003"/>
    <m/>
    <n v="240.12"/>
  </r>
  <r>
    <n v="6"/>
    <x v="6"/>
    <x v="1"/>
    <n v="173595"/>
    <s v="D´AGOSTINO MARCO ALEN"/>
    <s v="20-40547087-0"/>
    <d v="2016-06-29T00:00:00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ALLE 17"/>
    <n v="764"/>
    <m/>
    <m/>
    <s v="CAPITAL FEDERAL"/>
    <s v="Capital Federal"/>
    <m/>
    <s v="U.O.Centro Paga Inplant"/>
    <m/>
    <n v="1"/>
    <n v="1"/>
    <n v="15945.08"/>
    <n v="3189.01"/>
    <m/>
    <m/>
    <n v="12756.07"/>
    <m/>
    <n v="318.89999999999998"/>
    <m/>
    <m/>
    <m/>
    <m/>
    <m/>
    <m/>
    <n v="159.44999999999999"/>
    <m/>
    <m/>
    <m/>
    <m/>
    <m/>
    <m/>
    <n v="318.89999999999998"/>
    <m/>
    <m/>
    <m/>
    <m/>
    <m/>
    <m/>
    <m/>
    <n v="159.44999999999999"/>
    <m/>
    <n v="956.7"/>
  </r>
  <r>
    <n v="6"/>
    <x v="6"/>
    <x v="0"/>
    <n v="174566"/>
    <s v="DESAQUILAN AXEL NICOLAS"/>
    <s v="20-39665785-7"/>
    <d v="2016-07-06T00:00:00"/>
    <n v="39665785"/>
    <s v="DESAQUILAN"/>
    <s v="AXEL NICOLAS"/>
    <s v="M"/>
    <m/>
    <d v="2016-06-1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MONTEVERDE"/>
    <n v="1005"/>
    <m/>
    <m/>
    <s v="CAPITAL FEDERAL"/>
    <s v="Capital Federal"/>
    <m/>
    <s v="U.O.Centro"/>
    <m/>
    <n v="1"/>
    <n v="1"/>
    <n v="5720.61"/>
    <n v="1144.1300000000001"/>
    <m/>
    <m/>
    <n v="4576.4799999999996"/>
    <m/>
    <n v="114.41"/>
    <m/>
    <m/>
    <m/>
    <m/>
    <m/>
    <m/>
    <n v="57.21"/>
    <m/>
    <m/>
    <m/>
    <m/>
    <m/>
    <m/>
    <n v="114.41"/>
    <m/>
    <m/>
    <m/>
    <m/>
    <m/>
    <m/>
    <m/>
    <n v="57.21"/>
    <m/>
    <n v="343.24"/>
  </r>
  <r>
    <n v="6"/>
    <x v="6"/>
    <x v="0"/>
    <n v="170691"/>
    <s v="DIAZ INGRID MANUELA"/>
    <s v="27-93051595-2"/>
    <d v="2016-07-06T00:00:00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ISANEWTON"/>
    <n v="1225"/>
    <m/>
    <m/>
    <s v="CAPITAL FEDERAL"/>
    <s v="Buenos Aires"/>
    <m/>
    <s v="U.O.Centro"/>
    <m/>
    <n v="1"/>
    <n v="1"/>
    <n v="4289.68"/>
    <n v="857.93"/>
    <m/>
    <m/>
    <n v="3431.75"/>
    <m/>
    <n v="85.79"/>
    <m/>
    <m/>
    <m/>
    <m/>
    <m/>
    <m/>
    <n v="42.9"/>
    <m/>
    <m/>
    <m/>
    <m/>
    <m/>
    <m/>
    <n v="85.79"/>
    <m/>
    <m/>
    <m/>
    <m/>
    <m/>
    <m/>
    <m/>
    <n v="42.9"/>
    <m/>
    <n v="257.38"/>
  </r>
  <r>
    <n v="6"/>
    <x v="6"/>
    <x v="0"/>
    <n v="169910"/>
    <s v="DIAZ NANCY"/>
    <s v="27-21949289-3"/>
    <d v="2016-07-06T00:00:0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1"/>
    <n v="1"/>
    <n v="6647.91"/>
    <n v="1329.59"/>
    <m/>
    <m/>
    <n v="5318.32"/>
    <m/>
    <n v="132.96"/>
    <m/>
    <m/>
    <m/>
    <m/>
    <m/>
    <m/>
    <n v="66.48"/>
    <m/>
    <m/>
    <m/>
    <m/>
    <m/>
    <m/>
    <n v="132.96"/>
    <m/>
    <m/>
    <m/>
    <m/>
    <m/>
    <m/>
    <m/>
    <n v="66.48"/>
    <m/>
    <n v="398.88"/>
  </r>
  <r>
    <n v="6"/>
    <x v="6"/>
    <x v="0"/>
    <n v="162205"/>
    <s v="DOMINGUEZ CABRERA CESAR FERNANDO"/>
    <s v="23-95304555-9"/>
    <d v="2016-07-06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2"/>
    <n v="1"/>
    <n v="7307.76"/>
    <n v="1461.55"/>
    <m/>
    <m/>
    <n v="5846.21"/>
    <m/>
    <n v="146.15"/>
    <m/>
    <m/>
    <m/>
    <m/>
    <m/>
    <m/>
    <n v="73.08"/>
    <m/>
    <m/>
    <m/>
    <m/>
    <m/>
    <m/>
    <n v="146.15"/>
    <m/>
    <m/>
    <m/>
    <m/>
    <m/>
    <m/>
    <m/>
    <n v="73.08"/>
    <m/>
    <n v="438.46"/>
  </r>
  <r>
    <n v="6"/>
    <x v="6"/>
    <x v="0"/>
    <n v="171896"/>
    <s v="DUARTE EMANUEL FACUNDO"/>
    <s v="20-35319477-2"/>
    <d v="2016-07-06T00:00:00"/>
    <n v="35319477"/>
    <s v="DUARTE"/>
    <s v="EMANUEL FACUNDO"/>
    <s v="M"/>
    <m/>
    <d v="2016-04-19T00:00:00"/>
    <d v="2016-05-13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Santos Irigoyen"/>
    <n v="1225"/>
    <m/>
    <m/>
    <s v="CAPITAL FEDERAL"/>
    <s v="Buenos Aires"/>
    <m/>
    <s v="U.O.Centro"/>
    <m/>
    <n v="1"/>
    <n v="1"/>
    <n v="7347.34"/>
    <n v="1469.47"/>
    <m/>
    <m/>
    <n v="5877.87"/>
    <m/>
    <n v="146.94999999999999"/>
    <m/>
    <m/>
    <m/>
    <m/>
    <m/>
    <m/>
    <n v="73.47"/>
    <m/>
    <m/>
    <m/>
    <m/>
    <m/>
    <m/>
    <n v="146.94999999999999"/>
    <m/>
    <m/>
    <m/>
    <m/>
    <m/>
    <m/>
    <m/>
    <n v="73.47"/>
    <m/>
    <n v="440.84"/>
  </r>
  <r>
    <n v="6"/>
    <x v="6"/>
    <x v="0"/>
    <n v="166685"/>
    <s v="DUARTE PICO EVA CLARINA"/>
    <s v="27-94661310-5"/>
    <d v="2016-07-01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7358.439999999999"/>
    <n v="3471.68"/>
    <m/>
    <m/>
    <n v="13886.76"/>
    <m/>
    <n v="347.17"/>
    <m/>
    <m/>
    <m/>
    <m/>
    <m/>
    <m/>
    <n v="173.58"/>
    <m/>
    <m/>
    <m/>
    <m/>
    <m/>
    <m/>
    <n v="347.17"/>
    <m/>
    <m/>
    <m/>
    <m/>
    <m/>
    <m/>
    <m/>
    <n v="173.58"/>
    <m/>
    <n v="1041.5"/>
  </r>
  <r>
    <n v="6"/>
    <x v="6"/>
    <x v="0"/>
    <n v="138787"/>
    <s v="FERNANDEZ CLAUDIA"/>
    <s v="27-23472256-0"/>
    <d v="2016-07-06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2"/>
    <n v="1"/>
    <n v="16682.05"/>
    <n v="3336.41"/>
    <m/>
    <m/>
    <n v="13345.64"/>
    <m/>
    <n v="333.64"/>
    <m/>
    <m/>
    <m/>
    <m/>
    <m/>
    <m/>
    <n v="166.82"/>
    <m/>
    <m/>
    <m/>
    <m/>
    <m/>
    <m/>
    <n v="333.64"/>
    <m/>
    <m/>
    <m/>
    <m/>
    <m/>
    <m/>
    <m/>
    <n v="166.82"/>
    <m/>
    <n v="1000.92"/>
  </r>
  <r>
    <n v="6"/>
    <x v="6"/>
    <x v="1"/>
    <n v="170547"/>
    <s v="Ferreyra Angel Matias"/>
    <s v="20-27942786-7"/>
    <d v="2016-06-29T00:00:00"/>
    <n v="27942786"/>
    <s v="Ferreyra"/>
    <s v="Angel Matias"/>
    <s v="F"/>
    <m/>
    <d v="2016-03-22T00:00:00"/>
    <m/>
    <m/>
    <s v="GASTRONOMICOS-Hoteles 4 y 5 Estrellas - 362/2003"/>
    <s v="Categoría 4"/>
    <x v="3"/>
    <s v="Unidad Principal"/>
    <s v="Centro"/>
    <s v="Tareas Generales"/>
    <n v="111704"/>
    <s v="OS  DE ENCARGADOS APUNTADORES MARITIMOS"/>
    <s v="Capital Federal"/>
    <m/>
    <n v="1002"/>
    <s v="Mateo Churich"/>
    <n v="764"/>
    <m/>
    <m/>
    <s v="CAPITAL FEDERAL"/>
    <s v="Capital Federal"/>
    <m/>
    <s v="U.O.Centro Paga Inplant"/>
    <m/>
    <n v="1"/>
    <n v="1"/>
    <n v="16225.37"/>
    <n v="3245.07"/>
    <m/>
    <m/>
    <n v="12980.3"/>
    <m/>
    <n v="324.51"/>
    <m/>
    <m/>
    <m/>
    <m/>
    <m/>
    <m/>
    <n v="162.25"/>
    <m/>
    <m/>
    <m/>
    <m/>
    <m/>
    <m/>
    <n v="324.51"/>
    <m/>
    <m/>
    <m/>
    <m/>
    <m/>
    <m/>
    <m/>
    <n v="162.25"/>
    <m/>
    <n v="973.52"/>
  </r>
  <r>
    <n v="6"/>
    <x v="6"/>
    <x v="0"/>
    <n v="173372"/>
    <s v="FILATOVA INNA"/>
    <s v="27-18845947-7"/>
    <d v="2016-07-06T00:00:00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GUALEGUAY"/>
    <n v="1225"/>
    <m/>
    <m/>
    <s v="CAPITAL FEDERAL"/>
    <s v="Buenos Aires"/>
    <m/>
    <s v="U.O.Centro"/>
    <m/>
    <n v="3"/>
    <n v="1"/>
    <n v="2801.18"/>
    <n v="560.22"/>
    <m/>
    <m/>
    <n v="2240.96"/>
    <m/>
    <n v="56.02"/>
    <m/>
    <m/>
    <m/>
    <m/>
    <m/>
    <m/>
    <n v="28.01"/>
    <m/>
    <m/>
    <m/>
    <m/>
    <m/>
    <m/>
    <n v="56.02"/>
    <m/>
    <m/>
    <m/>
    <m/>
    <m/>
    <m/>
    <m/>
    <n v="28.01"/>
    <m/>
    <n v="168.06"/>
  </r>
  <r>
    <n v="6"/>
    <x v="6"/>
    <x v="0"/>
    <n v="172186"/>
    <s v="GALLARDO MELINA ELIZABETH"/>
    <s v="27-38587519-9"/>
    <d v="2016-07-06T00:00:00"/>
    <n v="38587519"/>
    <s v="GALLARDO"/>
    <s v="MELINA ELIZABETH"/>
    <s v="F"/>
    <m/>
    <d v="2016-04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L CHIRIACHE"/>
    <n v="474"/>
    <m/>
    <m/>
    <s v="CAPITAL FEDERAL"/>
    <s v="Buenos Aires"/>
    <m/>
    <s v="U.O.Centro"/>
    <m/>
    <n v="1"/>
    <n v="1"/>
    <n v="9385.81"/>
    <n v="1924.09"/>
    <m/>
    <m/>
    <n v="7461.72"/>
    <n v="234.65"/>
    <m/>
    <m/>
    <m/>
    <m/>
    <m/>
    <m/>
    <m/>
    <n v="93.86"/>
    <m/>
    <m/>
    <m/>
    <m/>
    <m/>
    <m/>
    <n v="187.72"/>
    <m/>
    <m/>
    <m/>
    <m/>
    <m/>
    <m/>
    <m/>
    <n v="93.86"/>
    <m/>
    <n v="610.09"/>
  </r>
  <r>
    <n v="6"/>
    <x v="6"/>
    <x v="1"/>
    <n v="174569"/>
    <s v="GALLO LUCAS VICTOR"/>
    <s v="20-28851462-4"/>
    <d v="2016-06-29T00:00:00"/>
    <n v="28851462"/>
    <s v="GALLO"/>
    <s v="LUCAS VICTOR"/>
    <s v="M"/>
    <m/>
    <d v="2016-06-18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ESMERALDA"/>
    <n v="764"/>
    <n v="4"/>
    <s v="B"/>
    <s v="CAPITAL FEDERAL"/>
    <s v="Capital Federal"/>
    <m/>
    <s v="U.O.Centro"/>
    <m/>
    <n v="1"/>
    <n v="1"/>
    <n v="1533.22"/>
    <n v="306.64"/>
    <m/>
    <m/>
    <n v="1226.58"/>
    <m/>
    <n v="30.66"/>
    <m/>
    <m/>
    <m/>
    <m/>
    <m/>
    <m/>
    <n v="15.33"/>
    <m/>
    <m/>
    <m/>
    <m/>
    <m/>
    <m/>
    <n v="30.66"/>
    <m/>
    <m/>
    <m/>
    <m/>
    <m/>
    <m/>
    <m/>
    <n v="15.33"/>
    <m/>
    <n v="91.98"/>
  </r>
  <r>
    <n v="6"/>
    <x v="6"/>
    <x v="1"/>
    <n v="65418"/>
    <s v="GARAY ANGEL FAUSTINO"/>
    <s v="20-27725694-1"/>
    <d v="2016-07-06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23707.48"/>
    <n v="4860.0200000000004"/>
    <m/>
    <m/>
    <n v="18847.46"/>
    <n v="592.69000000000005"/>
    <m/>
    <m/>
    <m/>
    <m/>
    <m/>
    <m/>
    <m/>
    <n v="237.07"/>
    <m/>
    <m/>
    <m/>
    <m/>
    <m/>
    <m/>
    <n v="474.15"/>
    <m/>
    <m/>
    <m/>
    <m/>
    <m/>
    <m/>
    <m/>
    <n v="237.07"/>
    <m/>
    <n v="1540.98"/>
  </r>
  <r>
    <n v="6"/>
    <x v="6"/>
    <x v="0"/>
    <n v="174037"/>
    <s v="GARCIA CZUJKO ANDREA LAURA"/>
    <s v="27-93769203-5"/>
    <d v="2016-07-06T00:00:00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2"/>
    <n v="1"/>
    <n v="8669.4699999999993"/>
    <n v="1733.88"/>
    <m/>
    <m/>
    <n v="6935.59"/>
    <m/>
    <n v="173.39"/>
    <m/>
    <m/>
    <m/>
    <m/>
    <m/>
    <m/>
    <n v="86.69"/>
    <m/>
    <m/>
    <m/>
    <m/>
    <m/>
    <m/>
    <n v="173.39"/>
    <m/>
    <m/>
    <m/>
    <m/>
    <m/>
    <m/>
    <m/>
    <n v="86.69"/>
    <m/>
    <n v="520.16"/>
  </r>
  <r>
    <n v="6"/>
    <x v="6"/>
    <x v="0"/>
    <n v="164235"/>
    <s v="GAUTO ALVAREZ BEATRIZ"/>
    <s v="27-94488727-5"/>
    <d v="2016-07-06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n v="7425.07"/>
    <n v="1485.01"/>
    <m/>
    <m/>
    <n v="5940.06"/>
    <m/>
    <n v="148.5"/>
    <m/>
    <m/>
    <m/>
    <m/>
    <m/>
    <m/>
    <n v="74.25"/>
    <m/>
    <m/>
    <m/>
    <m/>
    <m/>
    <m/>
    <n v="148.5"/>
    <m/>
    <m/>
    <m/>
    <m/>
    <m/>
    <m/>
    <m/>
    <n v="74.25"/>
    <m/>
    <n v="445.5"/>
  </r>
  <r>
    <n v="6"/>
    <x v="6"/>
    <x v="0"/>
    <n v="171840"/>
    <s v="GERON PABLO"/>
    <s v="20-34949635-7"/>
    <d v="2016-07-06T00:00:00"/>
    <n v="34949635"/>
    <s v="GERON"/>
    <s v="PABLO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EL ARREO"/>
    <n v="1005"/>
    <m/>
    <m/>
    <s v="CAPITAL FEDERAL"/>
    <s v="Capital Federal"/>
    <m/>
    <s v="U.O.Centro"/>
    <m/>
    <n v="3"/>
    <n v="1"/>
    <n v="6560.11"/>
    <n v="1312.05"/>
    <m/>
    <m/>
    <n v="5248.06"/>
    <m/>
    <n v="131.21"/>
    <m/>
    <m/>
    <m/>
    <m/>
    <m/>
    <m/>
    <n v="65.599999999999994"/>
    <m/>
    <m/>
    <m/>
    <m/>
    <m/>
    <m/>
    <n v="131.21"/>
    <m/>
    <m/>
    <m/>
    <m/>
    <m/>
    <m/>
    <m/>
    <n v="65.599999999999994"/>
    <m/>
    <n v="393.62"/>
  </r>
  <r>
    <n v="6"/>
    <x v="6"/>
    <x v="0"/>
    <n v="171275"/>
    <s v="GODOY LUCIA AYMARA"/>
    <s v="27-26465340-7"/>
    <d v="2016-06-21T00:00:00"/>
    <n v="26465340"/>
    <s v="GODOY"/>
    <s v="LUCIA AYMAR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EXICO"/>
    <n v="1225"/>
    <n v="6"/>
    <n v="31"/>
    <s v="CAPITAL FEDERAL"/>
    <s v="Buenos Aires"/>
    <m/>
    <s v="U.O.Centro"/>
    <m/>
    <n v="1"/>
    <n v="1"/>
    <n v="1630.61"/>
    <n v="326.13"/>
    <m/>
    <m/>
    <n v="1304.48"/>
    <m/>
    <n v="32.61"/>
    <m/>
    <m/>
    <m/>
    <m/>
    <m/>
    <m/>
    <n v="16.309999999999999"/>
    <m/>
    <m/>
    <m/>
    <m/>
    <m/>
    <m/>
    <n v="32.61"/>
    <m/>
    <m/>
    <m/>
    <m/>
    <m/>
    <m/>
    <m/>
    <n v="16.309999999999999"/>
    <m/>
    <n v="97.84"/>
  </r>
  <r>
    <n v="6"/>
    <x v="6"/>
    <x v="1"/>
    <n v="164986"/>
    <s v="GOMEZ MIGUEL ANGEL"/>
    <s v="20-40687394-4"/>
    <d v="2016-07-06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1"/>
    <n v="1"/>
    <n v="19456.509999999998"/>
    <n v="3891.32"/>
    <m/>
    <m/>
    <n v="15565.19"/>
    <m/>
    <n v="389.13"/>
    <m/>
    <m/>
    <m/>
    <m/>
    <m/>
    <m/>
    <n v="194.57"/>
    <m/>
    <m/>
    <m/>
    <m/>
    <m/>
    <m/>
    <n v="389.13"/>
    <m/>
    <m/>
    <m/>
    <m/>
    <m/>
    <m/>
    <m/>
    <n v="194.57"/>
    <m/>
    <n v="1167.4000000000001"/>
  </r>
  <r>
    <n v="6"/>
    <x v="6"/>
    <x v="1"/>
    <n v="173612"/>
    <s v="GONZALEZ CRISTINA ALEJANDRA GRACIELA"/>
    <s v="27-17598323-1"/>
    <d v="2016-07-06T00:00:00"/>
    <n v="17598323"/>
    <s v="GONZALEZ"/>
    <s v="CRISTINA ALEJANDRA GRACIELA"/>
    <s v="F"/>
    <m/>
    <d v="2016-05-28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ALVARADO"/>
    <n v="1891"/>
    <m/>
    <m/>
    <s v="CAPITAL FEDERAL"/>
    <s v="Capital Federal"/>
    <m/>
    <s v="U.O.Centro"/>
    <m/>
    <n v="2"/>
    <n v="1"/>
    <n v="4371.53"/>
    <n v="874.29"/>
    <m/>
    <m/>
    <n v="3497.24"/>
    <m/>
    <n v="87.43"/>
    <m/>
    <m/>
    <m/>
    <m/>
    <m/>
    <m/>
    <n v="43.71"/>
    <m/>
    <m/>
    <m/>
    <m/>
    <m/>
    <m/>
    <n v="87.43"/>
    <m/>
    <m/>
    <m/>
    <m/>
    <m/>
    <m/>
    <m/>
    <n v="43.71"/>
    <m/>
    <n v="262.27999999999997"/>
  </r>
  <r>
    <n v="6"/>
    <x v="6"/>
    <x v="0"/>
    <n v="48107"/>
    <s v="GONZALEZ KARINA ELIZABETH"/>
    <s v="27-23467821-9"/>
    <d v="2016-07-06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2"/>
    <n v="1"/>
    <n v="12954.54"/>
    <n v="2590.92"/>
    <m/>
    <m/>
    <n v="10363.620000000001"/>
    <m/>
    <n v="259.08999999999997"/>
    <m/>
    <m/>
    <m/>
    <m/>
    <m/>
    <m/>
    <n v="129.55000000000001"/>
    <m/>
    <m/>
    <m/>
    <m/>
    <m/>
    <m/>
    <n v="259.08999999999997"/>
    <m/>
    <m/>
    <m/>
    <m/>
    <m/>
    <m/>
    <m/>
    <n v="129.55000000000001"/>
    <m/>
    <n v="777.28"/>
  </r>
  <r>
    <n v="6"/>
    <x v="6"/>
    <x v="1"/>
    <n v="164224"/>
    <s v="GONZALEZ SALOME NATALIA"/>
    <s v="27-35111714-7"/>
    <d v="2016-07-06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3340.7"/>
    <n v="668.14"/>
    <m/>
    <m/>
    <n v="2672.56"/>
    <m/>
    <n v="66.81"/>
    <m/>
    <m/>
    <m/>
    <m/>
    <m/>
    <m/>
    <n v="33.409999999999997"/>
    <m/>
    <m/>
    <m/>
    <m/>
    <m/>
    <m/>
    <n v="66.81"/>
    <m/>
    <m/>
    <m/>
    <m/>
    <m/>
    <m/>
    <m/>
    <n v="33.409999999999997"/>
    <m/>
    <n v="200.44"/>
  </r>
  <r>
    <n v="6"/>
    <x v="6"/>
    <x v="1"/>
    <n v="136459"/>
    <s v="GONZALEZ VICTOR HUGO"/>
    <s v="20-37376573-3"/>
    <d v="2016-07-06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1"/>
    <n v="1"/>
    <n v="23560.06"/>
    <n v="4712.01"/>
    <m/>
    <m/>
    <n v="18848.05"/>
    <m/>
    <n v="471.2"/>
    <m/>
    <m/>
    <m/>
    <m/>
    <m/>
    <m/>
    <n v="235.6"/>
    <m/>
    <m/>
    <m/>
    <m/>
    <m/>
    <m/>
    <n v="471.2"/>
    <m/>
    <m/>
    <m/>
    <m/>
    <m/>
    <m/>
    <m/>
    <n v="235.6"/>
    <m/>
    <n v="1413.6"/>
  </r>
  <r>
    <n v="6"/>
    <x v="6"/>
    <x v="1"/>
    <n v="77136"/>
    <s v="HAURET BELTRAN"/>
    <s v="20-31675095-9"/>
    <d v="2016-07-06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1"/>
    <n v="1"/>
    <n v="27299.97"/>
    <n v="5460"/>
    <m/>
    <m/>
    <n v="21839.97"/>
    <m/>
    <n v="546"/>
    <m/>
    <m/>
    <m/>
    <m/>
    <m/>
    <m/>
    <n v="273"/>
    <m/>
    <m/>
    <m/>
    <m/>
    <m/>
    <m/>
    <n v="546"/>
    <m/>
    <m/>
    <m/>
    <m/>
    <m/>
    <m/>
    <m/>
    <n v="273"/>
    <m/>
    <n v="1638"/>
  </r>
  <r>
    <n v="6"/>
    <x v="6"/>
    <x v="0"/>
    <n v="170316"/>
    <s v="HERNÁNDEZ LÓPEZ KEVIN FELIPE"/>
    <s v="20-95292340-5"/>
    <d v="2016-07-06T00:00:00"/>
    <n v="95292340"/>
    <s v="HERNÁNDEZ LÓPEZ"/>
    <s v="KEVIN FELIPE"/>
    <s v="M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 HAYA 3977, CAPITAL FEDERAL"/>
    <n v="1225"/>
    <m/>
    <m/>
    <s v="CAPITAL FEDERAL"/>
    <s v="Buenos Aires"/>
    <m/>
    <s v="U.O.Centro"/>
    <m/>
    <n v="2"/>
    <n v="1"/>
    <n v="2801.18"/>
    <n v="560.25"/>
    <m/>
    <m/>
    <n v="2240.9299999999998"/>
    <m/>
    <n v="56.03"/>
    <m/>
    <m/>
    <m/>
    <m/>
    <m/>
    <m/>
    <n v="28.01"/>
    <m/>
    <m/>
    <m/>
    <m/>
    <m/>
    <m/>
    <n v="56.03"/>
    <m/>
    <m/>
    <m/>
    <m/>
    <m/>
    <m/>
    <m/>
    <n v="28.01"/>
    <m/>
    <n v="168.08"/>
  </r>
  <r>
    <n v="6"/>
    <x v="6"/>
    <x v="1"/>
    <n v="171895"/>
    <s v="IBARRA LUISINA YASMIN"/>
    <s v="27-37039024-5"/>
    <d v="2016-06-29T00:00:00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LUMERIZZO"/>
    <n v="764"/>
    <m/>
    <m/>
    <s v="CAPITAL FEDERAL"/>
    <s v="Capital Federal"/>
    <m/>
    <s v="U.O.Centro Paga Inplant"/>
    <m/>
    <n v="1"/>
    <n v="1"/>
    <n v="12132.25"/>
    <n v="2426.46"/>
    <m/>
    <m/>
    <n v="9705.7900000000009"/>
    <m/>
    <n v="242.65"/>
    <m/>
    <m/>
    <m/>
    <m/>
    <m/>
    <m/>
    <n v="121.32"/>
    <m/>
    <m/>
    <m/>
    <m/>
    <m/>
    <m/>
    <n v="242.65"/>
    <m/>
    <m/>
    <m/>
    <m/>
    <m/>
    <m/>
    <m/>
    <n v="121.32"/>
    <m/>
    <n v="727.94"/>
  </r>
  <r>
    <n v="6"/>
    <x v="6"/>
    <x v="0"/>
    <n v="174567"/>
    <s v="IERINO MARIA FIORELLA"/>
    <s v="27-40229790-0"/>
    <d v="2016-07-06T00:00:00"/>
    <n v="40229790"/>
    <s v="IERINO"/>
    <s v="MARIA FIORELLA"/>
    <s v="F"/>
    <m/>
    <d v="2016-06-18T00:00:00"/>
    <m/>
    <m/>
    <s v="GASTRONOMICOS-Hoteles 4 y 5 Estrellas - 362/2003"/>
    <s v="Categoria 6"/>
    <x v="1"/>
    <s v="RESTAURANT"/>
    <s v="Centro"/>
    <s v="Camarero/a"/>
    <n v="108803"/>
    <s v="O.S.P.Gastronomico"/>
    <s v="Capital Federal"/>
    <m/>
    <n v="1005"/>
    <s v="MORENO"/>
    <n v="1005"/>
    <n v="3"/>
    <s v="A"/>
    <s v="CAPITAL FEDERAL"/>
    <s v="Capital Federal"/>
    <m/>
    <s v="U.O.Centro"/>
    <m/>
    <n v="1"/>
    <n v="1"/>
    <n v="1625.95"/>
    <n v="325.19"/>
    <m/>
    <m/>
    <n v="1300.76"/>
    <m/>
    <n v="32.520000000000003"/>
    <m/>
    <m/>
    <m/>
    <m/>
    <m/>
    <m/>
    <n v="16.260000000000002"/>
    <m/>
    <m/>
    <m/>
    <m/>
    <m/>
    <m/>
    <n v="32.520000000000003"/>
    <m/>
    <m/>
    <m/>
    <m/>
    <m/>
    <m/>
    <m/>
    <n v="16.260000000000002"/>
    <m/>
    <n v="97.56"/>
  </r>
  <r>
    <n v="6"/>
    <x v="6"/>
    <x v="0"/>
    <n v="155922"/>
    <s v="JANNON LUIS AUGUSTO"/>
    <s v="20-32336089-9"/>
    <d v="2016-07-06T00:00:00"/>
    <n v="32336089"/>
    <s v="JANNON"/>
    <s v="LUIS AUGUSTO"/>
    <s v="M"/>
    <m/>
    <d v="2016-02-0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2"/>
    <n v="1"/>
    <n v="15029.35"/>
    <n v="3005.87"/>
    <m/>
    <m/>
    <n v="12023.48"/>
    <m/>
    <n v="300.58999999999997"/>
    <m/>
    <m/>
    <m/>
    <m/>
    <m/>
    <m/>
    <n v="150.29"/>
    <m/>
    <m/>
    <m/>
    <m/>
    <m/>
    <m/>
    <n v="300.58999999999997"/>
    <m/>
    <m/>
    <m/>
    <m/>
    <m/>
    <m/>
    <m/>
    <n v="150.29"/>
    <m/>
    <n v="901.76"/>
  </r>
  <r>
    <n v="6"/>
    <x v="6"/>
    <x v="0"/>
    <n v="168403"/>
    <s v="JUAREZ LILIANA MARCELA"/>
    <s v="27-23887293-1"/>
    <d v="2016-07-01T00:00:00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LA RIOJA"/>
    <n v="841"/>
    <m/>
    <m/>
    <s v="CAPITAL FEDERAL"/>
    <s v="Buenos Aires"/>
    <m/>
    <s v="U.O.Centro"/>
    <m/>
    <n v="1"/>
    <n v="1"/>
    <n v="16455.64"/>
    <n v="3291.13"/>
    <m/>
    <m/>
    <n v="13164.51"/>
    <m/>
    <n v="329.11"/>
    <m/>
    <m/>
    <m/>
    <m/>
    <m/>
    <m/>
    <n v="164.56"/>
    <m/>
    <m/>
    <m/>
    <m/>
    <m/>
    <m/>
    <n v="329.11"/>
    <m/>
    <m/>
    <m/>
    <m/>
    <m/>
    <m/>
    <m/>
    <n v="164.56"/>
    <m/>
    <n v="987.34"/>
  </r>
  <r>
    <n v="6"/>
    <x v="6"/>
    <x v="0"/>
    <n v="162207"/>
    <s v="KOLTOWSKI ALICIA ANDREA"/>
    <s v="27-24905826-8"/>
    <d v="2016-07-06T00:00:00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MONTEVERDE"/>
    <n v="1225"/>
    <m/>
    <m/>
    <s v="CAPITAL FEDERAL"/>
    <s v="Buenos Aires"/>
    <m/>
    <s v="U.O.Centro"/>
    <m/>
    <n v="3"/>
    <n v="1"/>
    <n v="2000.83"/>
    <n v="400.16"/>
    <m/>
    <m/>
    <n v="1600.67"/>
    <m/>
    <n v="40.020000000000003"/>
    <m/>
    <m/>
    <m/>
    <m/>
    <m/>
    <m/>
    <n v="20"/>
    <m/>
    <m/>
    <m/>
    <m/>
    <m/>
    <m/>
    <n v="40.020000000000003"/>
    <m/>
    <m/>
    <m/>
    <m/>
    <m/>
    <m/>
    <m/>
    <n v="20"/>
    <m/>
    <n v="120.04"/>
  </r>
  <r>
    <n v="6"/>
    <x v="6"/>
    <x v="0"/>
    <n v="172052"/>
    <s v="KUMANI CINTHIA"/>
    <s v="27-36821956-3"/>
    <d v="2016-07-06T00:00:00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N LUIS"/>
    <n v="1225"/>
    <m/>
    <m/>
    <s v="CAPITAL FEDERAL"/>
    <s v="Buenos Aires"/>
    <m/>
    <s v="U.O.Centro"/>
    <m/>
    <n v="3"/>
    <n v="1"/>
    <n v="4581.66"/>
    <n v="916.33"/>
    <m/>
    <m/>
    <n v="3665.33"/>
    <m/>
    <n v="91.63"/>
    <m/>
    <m/>
    <m/>
    <m/>
    <m/>
    <m/>
    <n v="45.82"/>
    <m/>
    <m/>
    <m/>
    <m/>
    <m/>
    <m/>
    <n v="91.63"/>
    <m/>
    <m/>
    <m/>
    <m/>
    <m/>
    <m/>
    <m/>
    <n v="45.82"/>
    <m/>
    <n v="274.89999999999998"/>
  </r>
  <r>
    <n v="6"/>
    <x v="6"/>
    <x v="0"/>
    <n v="173371"/>
    <s v="LEON MONROY MARIA FERNANDA"/>
    <s v="27-95365560-3"/>
    <d v="2016-07-06T00:00:00"/>
    <n v="95365560"/>
    <s v="LEON MONROY"/>
    <s v="MARIA FERNANDA"/>
    <s v="F"/>
    <m/>
    <d v="2016-05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PIEDRAS"/>
    <n v="1225"/>
    <n v="1"/>
    <s v="D"/>
    <s v="CAPITAL FEDERAL"/>
    <s v="Buenos Aires"/>
    <m/>
    <s v="U.O.Centro"/>
    <m/>
    <n v="3"/>
    <n v="1"/>
    <n v="10027.42"/>
    <n v="2005.48"/>
    <m/>
    <m/>
    <n v="8021.94"/>
    <m/>
    <n v="200.55"/>
    <m/>
    <m/>
    <m/>
    <m/>
    <m/>
    <m/>
    <n v="100.28"/>
    <m/>
    <m/>
    <m/>
    <m/>
    <m/>
    <m/>
    <n v="200.55"/>
    <m/>
    <m/>
    <m/>
    <m/>
    <m/>
    <m/>
    <m/>
    <n v="100.28"/>
    <m/>
    <n v="601.66"/>
  </r>
  <r>
    <n v="6"/>
    <x v="6"/>
    <x v="0"/>
    <n v="170301"/>
    <s v="LIRA ELIANA EDITH"/>
    <s v="27-27473307-7"/>
    <d v="2016-07-06T00:00:00"/>
    <n v="27473307"/>
    <s v="LIRA"/>
    <s v="ELIANA EDITH"/>
    <s v="F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RONEL MAGAN"/>
    <n v="1225"/>
    <m/>
    <m/>
    <s v="CAPITAL FEDERAL"/>
    <s v="Buenos Aires"/>
    <m/>
    <s v="U.O.Centro"/>
    <m/>
    <n v="2"/>
    <n v="1"/>
    <n v="3201.36"/>
    <n v="640.27"/>
    <m/>
    <m/>
    <n v="2561.09"/>
    <m/>
    <n v="64.03"/>
    <m/>
    <m/>
    <m/>
    <m/>
    <m/>
    <m/>
    <n v="32.01"/>
    <m/>
    <m/>
    <m/>
    <m/>
    <m/>
    <m/>
    <n v="64.03"/>
    <m/>
    <m/>
    <m/>
    <m/>
    <m/>
    <m/>
    <m/>
    <n v="32.01"/>
    <m/>
    <n v="192.08"/>
  </r>
  <r>
    <n v="6"/>
    <x v="6"/>
    <x v="1"/>
    <n v="166016"/>
    <s v="LOPEZ BILLERI MARIA ANTONELLA"/>
    <s v="27-36157606-9"/>
    <d v="2016-07-06T00:00:00"/>
    <n v="36157606"/>
    <s v="LOPEZ BILLERI"/>
    <s v="MARIA ANTONELLA"/>
    <s v="F"/>
    <m/>
    <d v="2016-0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IRIGOYEN"/>
    <n v="535"/>
    <m/>
    <m/>
    <s v="CAPITAL FEDERAL"/>
    <s v="Capital Federal"/>
    <m/>
    <s v="U.O.Centro"/>
    <m/>
    <n v="1"/>
    <n v="1"/>
    <n v="5925.74"/>
    <n v="1185.1400000000001"/>
    <m/>
    <m/>
    <n v="4740.6000000000004"/>
    <m/>
    <n v="118.51"/>
    <m/>
    <m/>
    <m/>
    <m/>
    <m/>
    <m/>
    <n v="59.26"/>
    <m/>
    <m/>
    <m/>
    <m/>
    <m/>
    <m/>
    <n v="118.51"/>
    <m/>
    <m/>
    <m/>
    <m/>
    <m/>
    <m/>
    <m/>
    <n v="59.26"/>
    <m/>
    <n v="355.54"/>
  </r>
  <r>
    <n v="6"/>
    <x v="6"/>
    <x v="0"/>
    <n v="169947"/>
    <s v="LOPEZ ROMERO NESTOR DAMIAN"/>
    <s v="20-94770741-9"/>
    <d v="2016-07-06T00:00:0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RIO IGUAZU"/>
    <n v="1225"/>
    <m/>
    <m/>
    <s v="CAPITAL FEDERAL"/>
    <s v="Buenos Aires"/>
    <m/>
    <s v="U.O.Centro"/>
    <m/>
    <n v="2"/>
    <n v="1"/>
    <n v="7921.75"/>
    <n v="1584.34"/>
    <m/>
    <m/>
    <n v="6337.41"/>
    <m/>
    <n v="158.44"/>
    <m/>
    <m/>
    <m/>
    <m/>
    <m/>
    <m/>
    <n v="79.209999999999994"/>
    <m/>
    <m/>
    <m/>
    <m/>
    <m/>
    <m/>
    <n v="158.44"/>
    <m/>
    <m/>
    <m/>
    <m/>
    <m/>
    <m/>
    <m/>
    <n v="79.209999999999994"/>
    <m/>
    <n v="475.3"/>
  </r>
  <r>
    <n v="6"/>
    <x v="6"/>
    <x v="1"/>
    <n v="147835"/>
    <s v="LUQUE JAVIER ANTONIO"/>
    <s v="20-37023577-6"/>
    <d v="2016-07-06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1"/>
    <n v="1"/>
    <n v="16263.93"/>
    <n v="3252.79"/>
    <m/>
    <m/>
    <n v="13011.14"/>
    <m/>
    <n v="325.27999999999997"/>
    <m/>
    <m/>
    <m/>
    <m/>
    <m/>
    <m/>
    <n v="162.63999999999999"/>
    <m/>
    <m/>
    <m/>
    <m/>
    <m/>
    <m/>
    <n v="325.27999999999997"/>
    <m/>
    <m/>
    <m/>
    <m/>
    <m/>
    <m/>
    <m/>
    <n v="162.63999999999999"/>
    <m/>
    <n v="975.84"/>
  </r>
  <r>
    <n v="6"/>
    <x v="6"/>
    <x v="1"/>
    <n v="172051"/>
    <s v="MACIEL DIEGO MAXIMILIANO"/>
    <s v="20-37179030-7"/>
    <d v="2016-07-06T00:00:00"/>
    <n v="37179030"/>
    <s v="MACIEL"/>
    <s v="DIEGO MAXIMILIANO"/>
    <s v="M"/>
    <m/>
    <d v="2016-04-2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s v="CARLOS PELLEGRINI"/>
    <n v="507"/>
    <m/>
    <m/>
    <s v="CAPITAL FEDERAL"/>
    <s v="Capital Federal"/>
    <m/>
    <s v="U.O.Centro Paga Inplant"/>
    <m/>
    <n v="1"/>
    <n v="1"/>
    <n v="11573.47"/>
    <n v="2314.6799999999998"/>
    <m/>
    <m/>
    <n v="9258.7900000000009"/>
    <m/>
    <n v="231.47"/>
    <m/>
    <m/>
    <m/>
    <m/>
    <m/>
    <m/>
    <n v="115.73"/>
    <m/>
    <m/>
    <m/>
    <m/>
    <m/>
    <m/>
    <n v="231.47"/>
    <m/>
    <m/>
    <m/>
    <m/>
    <m/>
    <m/>
    <m/>
    <n v="115.73"/>
    <m/>
    <n v="694.4"/>
  </r>
  <r>
    <n v="6"/>
    <x v="6"/>
    <x v="0"/>
    <n v="170140"/>
    <s v="MAIDANA OSCAR RODOLFO"/>
    <s v="20-12573728-6"/>
    <d v="2016-07-06T00:00:0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n v="1104"/>
    <s v="MARCO SASTRE"/>
    <n v="1225"/>
    <m/>
    <m/>
    <s v="CAPITAL FEDERAL"/>
    <s v="Buenos Aires"/>
    <m/>
    <s v="U.O.Centro"/>
    <m/>
    <n v="2"/>
    <n v="1"/>
    <n v="24191.03"/>
    <n v="4838.2"/>
    <m/>
    <m/>
    <n v="19352.830000000002"/>
    <m/>
    <n v="483.82"/>
    <m/>
    <m/>
    <m/>
    <m/>
    <m/>
    <m/>
    <n v="241.91"/>
    <m/>
    <m/>
    <m/>
    <m/>
    <m/>
    <m/>
    <n v="483.82"/>
    <m/>
    <m/>
    <m/>
    <m/>
    <m/>
    <m/>
    <m/>
    <n v="241.91"/>
    <m/>
    <n v="1451.46"/>
  </r>
  <r>
    <n v="6"/>
    <x v="6"/>
    <x v="0"/>
    <n v="163375"/>
    <s v="MANGIN CARINA ANAHI"/>
    <s v="27-31623620-6"/>
    <d v="2016-06-21T00:00:00"/>
    <n v="31623620"/>
    <s v="MANGIN"/>
    <s v="CARINA ANAHI"/>
    <s v="F"/>
    <m/>
    <d v="2015-11-26T00:00:00"/>
    <d v="2016-06-16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VIDEO"/>
    <n v="1225"/>
    <m/>
    <s v="PB"/>
    <s v="CAPITAL FEDERAL"/>
    <s v="Buenos Aires"/>
    <m/>
    <s v="U.O.Centro"/>
    <m/>
    <n v="2"/>
    <n v="1"/>
    <n v="1200.5"/>
    <n v="240.09"/>
    <m/>
    <m/>
    <n v="960.41"/>
    <m/>
    <n v="24.01"/>
    <m/>
    <m/>
    <m/>
    <m/>
    <m/>
    <m/>
    <n v="12"/>
    <m/>
    <m/>
    <m/>
    <m/>
    <m/>
    <m/>
    <n v="24.01"/>
    <m/>
    <m/>
    <m/>
    <m/>
    <m/>
    <m/>
    <m/>
    <n v="12"/>
    <m/>
    <n v="72.02"/>
  </r>
  <r>
    <n v="6"/>
    <x v="6"/>
    <x v="0"/>
    <n v="170494"/>
    <s v="MARSON EMILIANO DAMIAN"/>
    <s v="24-30778105-7"/>
    <d v="2016-07-06T00:00:00"/>
    <n v="30778105"/>
    <s v="MARSON"/>
    <s v="EMILIANO DAMIAN"/>
    <s v="M"/>
    <m/>
    <d v="2016-03-19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ASAJE M GALINDEZ"/>
    <n v="1225"/>
    <m/>
    <m/>
    <s v="CAPITAL FEDERAL"/>
    <s v="Buenos Aires"/>
    <m/>
    <s v="U.O.Centro"/>
    <m/>
    <n v="1"/>
    <n v="1"/>
    <n v="400.16"/>
    <n v="80.02"/>
    <m/>
    <m/>
    <n v="320.14"/>
    <m/>
    <n v="8"/>
    <m/>
    <m/>
    <m/>
    <m/>
    <m/>
    <m/>
    <n v="4"/>
    <m/>
    <m/>
    <m/>
    <m/>
    <m/>
    <m/>
    <n v="8"/>
    <m/>
    <m/>
    <m/>
    <m/>
    <m/>
    <m/>
    <m/>
    <n v="4"/>
    <m/>
    <n v="24"/>
  </r>
  <r>
    <n v="6"/>
    <x v="6"/>
    <x v="1"/>
    <n v="122290"/>
    <s v="MARTINEZ EZEQUIEL FACUNDO"/>
    <s v="20-28328215-6"/>
    <d v="2016-07-06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8884.68"/>
    <n v="3871.36"/>
    <m/>
    <m/>
    <n v="15013.32"/>
    <n v="472.12"/>
    <m/>
    <m/>
    <m/>
    <m/>
    <m/>
    <m/>
    <m/>
    <n v="188.85"/>
    <m/>
    <m/>
    <m/>
    <m/>
    <m/>
    <m/>
    <n v="377.69"/>
    <m/>
    <m/>
    <m/>
    <m/>
    <m/>
    <m/>
    <m/>
    <n v="188.85"/>
    <m/>
    <n v="1227.51"/>
  </r>
  <r>
    <n v="6"/>
    <x v="6"/>
    <x v="0"/>
    <n v="155981"/>
    <s v="MARTINEZ GABRIEL ALFREDO"/>
    <s v="20-26702400-7"/>
    <d v="2016-06-21T00:00:00"/>
    <n v="26702400"/>
    <s v="MARTINEZ"/>
    <s v="GABRIEL ALFREDO"/>
    <s v="M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ING- CHAPEAUROUGE"/>
    <n v="1005"/>
    <m/>
    <m/>
    <s v="CAPITAL FEDERAL"/>
    <s v="Capital Federal"/>
    <m/>
    <s v="U.O.Centro"/>
    <m/>
    <n v="1"/>
    <n v="1"/>
    <n v="631.04"/>
    <n v="126.2"/>
    <m/>
    <m/>
    <n v="504.84"/>
    <m/>
    <n v="12.62"/>
    <m/>
    <m/>
    <m/>
    <m/>
    <m/>
    <m/>
    <n v="6.31"/>
    <m/>
    <m/>
    <m/>
    <m/>
    <m/>
    <m/>
    <n v="12.62"/>
    <m/>
    <m/>
    <m/>
    <m/>
    <m/>
    <m/>
    <m/>
    <n v="6.31"/>
    <m/>
    <n v="37.86"/>
  </r>
  <r>
    <n v="6"/>
    <x v="6"/>
    <x v="1"/>
    <n v="152931"/>
    <s v="MARTINEZ KAREN"/>
    <s v="27-37827128-8"/>
    <d v="2016-07-06T00:00:0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1"/>
    <n v="1"/>
    <n v="19394.3"/>
    <n v="3878.86"/>
    <m/>
    <m/>
    <n v="15515.44"/>
    <m/>
    <n v="387.89"/>
    <m/>
    <m/>
    <m/>
    <m/>
    <m/>
    <m/>
    <n v="193.94"/>
    <m/>
    <m/>
    <m/>
    <m/>
    <m/>
    <m/>
    <n v="387.89"/>
    <m/>
    <m/>
    <m/>
    <m/>
    <m/>
    <m/>
    <m/>
    <n v="193.94"/>
    <m/>
    <n v="1163.6600000000001"/>
  </r>
  <r>
    <n v="6"/>
    <x v="6"/>
    <x v="0"/>
    <n v="169944"/>
    <s v="MARTINEZ MIGUEL ANGEL"/>
    <s v="20-35371989-1"/>
    <d v="2016-07-06T00:00:00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ZA 5  CASA 38"/>
    <n v="1225"/>
    <m/>
    <m/>
    <s v="CAPITAL FEDERAL"/>
    <s v="Buenos Aires"/>
    <m/>
    <s v="U.O.Centro"/>
    <m/>
    <n v="2"/>
    <n v="1"/>
    <n v="2626.56"/>
    <n v="525.32000000000005"/>
    <m/>
    <m/>
    <n v="2101.2399999999998"/>
    <m/>
    <n v="52.54"/>
    <m/>
    <m/>
    <m/>
    <m/>
    <m/>
    <m/>
    <n v="26.26"/>
    <m/>
    <m/>
    <m/>
    <m/>
    <m/>
    <m/>
    <n v="52.54"/>
    <m/>
    <m/>
    <m/>
    <m/>
    <m/>
    <m/>
    <m/>
    <n v="26.26"/>
    <m/>
    <n v="157.6"/>
  </r>
  <r>
    <n v="6"/>
    <x v="6"/>
    <x v="0"/>
    <n v="161583"/>
    <s v="MEDINA EMILSE RAQUEL"/>
    <s v="27-36216142-3"/>
    <d v="2016-07-06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2"/>
    <n v="1"/>
    <n v="2401.02"/>
    <n v="480.2"/>
    <m/>
    <m/>
    <n v="1920.82"/>
    <m/>
    <n v="48.02"/>
    <m/>
    <m/>
    <m/>
    <m/>
    <m/>
    <m/>
    <n v="24.01"/>
    <m/>
    <m/>
    <m/>
    <m/>
    <m/>
    <m/>
    <n v="48.02"/>
    <m/>
    <m/>
    <m/>
    <m/>
    <m/>
    <m/>
    <m/>
    <n v="24.01"/>
    <m/>
    <n v="144.06"/>
  </r>
  <r>
    <n v="6"/>
    <x v="6"/>
    <x v="1"/>
    <n v="168289"/>
    <s v="MEDINA JESICA FABIANA"/>
    <s v="23-36214863-4"/>
    <d v="2016-06-29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 Paga Inplant"/>
    <m/>
    <n v="1"/>
    <n v="1"/>
    <n v="11173.15"/>
    <n v="2234.62"/>
    <m/>
    <m/>
    <n v="8938.5300000000007"/>
    <m/>
    <n v="223.46"/>
    <m/>
    <m/>
    <m/>
    <m/>
    <m/>
    <m/>
    <n v="111.73"/>
    <m/>
    <m/>
    <m/>
    <m/>
    <m/>
    <m/>
    <n v="223.46"/>
    <m/>
    <m/>
    <m/>
    <m/>
    <m/>
    <m/>
    <m/>
    <n v="111.73"/>
    <m/>
    <n v="670.38"/>
  </r>
  <r>
    <n v="6"/>
    <x v="6"/>
    <x v="0"/>
    <n v="171008"/>
    <s v="MELIAN CHRISTIAN ALEJANDRO"/>
    <s v="20-38820036-8"/>
    <d v="2016-06-21T00:00:00"/>
    <n v="38820036"/>
    <s v="MELIAN"/>
    <s v="CHRISTIAN ALEJANDRO"/>
    <s v="M"/>
    <m/>
    <d v="2016-03-31T00:00:00"/>
    <d v="2016-06-09T00:00:00"/>
    <d v="2016-06-09T00:00:00"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APRIDA"/>
    <n v="1005"/>
    <m/>
    <m/>
    <s v="CAPITAL FEDERAL"/>
    <s v="Capital Federal"/>
    <m/>
    <s v="U.O.Centro"/>
    <m/>
    <n v="1"/>
    <n v="1"/>
    <n v="415.57"/>
    <n v="83.12"/>
    <m/>
    <m/>
    <n v="332.45"/>
    <m/>
    <n v="8.31"/>
    <m/>
    <m/>
    <m/>
    <m/>
    <m/>
    <m/>
    <n v="4.16"/>
    <m/>
    <m/>
    <m/>
    <m/>
    <m/>
    <m/>
    <n v="8.31"/>
    <m/>
    <m/>
    <m/>
    <m/>
    <m/>
    <m/>
    <m/>
    <n v="4.16"/>
    <m/>
    <n v="24.94"/>
  </r>
  <r>
    <n v="6"/>
    <x v="6"/>
    <x v="1"/>
    <n v="173714"/>
    <s v="MERCADO WALTER SAUL"/>
    <s v="24-32060645-0"/>
    <d v="2016-06-29T00:00:00"/>
    <n v="32060645"/>
    <s v="MERCADO"/>
    <s v="WALTER SAUL"/>
    <s v="M"/>
    <m/>
    <d v="2016-06-0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LAUDIO DE ALAS"/>
    <n v="764"/>
    <m/>
    <m/>
    <s v="CAPITAL FEDERAL"/>
    <s v="Capital Federal"/>
    <m/>
    <s v="U.O.Centro"/>
    <m/>
    <n v="1"/>
    <n v="1"/>
    <n v="868.64"/>
    <n v="173.73"/>
    <m/>
    <m/>
    <n v="694.91"/>
    <m/>
    <n v="17.37"/>
    <m/>
    <m/>
    <m/>
    <m/>
    <m/>
    <m/>
    <n v="8.69"/>
    <m/>
    <m/>
    <m/>
    <m/>
    <m/>
    <m/>
    <n v="17.37"/>
    <m/>
    <m/>
    <m/>
    <m/>
    <m/>
    <m/>
    <m/>
    <n v="8.69"/>
    <m/>
    <n v="52.12"/>
  </r>
  <r>
    <n v="6"/>
    <x v="6"/>
    <x v="1"/>
    <n v="172224"/>
    <s v="MEZA MAXIMILIANO OMAR"/>
    <s v="20-37205496-5"/>
    <d v="2016-06-29T00:00:00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LVINAS ARGENTINAS"/>
    <n v="764"/>
    <m/>
    <m/>
    <s v="CAPITAL FEDERAL"/>
    <s v="Capital Federal"/>
    <m/>
    <s v="U.O.Centro Paga Inplant"/>
    <m/>
    <n v="1"/>
    <n v="1"/>
    <n v="1790.4"/>
    <n v="358.07"/>
    <m/>
    <m/>
    <n v="1432.33"/>
    <m/>
    <n v="35.81"/>
    <m/>
    <m/>
    <m/>
    <m/>
    <m/>
    <m/>
    <n v="17.899999999999999"/>
    <m/>
    <m/>
    <m/>
    <m/>
    <m/>
    <m/>
    <n v="35.81"/>
    <m/>
    <m/>
    <m/>
    <m/>
    <m/>
    <m/>
    <m/>
    <n v="17.899999999999999"/>
    <m/>
    <n v="107.42"/>
  </r>
  <r>
    <n v="6"/>
    <x v="6"/>
    <x v="0"/>
    <n v="163371"/>
    <s v="MEZA PIZARRO CHRISTIAN MERVEN"/>
    <s v="20-92327011-7"/>
    <d v="2016-07-06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1"/>
    <n v="1"/>
    <n v="6626.37"/>
    <n v="1325.27"/>
    <m/>
    <m/>
    <n v="5301.1"/>
    <m/>
    <n v="132.53"/>
    <m/>
    <m/>
    <m/>
    <m/>
    <m/>
    <m/>
    <n v="66.260000000000005"/>
    <m/>
    <m/>
    <m/>
    <m/>
    <m/>
    <m/>
    <n v="132.53"/>
    <m/>
    <m/>
    <m/>
    <m/>
    <m/>
    <m/>
    <m/>
    <n v="66.260000000000005"/>
    <m/>
    <n v="397.58"/>
  </r>
  <r>
    <n v="6"/>
    <x v="6"/>
    <x v="0"/>
    <n v="170446"/>
    <s v="MONTES LORENA ANDREA"/>
    <s v="27-30914440-1"/>
    <d v="2016-07-06T00:00:0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AREZ"/>
    <n v="1225"/>
    <s v="PB"/>
    <m/>
    <s v="CAPITAL FEDERAL"/>
    <s v="Buenos Aires"/>
    <m/>
    <s v="U.O.Centro"/>
    <m/>
    <n v="2"/>
    <n v="1"/>
    <n v="10357.959999999999"/>
    <n v="2071.59"/>
    <m/>
    <m/>
    <n v="8286.3700000000008"/>
    <m/>
    <n v="207.16"/>
    <m/>
    <m/>
    <m/>
    <m/>
    <m/>
    <m/>
    <n v="103.58"/>
    <m/>
    <m/>
    <m/>
    <m/>
    <m/>
    <m/>
    <n v="207.16"/>
    <m/>
    <m/>
    <m/>
    <m/>
    <m/>
    <m/>
    <m/>
    <n v="103.58"/>
    <m/>
    <n v="621.48"/>
  </r>
  <r>
    <n v="6"/>
    <x v="6"/>
    <x v="0"/>
    <n v="171266"/>
    <s v="MUJICA CLAUDIO"/>
    <s v="23-35353560-9"/>
    <d v="2016-07-06T00:00:00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MONTEVERDE"/>
    <n v="1225"/>
    <m/>
    <m/>
    <s v="CAPITAL FEDERAL"/>
    <s v="Buenos Aires"/>
    <m/>
    <s v="U.O.Centro"/>
    <m/>
    <n v="2"/>
    <n v="1"/>
    <n v="7589.66"/>
    <n v="1517.93"/>
    <m/>
    <m/>
    <n v="6071.73"/>
    <m/>
    <n v="151.79"/>
    <m/>
    <m/>
    <m/>
    <m/>
    <m/>
    <m/>
    <n v="75.900000000000006"/>
    <m/>
    <m/>
    <m/>
    <m/>
    <m/>
    <m/>
    <n v="151.79"/>
    <m/>
    <m/>
    <m/>
    <m/>
    <m/>
    <m/>
    <m/>
    <n v="75.900000000000006"/>
    <m/>
    <n v="455.38"/>
  </r>
  <r>
    <n v="6"/>
    <x v="6"/>
    <x v="1"/>
    <n v="152586"/>
    <s v="MUSTAFA SILVIO ROBERTO"/>
    <s v="23-31539279-9"/>
    <d v="2016-07-06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1"/>
    <n v="1"/>
    <n v="11167.53"/>
    <n v="2725.11"/>
    <m/>
    <m/>
    <n v="8442.42"/>
    <n v="279.19"/>
    <m/>
    <m/>
    <m/>
    <m/>
    <m/>
    <m/>
    <m/>
    <n v="111.68"/>
    <m/>
    <m/>
    <m/>
    <m/>
    <m/>
    <m/>
    <n v="223.35"/>
    <m/>
    <m/>
    <m/>
    <m/>
    <m/>
    <m/>
    <m/>
    <n v="111.68"/>
    <m/>
    <n v="725.9"/>
  </r>
  <r>
    <n v="6"/>
    <x v="6"/>
    <x v="0"/>
    <n v="162167"/>
    <s v="OCANTOS MARIA FERNANDA"/>
    <s v="20-26587101-2"/>
    <d v="2016-07-06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3"/>
    <n v="1"/>
    <n v="3601.52"/>
    <n v="720.29"/>
    <m/>
    <m/>
    <n v="2881.23"/>
    <m/>
    <n v="72.03"/>
    <m/>
    <m/>
    <m/>
    <m/>
    <m/>
    <m/>
    <n v="36.01"/>
    <m/>
    <m/>
    <m/>
    <m/>
    <m/>
    <m/>
    <n v="72.03"/>
    <m/>
    <m/>
    <m/>
    <m/>
    <m/>
    <m/>
    <m/>
    <n v="36.01"/>
    <m/>
    <n v="216.08"/>
  </r>
  <r>
    <n v="6"/>
    <x v="6"/>
    <x v="0"/>
    <n v="156371"/>
    <s v="OJEDA HECTOR ALBERTO"/>
    <s v="20-27373033-9"/>
    <d v="2016-07-06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2"/>
    <n v="1"/>
    <n v="14069.79"/>
    <n v="2813.96"/>
    <m/>
    <m/>
    <n v="11255.83"/>
    <m/>
    <n v="281.39999999999998"/>
    <m/>
    <m/>
    <m/>
    <m/>
    <m/>
    <m/>
    <n v="140.69999999999999"/>
    <m/>
    <m/>
    <m/>
    <m/>
    <m/>
    <m/>
    <n v="281.39999999999998"/>
    <m/>
    <m/>
    <m/>
    <m/>
    <m/>
    <m/>
    <m/>
    <n v="140.69999999999999"/>
    <m/>
    <n v="844.2"/>
  </r>
  <r>
    <n v="6"/>
    <x v="6"/>
    <x v="0"/>
    <n v="171274"/>
    <s v="OJEDA LORENA SUSANA"/>
    <s v="27-34340810-8"/>
    <d v="2016-07-06T00:00:00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LTA"/>
    <n v="1225"/>
    <m/>
    <m/>
    <s v="CAPITAL FEDERAL"/>
    <s v="Buenos Aires"/>
    <m/>
    <s v="U.O.Centro"/>
    <m/>
    <n v="2"/>
    <n v="1"/>
    <n v="7875.89"/>
    <n v="1575.16"/>
    <m/>
    <m/>
    <n v="6300.73"/>
    <m/>
    <n v="157.51"/>
    <m/>
    <m/>
    <m/>
    <m/>
    <m/>
    <m/>
    <n v="78.760000000000005"/>
    <m/>
    <m/>
    <m/>
    <m/>
    <m/>
    <m/>
    <n v="157.51"/>
    <m/>
    <m/>
    <m/>
    <m/>
    <m/>
    <m/>
    <m/>
    <n v="78.760000000000005"/>
    <m/>
    <n v="472.54"/>
  </r>
  <r>
    <n v="6"/>
    <x v="6"/>
    <x v="0"/>
    <n v="156032"/>
    <s v="OJEDA VALERIA NOEMI"/>
    <s v="27-33485754-4"/>
    <d v="2016-07-06T00:00:00"/>
    <n v="33485754"/>
    <s v="OJEDA"/>
    <s v="VALERIA NOEMI"/>
    <s v="F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3"/>
    <n v="1"/>
    <n v="6268.66"/>
    <n v="1253.76"/>
    <m/>
    <m/>
    <n v="5014.8999999999996"/>
    <m/>
    <n v="125.37"/>
    <m/>
    <m/>
    <m/>
    <m/>
    <m/>
    <m/>
    <n v="62.69"/>
    <m/>
    <m/>
    <m/>
    <m/>
    <m/>
    <m/>
    <n v="125.37"/>
    <m/>
    <m/>
    <m/>
    <m/>
    <m/>
    <m/>
    <m/>
    <n v="62.69"/>
    <m/>
    <n v="376.12"/>
  </r>
  <r>
    <n v="6"/>
    <x v="6"/>
    <x v="0"/>
    <n v="138789"/>
    <s v="OLIVA LILIANA ALEJANDRA"/>
    <s v="27-25730976-8"/>
    <d v="2016-07-06T00:00:0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2"/>
    <n v="1"/>
    <n v="14445.56"/>
    <n v="2889.12"/>
    <m/>
    <m/>
    <n v="11556.44"/>
    <m/>
    <n v="288.91000000000003"/>
    <m/>
    <m/>
    <m/>
    <m/>
    <m/>
    <m/>
    <n v="144.46"/>
    <m/>
    <m/>
    <m/>
    <m/>
    <m/>
    <m/>
    <n v="288.91000000000003"/>
    <m/>
    <m/>
    <m/>
    <m/>
    <m/>
    <m/>
    <m/>
    <n v="144.46"/>
    <m/>
    <n v="866.74"/>
  </r>
  <r>
    <n v="6"/>
    <x v="6"/>
    <x v="0"/>
    <n v="135237"/>
    <s v="ORELLANO JUANA MARIA"/>
    <s v="27-27696157-3"/>
    <d v="2016-07-06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12673.59"/>
    <n v="2598.09"/>
    <m/>
    <m/>
    <n v="10075.5"/>
    <n v="316.83999999999997"/>
    <m/>
    <m/>
    <m/>
    <m/>
    <m/>
    <m/>
    <m/>
    <n v="126.74"/>
    <m/>
    <m/>
    <m/>
    <m/>
    <m/>
    <m/>
    <n v="253.47"/>
    <m/>
    <m/>
    <m/>
    <m/>
    <m/>
    <m/>
    <m/>
    <n v="126.74"/>
    <m/>
    <n v="823.79"/>
  </r>
  <r>
    <n v="6"/>
    <x v="6"/>
    <x v="0"/>
    <n v="172199"/>
    <s v="ORTIZ ANDRES NICOLAS"/>
    <s v="20-32769991-2"/>
    <d v="2016-07-06T00:00:00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LAVEL"/>
    <n v="1225"/>
    <m/>
    <m/>
    <s v="CAPITAL FEDERAL"/>
    <s v="Buenos Aires"/>
    <m/>
    <s v="U.O.Centro"/>
    <m/>
    <n v="2"/>
    <n v="1"/>
    <n v="3781.31"/>
    <n v="756.27"/>
    <m/>
    <m/>
    <n v="3025.04"/>
    <m/>
    <n v="75.63"/>
    <m/>
    <m/>
    <m/>
    <m/>
    <m/>
    <m/>
    <n v="37.81"/>
    <m/>
    <m/>
    <m/>
    <m/>
    <m/>
    <m/>
    <n v="75.63"/>
    <m/>
    <m/>
    <m/>
    <m/>
    <m/>
    <m/>
    <m/>
    <n v="37.81"/>
    <m/>
    <n v="226.88"/>
  </r>
  <r>
    <n v="6"/>
    <x v="6"/>
    <x v="0"/>
    <n v="170439"/>
    <s v="PAEZ DAIANA BEATRIZ"/>
    <s v="27-38350463-0"/>
    <d v="2016-07-06T00:00:00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RDENAS"/>
    <n v="1225"/>
    <m/>
    <m/>
    <s v="CAPITAL FEDERAL"/>
    <s v="Buenos Aires"/>
    <m/>
    <s v="U.O.Avellaneda"/>
    <m/>
    <n v="2"/>
    <n v="1"/>
    <n v="8334.25"/>
    <n v="1666.83"/>
    <m/>
    <m/>
    <n v="6667.42"/>
    <m/>
    <n v="166.69"/>
    <m/>
    <m/>
    <m/>
    <m/>
    <m/>
    <m/>
    <n v="83.34"/>
    <m/>
    <m/>
    <m/>
    <m/>
    <m/>
    <m/>
    <n v="166.69"/>
    <m/>
    <m/>
    <m/>
    <m/>
    <m/>
    <m/>
    <m/>
    <n v="83.34"/>
    <m/>
    <n v="500.06"/>
  </r>
  <r>
    <n v="6"/>
    <x v="6"/>
    <x v="0"/>
    <n v="161159"/>
    <s v="PARISI GABRIEL DARIO"/>
    <s v="20-34384166-4"/>
    <d v="2016-07-06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10892.66"/>
    <n v="2178.5300000000002"/>
    <m/>
    <m/>
    <n v="8714.1299999999992"/>
    <m/>
    <n v="217.86"/>
    <m/>
    <m/>
    <m/>
    <m/>
    <m/>
    <m/>
    <n v="108.92"/>
    <m/>
    <m/>
    <m/>
    <m/>
    <m/>
    <m/>
    <n v="217.86"/>
    <m/>
    <m/>
    <m/>
    <m/>
    <m/>
    <m/>
    <m/>
    <n v="108.92"/>
    <m/>
    <n v="653.55999999999995"/>
  </r>
  <r>
    <n v="6"/>
    <x v="6"/>
    <x v="0"/>
    <n v="164321"/>
    <s v="PAZ WALTER RICARDO"/>
    <s v="20-28305441-2"/>
    <d v="2016-07-06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21481.41"/>
    <n v="4296.28"/>
    <m/>
    <m/>
    <n v="17185.13"/>
    <m/>
    <n v="429.63"/>
    <m/>
    <m/>
    <m/>
    <m/>
    <m/>
    <m/>
    <n v="214.82"/>
    <m/>
    <m/>
    <m/>
    <m/>
    <m/>
    <m/>
    <n v="429.63"/>
    <m/>
    <m/>
    <m/>
    <m/>
    <m/>
    <m/>
    <m/>
    <n v="214.82"/>
    <m/>
    <n v="1288.9000000000001"/>
  </r>
  <r>
    <n v="6"/>
    <x v="6"/>
    <x v="0"/>
    <n v="173370"/>
    <s v="PEDICINO ROMACHUK YESICA NOEMI"/>
    <s v="27-30911440-5"/>
    <d v="2016-07-06T00:00:00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1ºDE MAYO"/>
    <n v="1225"/>
    <m/>
    <m/>
    <s v="CAPITAL FEDERAL"/>
    <s v="Buenos Aires"/>
    <m/>
    <s v="U.O.Centro"/>
    <m/>
    <n v="2"/>
    <n v="1"/>
    <n v="6472.16"/>
    <n v="1294.43"/>
    <m/>
    <m/>
    <n v="5177.7299999999996"/>
    <m/>
    <n v="129.44999999999999"/>
    <m/>
    <m/>
    <m/>
    <m/>
    <m/>
    <m/>
    <n v="64.72"/>
    <m/>
    <m/>
    <m/>
    <m/>
    <m/>
    <m/>
    <n v="129.44999999999999"/>
    <m/>
    <m/>
    <m/>
    <m/>
    <m/>
    <m/>
    <m/>
    <n v="64.72"/>
    <m/>
    <n v="388.34"/>
  </r>
  <r>
    <n v="6"/>
    <x v="6"/>
    <x v="0"/>
    <n v="170486"/>
    <s v="PEPE VALVERDE AGUSTINA"/>
    <s v="27-39761877-9"/>
    <d v="2016-07-06T00:00:00"/>
    <n v="39761877"/>
    <s v="PEPE VALVERDE"/>
    <s v="AGUSTINA"/>
    <s v="F"/>
    <m/>
    <d v="2016-03-18T00:00:00"/>
    <m/>
    <m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Provincia de Buenos Aires"/>
    <n v="1005"/>
    <m/>
    <m/>
    <s v="CAPITAL FEDERAL"/>
    <s v="Capital Federal"/>
    <m/>
    <s v="U.O.Centro"/>
    <m/>
    <n v="2"/>
    <n v="1"/>
    <n v="11835.12"/>
    <n v="2367.04"/>
    <m/>
    <m/>
    <n v="9468.08"/>
    <m/>
    <n v="236.7"/>
    <m/>
    <m/>
    <m/>
    <m/>
    <m/>
    <m/>
    <n v="118.36"/>
    <m/>
    <m/>
    <m/>
    <m/>
    <m/>
    <m/>
    <n v="236.7"/>
    <m/>
    <m/>
    <m/>
    <m/>
    <m/>
    <m/>
    <m/>
    <n v="118.36"/>
    <m/>
    <n v="710.12"/>
  </r>
  <r>
    <n v="6"/>
    <x v="6"/>
    <x v="0"/>
    <n v="168239"/>
    <s v="PERALTA RICARDO FRANCISCO"/>
    <s v="20-35719331-2"/>
    <d v="2016-07-06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2"/>
    <n v="1"/>
    <n v="9262.5"/>
    <n v="1852.51"/>
    <m/>
    <m/>
    <n v="7409.99"/>
    <m/>
    <n v="185.25"/>
    <m/>
    <m/>
    <m/>
    <m/>
    <m/>
    <m/>
    <n v="92.63"/>
    <m/>
    <m/>
    <m/>
    <m/>
    <m/>
    <m/>
    <n v="185.25"/>
    <m/>
    <m/>
    <m/>
    <m/>
    <m/>
    <m/>
    <m/>
    <n v="92.63"/>
    <m/>
    <n v="555.76"/>
  </r>
  <r>
    <n v="6"/>
    <x v="6"/>
    <x v="0"/>
    <n v="155712"/>
    <s v="PERALTA DE KEMMETER PABLO ADRIAN"/>
    <s v="20-38404684-4"/>
    <d v="2016-07-06T00:00:00"/>
    <n v="38404684"/>
    <s v="PERALTA DE KEMMETER"/>
    <s v="PABLO ADRIAN"/>
    <s v="M"/>
    <m/>
    <d v="2016-02-08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3"/>
    <n v="1"/>
    <n v="14713.34"/>
    <n v="2942.67"/>
    <m/>
    <m/>
    <n v="11770.67"/>
    <m/>
    <n v="294.27"/>
    <m/>
    <m/>
    <m/>
    <m/>
    <m/>
    <m/>
    <n v="147.13"/>
    <m/>
    <m/>
    <m/>
    <m/>
    <m/>
    <m/>
    <n v="294.27"/>
    <m/>
    <m/>
    <m/>
    <m/>
    <m/>
    <m/>
    <m/>
    <n v="147.13"/>
    <m/>
    <n v="882.8"/>
  </r>
  <r>
    <n v="6"/>
    <x v="6"/>
    <x v="1"/>
    <n v="65369"/>
    <s v="PEREZ RUBEN HORACIO"/>
    <s v="20-28042935-0"/>
    <d v="2016-07-06T00:00:00"/>
    <n v="28042935"/>
    <s v="PEREZ"/>
    <s v="RUBEN HORACIO"/>
    <s v="M"/>
    <m/>
    <d v="2014-10-01T00:00:00"/>
    <m/>
    <d v="2011-04-14T00:00:00"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PEONES"/>
    <n v="1"/>
    <n v="1"/>
    <n v="1601.3"/>
    <n v="320.26"/>
    <m/>
    <m/>
    <n v="1281.04"/>
    <m/>
    <n v="32.03"/>
    <m/>
    <m/>
    <m/>
    <m/>
    <m/>
    <m/>
    <n v="16.010000000000002"/>
    <m/>
    <m/>
    <m/>
    <m/>
    <m/>
    <m/>
    <n v="32.03"/>
    <m/>
    <m/>
    <m/>
    <m/>
    <m/>
    <m/>
    <m/>
    <n v="16.010000000000002"/>
    <m/>
    <n v="96.08"/>
  </r>
  <r>
    <n v="6"/>
    <x v="6"/>
    <x v="0"/>
    <n v="161870"/>
    <s v="PETRONE VICENTE"/>
    <s v="20-27146024-5"/>
    <d v="2016-07-06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3"/>
    <n v="1"/>
    <n v="2000.84"/>
    <n v="400.16"/>
    <m/>
    <m/>
    <n v="1600.68"/>
    <m/>
    <n v="40.020000000000003"/>
    <m/>
    <m/>
    <m/>
    <m/>
    <m/>
    <m/>
    <n v="20"/>
    <m/>
    <m/>
    <m/>
    <m/>
    <m/>
    <m/>
    <n v="40.020000000000003"/>
    <m/>
    <m/>
    <m/>
    <m/>
    <m/>
    <m/>
    <m/>
    <n v="20"/>
    <m/>
    <n v="120.04"/>
  </r>
  <r>
    <n v="6"/>
    <x v="6"/>
    <x v="0"/>
    <n v="173659"/>
    <s v="PINGI EMANUEL"/>
    <s v="23-36874910-9"/>
    <d v="2016-06-21T00:00:00"/>
    <n v="36874910"/>
    <s v="PINGI"/>
    <s v="EMANUEL"/>
    <s v="M"/>
    <m/>
    <d v="2016-05-30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ANZANA 2 EDIFICIO B 7"/>
    <n v="1225"/>
    <s v="PB"/>
    <s v="D"/>
    <s v="CAPITAL FEDERAL"/>
    <s v="Buenos Aires"/>
    <m/>
    <s v="U.O.Centro"/>
    <m/>
    <n v="1"/>
    <n v="1"/>
    <n v="1969.94"/>
    <n v="393.99"/>
    <m/>
    <m/>
    <n v="1575.95"/>
    <m/>
    <n v="39.4"/>
    <m/>
    <m/>
    <m/>
    <m/>
    <m/>
    <m/>
    <n v="19.7"/>
    <m/>
    <m/>
    <m/>
    <m/>
    <m/>
    <m/>
    <n v="39.4"/>
    <m/>
    <m/>
    <m/>
    <m/>
    <m/>
    <m/>
    <m/>
    <n v="19.7"/>
    <m/>
    <n v="118.2"/>
  </r>
  <r>
    <n v="6"/>
    <x v="6"/>
    <x v="1"/>
    <n v="62941"/>
    <s v="POGONZA ANDREA GISELLE"/>
    <s v="27-32522930-1"/>
    <d v="2016-07-06T00:00:0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1"/>
    <n v="1"/>
    <n v="9873.67"/>
    <n v="2024.1"/>
    <m/>
    <m/>
    <n v="7849.57"/>
    <n v="246.84"/>
    <m/>
    <m/>
    <m/>
    <m/>
    <m/>
    <m/>
    <m/>
    <n v="98.74"/>
    <m/>
    <m/>
    <m/>
    <m/>
    <m/>
    <m/>
    <n v="197.47"/>
    <m/>
    <m/>
    <m/>
    <m/>
    <m/>
    <m/>
    <m/>
    <n v="98.74"/>
    <m/>
    <n v="641.79"/>
  </r>
  <r>
    <n v="6"/>
    <x v="6"/>
    <x v="0"/>
    <n v="173662"/>
    <s v="POLVERINI JULIETA"/>
    <s v="27-31251285-3"/>
    <d v="2016-07-06T00:00:00"/>
    <n v="31251285"/>
    <s v="POLVERINI"/>
    <s v="JULIETA"/>
    <s v="F"/>
    <m/>
    <d v="2016-05-27T00:00:00"/>
    <m/>
    <m/>
    <s v="GASTRONOMICOS-Hoteles 4 y 5 Estrellas - 362/2003"/>
    <s v="Categoria 6"/>
    <x v="5"/>
    <s v="Mozos / camareros - GL"/>
    <s v="Centro"/>
    <s v="Camarero/a"/>
    <n v="125905"/>
    <s v="OS  ARBITROS DEPORTIVOS DE LA REPUBLICA ARGENTINA"/>
    <s v="Capital Federal"/>
    <m/>
    <n v="1104"/>
    <s v="MATANZA EDIFICIO 2"/>
    <n v="1225"/>
    <m/>
    <m/>
    <s v="CAPITAL FEDERAL"/>
    <s v="Buenos Aires"/>
    <m/>
    <s v="U.O.Centro"/>
    <m/>
    <n v="2"/>
    <n v="1"/>
    <n v="2401.02"/>
    <n v="480.2"/>
    <m/>
    <m/>
    <n v="1920.82"/>
    <m/>
    <n v="48.02"/>
    <m/>
    <m/>
    <m/>
    <m/>
    <m/>
    <m/>
    <n v="24.01"/>
    <m/>
    <m/>
    <m/>
    <m/>
    <m/>
    <m/>
    <n v="48.02"/>
    <m/>
    <m/>
    <m/>
    <m/>
    <m/>
    <m/>
    <m/>
    <n v="24.01"/>
    <m/>
    <n v="144.06"/>
  </r>
  <r>
    <n v="6"/>
    <x v="6"/>
    <x v="0"/>
    <n v="172087"/>
    <s v="POSTERNAK ERIKA ELENA"/>
    <s v="27-38699581-3"/>
    <d v="2016-07-06T00:00:00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INGENIERO HUERGO"/>
    <n v="1225"/>
    <m/>
    <m/>
    <s v="CAPITAL FEDERAL"/>
    <s v="Buenos Aires"/>
    <m/>
    <s v="U.O.Centro"/>
    <m/>
    <n v="2"/>
    <n v="1"/>
    <n v="2801.18"/>
    <n v="560.25"/>
    <m/>
    <m/>
    <n v="2240.9299999999998"/>
    <m/>
    <n v="56.03"/>
    <m/>
    <m/>
    <m/>
    <m/>
    <m/>
    <m/>
    <n v="28.01"/>
    <m/>
    <m/>
    <m/>
    <m/>
    <m/>
    <m/>
    <n v="56.03"/>
    <m/>
    <m/>
    <m/>
    <m/>
    <m/>
    <m/>
    <m/>
    <n v="28.01"/>
    <m/>
    <n v="168.08"/>
  </r>
  <r>
    <n v="6"/>
    <x v="6"/>
    <x v="0"/>
    <n v="173705"/>
    <s v="RAGGIO MARIA ARIADNA GISELLE"/>
    <s v="27-27861441-2"/>
    <d v="2016-06-21T00:00:00"/>
    <n v="27861441"/>
    <s v="RAGGIO"/>
    <s v="MARIA ARIADNA GISELLE"/>
    <s v="F"/>
    <m/>
    <d v="2016-06-01T00:00:00"/>
    <d v="2016-06-16T00:00:00"/>
    <d v="2016-06-16T00:00:00"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OLPAYO"/>
    <n v="1005"/>
    <n v="3"/>
    <m/>
    <s v="CAPITAL FEDERAL"/>
    <s v="Capital Federal"/>
    <m/>
    <s v="U.O.Centro"/>
    <m/>
    <n v="1"/>
    <n v="1"/>
    <n v="631.04"/>
    <n v="126.2"/>
    <m/>
    <m/>
    <n v="504.84"/>
    <m/>
    <n v="12.62"/>
    <m/>
    <m/>
    <m/>
    <m/>
    <m/>
    <m/>
    <n v="6.31"/>
    <m/>
    <m/>
    <m/>
    <m/>
    <m/>
    <m/>
    <n v="12.62"/>
    <m/>
    <m/>
    <m/>
    <m/>
    <m/>
    <m/>
    <m/>
    <n v="6.31"/>
    <m/>
    <n v="37.86"/>
  </r>
  <r>
    <n v="6"/>
    <x v="6"/>
    <x v="1"/>
    <n v="168959"/>
    <s v="RAMIREZ ANDREA FABIANA"/>
    <s v="27-22241765-7"/>
    <d v="2016-06-29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 Paga Inplant"/>
    <m/>
    <n v="1"/>
    <n v="1"/>
    <n v="13394.33"/>
    <n v="2678.87"/>
    <m/>
    <m/>
    <n v="10715.46"/>
    <m/>
    <n v="267.89"/>
    <m/>
    <m/>
    <m/>
    <m/>
    <m/>
    <m/>
    <n v="133.94"/>
    <m/>
    <m/>
    <m/>
    <m/>
    <m/>
    <m/>
    <n v="267.89"/>
    <m/>
    <m/>
    <m/>
    <m/>
    <m/>
    <m/>
    <m/>
    <n v="133.94"/>
    <m/>
    <n v="803.66"/>
  </r>
  <r>
    <n v="6"/>
    <x v="6"/>
    <x v="0"/>
    <n v="170302"/>
    <s v="RAMIREZ GABRIEL LEONARDO"/>
    <s v="20-37596484-9"/>
    <d v="2016-07-06T00:00:00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Barilari"/>
    <n v="1225"/>
    <m/>
    <m/>
    <s v="CAPITAL FEDERAL"/>
    <s v="Buenos Aires"/>
    <m/>
    <s v="U.O.Centro"/>
    <m/>
    <n v="2"/>
    <n v="1"/>
    <n v="1600.68"/>
    <n v="320.14"/>
    <m/>
    <m/>
    <n v="1280.54"/>
    <m/>
    <n v="32.020000000000003"/>
    <m/>
    <m/>
    <m/>
    <m/>
    <m/>
    <m/>
    <n v="16"/>
    <m/>
    <m/>
    <m/>
    <m/>
    <m/>
    <m/>
    <n v="32.020000000000003"/>
    <m/>
    <m/>
    <m/>
    <m/>
    <m/>
    <m/>
    <m/>
    <n v="16"/>
    <m/>
    <n v="96.04"/>
  </r>
  <r>
    <n v="6"/>
    <x v="6"/>
    <x v="1"/>
    <n v="171689"/>
    <s v="RAMOS LEONEL ALBERTO"/>
    <s v="23-36484857-9"/>
    <d v="2016-06-29T00:00:00"/>
    <n v="36484857"/>
    <s v="RAMOS"/>
    <s v="LEONEL ALBERTO"/>
    <s v="M"/>
    <m/>
    <d v="2016-04-13T00:00:00"/>
    <m/>
    <m/>
    <s v="GASTRONOMICOS-Hoteles 4 y 5 Estrellas - 362/2003"/>
    <s v="Categoria 2"/>
    <x v="3"/>
    <s v="Unidad Principal"/>
    <s v="Centro"/>
    <s v="Tareas Generales"/>
    <n v="108803"/>
    <s v="O.S.P.Gastronomico"/>
    <s v="Capital Federal"/>
    <m/>
    <n v="1002"/>
    <s v="LORENZINI"/>
    <n v="764"/>
    <m/>
    <m/>
    <s v="CAPITAL FEDERAL"/>
    <s v="Capital Federal"/>
    <m/>
    <s v="U.O.Centro Paga Inplant"/>
    <m/>
    <n v="1"/>
    <n v="1"/>
    <n v="8136.83"/>
    <n v="1627.36"/>
    <m/>
    <m/>
    <n v="6509.47"/>
    <m/>
    <n v="162.74"/>
    <m/>
    <m/>
    <m/>
    <m/>
    <m/>
    <m/>
    <n v="81.37"/>
    <m/>
    <m/>
    <m/>
    <m/>
    <m/>
    <m/>
    <n v="162.74"/>
    <m/>
    <m/>
    <m/>
    <m/>
    <m/>
    <m/>
    <m/>
    <n v="81.37"/>
    <m/>
    <n v="488.22"/>
  </r>
  <r>
    <n v="6"/>
    <x v="6"/>
    <x v="0"/>
    <n v="134996"/>
    <s v="RAVERA MARIA"/>
    <s v="27-27860600-2"/>
    <d v="2016-07-06T00:00:00"/>
    <n v="27860600"/>
    <s v="RAVERA"/>
    <s v="MARIA"/>
    <s v="F"/>
    <m/>
    <d v="2015-04-17T00:00:00"/>
    <m/>
    <m/>
    <s v="GASTRONOMICOS-Hoteles 4 y 5 Estrellas - 362/2003"/>
    <s v="Categoria 6"/>
    <x v="6"/>
    <s v="NUEVOS INGRESOS"/>
    <s v="Centro"/>
    <s v="Camarero/a"/>
    <n v="126205"/>
    <s v="O.S.Emp.Comercio y Act.Civiles"/>
    <s v="Capital Federal"/>
    <m/>
    <n v="1093"/>
    <s v="TACUARI"/>
    <n v="1232"/>
    <n v="1"/>
    <s v="C"/>
    <s v="CAPITAL FEDERAL"/>
    <s v="Buenos Aires"/>
    <m/>
    <s v="U.O.Centro"/>
    <s v="Banquetes"/>
    <n v="1"/>
    <n v="1"/>
    <n v="1166.6300000000001"/>
    <n v="233.33"/>
    <m/>
    <m/>
    <n v="933.3"/>
    <m/>
    <n v="23.33"/>
    <m/>
    <m/>
    <m/>
    <m/>
    <m/>
    <m/>
    <n v="11.67"/>
    <m/>
    <m/>
    <m/>
    <m/>
    <m/>
    <m/>
    <n v="23.33"/>
    <m/>
    <m/>
    <m/>
    <m/>
    <m/>
    <m/>
    <m/>
    <n v="11.67"/>
    <m/>
    <n v="70"/>
  </r>
  <r>
    <n v="6"/>
    <x v="6"/>
    <x v="0"/>
    <n v="169776"/>
    <s v="RENEDO MARINA VANESA"/>
    <s v="27-29268429-6"/>
    <d v="2016-07-06T00:00:00"/>
    <n v="29268429"/>
    <s v="RENEDO"/>
    <s v="MARINA VANESA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LLE 834"/>
    <n v="1225"/>
    <m/>
    <m/>
    <s v="CAPITAL FEDERAL"/>
    <s v="Buenos Aires"/>
    <m/>
    <s v="U.O.Centro"/>
    <m/>
    <n v="2"/>
    <n v="1"/>
    <n v="7210.97"/>
    <n v="1442.2"/>
    <m/>
    <m/>
    <n v="5768.77"/>
    <m/>
    <n v="144.22"/>
    <m/>
    <m/>
    <m/>
    <m/>
    <m/>
    <m/>
    <n v="72.11"/>
    <m/>
    <m/>
    <m/>
    <m/>
    <m/>
    <m/>
    <n v="144.22"/>
    <m/>
    <m/>
    <m/>
    <m/>
    <m/>
    <m/>
    <m/>
    <n v="72.11"/>
    <m/>
    <n v="432.66"/>
  </r>
  <r>
    <n v="6"/>
    <x v="6"/>
    <x v="0"/>
    <n v="172295"/>
    <s v="RIOS TEODORO HERMES"/>
    <s v="20-25239719-2"/>
    <d v="2016-07-06T00:00:00"/>
    <n v="25239719"/>
    <s v="RIOS"/>
    <s v="TEODORO HERMES"/>
    <s v="M"/>
    <m/>
    <d v="2016-04-28T00:00:00"/>
    <d v="2016-05-13T00:00:00"/>
    <d v="2016-05-13T00:00:00"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VENEZUELA"/>
    <n v="1225"/>
    <m/>
    <m/>
    <s v="CAPITAL FEDERAL"/>
    <s v="Buenos Aires"/>
    <m/>
    <s v="U.O.Centro"/>
    <m/>
    <n v="1"/>
    <n v="1"/>
    <n v="7347.34"/>
    <n v="1469.47"/>
    <m/>
    <m/>
    <n v="5877.87"/>
    <m/>
    <n v="146.94999999999999"/>
    <m/>
    <m/>
    <m/>
    <m/>
    <m/>
    <m/>
    <n v="73.47"/>
    <m/>
    <m/>
    <m/>
    <m/>
    <m/>
    <m/>
    <n v="146.94999999999999"/>
    <m/>
    <m/>
    <m/>
    <m/>
    <m/>
    <m/>
    <m/>
    <n v="73.47"/>
    <m/>
    <n v="440.84"/>
  </r>
  <r>
    <n v="6"/>
    <x v="6"/>
    <x v="0"/>
    <n v="173596"/>
    <s v="RIVERO GABRIELA DAYANA"/>
    <s v="27-40019421-7"/>
    <d v="2016-07-06T00:00:00"/>
    <n v="40019421"/>
    <s v="RIVERO"/>
    <s v="GABRIELA DAYANA"/>
    <s v="F"/>
    <m/>
    <d v="2016-05-27T00:00:00"/>
    <m/>
    <m/>
    <s v="GASTRONOMICOS-Hoteles 4 y 5 Estrellas - 362/2003"/>
    <s v="Categoria 6"/>
    <x v="4"/>
    <s v="Unidad Base-GL"/>
    <s v="Centro"/>
    <s v="Camarero/a"/>
    <n v="108803"/>
    <s v="O.S.P.Gastronomico"/>
    <s v="Capital Federal"/>
    <m/>
    <n v="1004"/>
    <s v="MANUELA PEDRAZA"/>
    <n v="474"/>
    <m/>
    <m/>
    <s v="CAPITAL FEDERAL"/>
    <s v="Buenos Aires"/>
    <m/>
    <s v="U.O.Centro"/>
    <m/>
    <n v="1"/>
    <n v="1"/>
    <n v="1237.5999999999999"/>
    <n v="247.53"/>
    <m/>
    <m/>
    <n v="990.07"/>
    <m/>
    <n v="24.75"/>
    <m/>
    <m/>
    <m/>
    <m/>
    <m/>
    <m/>
    <n v="12.38"/>
    <m/>
    <m/>
    <m/>
    <m/>
    <m/>
    <m/>
    <n v="24.75"/>
    <m/>
    <m/>
    <m/>
    <m/>
    <m/>
    <m/>
    <m/>
    <n v="12.38"/>
    <m/>
    <n v="74.260000000000005"/>
  </r>
  <r>
    <n v="6"/>
    <x v="6"/>
    <x v="0"/>
    <n v="162826"/>
    <s v="RODRIGUEZ CLAUDIO ALEJANDRO"/>
    <s v="20-28807969-3"/>
    <d v="2016-07-06T00:00:00"/>
    <n v="28807969"/>
    <s v="RODRIGUEZ"/>
    <s v="CLAUDIO ALEJANDRO"/>
    <s v="M"/>
    <m/>
    <d v="2015-12-03T00:00:00"/>
    <d v="2016-06-13T00:00:00"/>
    <m/>
    <s v="GASTRONOMICOS-Hoteles 4 y 5 Estrellas - 362/2003"/>
    <s v="Categoria 1"/>
    <x v="16"/>
    <s v="Back Office"/>
    <s v="Back Office"/>
    <s v="Tareas Generales"/>
    <n v="127406"/>
    <s v="O.S.Obreros y empleados tintoreros, sombrerero y lavanderos"/>
    <s v="Buenos Aires - Almte. Brown"/>
    <m/>
    <n v="1019"/>
    <s v="JOSE IGNACIO RUCCI"/>
    <n v="513"/>
    <m/>
    <m/>
    <s v="CAPITAL FEDERAL"/>
    <s v="Buenos Aires"/>
    <m/>
    <m/>
    <m/>
    <n v="3"/>
    <n v="1"/>
    <n v="5557.88"/>
    <n v="1111.5899999999999"/>
    <m/>
    <n v="30647.43"/>
    <n v="35093.72"/>
    <m/>
    <n v="111.16"/>
    <m/>
    <m/>
    <m/>
    <m/>
    <m/>
    <m/>
    <n v="55.58"/>
    <m/>
    <m/>
    <m/>
    <m/>
    <m/>
    <m/>
    <n v="111.16"/>
    <m/>
    <m/>
    <m/>
    <m/>
    <m/>
    <m/>
    <m/>
    <n v="55.58"/>
    <m/>
    <n v="333.48"/>
  </r>
  <r>
    <n v="6"/>
    <x v="6"/>
    <x v="0"/>
    <n v="173299"/>
    <s v="RODRIGUEZ EMANUEL AGUSTIN"/>
    <s v="20-39165126-5"/>
    <d v="2016-07-06T00:00:00"/>
    <n v="39165126"/>
    <s v="RODRIGUEZ"/>
    <s v="EMANUEL AGUSTIN"/>
    <s v="M"/>
    <m/>
    <d v="2016-05-1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LFONSINA STORNI"/>
    <n v="1005"/>
    <m/>
    <m/>
    <s v="CAPITAL FEDERAL"/>
    <s v="Capital Federal"/>
    <m/>
    <s v="U.O.Centro"/>
    <m/>
    <n v="3"/>
    <n v="1"/>
    <n v="2528.33"/>
    <n v="505.67"/>
    <m/>
    <m/>
    <n v="2022.66"/>
    <m/>
    <n v="50.57"/>
    <m/>
    <m/>
    <m/>
    <m/>
    <m/>
    <m/>
    <n v="25.28"/>
    <m/>
    <m/>
    <m/>
    <m/>
    <m/>
    <m/>
    <n v="50.57"/>
    <m/>
    <m/>
    <m/>
    <m/>
    <m/>
    <m/>
    <m/>
    <n v="25.28"/>
    <m/>
    <n v="151.69999999999999"/>
  </r>
  <r>
    <n v="6"/>
    <x v="6"/>
    <x v="1"/>
    <n v="170996"/>
    <s v="RODRIGUEZ ENZO"/>
    <s v="20-95508201-0"/>
    <d v="2016-06-29T00:00:00"/>
    <n v="95508201"/>
    <s v="RODRIGUEZ"/>
    <s v="ENZO"/>
    <s v="M"/>
    <m/>
    <d v="2016-03-31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UAN FRANCISCO SEGUI"/>
    <n v="764"/>
    <n v="14"/>
    <s v="B"/>
    <s v="CAPITAL FEDERAL"/>
    <s v="Capital Federal"/>
    <m/>
    <s v="U.O.Centro"/>
    <m/>
    <n v="1"/>
    <n v="1"/>
    <n v="22435.03"/>
    <n v="4487"/>
    <m/>
    <m/>
    <n v="17948.03"/>
    <m/>
    <n v="448.7"/>
    <m/>
    <m/>
    <m/>
    <m/>
    <m/>
    <m/>
    <n v="224.35"/>
    <m/>
    <m/>
    <m/>
    <m/>
    <m/>
    <m/>
    <n v="448.7"/>
    <m/>
    <m/>
    <m/>
    <m/>
    <m/>
    <m/>
    <m/>
    <n v="224.35"/>
    <m/>
    <n v="1346.1"/>
  </r>
  <r>
    <n v="6"/>
    <x v="6"/>
    <x v="0"/>
    <n v="173655"/>
    <s v="RODRIGUEZ EZEQUIEL"/>
    <s v="20-35792854-1"/>
    <d v="2016-06-21T00:00:00"/>
    <n v="35792854"/>
    <s v="RODRIGUEZ"/>
    <s v="EZEQUIEL"/>
    <s v="M"/>
    <m/>
    <d v="2016-05-31T00:00:00"/>
    <d v="2016-06-15T00:00:00"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BERUTTI"/>
    <n v="1225"/>
    <m/>
    <m/>
    <s v="CAPITAL FEDERAL"/>
    <s v="Buenos Aires"/>
    <m/>
    <s v="U.O.Centro"/>
    <m/>
    <n v="1"/>
    <n v="1"/>
    <n v="1504.13"/>
    <n v="300.81"/>
    <m/>
    <m/>
    <n v="1203.32"/>
    <m/>
    <n v="30.08"/>
    <m/>
    <m/>
    <m/>
    <m/>
    <m/>
    <m/>
    <n v="15.04"/>
    <m/>
    <m/>
    <m/>
    <m/>
    <m/>
    <m/>
    <n v="30.08"/>
    <m/>
    <m/>
    <m/>
    <m/>
    <m/>
    <m/>
    <m/>
    <n v="15.04"/>
    <m/>
    <n v="90.24"/>
  </r>
  <r>
    <n v="6"/>
    <x v="6"/>
    <x v="0"/>
    <n v="169954"/>
    <s v="RODRIGUEZ SARA"/>
    <s v="27-36360779-4"/>
    <d v="2016-06-21T00:00:00"/>
    <n v="36360779"/>
    <s v="RODRIGUEZ"/>
    <s v="SARA"/>
    <s v="F"/>
    <m/>
    <d v="2016-03-05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ANA MARIA JANER"/>
    <n v="1225"/>
    <n v="7"/>
    <s v="PB"/>
    <s v="CAPITAL FEDERAL"/>
    <s v="Buenos Aires"/>
    <m/>
    <s v="U.O.Centro"/>
    <m/>
    <n v="1"/>
    <n v="1"/>
    <n v="2174.15"/>
    <n v="434.82"/>
    <m/>
    <m/>
    <n v="1739.33"/>
    <m/>
    <n v="43.48"/>
    <m/>
    <m/>
    <m/>
    <m/>
    <m/>
    <m/>
    <n v="21.74"/>
    <m/>
    <m/>
    <m/>
    <m/>
    <m/>
    <m/>
    <n v="43.48"/>
    <m/>
    <m/>
    <m/>
    <m/>
    <m/>
    <m/>
    <m/>
    <n v="21.74"/>
    <m/>
    <n v="130.44"/>
  </r>
  <r>
    <n v="6"/>
    <x v="6"/>
    <x v="0"/>
    <n v="169235"/>
    <s v="ROMERO RODAS YENIFER ESTEFANI"/>
    <s v="27-94615471-2"/>
    <d v="2016-07-06T00:00:00"/>
    <n v="94615471"/>
    <s v="ROMERO RODAS"/>
    <s v="YENIFER ESTEFANI"/>
    <s v="F"/>
    <m/>
    <d v="2016-06-09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HORTIGUERA"/>
    <n v="474"/>
    <n v="1"/>
    <n v="1"/>
    <s v="CAPITAL FEDERAL"/>
    <s v="Buenos Aires"/>
    <m/>
    <s v="U.O.Centro"/>
    <m/>
    <n v="1"/>
    <n v="1"/>
    <n v="2977.34"/>
    <n v="595.47"/>
    <m/>
    <m/>
    <n v="2381.87"/>
    <m/>
    <n v="59.55"/>
    <m/>
    <m/>
    <m/>
    <m/>
    <m/>
    <m/>
    <n v="29.77"/>
    <m/>
    <m/>
    <m/>
    <m/>
    <m/>
    <m/>
    <n v="59.55"/>
    <m/>
    <m/>
    <m/>
    <m/>
    <m/>
    <m/>
    <m/>
    <n v="29.77"/>
    <m/>
    <n v="178.64"/>
  </r>
  <r>
    <n v="6"/>
    <x v="6"/>
    <x v="0"/>
    <n v="170549"/>
    <s v="ROSALES MATIAS SEBASTIAN"/>
    <s v="20-38950370-4"/>
    <d v="2016-07-06T00:00:00"/>
    <n v="38950370"/>
    <s v="ROSALES"/>
    <s v="MATIAS SEBASTIAN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4"/>
    <n v="1"/>
    <n v="10325.6"/>
    <n v="2065.13"/>
    <m/>
    <m/>
    <n v="8260.4699999999993"/>
    <m/>
    <n v="206.51"/>
    <m/>
    <m/>
    <m/>
    <m/>
    <m/>
    <m/>
    <n v="103.25"/>
    <m/>
    <m/>
    <m/>
    <m/>
    <m/>
    <m/>
    <n v="206.51"/>
    <m/>
    <m/>
    <m/>
    <m/>
    <m/>
    <m/>
    <m/>
    <n v="103.25"/>
    <m/>
    <n v="619.52"/>
  </r>
  <r>
    <n v="6"/>
    <x v="6"/>
    <x v="0"/>
    <n v="171271"/>
    <s v="RUIS SAMANTA SOLEDAD"/>
    <s v="27-32637966-8"/>
    <d v="2016-07-06T00:00:00"/>
    <n v="32637966"/>
    <s v="RUIS"/>
    <s v="SAMANTA SOLEDAD"/>
    <s v="F"/>
    <m/>
    <d v="2016-04-02T00:00:00"/>
    <d v="2016-06-25T00:00:00"/>
    <d v="2016-06-25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JOSE"/>
    <n v="1225"/>
    <m/>
    <m/>
    <s v="CAPITAL FEDERAL"/>
    <s v="Buenos Aires"/>
    <m/>
    <s v="U.O.Centro"/>
    <m/>
    <n v="2"/>
    <n v="1"/>
    <n v="4348.3"/>
    <n v="869.64"/>
    <m/>
    <m/>
    <n v="3478.66"/>
    <m/>
    <n v="86.96"/>
    <m/>
    <m/>
    <m/>
    <m/>
    <m/>
    <m/>
    <n v="43.48"/>
    <m/>
    <m/>
    <m/>
    <m/>
    <m/>
    <m/>
    <n v="86.96"/>
    <m/>
    <m/>
    <m/>
    <m/>
    <m/>
    <m/>
    <m/>
    <n v="43.48"/>
    <m/>
    <n v="260.88"/>
  </r>
  <r>
    <n v="6"/>
    <x v="6"/>
    <x v="0"/>
    <n v="173747"/>
    <s v="RUIZ JUAN MARIO ESEQUIEL"/>
    <s v="20-36944344-6"/>
    <d v="2016-07-06T00:00:00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ERMA"/>
    <n v="1225"/>
    <n v="3"/>
    <s v="A"/>
    <s v="CAPITAL FEDERAL"/>
    <s v="Buenos Aires"/>
    <m/>
    <s v="U.O.Centro"/>
    <m/>
    <n v="2"/>
    <n v="1"/>
    <n v="2626.56"/>
    <n v="525.32000000000005"/>
    <m/>
    <m/>
    <n v="2101.2399999999998"/>
    <m/>
    <n v="52.54"/>
    <m/>
    <m/>
    <m/>
    <m/>
    <m/>
    <m/>
    <n v="26.26"/>
    <m/>
    <m/>
    <m/>
    <m/>
    <m/>
    <m/>
    <n v="52.54"/>
    <m/>
    <m/>
    <m/>
    <m/>
    <m/>
    <m/>
    <m/>
    <n v="26.26"/>
    <m/>
    <n v="157.6"/>
  </r>
  <r>
    <n v="6"/>
    <x v="6"/>
    <x v="1"/>
    <n v="172196"/>
    <s v="SAGARÌA NORBERTO OSVALDO"/>
    <s v="20-24921184-3"/>
    <d v="2016-07-06T00:00:00"/>
    <n v="24921184"/>
    <s v="SAGARÌA"/>
    <s v="NORBERTO OSVALDO"/>
    <s v="M"/>
    <m/>
    <d v="2016-04-25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SAN LUIS"/>
    <n v="507"/>
    <m/>
    <m/>
    <s v="CAPITAL FEDERAL"/>
    <s v="Capital Federal"/>
    <m/>
    <s v="U.O.Centro Paga Inplant"/>
    <m/>
    <n v="1"/>
    <n v="1"/>
    <n v="14091.76"/>
    <n v="2818.35"/>
    <m/>
    <m/>
    <n v="11273.41"/>
    <m/>
    <n v="281.83999999999997"/>
    <m/>
    <m/>
    <m/>
    <m/>
    <m/>
    <m/>
    <n v="140.91999999999999"/>
    <m/>
    <m/>
    <m/>
    <m/>
    <m/>
    <m/>
    <n v="281.83999999999997"/>
    <m/>
    <m/>
    <m/>
    <m/>
    <m/>
    <m/>
    <m/>
    <n v="140.91999999999999"/>
    <m/>
    <n v="845.52"/>
  </r>
  <r>
    <n v="6"/>
    <x v="6"/>
    <x v="0"/>
    <n v="170780"/>
    <s v="SANCHEZ JAVIER EDUARDO"/>
    <s v="20-29388721-8"/>
    <d v="2016-07-06T00:00:0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MONROE"/>
    <n v="181"/>
    <m/>
    <m/>
    <s v="CAPITAL FEDERAL"/>
    <s v="Capital Federal"/>
    <m/>
    <s v="U.O.Centro"/>
    <m/>
    <n v="1"/>
    <n v="1"/>
    <n v="942.09"/>
    <n v="188.41"/>
    <m/>
    <m/>
    <n v="753.68"/>
    <m/>
    <n v="18.84"/>
    <m/>
    <m/>
    <m/>
    <m/>
    <m/>
    <m/>
    <n v="9.42"/>
    <m/>
    <m/>
    <m/>
    <m/>
    <m/>
    <m/>
    <n v="18.84"/>
    <m/>
    <m/>
    <m/>
    <m/>
    <m/>
    <m/>
    <m/>
    <n v="9.42"/>
    <m/>
    <n v="56.52"/>
  </r>
  <r>
    <n v="6"/>
    <x v="6"/>
    <x v="1"/>
    <n v="114486"/>
    <s v="SANSONE SANDRA MONICA"/>
    <s v="27-20370805-5"/>
    <d v="2016-06-29T00:00:00"/>
    <n v="20370805"/>
    <s v="SANSONE"/>
    <s v="SANDRA MONICA"/>
    <s v="F"/>
    <m/>
    <d v="2016-06-16T00:00:00"/>
    <d v="2016-06-21T00:00:00"/>
    <m/>
    <s v="GASTRONOMICOS-Hoteles 4 y 5 Estrellas - 362/2003"/>
    <s v="Categoría 4"/>
    <x v="3"/>
    <s v="Unidad Principal"/>
    <s v="Centro"/>
    <s v="Mucama"/>
    <n v="112202"/>
    <s v="OS  DE LOS SUPERVISORES DE LA INDUSTRIA METALMECANICA DE LA REPUBLICA ARGENTINA"/>
    <s v="Capital Federal"/>
    <m/>
    <n v="1002"/>
    <s v="MOZART"/>
    <n v="764"/>
    <n v="11"/>
    <n v="1"/>
    <s v="CAPITAL FEDERAL"/>
    <s v="Capital Federal"/>
    <m/>
    <s v="U.O.Centro"/>
    <m/>
    <n v="1"/>
    <n v="1"/>
    <n v="570.76"/>
    <n v="114.15"/>
    <m/>
    <m/>
    <n v="456.61"/>
    <m/>
    <n v="11.42"/>
    <m/>
    <m/>
    <m/>
    <m/>
    <m/>
    <m/>
    <n v="5.71"/>
    <m/>
    <m/>
    <m/>
    <m/>
    <m/>
    <m/>
    <n v="11.42"/>
    <m/>
    <m/>
    <m/>
    <m/>
    <m/>
    <m/>
    <m/>
    <n v="5.71"/>
    <m/>
    <n v="34.26"/>
  </r>
  <r>
    <n v="6"/>
    <x v="6"/>
    <x v="0"/>
    <n v="173418"/>
    <s v="SASTRE FEDERICO DAMIAN"/>
    <s v="20-38996895-2"/>
    <d v="2016-07-06T00:00:00"/>
    <n v="38996895"/>
    <s v="SASTRE"/>
    <s v="FEDERICO DAMIAN"/>
    <s v="M"/>
    <m/>
    <d v="2016-05-23T00:00:00"/>
    <d v="2016-06-28T00:00:00"/>
    <d v="2016-06-28T00:00:00"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ADINES"/>
    <n v="1225"/>
    <m/>
    <m/>
    <s v="CAPITAL FEDERAL"/>
    <s v="Buenos Aires"/>
    <m/>
    <s v="U.O.Centro"/>
    <m/>
    <n v="1"/>
    <n v="1"/>
    <n v="656.64"/>
    <n v="131.33000000000001"/>
    <m/>
    <m/>
    <n v="525.30999999999995"/>
    <m/>
    <n v="13.13"/>
    <m/>
    <m/>
    <m/>
    <m/>
    <m/>
    <m/>
    <n v="6.57"/>
    <m/>
    <m/>
    <m/>
    <m/>
    <m/>
    <m/>
    <n v="13.13"/>
    <m/>
    <m/>
    <m/>
    <m/>
    <m/>
    <m/>
    <m/>
    <n v="6.57"/>
    <m/>
    <n v="39.4"/>
  </r>
  <r>
    <n v="6"/>
    <x v="6"/>
    <x v="0"/>
    <n v="163422"/>
    <s v="SAUCEDO BETIANA MAGALI"/>
    <s v="23-38354831-4"/>
    <d v="2016-06-21T00:00:00"/>
    <n v="38354831"/>
    <s v="SAUCEDO"/>
    <s v="BETIANA MAGALI"/>
    <s v="F"/>
    <m/>
    <d v="2016-06-13T00:00:00"/>
    <d v="2016-06-13T00:00:00"/>
    <m/>
    <s v="GASTRONOMICOS-Hoteles 4 y 5 Estrellas - 362/2003"/>
    <s v="Categoria 6"/>
    <x v="20"/>
    <s v="Capital Federal - GL"/>
    <s v="Centro"/>
    <s v="Camarero/a"/>
    <n v="108803"/>
    <s v="O.S.P.Gastronomico"/>
    <s v="Capital Federal"/>
    <m/>
    <n v="1425"/>
    <s v="CONSTANCIO C VIGIL"/>
    <n v="3125"/>
    <m/>
    <m/>
    <s v="CAPITAL FEDERAL"/>
    <s v="Capital Federal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6"/>
    <x v="6"/>
    <x v="0"/>
    <n v="157784"/>
    <s v="SAUCEDO MARCELA"/>
    <s v="27-33197318-7"/>
    <d v="2016-07-06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9602.5300000000007"/>
    <n v="1968.53"/>
    <m/>
    <m/>
    <n v="7634"/>
    <n v="240.06"/>
    <m/>
    <m/>
    <m/>
    <m/>
    <m/>
    <m/>
    <m/>
    <n v="96.03"/>
    <m/>
    <m/>
    <m/>
    <m/>
    <m/>
    <m/>
    <n v="192.05"/>
    <m/>
    <m/>
    <m/>
    <m/>
    <m/>
    <m/>
    <m/>
    <n v="96.03"/>
    <m/>
    <n v="624.16999999999996"/>
  </r>
  <r>
    <n v="6"/>
    <x v="6"/>
    <x v="0"/>
    <n v="174055"/>
    <s v="SCHNIDRIG ANA LAURA"/>
    <s v="27-25098943-7"/>
    <d v="2016-07-06T00:00:00"/>
    <n v="25098943"/>
    <s v="SCHNIDRIG"/>
    <s v="ANA LAURA"/>
    <s v="F"/>
    <m/>
    <d v="2016-06-06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USTRIA"/>
    <n v="1005"/>
    <n v="3"/>
    <n v="11"/>
    <s v="CAPITAL FEDERAL"/>
    <s v="Capital Federal"/>
    <m/>
    <s v="U.O.Centro"/>
    <m/>
    <n v="2"/>
    <n v="1"/>
    <n v="7593.4"/>
    <n v="1518.67"/>
    <m/>
    <m/>
    <n v="6074.73"/>
    <m/>
    <n v="151.87"/>
    <m/>
    <m/>
    <m/>
    <m/>
    <m/>
    <m/>
    <n v="75.930000000000007"/>
    <m/>
    <m/>
    <m/>
    <m/>
    <m/>
    <m/>
    <n v="151.87"/>
    <m/>
    <m/>
    <m/>
    <m/>
    <m/>
    <m/>
    <m/>
    <n v="75.930000000000007"/>
    <m/>
    <n v="455.6"/>
  </r>
  <r>
    <n v="6"/>
    <x v="6"/>
    <x v="0"/>
    <n v="172826"/>
    <s v="SENA GABRIEL FABIAN"/>
    <s v="20-34705676-7"/>
    <d v="2016-07-06T00:00:00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1"/>
    <n v="1"/>
    <n v="13626.81"/>
    <n v="2725.36"/>
    <m/>
    <m/>
    <n v="10901.45"/>
    <m/>
    <n v="272.54000000000002"/>
    <m/>
    <m/>
    <m/>
    <m/>
    <m/>
    <m/>
    <n v="136.27000000000001"/>
    <m/>
    <m/>
    <m/>
    <m/>
    <m/>
    <m/>
    <n v="272.54000000000002"/>
    <m/>
    <m/>
    <m/>
    <m/>
    <m/>
    <m/>
    <m/>
    <n v="136.27000000000001"/>
    <m/>
    <n v="817.62"/>
  </r>
  <r>
    <n v="6"/>
    <x v="6"/>
    <x v="0"/>
    <n v="169945"/>
    <s v="SILVA ADRIANA PAOLA"/>
    <s v="27-38794990-4"/>
    <d v="2016-07-06T00:00:00"/>
    <n v="38794990"/>
    <s v="SILVA"/>
    <s v="ADRIANA PAOLA"/>
    <s v="F"/>
    <m/>
    <d v="2016-03-05T00:00:00"/>
    <d v="2016-06-1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RONDEAU"/>
    <n v="1225"/>
    <m/>
    <m/>
    <s v="CAPITAL FEDERAL"/>
    <s v="Buenos Aires"/>
    <m/>
    <s v="U.O.Centro"/>
    <m/>
    <n v="2"/>
    <n v="1"/>
    <n v="3672.98"/>
    <n v="734.58"/>
    <m/>
    <m/>
    <n v="2938.4"/>
    <m/>
    <n v="73.459999999999994"/>
    <m/>
    <m/>
    <m/>
    <m/>
    <m/>
    <m/>
    <n v="36.729999999999997"/>
    <m/>
    <m/>
    <m/>
    <m/>
    <m/>
    <m/>
    <n v="73.459999999999994"/>
    <m/>
    <m/>
    <m/>
    <m/>
    <m/>
    <m/>
    <m/>
    <n v="36.729999999999997"/>
    <m/>
    <n v="220.38"/>
  </r>
  <r>
    <n v="6"/>
    <x v="6"/>
    <x v="0"/>
    <n v="169877"/>
    <s v="SILVA MATIAS OSCAR"/>
    <s v="20-30651917-5"/>
    <d v="2016-07-06T00:00:00"/>
    <n v="30651917"/>
    <s v="SILVA"/>
    <s v="MATIAS OSCAR"/>
    <s v="M"/>
    <m/>
    <d v="2016-04-2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IGUALDAD"/>
    <n v="1232"/>
    <m/>
    <m/>
    <s v="CAPITAL FEDERAL"/>
    <s v="Buenos Aires"/>
    <m/>
    <s v="U.O.Centro"/>
    <s v="Banquetes"/>
    <n v="2"/>
    <n v="1"/>
    <n v="1787"/>
    <n v="357.4"/>
    <m/>
    <m/>
    <n v="1429.6"/>
    <m/>
    <n v="35.74"/>
    <m/>
    <m/>
    <m/>
    <m/>
    <m/>
    <m/>
    <n v="17.87"/>
    <m/>
    <m/>
    <m/>
    <m/>
    <m/>
    <m/>
    <n v="35.74"/>
    <m/>
    <m/>
    <m/>
    <m/>
    <m/>
    <m/>
    <m/>
    <n v="17.87"/>
    <m/>
    <n v="107.22"/>
  </r>
  <r>
    <n v="6"/>
    <x v="6"/>
    <x v="0"/>
    <n v="171605"/>
    <s v="SILVERO OSVALDO MANUEL"/>
    <s v="20-29271878-1"/>
    <d v="2016-07-06T00:00:00"/>
    <n v="29271878"/>
    <s v="SILVERO"/>
    <s v="OSVALDO MANUEL"/>
    <s v="M"/>
    <m/>
    <d v="2016-04-0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RGENTO CABRAL"/>
    <n v="1005"/>
    <m/>
    <m/>
    <s v="CAPITAL FEDERAL"/>
    <s v="Capital Federal"/>
    <m/>
    <s v="U.O.Centro"/>
    <m/>
    <n v="4"/>
    <n v="1"/>
    <n v="5806.01"/>
    <n v="1161.21"/>
    <m/>
    <m/>
    <n v="4644.8"/>
    <m/>
    <n v="116.13"/>
    <m/>
    <m/>
    <m/>
    <m/>
    <m/>
    <m/>
    <n v="58.05"/>
    <m/>
    <m/>
    <m/>
    <m/>
    <m/>
    <m/>
    <n v="116.13"/>
    <m/>
    <m/>
    <m/>
    <m/>
    <m/>
    <m/>
    <m/>
    <n v="58.05"/>
    <m/>
    <n v="348.36"/>
  </r>
  <r>
    <n v="6"/>
    <x v="6"/>
    <x v="0"/>
    <n v="162176"/>
    <s v="SOMMA GABRIELA ALEJANDRA"/>
    <s v="27-31822042-0"/>
    <d v="2016-07-06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3"/>
    <n v="1"/>
    <n v="6802.89"/>
    <n v="1360.58"/>
    <m/>
    <m/>
    <n v="5442.31"/>
    <m/>
    <n v="136.06"/>
    <m/>
    <m/>
    <m/>
    <m/>
    <m/>
    <m/>
    <n v="68.02"/>
    <m/>
    <m/>
    <m/>
    <m/>
    <m/>
    <m/>
    <n v="136.06"/>
    <m/>
    <m/>
    <m/>
    <m/>
    <m/>
    <m/>
    <m/>
    <n v="68.02"/>
    <m/>
    <n v="408.16"/>
  </r>
  <r>
    <n v="6"/>
    <x v="6"/>
    <x v="0"/>
    <n v="170437"/>
    <s v="SOSA BLANCA"/>
    <s v="27-28474500-6"/>
    <d v="2016-07-06T00:00:00"/>
    <n v="28474500"/>
    <s v="SOSA"/>
    <s v="BLANCA"/>
    <s v="F"/>
    <m/>
    <d v="2016-03-18T00:00:00"/>
    <m/>
    <m/>
    <s v="GASTRONOMICOS-Hoteles 4 y 5 Estrellas - 362/2003"/>
    <s v="Categoría 4"/>
    <x v="15"/>
    <s v="Unidad Principal"/>
    <s v="Centro"/>
    <s v="Mucama"/>
    <n v="127505"/>
    <s v="O.S.Asoc.Emp.Faramacia"/>
    <s v="Capital Federal"/>
    <m/>
    <n v="1440"/>
    <s v="VIRGENES"/>
    <n v="265"/>
    <m/>
    <m/>
    <s v="CAPITAL FEDERAL"/>
    <s v="Capital Federal"/>
    <m/>
    <s v="U.O.Centro"/>
    <s v="Mucama"/>
    <n v="2"/>
    <n v="1"/>
    <n v="11406.19"/>
    <n v="2281.2600000000002"/>
    <m/>
    <m/>
    <n v="9124.93"/>
    <m/>
    <n v="228.13"/>
    <m/>
    <m/>
    <m/>
    <m/>
    <m/>
    <m/>
    <n v="114.06"/>
    <m/>
    <m/>
    <m/>
    <m/>
    <m/>
    <m/>
    <n v="228.13"/>
    <m/>
    <m/>
    <m/>
    <m/>
    <m/>
    <m/>
    <m/>
    <n v="114.06"/>
    <m/>
    <n v="684.38"/>
  </r>
  <r>
    <n v="6"/>
    <x v="6"/>
    <x v="1"/>
    <n v="154462"/>
    <s v="SOTELO DAMARIS ROXANA"/>
    <s v="27-38100104-6"/>
    <d v="2016-06-29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 Paga Inplant"/>
    <m/>
    <n v="1"/>
    <n v="1"/>
    <n v="1533.33"/>
    <n v="306.67"/>
    <m/>
    <m/>
    <n v="1226.6600000000001"/>
    <m/>
    <n v="30.67"/>
    <m/>
    <m/>
    <m/>
    <m/>
    <m/>
    <m/>
    <n v="15.33"/>
    <m/>
    <m/>
    <m/>
    <m/>
    <m/>
    <m/>
    <n v="30.67"/>
    <m/>
    <m/>
    <m/>
    <m/>
    <m/>
    <m/>
    <m/>
    <n v="15.33"/>
    <m/>
    <n v="92"/>
  </r>
  <r>
    <n v="6"/>
    <x v="6"/>
    <x v="0"/>
    <n v="162209"/>
    <s v="STOCKL BRENDA JENNIFER"/>
    <s v="27-37769971-3"/>
    <d v="2016-07-06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3"/>
    <n v="1"/>
    <n v="8183.17"/>
    <n v="1636.65"/>
    <m/>
    <m/>
    <n v="6546.52"/>
    <m/>
    <n v="163.66999999999999"/>
    <m/>
    <m/>
    <m/>
    <m/>
    <m/>
    <m/>
    <n v="81.83"/>
    <m/>
    <m/>
    <m/>
    <m/>
    <m/>
    <m/>
    <n v="163.66999999999999"/>
    <m/>
    <m/>
    <m/>
    <m/>
    <m/>
    <m/>
    <m/>
    <n v="81.83"/>
    <m/>
    <n v="491"/>
  </r>
  <r>
    <n v="6"/>
    <x v="6"/>
    <x v="0"/>
    <n v="162177"/>
    <s v="SZYCHOWSKI WALTER TADEO"/>
    <s v="23-20698069-9"/>
    <d v="2016-07-06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m/>
    <n v="2"/>
    <n v="1"/>
    <n v="1600.68"/>
    <n v="320.14"/>
    <m/>
    <m/>
    <n v="1280.54"/>
    <m/>
    <n v="32.020000000000003"/>
    <m/>
    <m/>
    <m/>
    <m/>
    <m/>
    <m/>
    <n v="16"/>
    <m/>
    <m/>
    <m/>
    <m/>
    <m/>
    <m/>
    <n v="32.020000000000003"/>
    <m/>
    <m/>
    <m/>
    <m/>
    <m/>
    <m/>
    <m/>
    <n v="16"/>
    <m/>
    <n v="96.04"/>
  </r>
  <r>
    <n v="6"/>
    <x v="6"/>
    <x v="0"/>
    <n v="172802"/>
    <s v="TANGREDI ESTEBAN ENRIQUE"/>
    <s v="23-36948164-9"/>
    <d v="2016-07-06T00:00:00"/>
    <n v="36948164"/>
    <s v="TANGREDI"/>
    <s v="ESTEBAN ENRIQUE"/>
    <s v="M"/>
    <m/>
    <d v="2016-05-18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HIDALGO"/>
    <n v="1232"/>
    <n v="3"/>
    <s v="D"/>
    <s v="CAPITAL FEDERAL"/>
    <s v="Buenos Aires"/>
    <m/>
    <s v="U.O.Centro"/>
    <s v="Cocina"/>
    <n v="1"/>
    <n v="1"/>
    <n v="681.34"/>
    <n v="136.27000000000001"/>
    <m/>
    <m/>
    <n v="545.07000000000005"/>
    <m/>
    <n v="13.63"/>
    <m/>
    <m/>
    <m/>
    <m/>
    <m/>
    <m/>
    <n v="6.81"/>
    <m/>
    <m/>
    <m/>
    <m/>
    <m/>
    <m/>
    <n v="13.63"/>
    <m/>
    <m/>
    <m/>
    <m/>
    <m/>
    <m/>
    <m/>
    <n v="6.81"/>
    <m/>
    <n v="40.880000000000003"/>
  </r>
  <r>
    <n v="6"/>
    <x v="6"/>
    <x v="0"/>
    <n v="169811"/>
    <s v="TOLABA ESTELA MARTINA"/>
    <s v="27-25992551-2"/>
    <d v="2016-07-06T00:00:00"/>
    <n v="25992551"/>
    <s v="TOLABA"/>
    <s v="ESTELA MARTINA"/>
    <s v="F"/>
    <m/>
    <d v="2016-03-03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ULPINA"/>
    <n v="1225"/>
    <m/>
    <m/>
    <s v="CAPITAL FEDERAL"/>
    <s v="Buenos Aires"/>
    <m/>
    <s v="U.O.Centro"/>
    <m/>
    <n v="3"/>
    <n v="1"/>
    <n v="11572.6"/>
    <n v="2314.5300000000002"/>
    <m/>
    <m/>
    <n v="9258.07"/>
    <m/>
    <n v="231.46"/>
    <m/>
    <m/>
    <m/>
    <m/>
    <m/>
    <m/>
    <n v="115.73"/>
    <m/>
    <m/>
    <m/>
    <m/>
    <m/>
    <m/>
    <n v="231.46"/>
    <m/>
    <m/>
    <m/>
    <m/>
    <m/>
    <m/>
    <m/>
    <n v="115.73"/>
    <m/>
    <n v="694.38"/>
  </r>
  <r>
    <n v="6"/>
    <x v="6"/>
    <x v="0"/>
    <n v="170180"/>
    <s v="TORRES FERNANDO"/>
    <s v="23-36164521-9"/>
    <d v="2016-07-06T00:00:0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ICARDO ROJAS"/>
    <n v="265"/>
    <m/>
    <m/>
    <s v="CAPITAL FEDERAL"/>
    <s v="Capital Federal"/>
    <m/>
    <s v="U.O.Centro"/>
    <s v="Ayudantes"/>
    <n v="2"/>
    <n v="1"/>
    <n v="9701.16"/>
    <n v="1940.25"/>
    <m/>
    <m/>
    <n v="7760.91"/>
    <m/>
    <n v="194.03"/>
    <m/>
    <m/>
    <m/>
    <m/>
    <m/>
    <m/>
    <n v="97.01"/>
    <m/>
    <m/>
    <m/>
    <m/>
    <m/>
    <m/>
    <n v="194.03"/>
    <m/>
    <m/>
    <m/>
    <m/>
    <m/>
    <m/>
    <m/>
    <n v="97.01"/>
    <m/>
    <n v="582.08000000000004"/>
  </r>
  <r>
    <n v="6"/>
    <x v="6"/>
    <x v="1"/>
    <n v="165162"/>
    <s v="TORRES VERONICA ALEJANDRA"/>
    <s v="23-25413259-4"/>
    <d v="2016-06-29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 Paga Inplant"/>
    <m/>
    <n v="1"/>
    <n v="1"/>
    <n v="9972.5400000000009"/>
    <n v="1994.52"/>
    <m/>
    <m/>
    <n v="7978.02"/>
    <m/>
    <n v="199.45"/>
    <m/>
    <m/>
    <m/>
    <m/>
    <m/>
    <m/>
    <n v="99.73"/>
    <m/>
    <m/>
    <m/>
    <m/>
    <m/>
    <m/>
    <n v="199.45"/>
    <m/>
    <m/>
    <m/>
    <m/>
    <m/>
    <m/>
    <m/>
    <n v="99.73"/>
    <m/>
    <n v="598.36"/>
  </r>
  <r>
    <n v="6"/>
    <x v="6"/>
    <x v="0"/>
    <n v="170203"/>
    <s v="TOTARO ALEJANDRO EZEQUIEL"/>
    <s v="20-34309566-0"/>
    <d v="2016-07-06T00:00:0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ATANZA"/>
    <n v="1225"/>
    <m/>
    <m/>
    <s v="CAPITAL FEDERAL"/>
    <s v="Buenos Aires"/>
    <m/>
    <s v="U.O.Centro"/>
    <m/>
    <n v="2"/>
    <n v="1"/>
    <n v="2756.36"/>
    <n v="551.26"/>
    <m/>
    <m/>
    <n v="2205.1"/>
    <m/>
    <n v="55.12"/>
    <m/>
    <m/>
    <m/>
    <m/>
    <m/>
    <m/>
    <n v="27.56"/>
    <m/>
    <m/>
    <m/>
    <m/>
    <m/>
    <m/>
    <n v="55.12"/>
    <m/>
    <m/>
    <m/>
    <m/>
    <m/>
    <m/>
    <m/>
    <n v="27.56"/>
    <m/>
    <n v="165.36"/>
  </r>
  <r>
    <n v="6"/>
    <x v="6"/>
    <x v="0"/>
    <n v="173377"/>
    <s v="URETA MAURO GERMAN"/>
    <s v="20-36075890-8"/>
    <d v="2016-07-06T00:00:00"/>
    <n v="36075890"/>
    <s v="URETA"/>
    <s v="MAURO GERMAN"/>
    <s v="M"/>
    <m/>
    <d v="2016-05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Santa Fe"/>
    <n v="1225"/>
    <m/>
    <m/>
    <s v="CAPITAL FEDERAL"/>
    <s v="Buenos Aires"/>
    <m/>
    <s v="U.O.Centro"/>
    <m/>
    <n v="1"/>
    <n v="1"/>
    <n v="2401.02"/>
    <n v="480.2"/>
    <m/>
    <m/>
    <n v="1920.82"/>
    <m/>
    <n v="48.02"/>
    <m/>
    <m/>
    <m/>
    <m/>
    <m/>
    <m/>
    <n v="24.01"/>
    <m/>
    <m/>
    <m/>
    <m/>
    <m/>
    <m/>
    <n v="48.02"/>
    <m/>
    <m/>
    <m/>
    <m/>
    <m/>
    <m/>
    <m/>
    <n v="24.01"/>
    <m/>
    <n v="144.06"/>
  </r>
  <r>
    <n v="6"/>
    <x v="6"/>
    <x v="0"/>
    <n v="173656"/>
    <s v="VALENZUELA LETICIA MERCEDES"/>
    <s v="27-30230511-6"/>
    <d v="2016-07-06T00:00:00"/>
    <n v="30230511"/>
    <s v="VALENZUELA"/>
    <s v="LETICIA MERCEDES"/>
    <s v="F"/>
    <m/>
    <d v="2016-05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IO GALLEGOS"/>
    <n v="1225"/>
    <m/>
    <s v="D"/>
    <s v="CAPITAL FEDERAL"/>
    <s v="Buenos Aires"/>
    <m/>
    <s v="U.O.Quilmes"/>
    <m/>
    <n v="2"/>
    <n v="1"/>
    <n v="2401.02"/>
    <n v="480.2"/>
    <m/>
    <m/>
    <n v="1920.82"/>
    <m/>
    <n v="48.02"/>
    <m/>
    <m/>
    <m/>
    <m/>
    <m/>
    <m/>
    <n v="24.01"/>
    <m/>
    <m/>
    <m/>
    <m/>
    <m/>
    <m/>
    <n v="48.02"/>
    <m/>
    <m/>
    <m/>
    <m/>
    <m/>
    <m/>
    <m/>
    <n v="24.01"/>
    <m/>
    <n v="144.06"/>
  </r>
  <r>
    <n v="6"/>
    <x v="6"/>
    <x v="1"/>
    <n v="170492"/>
    <s v="VALIENTE MARIA NAZARENA"/>
    <s v="27-23700239-9"/>
    <d v="2016-07-06T00:00:0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4437.45"/>
    <n v="887.48"/>
    <m/>
    <m/>
    <n v="3549.97"/>
    <m/>
    <n v="88.75"/>
    <m/>
    <m/>
    <m/>
    <m/>
    <m/>
    <m/>
    <n v="44.37"/>
    <m/>
    <m/>
    <m/>
    <m/>
    <m/>
    <m/>
    <n v="88.75"/>
    <m/>
    <m/>
    <m/>
    <m/>
    <m/>
    <m/>
    <m/>
    <n v="44.37"/>
    <m/>
    <n v="266.24"/>
  </r>
  <r>
    <n v="6"/>
    <x v="6"/>
    <x v="0"/>
    <n v="163376"/>
    <s v="VARGAS BENITEZ KARINA LUJAN"/>
    <s v="27-37354725-0"/>
    <d v="2016-07-06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2"/>
    <n v="1"/>
    <n v="1600.68"/>
    <n v="320.14"/>
    <m/>
    <m/>
    <n v="1280.54"/>
    <m/>
    <n v="32.020000000000003"/>
    <m/>
    <m/>
    <m/>
    <m/>
    <m/>
    <m/>
    <n v="16"/>
    <m/>
    <m/>
    <m/>
    <m/>
    <m/>
    <m/>
    <n v="32.020000000000003"/>
    <m/>
    <m/>
    <m/>
    <m/>
    <m/>
    <m/>
    <m/>
    <n v="16"/>
    <m/>
    <n v="96.04"/>
  </r>
  <r>
    <n v="6"/>
    <x v="6"/>
    <x v="1"/>
    <n v="140009"/>
    <s v="VEGA JUAN JOSE"/>
    <s v="20-34339212-6"/>
    <d v="2016-06-29T00:00:00"/>
    <n v="34339212"/>
    <s v="VEGA"/>
    <s v="JUAN JOSE"/>
    <s v="M"/>
    <m/>
    <d v="2014-12-17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PRUDAN"/>
    <n v="764"/>
    <n v="5"/>
    <n v="5"/>
    <s v="CAPITAL FEDERAL"/>
    <s v="Capital Federal"/>
    <m/>
    <s v="U.O.Centro Paga Inplant"/>
    <m/>
    <n v="1"/>
    <n v="1"/>
    <n v="20355.72"/>
    <n v="4172.92"/>
    <m/>
    <m/>
    <n v="16182.8"/>
    <n v="508.89"/>
    <m/>
    <m/>
    <m/>
    <m/>
    <m/>
    <m/>
    <m/>
    <n v="203.56"/>
    <m/>
    <m/>
    <m/>
    <m/>
    <m/>
    <m/>
    <n v="407.11"/>
    <m/>
    <m/>
    <m/>
    <m/>
    <m/>
    <m/>
    <m/>
    <n v="203.56"/>
    <m/>
    <n v="1323.12"/>
  </r>
  <r>
    <n v="6"/>
    <x v="6"/>
    <x v="0"/>
    <n v="174627"/>
    <s v="VEGA RAMONA CAROLINA"/>
    <s v="27-92893847-1"/>
    <d v="2016-07-06T00:00:00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MARGARITA WEILD"/>
    <n v="1225"/>
    <n v="7"/>
    <s v="A"/>
    <s v="CAPITAL FEDERAL"/>
    <s v="Buenos Aires"/>
    <m/>
    <s v="U.O.Centro"/>
    <m/>
    <n v="1"/>
    <n v="1"/>
    <n v="1516.66"/>
    <n v="303.33"/>
    <m/>
    <m/>
    <n v="1213.33"/>
    <m/>
    <n v="30.33"/>
    <m/>
    <m/>
    <m/>
    <m/>
    <m/>
    <m/>
    <n v="15.17"/>
    <m/>
    <m/>
    <m/>
    <m/>
    <m/>
    <m/>
    <n v="30.33"/>
    <m/>
    <m/>
    <m/>
    <m/>
    <m/>
    <m/>
    <m/>
    <n v="15.17"/>
    <m/>
    <n v="91"/>
  </r>
  <r>
    <n v="6"/>
    <x v="6"/>
    <x v="0"/>
    <n v="143424"/>
    <s v="VELASQUEZ NESTOR IGNACIO"/>
    <s v="20-30830390-0"/>
    <d v="2016-07-06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2"/>
    <n v="1"/>
    <n v="16565.36"/>
    <n v="3395.9"/>
    <m/>
    <m/>
    <n v="13169.46"/>
    <n v="414.13"/>
    <m/>
    <m/>
    <m/>
    <m/>
    <m/>
    <m/>
    <m/>
    <n v="165.66"/>
    <m/>
    <m/>
    <m/>
    <m/>
    <m/>
    <m/>
    <n v="331.31"/>
    <m/>
    <m/>
    <m/>
    <m/>
    <m/>
    <m/>
    <m/>
    <n v="165.66"/>
    <m/>
    <n v="1076.76"/>
  </r>
  <r>
    <n v="6"/>
    <x v="6"/>
    <x v="1"/>
    <n v="170478"/>
    <s v="VELAZQUEZ FERNANDO ARIEL"/>
    <s v="20-18830125-9"/>
    <d v="2016-07-06T00:00:00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n v="1129"/>
    <s v="SARMIENTO"/>
    <n v="1891"/>
    <m/>
    <m/>
    <s v="CAPITAL FEDERAL"/>
    <s v="Capital Federal"/>
    <m/>
    <s v="U.O.Centro"/>
    <s v="Alvear Palace"/>
    <n v="2"/>
    <n v="1"/>
    <n v="7257.53"/>
    <n v="1679.53"/>
    <m/>
    <m/>
    <n v="5578"/>
    <m/>
    <n v="145.15"/>
    <m/>
    <m/>
    <m/>
    <m/>
    <m/>
    <m/>
    <n v="69.73"/>
    <m/>
    <m/>
    <m/>
    <m/>
    <m/>
    <m/>
    <n v="145.15"/>
    <m/>
    <m/>
    <m/>
    <m/>
    <m/>
    <m/>
    <m/>
    <n v="69.73"/>
    <m/>
    <n v="429.76"/>
  </r>
  <r>
    <n v="6"/>
    <x v="6"/>
    <x v="0"/>
    <n v="173657"/>
    <s v="VELAZQUEZ LEONARDO GASPAR"/>
    <s v="20-37205067-6"/>
    <d v="2016-07-06T00:00:00"/>
    <n v="37205067"/>
    <s v="VELAZQUEZ"/>
    <s v="LEONARDO GASPAR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BLAS PARERA"/>
    <n v="1225"/>
    <m/>
    <m/>
    <s v="CAPITAL FEDERAL"/>
    <s v="Buenos Aires"/>
    <m/>
    <s v="U.O.Centro"/>
    <m/>
    <n v="2"/>
    <n v="1"/>
    <n v="6566.44"/>
    <n v="1313.3"/>
    <m/>
    <m/>
    <n v="5253.14"/>
    <m/>
    <n v="131.33000000000001"/>
    <m/>
    <m/>
    <m/>
    <m/>
    <m/>
    <m/>
    <n v="65.67"/>
    <m/>
    <m/>
    <m/>
    <m/>
    <m/>
    <m/>
    <n v="131.33000000000001"/>
    <m/>
    <m/>
    <m/>
    <m/>
    <m/>
    <m/>
    <m/>
    <n v="65.67"/>
    <m/>
    <n v="394"/>
  </r>
  <r>
    <n v="6"/>
    <x v="6"/>
    <x v="0"/>
    <n v="169885"/>
    <s v="VELAZQUEZ NOELIA"/>
    <s v="27-28814358-2"/>
    <d v="2016-07-06T00:00:00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10341.19"/>
    <n v="2068.2399999999998"/>
    <m/>
    <m/>
    <n v="8272.9500000000007"/>
    <m/>
    <n v="206.82"/>
    <m/>
    <m/>
    <m/>
    <m/>
    <m/>
    <m/>
    <n v="103.41"/>
    <m/>
    <m/>
    <m/>
    <m/>
    <m/>
    <m/>
    <n v="206.82"/>
    <m/>
    <m/>
    <m/>
    <m/>
    <m/>
    <m/>
    <m/>
    <n v="103.41"/>
    <m/>
    <n v="620.46"/>
  </r>
  <r>
    <n v="6"/>
    <x v="6"/>
    <x v="0"/>
    <n v="172595"/>
    <s v="VERA GUILLERMO EDUARDO"/>
    <s v="23-28162145-9"/>
    <d v="2016-07-06T00:00:00"/>
    <n v="28162145"/>
    <s v="VERA"/>
    <s v="GUILLERMO EDUARDO"/>
    <s v="M"/>
    <m/>
    <d v="2016-05-05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2"/>
    <n v="1"/>
    <n v="10464.73"/>
    <n v="2092.9499999999998"/>
    <m/>
    <m/>
    <n v="8371.7800000000007"/>
    <m/>
    <n v="209.3"/>
    <m/>
    <m/>
    <m/>
    <m/>
    <m/>
    <m/>
    <n v="104.65"/>
    <m/>
    <m/>
    <m/>
    <m/>
    <m/>
    <m/>
    <n v="209.3"/>
    <m/>
    <m/>
    <m/>
    <m/>
    <m/>
    <m/>
    <m/>
    <n v="104.65"/>
    <m/>
    <n v="627.9"/>
  </r>
  <r>
    <n v="6"/>
    <x v="6"/>
    <x v="0"/>
    <n v="171020"/>
    <s v="VIEITES MAYRA ISIS"/>
    <s v="27-26427471-6"/>
    <d v="2016-07-06T00:00:00"/>
    <n v="26427471"/>
    <s v="VIEITES"/>
    <s v="MAYRA ISIS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N IRINEO"/>
    <n v="1005"/>
    <n v="5"/>
    <n v="16"/>
    <s v="CAPITAL FEDERAL"/>
    <s v="Capital Federal"/>
    <m/>
    <s v="U.O.Centro"/>
    <m/>
    <n v="2"/>
    <n v="1"/>
    <n v="4963.3900000000003"/>
    <n v="992.67"/>
    <m/>
    <m/>
    <n v="3970.72"/>
    <m/>
    <n v="99.26"/>
    <m/>
    <m/>
    <m/>
    <m/>
    <m/>
    <m/>
    <n v="49.64"/>
    <m/>
    <m/>
    <m/>
    <m/>
    <m/>
    <m/>
    <n v="99.26"/>
    <m/>
    <m/>
    <m/>
    <m/>
    <m/>
    <m/>
    <m/>
    <n v="49.64"/>
    <m/>
    <n v="297.8"/>
  </r>
  <r>
    <n v="6"/>
    <x v="6"/>
    <x v="0"/>
    <n v="170044"/>
    <s v="VILLANUEVA STELLA MARIS"/>
    <s v="27-24358222-4"/>
    <d v="2016-07-06T00:00:00"/>
    <n v="24358222"/>
    <s v="VILLANUEVA"/>
    <s v="STELLA MARIS"/>
    <s v="F"/>
    <m/>
    <d v="2016-06-23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BOLIVAR"/>
    <n v="474"/>
    <m/>
    <m/>
    <s v="CAPITAL FEDERAL"/>
    <s v="Buenos Aires"/>
    <m/>
    <s v="U.O.Centro"/>
    <m/>
    <n v="2"/>
    <n v="1"/>
    <n v="6387.28"/>
    <n v="1277.46"/>
    <m/>
    <m/>
    <n v="5109.82"/>
    <m/>
    <n v="127.75"/>
    <m/>
    <m/>
    <m/>
    <m/>
    <m/>
    <m/>
    <n v="63.87"/>
    <m/>
    <m/>
    <m/>
    <m/>
    <m/>
    <m/>
    <n v="127.75"/>
    <m/>
    <m/>
    <m/>
    <m/>
    <m/>
    <m/>
    <m/>
    <n v="63.87"/>
    <m/>
    <n v="383.24"/>
  </r>
  <r>
    <n v="6"/>
    <x v="6"/>
    <x v="0"/>
    <n v="173669"/>
    <s v="WEBER WALTER DARIO"/>
    <s v="20-26379060-0"/>
    <d v="2016-06-21T00:00:00"/>
    <n v="26379060"/>
    <s v="WEBER"/>
    <s v="WALTER DARIO"/>
    <s v="M"/>
    <m/>
    <d v="2016-05-31T00:00:00"/>
    <d v="2016-06-08T00:00:00"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SAN MARTIN"/>
    <n v="1225"/>
    <n v="2"/>
    <s v="B"/>
    <s v="CAPITAL FEDERAL"/>
    <s v="Buenos Aires"/>
    <m/>
    <s v="U.O.Centro"/>
    <m/>
    <n v="1"/>
    <n v="1"/>
    <n v="2626.58"/>
    <n v="525.32000000000005"/>
    <m/>
    <m/>
    <n v="2101.2600000000002"/>
    <m/>
    <n v="52.53"/>
    <m/>
    <m/>
    <m/>
    <m/>
    <m/>
    <m/>
    <n v="26.27"/>
    <m/>
    <m/>
    <m/>
    <m/>
    <m/>
    <m/>
    <n v="52.53"/>
    <m/>
    <m/>
    <m/>
    <m/>
    <m/>
    <m/>
    <m/>
    <n v="26.27"/>
    <m/>
    <n v="157.6"/>
  </r>
  <r>
    <n v="6"/>
    <x v="6"/>
    <x v="1"/>
    <n v="130773"/>
    <s v="WTOREK WALTER EZEQUIEL"/>
    <s v="20-30454246-3"/>
    <d v="2016-07-06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26148.78"/>
    <n v="5360.5"/>
    <m/>
    <m/>
    <n v="20788.28"/>
    <n v="653.72"/>
    <m/>
    <m/>
    <m/>
    <m/>
    <m/>
    <m/>
    <m/>
    <n v="261.49"/>
    <m/>
    <m/>
    <m/>
    <m/>
    <m/>
    <m/>
    <n v="522.98"/>
    <m/>
    <m/>
    <m/>
    <m/>
    <m/>
    <m/>
    <m/>
    <n v="261.49"/>
    <m/>
    <n v="1699.68"/>
  </r>
  <r>
    <n v="6"/>
    <x v="6"/>
    <x v="0"/>
    <n v="171787"/>
    <s v="ZACARIAS MAXIMILIANO FABIAN"/>
    <s v="20-35974702-1"/>
    <d v="2016-07-06T00:00:00"/>
    <n v="35974702"/>
    <s v="ZACARIAS"/>
    <s v="MAXIMILIANO FABIAN"/>
    <s v="M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PRINGLES"/>
    <n v="1232"/>
    <m/>
    <m/>
    <s v="CAPITAL FEDERAL"/>
    <s v="Buenos Aires"/>
    <m/>
    <s v="U.O.Centro"/>
    <s v="Banquetes"/>
    <n v="1"/>
    <n v="1"/>
    <n v="533.51"/>
    <n v="106.72"/>
    <m/>
    <m/>
    <n v="426.79"/>
    <m/>
    <n v="10.67"/>
    <m/>
    <m/>
    <m/>
    <m/>
    <m/>
    <m/>
    <n v="5.34"/>
    <m/>
    <m/>
    <m/>
    <m/>
    <m/>
    <m/>
    <n v="10.67"/>
    <m/>
    <m/>
    <m/>
    <m/>
    <m/>
    <m/>
    <m/>
    <n v="5.34"/>
    <m/>
    <n v="32.020000000000003"/>
  </r>
  <r>
    <n v="6"/>
    <x v="6"/>
    <x v="0"/>
    <n v="156235"/>
    <s v="ZENTENO CRISTIAN OSCAR"/>
    <s v="20-37675043-5"/>
    <d v="2016-07-06T00:00:00"/>
    <n v="37675043"/>
    <s v="ZENTENO"/>
    <s v="CRISTIAN OSCAR"/>
    <s v="M"/>
    <m/>
    <d v="2016-02-0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CAMPICHUELO"/>
    <n v="1005"/>
    <m/>
    <m/>
    <s v="CAPITAL FEDERAL"/>
    <s v="Capital Federal"/>
    <m/>
    <s v="U.O.Centro"/>
    <m/>
    <n v="2"/>
    <n v="1"/>
    <n v="16629.41"/>
    <n v="3325.88"/>
    <m/>
    <m/>
    <n v="13303.53"/>
    <m/>
    <n v="332.59"/>
    <m/>
    <m/>
    <m/>
    <m/>
    <m/>
    <m/>
    <n v="166.3"/>
    <m/>
    <m/>
    <m/>
    <m/>
    <m/>
    <m/>
    <n v="332.59"/>
    <m/>
    <m/>
    <m/>
    <m/>
    <m/>
    <m/>
    <m/>
    <n v="166.3"/>
    <m/>
    <n v="997.78"/>
  </r>
  <r>
    <n v="6"/>
    <x v="6"/>
    <x v="0"/>
    <n v="164888"/>
    <s v="ZURCO IRINA BELEN"/>
    <s v="27-35930307-1"/>
    <d v="2016-07-06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3"/>
    <n v="1"/>
    <n v="2801.18"/>
    <n v="560.22"/>
    <m/>
    <m/>
    <n v="2240.96"/>
    <m/>
    <n v="56.02"/>
    <m/>
    <m/>
    <m/>
    <m/>
    <m/>
    <m/>
    <n v="28.01"/>
    <m/>
    <m/>
    <m/>
    <m/>
    <m/>
    <m/>
    <n v="56.02"/>
    <m/>
    <m/>
    <m/>
    <m/>
    <m/>
    <m/>
    <m/>
    <n v="28.01"/>
    <m/>
    <n v="168.06"/>
  </r>
  <r>
    <n v="7"/>
    <x v="7"/>
    <x v="0"/>
    <n v="118846"/>
    <s v="ACOSTA SUSANA BEATRIZ"/>
    <s v="27-32902543-3"/>
    <d v="2016-08-08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1"/>
    <n v="1"/>
    <n v="12491.23"/>
    <n v="2498.25"/>
    <m/>
    <m/>
    <n v="9992.98"/>
    <m/>
    <n v="249.82"/>
    <m/>
    <m/>
    <m/>
    <m/>
    <m/>
    <m/>
    <n v="124.91"/>
    <m/>
    <m/>
    <m/>
    <m/>
    <m/>
    <m/>
    <n v="249.82"/>
    <m/>
    <m/>
    <m/>
    <m/>
    <m/>
    <m/>
    <m/>
    <n v="124.91"/>
    <m/>
    <n v="749.46"/>
  </r>
  <r>
    <n v="7"/>
    <x v="7"/>
    <x v="0"/>
    <n v="139738"/>
    <s v="ALEGRE FLAVIO RODRIGO"/>
    <s v="20-30462269-6"/>
    <d v="2016-08-08T00:00:00"/>
    <n v="30462269"/>
    <s v="ALEGRE"/>
    <s v="FLAVIO RODRIGO"/>
    <s v="M"/>
    <m/>
    <d v="2015-04-28T00:00:00"/>
    <m/>
    <d v="2015-09-15T00:00:00"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COMBAT. DE LOS POZOS"/>
    <n v="1232"/>
    <n v="3"/>
    <m/>
    <s v="CAPITAL FEDERAL"/>
    <s v="Buenos Aires"/>
    <m/>
    <s v="U.O.Centro"/>
    <s v="Banquetes"/>
    <n v="4"/>
    <n v="1"/>
    <n v="7363.4"/>
    <n v="1471.21"/>
    <m/>
    <m/>
    <n v="5892.19"/>
    <m/>
    <n v="147.27000000000001"/>
    <m/>
    <m/>
    <m/>
    <m/>
    <m/>
    <m/>
    <n v="72.150000000000006"/>
    <m/>
    <m/>
    <m/>
    <m/>
    <m/>
    <m/>
    <n v="147.27000000000001"/>
    <m/>
    <m/>
    <m/>
    <m/>
    <m/>
    <m/>
    <m/>
    <n v="72.150000000000006"/>
    <m/>
    <n v="438.84"/>
  </r>
  <r>
    <n v="7"/>
    <x v="7"/>
    <x v="0"/>
    <n v="168236"/>
    <s v="ALFONZO SEBASTIAN ALEJANDRO"/>
    <s v="20-34553164-6"/>
    <d v="2016-08-08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2"/>
    <n v="1"/>
    <n v="8213.7099999999991"/>
    <n v="1642.74"/>
    <m/>
    <m/>
    <n v="6570.97"/>
    <m/>
    <n v="164.28"/>
    <m/>
    <m/>
    <m/>
    <m/>
    <m/>
    <m/>
    <n v="82.13"/>
    <m/>
    <m/>
    <m/>
    <m/>
    <m/>
    <m/>
    <n v="164.28"/>
    <m/>
    <m/>
    <m/>
    <m/>
    <m/>
    <m/>
    <m/>
    <n v="82.13"/>
    <m/>
    <n v="492.82"/>
  </r>
  <r>
    <n v="7"/>
    <x v="7"/>
    <x v="0"/>
    <n v="163395"/>
    <s v="ALTAMIRANO EUGENIA DELIA"/>
    <s v="27-33347518-4"/>
    <d v="2016-08-08T00:00:00"/>
    <n v="33347518"/>
    <s v="ALTAMIRANO"/>
    <s v="EUGENIA DELI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GUDO"/>
    <n v="1225"/>
    <m/>
    <m/>
    <s v="CAPITAL FEDERAL"/>
    <s v="Buenos Aires"/>
    <m/>
    <s v="U.O.Pacheco"/>
    <m/>
    <n v="2"/>
    <n v="1"/>
    <n v="1600.68"/>
    <n v="320.14"/>
    <m/>
    <m/>
    <n v="1280.54"/>
    <m/>
    <n v="32.020000000000003"/>
    <m/>
    <m/>
    <m/>
    <m/>
    <m/>
    <m/>
    <n v="16"/>
    <m/>
    <m/>
    <m/>
    <m/>
    <m/>
    <m/>
    <n v="32.020000000000003"/>
    <m/>
    <m/>
    <m/>
    <m/>
    <m/>
    <m/>
    <m/>
    <n v="16"/>
    <m/>
    <n v="96.04"/>
  </r>
  <r>
    <n v="7"/>
    <x v="7"/>
    <x v="0"/>
    <n v="156038"/>
    <s v="AMARILLA GLADIS NORMA"/>
    <s v="27-31471414-3"/>
    <d v="2016-08-08T00:00:00"/>
    <n v="31471414"/>
    <s v="AMARILLA"/>
    <s v="GLADIS NORMA"/>
    <s v="F"/>
    <m/>
    <d v="2015-09-0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SAN JAVIER"/>
    <n v="1232"/>
    <m/>
    <m/>
    <s v="CAPITAL FEDERAL"/>
    <s v="Buenos Aires"/>
    <m/>
    <s v="U.O.Centro"/>
    <s v="Banquetes"/>
    <n v="3"/>
    <n v="1"/>
    <n v="7745.76"/>
    <n v="1549.16"/>
    <m/>
    <m/>
    <n v="6196.6"/>
    <m/>
    <n v="154.91"/>
    <m/>
    <m/>
    <m/>
    <m/>
    <m/>
    <m/>
    <n v="77.459999999999994"/>
    <m/>
    <m/>
    <m/>
    <m/>
    <m/>
    <m/>
    <n v="154.91"/>
    <m/>
    <m/>
    <m/>
    <m/>
    <m/>
    <m/>
    <m/>
    <n v="77.459999999999994"/>
    <m/>
    <n v="464.74"/>
  </r>
  <r>
    <n v="7"/>
    <x v="7"/>
    <x v="0"/>
    <n v="172090"/>
    <s v="ANGULO QUINTERO JUAN FRANCISCO"/>
    <s v="20-95530684-9"/>
    <d v="2016-08-08T00:00:00"/>
    <n v="95530684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LTA"/>
    <n v="1225"/>
    <m/>
    <m/>
    <s v="CAPITAL FEDERAL"/>
    <s v="Buenos Aires"/>
    <m/>
    <s v="U.O.Centro"/>
    <m/>
    <n v="2"/>
    <n v="1"/>
    <n v="2401.02"/>
    <n v="480.2"/>
    <m/>
    <m/>
    <n v="1920.82"/>
    <m/>
    <n v="48.02"/>
    <m/>
    <m/>
    <m/>
    <m/>
    <m/>
    <m/>
    <n v="24.01"/>
    <m/>
    <m/>
    <m/>
    <m/>
    <m/>
    <m/>
    <n v="48.02"/>
    <m/>
    <m/>
    <m/>
    <m/>
    <m/>
    <m/>
    <m/>
    <n v="24.01"/>
    <m/>
    <n v="144.06"/>
  </r>
  <r>
    <n v="7"/>
    <x v="7"/>
    <x v="0"/>
    <n v="175159"/>
    <s v="ARANDA DIEGO MAXIMILIANO"/>
    <s v="20-37226133-2"/>
    <d v="2016-08-08T00:00:00"/>
    <n v="37226133"/>
    <s v="ARANDA"/>
    <s v="DIEGO MAXIMILIANO"/>
    <s v="M"/>
    <m/>
    <d v="2016-07-05T00:00:00"/>
    <d v="2016-07-28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armen de Areco"/>
    <n v="1225"/>
    <s v="No"/>
    <s v="No"/>
    <s v="CAPITAL FEDERAL"/>
    <s v="Buenos Aires"/>
    <m/>
    <s v="U.O.Centro"/>
    <m/>
    <n v="1"/>
    <n v="1"/>
    <n v="13564.43"/>
    <n v="2712.88"/>
    <m/>
    <m/>
    <n v="10851.55"/>
    <m/>
    <n v="271.29000000000002"/>
    <m/>
    <m/>
    <m/>
    <m/>
    <m/>
    <m/>
    <n v="135.63999999999999"/>
    <m/>
    <m/>
    <m/>
    <m/>
    <m/>
    <m/>
    <n v="271.29000000000002"/>
    <m/>
    <m/>
    <m/>
    <m/>
    <m/>
    <m/>
    <m/>
    <n v="135.63999999999999"/>
    <m/>
    <n v="813.86"/>
  </r>
  <r>
    <n v="7"/>
    <x v="7"/>
    <x v="0"/>
    <n v="173246"/>
    <s v="ARBOLELLA LAUTARO URIEL GABRIEL"/>
    <s v="27-33782994-0"/>
    <d v="2016-07-21T00:00:00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SALGUERO"/>
    <n v="1225"/>
    <n v="2"/>
    <s v="B"/>
    <s v="CAPITAL FEDERAL"/>
    <s v="Buenos Aires"/>
    <m/>
    <s v="U.O.Centro"/>
    <m/>
    <n v="1"/>
    <n v="1"/>
    <n v="3407"/>
    <n v="681.4"/>
    <m/>
    <m/>
    <n v="2725.6"/>
    <m/>
    <n v="68.14"/>
    <m/>
    <m/>
    <m/>
    <m/>
    <m/>
    <m/>
    <n v="34.07"/>
    <m/>
    <m/>
    <m/>
    <m/>
    <m/>
    <m/>
    <n v="68.14"/>
    <m/>
    <m/>
    <m/>
    <m/>
    <m/>
    <m/>
    <m/>
    <n v="34.07"/>
    <m/>
    <n v="204.42"/>
  </r>
  <r>
    <n v="7"/>
    <x v="7"/>
    <x v="0"/>
    <n v="169461"/>
    <s v="AREGUATI MARIA LUZ"/>
    <s v="27-35880306-2"/>
    <d v="2016-08-08T00:00:00"/>
    <n v="35880306"/>
    <s v="AREGUATI"/>
    <s v="MARIA LUZ"/>
    <s v="F"/>
    <m/>
    <d v="2016-03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DARCO"/>
    <n v="1225"/>
    <m/>
    <m/>
    <s v="CAPITAL FEDERAL"/>
    <s v="Buenos Aires"/>
    <m/>
    <s v="U.O.San Justo"/>
    <m/>
    <n v="2"/>
    <n v="1"/>
    <n v="6934.19"/>
    <n v="1386.84"/>
    <m/>
    <m/>
    <n v="5547.35"/>
    <m/>
    <n v="138.68"/>
    <m/>
    <m/>
    <m/>
    <m/>
    <m/>
    <m/>
    <n v="69.34"/>
    <m/>
    <m/>
    <m/>
    <m/>
    <m/>
    <m/>
    <n v="138.68"/>
    <m/>
    <m/>
    <m/>
    <m/>
    <m/>
    <m/>
    <m/>
    <n v="69.34"/>
    <m/>
    <n v="416.04"/>
  </r>
  <r>
    <n v="7"/>
    <x v="7"/>
    <x v="0"/>
    <n v="139740"/>
    <s v="AREVALO PABLO DAVID"/>
    <s v="20-37897359-8"/>
    <d v="2016-08-08T00:00:00"/>
    <n v="37897359"/>
    <s v="AREVALO"/>
    <s v="PABLO DAVID"/>
    <s v="M"/>
    <m/>
    <d v="2015-04-28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LUJAN"/>
    <n v="1232"/>
    <m/>
    <m/>
    <s v="CAPITAL FEDERAL"/>
    <s v="Buenos Aires"/>
    <m/>
    <s v="U.O.Centro"/>
    <s v="Banquetes"/>
    <n v="4"/>
    <n v="1"/>
    <n v="7203.91"/>
    <n v="1440.77"/>
    <m/>
    <m/>
    <n v="5763.14"/>
    <m/>
    <n v="144.07"/>
    <m/>
    <m/>
    <m/>
    <m/>
    <m/>
    <m/>
    <n v="72.03"/>
    <m/>
    <m/>
    <m/>
    <m/>
    <m/>
    <m/>
    <n v="144.07"/>
    <m/>
    <m/>
    <m/>
    <m/>
    <m/>
    <m/>
    <m/>
    <n v="72.03"/>
    <m/>
    <n v="432.2"/>
  </r>
  <r>
    <n v="7"/>
    <x v="7"/>
    <x v="0"/>
    <n v="173402"/>
    <s v="AUHAD MARIA DELFINA"/>
    <s v="27-33808278-4"/>
    <d v="2016-08-08T00:00:00"/>
    <n v="33808278"/>
    <s v="AUHAD"/>
    <s v="MARIA DELFINA"/>
    <s v="F"/>
    <m/>
    <d v="2016-05-21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2"/>
    <n v="1"/>
    <n v="11480.28"/>
    <n v="2296.06"/>
    <m/>
    <m/>
    <n v="9184.2199999999993"/>
    <m/>
    <n v="229.61"/>
    <m/>
    <m/>
    <m/>
    <m/>
    <m/>
    <m/>
    <n v="114.8"/>
    <m/>
    <m/>
    <m/>
    <m/>
    <m/>
    <m/>
    <n v="229.61"/>
    <m/>
    <m/>
    <m/>
    <m/>
    <m/>
    <m/>
    <m/>
    <n v="114.8"/>
    <m/>
    <n v="688.82"/>
  </r>
  <r>
    <n v="7"/>
    <x v="7"/>
    <x v="0"/>
    <n v="175079"/>
    <s v="AYMERIC CRISTIAN DAMIAN"/>
    <s v="20-35863307-3"/>
    <d v="2016-08-08T00:00:00"/>
    <n v="35863307"/>
    <s v="AYMERIC"/>
    <s v="CRISTIAN DAMIAN"/>
    <s v="M"/>
    <m/>
    <d v="2016-07-03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GAONA"/>
    <n v="1225"/>
    <m/>
    <m/>
    <s v="CAPITAL FEDERAL"/>
    <s v="Buenos Aires"/>
    <m/>
    <s v="U.O.Centro"/>
    <m/>
    <n v="2"/>
    <n v="1"/>
    <n v="4011.02"/>
    <n v="802.24"/>
    <m/>
    <m/>
    <n v="3208.78"/>
    <m/>
    <n v="80.22"/>
    <m/>
    <m/>
    <m/>
    <m/>
    <m/>
    <m/>
    <n v="40.119999999999997"/>
    <m/>
    <m/>
    <m/>
    <m/>
    <m/>
    <m/>
    <n v="80.22"/>
    <m/>
    <m/>
    <m/>
    <m/>
    <m/>
    <m/>
    <m/>
    <n v="40.119999999999997"/>
    <m/>
    <n v="240.68"/>
  </r>
  <r>
    <n v="7"/>
    <x v="7"/>
    <x v="0"/>
    <n v="150709"/>
    <s v="BARRIOS NAHUEL ALEJANDRO"/>
    <s v="20-39155005-1"/>
    <d v="2016-08-08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1"/>
    <n v="1"/>
    <n v="6445.92"/>
    <n v="1289.19"/>
    <m/>
    <m/>
    <n v="5156.7299999999996"/>
    <m/>
    <n v="128.91999999999999"/>
    <m/>
    <m/>
    <m/>
    <m/>
    <m/>
    <m/>
    <n v="64.459999999999994"/>
    <m/>
    <m/>
    <m/>
    <m/>
    <m/>
    <m/>
    <n v="128.91999999999999"/>
    <m/>
    <m/>
    <m/>
    <m/>
    <m/>
    <m/>
    <m/>
    <n v="64.459999999999994"/>
    <m/>
    <n v="386.76"/>
  </r>
  <r>
    <n v="7"/>
    <x v="7"/>
    <x v="0"/>
    <n v="171010"/>
    <s v="BAYA ANDRES FERNANDO"/>
    <s v="20-32123994-4"/>
    <d v="2016-08-08T00:00:00"/>
    <n v="32123994"/>
    <s v="BAYA"/>
    <s v="ANDRES FERNANDO"/>
    <s v="M"/>
    <m/>
    <d v="2016-04-10T00:00:00"/>
    <m/>
    <m/>
    <s v="GASTRONOMICOS-Hoteles 4 y 5 Estrellas - 362/2003"/>
    <s v="Categoria 6"/>
    <x v="6"/>
    <s v="NUEVOS INGRESOS"/>
    <s v="Centro"/>
    <s v="Tareas Generales"/>
    <n v="108803"/>
    <s v="O.S.P.Gastronomico"/>
    <s v="Capital Federal"/>
    <m/>
    <n v="1093"/>
    <s v="MARCELO T DE ALVEAR"/>
    <n v="1232"/>
    <m/>
    <m/>
    <s v="CAPITAL FEDERAL"/>
    <s v="Buenos Aires"/>
    <m/>
    <s v="U.O.Centro"/>
    <s v="Banquetes"/>
    <n v="2"/>
    <n v="1"/>
    <n v="1847.82"/>
    <n v="369.58"/>
    <m/>
    <m/>
    <n v="1478.24"/>
    <m/>
    <n v="36.96"/>
    <m/>
    <m/>
    <m/>
    <m/>
    <m/>
    <m/>
    <n v="18.48"/>
    <m/>
    <m/>
    <m/>
    <m/>
    <m/>
    <m/>
    <n v="36.96"/>
    <m/>
    <m/>
    <m/>
    <m/>
    <m/>
    <m/>
    <m/>
    <n v="18.48"/>
    <m/>
    <n v="110.88"/>
  </r>
  <r>
    <n v="7"/>
    <x v="7"/>
    <x v="0"/>
    <n v="153657"/>
    <s v="BENITEZ LEONARDO RAMON"/>
    <s v="20-36457404-6"/>
    <d v="2016-08-08T00:00:00"/>
    <n v="36457404"/>
    <s v="BENITEZ"/>
    <s v="LEONARDO RAMON"/>
    <s v="M"/>
    <m/>
    <d v="2016-02-15T00:00:00"/>
    <d v="2016-07-21T00:00:00"/>
    <d v="2016-07-21T00:00:00"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1"/>
    <n v="1"/>
    <n v="730.4"/>
    <n v="146.07"/>
    <m/>
    <m/>
    <n v="584.33000000000004"/>
    <m/>
    <n v="14.61"/>
    <m/>
    <m/>
    <m/>
    <m/>
    <m/>
    <m/>
    <n v="7.3"/>
    <m/>
    <m/>
    <m/>
    <m/>
    <m/>
    <m/>
    <n v="14.61"/>
    <m/>
    <m/>
    <m/>
    <m/>
    <m/>
    <m/>
    <m/>
    <n v="7.3"/>
    <m/>
    <n v="43.82"/>
  </r>
  <r>
    <n v="7"/>
    <x v="7"/>
    <x v="0"/>
    <n v="174969"/>
    <s v="BERRUTI MARTIN EZEQUIEL"/>
    <s v="20-37249383-7"/>
    <d v="2016-08-08T00:00:00"/>
    <n v="37249383"/>
    <s v="BERRUTI"/>
    <s v="MARTIN EZEQUIEL"/>
    <s v="M"/>
    <m/>
    <d v="2016-06-30T00:00:00"/>
    <d v="2016-08-01T00:00:00"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LAMBARDI"/>
    <n v="1225"/>
    <m/>
    <m/>
    <s v="CAPITAL FEDERAL"/>
    <s v="Buenos Aires"/>
    <m/>
    <s v="U.O.Centro"/>
    <m/>
    <n v="2"/>
    <n v="1"/>
    <n v="2385.33"/>
    <n v="477.07"/>
    <m/>
    <m/>
    <n v="1908.26"/>
    <m/>
    <n v="47.71"/>
    <m/>
    <m/>
    <m/>
    <m/>
    <m/>
    <m/>
    <n v="23.86"/>
    <m/>
    <m/>
    <m/>
    <m/>
    <m/>
    <m/>
    <n v="47.71"/>
    <m/>
    <m/>
    <m/>
    <m/>
    <m/>
    <m/>
    <m/>
    <n v="23.86"/>
    <m/>
    <n v="143.13999999999999"/>
  </r>
  <r>
    <n v="7"/>
    <x v="7"/>
    <x v="0"/>
    <n v="169887"/>
    <s v="BOTICELLI LIDIA CAROLINA"/>
    <s v="27-25698889-0"/>
    <d v="2016-08-08T00:00:0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5196.21"/>
    <n v="1039.24"/>
    <m/>
    <m/>
    <n v="4156.97"/>
    <m/>
    <n v="103.92"/>
    <m/>
    <m/>
    <m/>
    <m/>
    <m/>
    <m/>
    <n v="51.96"/>
    <m/>
    <m/>
    <m/>
    <m/>
    <m/>
    <m/>
    <n v="103.92"/>
    <m/>
    <m/>
    <m/>
    <m/>
    <m/>
    <m/>
    <m/>
    <n v="51.96"/>
    <m/>
    <n v="311.76"/>
  </r>
  <r>
    <n v="7"/>
    <x v="7"/>
    <x v="0"/>
    <n v="175662"/>
    <s v="BRANDAN MARIA CECILIA DE LOS ANGELES"/>
    <s v="27-32663858-2"/>
    <d v="2016-08-08T00:00:00"/>
    <n v="32663858"/>
    <s v="BRANDAN"/>
    <s v="MARIA CECILIA DE LOS ANGELES"/>
    <s v="F"/>
    <m/>
    <d v="2016-07-15T00:00:00"/>
    <m/>
    <m/>
    <s v="GASTRONOMICOS-Hoteles 4 y 5 Estrellas - 362/2003"/>
    <s v="Categoria 2"/>
    <x v="5"/>
    <s v="Medio Oficial de lavanderia - GL"/>
    <s v="Centro"/>
    <s v="Medio Oficial de lavandería"/>
    <n v="120900"/>
    <s v="OS  DEL PERSONAL DE TELEVISION"/>
    <s v="Capital Federal"/>
    <m/>
    <n v="1104"/>
    <s v="RECARTE"/>
    <n v="1225"/>
    <m/>
    <m/>
    <s v="CAPITAL FEDERAL"/>
    <s v="Buenos Aires"/>
    <m/>
    <s v="U.O.Centro"/>
    <m/>
    <n v="2"/>
    <n v="1"/>
    <n v="4512.3900000000003"/>
    <n v="902.47"/>
    <m/>
    <m/>
    <n v="3609.92"/>
    <m/>
    <n v="90.25"/>
    <m/>
    <m/>
    <m/>
    <m/>
    <m/>
    <m/>
    <n v="45.12"/>
    <m/>
    <m/>
    <m/>
    <m/>
    <m/>
    <m/>
    <n v="90.25"/>
    <m/>
    <m/>
    <m/>
    <m/>
    <m/>
    <m/>
    <m/>
    <n v="45.12"/>
    <m/>
    <n v="270.74"/>
  </r>
  <r>
    <n v="7"/>
    <x v="7"/>
    <x v="0"/>
    <n v="170683"/>
    <s v="BRAVO GUSTAVO GABRIEL"/>
    <s v="20-38519740-4"/>
    <d v="2016-07-21T00:00:00"/>
    <n v="38519740"/>
    <s v="BRAVO"/>
    <s v="GUSTAVO GABRIEL"/>
    <s v="F"/>
    <m/>
    <d v="2016-03-23T00:00:00"/>
    <d v="2016-07-11T00:00:00"/>
    <d v="2016-07-11T00:00:00"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IRIARTE"/>
    <n v="1225"/>
    <m/>
    <m/>
    <s v="CAPITAL FEDERAL"/>
    <s v="Buenos Aires"/>
    <m/>
    <s v="U.O.Centro"/>
    <m/>
    <n v="1"/>
    <n v="1"/>
    <n v="966.32"/>
    <n v="193.27"/>
    <m/>
    <m/>
    <n v="773.05"/>
    <m/>
    <n v="19.329999999999998"/>
    <m/>
    <m/>
    <m/>
    <m/>
    <m/>
    <m/>
    <n v="9.66"/>
    <m/>
    <m/>
    <m/>
    <m/>
    <m/>
    <m/>
    <n v="19.329999999999998"/>
    <m/>
    <m/>
    <m/>
    <m/>
    <m/>
    <m/>
    <m/>
    <n v="9.66"/>
    <m/>
    <n v="57.98"/>
  </r>
  <r>
    <n v="7"/>
    <x v="7"/>
    <x v="0"/>
    <n v="175678"/>
    <s v="BUONTEMPO LEANDRO"/>
    <s v="20-32563434-1"/>
    <d v="2016-08-02T00:00:00"/>
    <n v="32563434"/>
    <s v="BUONTEMPO"/>
    <s v="LEANDRO"/>
    <s v="M"/>
    <m/>
    <d v="2016-07-14T00:00:00"/>
    <m/>
    <m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LISANDRO DE LA TORRE"/>
    <n v="841"/>
    <m/>
    <m/>
    <s v="CAPITAL FEDERAL"/>
    <s v="Buenos Aires"/>
    <m/>
    <s v="U.O.Centro"/>
    <m/>
    <n v="1"/>
    <n v="1"/>
    <n v="5942.8"/>
    <n v="1188.56"/>
    <m/>
    <m/>
    <n v="4754.24"/>
    <m/>
    <n v="118.86"/>
    <m/>
    <m/>
    <m/>
    <m/>
    <m/>
    <m/>
    <n v="59.43"/>
    <m/>
    <m/>
    <m/>
    <m/>
    <m/>
    <m/>
    <n v="118.86"/>
    <m/>
    <m/>
    <m/>
    <m/>
    <m/>
    <m/>
    <m/>
    <n v="59.43"/>
    <m/>
    <n v="356.58"/>
  </r>
  <r>
    <n v="7"/>
    <x v="7"/>
    <x v="0"/>
    <n v="161580"/>
    <s v="CAEIRO MAURO ALBERTO"/>
    <s v="20-30431921-7"/>
    <d v="2016-08-08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2"/>
    <n v="1"/>
    <n v="13605.76"/>
    <n v="2721.14"/>
    <m/>
    <m/>
    <n v="10884.62"/>
    <m/>
    <n v="272.12"/>
    <m/>
    <m/>
    <m/>
    <m/>
    <m/>
    <m/>
    <n v="136.05000000000001"/>
    <m/>
    <m/>
    <m/>
    <m/>
    <m/>
    <m/>
    <n v="272.12"/>
    <m/>
    <m/>
    <m/>
    <m/>
    <m/>
    <m/>
    <m/>
    <n v="136.05000000000001"/>
    <m/>
    <n v="816.34"/>
  </r>
  <r>
    <n v="7"/>
    <x v="7"/>
    <x v="0"/>
    <n v="160997"/>
    <s v="CALLA ADRIANZEN EVELYN MELANIA"/>
    <s v="27-94555348-6"/>
    <d v="2016-07-21T00:00:00"/>
    <n v="94555348"/>
    <s v="CALLA ADRIANZEN"/>
    <s v="EVELYN MELANIA"/>
    <s v="F"/>
    <m/>
    <d v="2015-11-25T00:00:00"/>
    <d v="2016-07-01T00:00:00"/>
    <m/>
    <s v="GASTRONOMICOS-Hoteles 4 y 5 Estrellas - 362/2003"/>
    <s v="Categoria 6"/>
    <x v="5"/>
    <s v="Mozos / camareros - GL"/>
    <s v="Centro"/>
    <s v="Camarero/a"/>
    <n v="115300"/>
    <s v="OS DE  PETROLEROS"/>
    <s v="Capital Federal"/>
    <m/>
    <n v="1104"/>
    <s v="HIDALGO"/>
    <n v="1225"/>
    <n v="3"/>
    <s v="B"/>
    <s v="CAPITAL FEDERAL"/>
    <s v="Buenos Aires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7"/>
    <x v="7"/>
    <x v="0"/>
    <n v="171897"/>
    <s v="CAPURRO EDUARDO ADOLFO"/>
    <s v="20-31064205-4"/>
    <d v="2016-08-08T00:00:00"/>
    <n v="31064205"/>
    <s v="CAPURRO"/>
    <s v="EDUARDO ADOLFO"/>
    <s v="M"/>
    <m/>
    <d v="2016-07-04T00:00:00"/>
    <d v="2016-07-28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HILE"/>
    <n v="1225"/>
    <m/>
    <m/>
    <s v="CAPITAL FEDERAL"/>
    <s v="Buenos Aires"/>
    <m/>
    <s v="U.O.Quilmes"/>
    <m/>
    <n v="1"/>
    <n v="1"/>
    <n v="14129.61"/>
    <n v="2825.93"/>
    <m/>
    <m/>
    <n v="11303.68"/>
    <m/>
    <n v="282.58999999999997"/>
    <m/>
    <m/>
    <m/>
    <m/>
    <m/>
    <m/>
    <n v="141.30000000000001"/>
    <m/>
    <m/>
    <m/>
    <m/>
    <m/>
    <m/>
    <n v="282.58999999999997"/>
    <m/>
    <m/>
    <m/>
    <m/>
    <m/>
    <m/>
    <m/>
    <n v="141.30000000000001"/>
    <m/>
    <n v="847.78"/>
  </r>
  <r>
    <n v="7"/>
    <x v="7"/>
    <x v="0"/>
    <n v="175900"/>
    <s v="CARRION CECILIA FLORENCIA"/>
    <s v="27-40916782-4"/>
    <d v="2016-08-08T00:00:00"/>
    <n v="40916782"/>
    <s v="CARRION"/>
    <s v="CECILIA FLORENCIA"/>
    <s v="F"/>
    <m/>
    <d v="2016-07-22T00:00:00"/>
    <m/>
    <m/>
    <s v="GASTRONOMICOS-Hoteles 4 y 5 Estrellas - 362/2003"/>
    <s v="Categoria 6"/>
    <x v="4"/>
    <s v="Unidad Base-GL"/>
    <s v="Centro"/>
    <s v="Camarero/a"/>
    <n v="108803"/>
    <s v="O.S.P.Gastronomico"/>
    <s v="Capital Federal"/>
    <m/>
    <n v="1004"/>
    <s v="CONDARCO"/>
    <n v="474"/>
    <m/>
    <m/>
    <s v="CAPITAL FEDERAL"/>
    <s v="Buenos Aires"/>
    <m/>
    <s v="U.O.Avellaneda"/>
    <m/>
    <n v="1"/>
    <n v="1"/>
    <n v="3123.12"/>
    <n v="624.61"/>
    <m/>
    <m/>
    <n v="2498.5100000000002"/>
    <m/>
    <n v="62.46"/>
    <m/>
    <m/>
    <m/>
    <m/>
    <m/>
    <m/>
    <n v="31.23"/>
    <m/>
    <m/>
    <m/>
    <m/>
    <m/>
    <m/>
    <n v="62.46"/>
    <m/>
    <m/>
    <m/>
    <m/>
    <m/>
    <m/>
    <m/>
    <n v="31.23"/>
    <m/>
    <n v="187.38"/>
  </r>
  <r>
    <n v="7"/>
    <x v="7"/>
    <x v="0"/>
    <n v="162432"/>
    <s v="CARRIZO ALDANA AYLEN"/>
    <s v="27-35584563-5"/>
    <d v="2016-07-21T00:00:00"/>
    <n v="35584563"/>
    <s v="CARRIZO"/>
    <s v="ALDANA AYLEN"/>
    <s v="F"/>
    <m/>
    <d v="2016-07-09T00:00:00"/>
    <m/>
    <m/>
    <s v="GASTRONOMICOS-Hoteles 4 y 5 Estrellas - 362/2003"/>
    <s v="Categoria 6"/>
    <x v="1"/>
    <s v="BANQUETES"/>
    <s v="Centro"/>
    <s v="Recepcionista"/>
    <n v="108803"/>
    <s v="O.S.P.Gastronomico"/>
    <s v="Capital Federal"/>
    <m/>
    <n v="1005"/>
    <s v="CHACO"/>
    <n v="1005"/>
    <m/>
    <m/>
    <s v="CAPITAL FEDERAL"/>
    <s v="Capital Federal"/>
    <m/>
    <s v="U.O.Centro"/>
    <m/>
    <n v="1"/>
    <n v="1"/>
    <n v="1662.26"/>
    <n v="332.46"/>
    <m/>
    <m/>
    <n v="1329.8"/>
    <m/>
    <n v="33.25"/>
    <m/>
    <m/>
    <m/>
    <m/>
    <m/>
    <m/>
    <n v="16.62"/>
    <m/>
    <m/>
    <m/>
    <m/>
    <m/>
    <m/>
    <n v="33.25"/>
    <m/>
    <m/>
    <m/>
    <m/>
    <m/>
    <m/>
    <m/>
    <n v="16.62"/>
    <m/>
    <n v="99.74"/>
  </r>
  <r>
    <n v="7"/>
    <x v="7"/>
    <x v="0"/>
    <n v="144180"/>
    <s v="CATALAN CRISTINA DEL CARMEN"/>
    <s v="27-31138041-4"/>
    <d v="2016-08-08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12735.28"/>
    <n v="2547.06"/>
    <m/>
    <m/>
    <n v="10188.219999999999"/>
    <m/>
    <n v="254.71"/>
    <m/>
    <m/>
    <m/>
    <m/>
    <m/>
    <m/>
    <n v="127.35"/>
    <m/>
    <m/>
    <m/>
    <m/>
    <m/>
    <m/>
    <n v="254.71"/>
    <m/>
    <m/>
    <m/>
    <m/>
    <m/>
    <m/>
    <m/>
    <n v="127.35"/>
    <m/>
    <n v="764.12"/>
  </r>
  <r>
    <n v="7"/>
    <x v="7"/>
    <x v="0"/>
    <n v="158525"/>
    <s v="CELIBERTI YESICA ROMINA"/>
    <s v="27-35202883-0"/>
    <d v="2016-08-08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8165.47"/>
    <n v="1673.91"/>
    <m/>
    <m/>
    <n v="6491.56"/>
    <n v="204.14"/>
    <m/>
    <m/>
    <m/>
    <m/>
    <m/>
    <m/>
    <m/>
    <n v="81.650000000000006"/>
    <m/>
    <m/>
    <m/>
    <m/>
    <m/>
    <m/>
    <n v="163.31"/>
    <m/>
    <m/>
    <m/>
    <m/>
    <m/>
    <m/>
    <m/>
    <n v="81.650000000000006"/>
    <m/>
    <n v="530.75"/>
  </r>
  <r>
    <n v="7"/>
    <x v="7"/>
    <x v="0"/>
    <n v="175082"/>
    <s v="CENTENO VARA SERGIO MEYER"/>
    <s v="20-94675854-0"/>
    <d v="2016-08-08T00:00:00"/>
    <n v="94675854"/>
    <s v="CENTENO VARA"/>
    <s v="SERGIO MEYER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BARTOLOME MITRE"/>
    <n v="1225"/>
    <n v="2"/>
    <s v="B"/>
    <s v="CAPITAL FEDERAL"/>
    <s v="Buenos Aires"/>
    <m/>
    <s v="U.O.Centro"/>
    <m/>
    <n v="2"/>
    <n v="1"/>
    <n v="7889.51"/>
    <n v="1577.9"/>
    <m/>
    <m/>
    <n v="6311.61"/>
    <m/>
    <n v="157.79"/>
    <m/>
    <m/>
    <m/>
    <m/>
    <m/>
    <m/>
    <n v="78.900000000000006"/>
    <m/>
    <m/>
    <m/>
    <m/>
    <m/>
    <m/>
    <n v="157.79"/>
    <m/>
    <m/>
    <m/>
    <m/>
    <m/>
    <m/>
    <m/>
    <n v="78.900000000000006"/>
    <m/>
    <n v="473.38"/>
  </r>
  <r>
    <n v="7"/>
    <x v="7"/>
    <x v="0"/>
    <n v="175141"/>
    <s v="CENTURION AQUINO CRISTINA LEONOR"/>
    <s v="27-95065474-6"/>
    <d v="2016-08-02T00:00:00"/>
    <n v="95065474"/>
    <s v="CENTURION AQUINO"/>
    <s v="CRISTINA LEONOR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AV REGIMIENTO PATRICIOS"/>
    <n v="1334"/>
    <n v="3"/>
    <s v="C"/>
    <s v="CAPITAL FEDERAL"/>
    <s v="Capital Federal"/>
    <m/>
    <s v="U.O.Centro"/>
    <m/>
    <n v="1"/>
    <n v="1"/>
    <n v="8494.56"/>
    <n v="1698.92"/>
    <m/>
    <m/>
    <n v="6795.64"/>
    <m/>
    <n v="169.89"/>
    <m/>
    <m/>
    <m/>
    <m/>
    <m/>
    <m/>
    <n v="84.95"/>
    <m/>
    <m/>
    <m/>
    <m/>
    <m/>
    <m/>
    <n v="169.89"/>
    <m/>
    <m/>
    <m/>
    <m/>
    <m/>
    <m/>
    <m/>
    <n v="84.95"/>
    <m/>
    <n v="509.68"/>
  </r>
  <r>
    <n v="7"/>
    <x v="7"/>
    <x v="0"/>
    <n v="170318"/>
    <s v="CERNEAZ JOANA"/>
    <s v="27-35043953-1"/>
    <d v="2016-08-08T00:00:0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. MEDRANO"/>
    <n v="1225"/>
    <s v="PB"/>
    <m/>
    <s v="CAPITAL FEDERAL"/>
    <s v="Buenos Aires"/>
    <m/>
    <s v="U.O.Centro"/>
    <m/>
    <n v="2"/>
    <n v="1"/>
    <n v="13751.76"/>
    <n v="2750.35"/>
    <m/>
    <m/>
    <n v="11001.41"/>
    <m/>
    <n v="275.02999999999997"/>
    <m/>
    <m/>
    <m/>
    <m/>
    <m/>
    <m/>
    <n v="137.52000000000001"/>
    <m/>
    <m/>
    <m/>
    <m/>
    <m/>
    <m/>
    <n v="275.02999999999997"/>
    <m/>
    <m/>
    <m/>
    <m/>
    <m/>
    <m/>
    <m/>
    <n v="137.52000000000001"/>
    <m/>
    <n v="825.1"/>
  </r>
  <r>
    <n v="7"/>
    <x v="7"/>
    <x v="0"/>
    <n v="171029"/>
    <s v="CERRANO PATRICIA VIVIANA"/>
    <s v="23-31509842-4"/>
    <d v="2016-08-08T00:00:00"/>
    <n v="31509842"/>
    <s v="CERRANO"/>
    <s v="PATRICIA VIVIANA"/>
    <s v="F"/>
    <m/>
    <d v="2016-07-26T00:00:00"/>
    <m/>
    <m/>
    <s v="GASTRONOMICOS-Hoteles 4 y 5 Estrellas - 362/2003"/>
    <s v="Categoría 4"/>
    <x v="4"/>
    <s v="Unidad Base-GL"/>
    <s v="Centro"/>
    <s v="Tareas Generales"/>
    <n v="108803"/>
    <s v="O.S.P.Gastronomico"/>
    <s v="Capital Federal"/>
    <m/>
    <n v="1004"/>
    <s v="PASAJE BOLAÑOS"/>
    <n v="474"/>
    <m/>
    <m/>
    <s v="CAPITAL FEDERAL"/>
    <s v="Buenos Aires"/>
    <m/>
    <s v="U.O.Centro"/>
    <m/>
    <n v="1"/>
    <n v="1"/>
    <n v="1870.6"/>
    <n v="374.13"/>
    <m/>
    <m/>
    <n v="1496.47"/>
    <m/>
    <n v="37.409999999999997"/>
    <m/>
    <m/>
    <m/>
    <m/>
    <m/>
    <m/>
    <n v="18.71"/>
    <m/>
    <m/>
    <m/>
    <m/>
    <m/>
    <m/>
    <n v="37.409999999999997"/>
    <m/>
    <m/>
    <m/>
    <m/>
    <m/>
    <m/>
    <m/>
    <n v="18.71"/>
    <m/>
    <n v="112.24"/>
  </r>
  <r>
    <n v="7"/>
    <x v="7"/>
    <x v="0"/>
    <n v="161041"/>
    <s v="CESANI LEONARDO ROBERTO"/>
    <s v="20-36155165-7"/>
    <d v="2016-08-08T00:00:00"/>
    <n v="36155165"/>
    <s v="CESANI"/>
    <s v="LEONARDO ROBERTO"/>
    <s v="M"/>
    <m/>
    <d v="2016-03-30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STAÑARES"/>
    <n v="1232"/>
    <m/>
    <m/>
    <s v="CAPITAL FEDERAL"/>
    <s v="Buenos Aires"/>
    <m/>
    <s v="U.O.Centro"/>
    <s v="Cocina"/>
    <n v="1"/>
    <n v="1"/>
    <n v="7534.99"/>
    <n v="1507"/>
    <m/>
    <m/>
    <n v="6027.99"/>
    <m/>
    <n v="150.69999999999999"/>
    <m/>
    <m/>
    <m/>
    <m/>
    <m/>
    <m/>
    <n v="75.349999999999994"/>
    <m/>
    <m/>
    <m/>
    <m/>
    <m/>
    <m/>
    <n v="150.69999999999999"/>
    <m/>
    <m/>
    <m/>
    <m/>
    <m/>
    <m/>
    <m/>
    <n v="75.349999999999994"/>
    <m/>
    <n v="452.1"/>
  </r>
  <r>
    <n v="7"/>
    <x v="7"/>
    <x v="1"/>
    <n v="112977"/>
    <s v="CHACON NADIA DE LOS ANGELES"/>
    <s v="27-34151854-2"/>
    <d v="2016-08-08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9701.3799999999992"/>
    <n v="1988.77"/>
    <m/>
    <m/>
    <n v="7712.61"/>
    <n v="242.53"/>
    <m/>
    <m/>
    <m/>
    <m/>
    <m/>
    <m/>
    <m/>
    <n v="97.01"/>
    <m/>
    <m/>
    <m/>
    <m/>
    <m/>
    <m/>
    <n v="194.03"/>
    <m/>
    <m/>
    <m/>
    <m/>
    <m/>
    <m/>
    <m/>
    <n v="97.01"/>
    <m/>
    <n v="630.58000000000004"/>
  </r>
  <r>
    <n v="7"/>
    <x v="7"/>
    <x v="0"/>
    <n v="172187"/>
    <s v="CONDORI DANIEL"/>
    <s v="20-35216365-2"/>
    <d v="2016-08-02T00:00:00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7521.36"/>
    <n v="1504.27"/>
    <m/>
    <m/>
    <n v="6017.09"/>
    <m/>
    <n v="150.43"/>
    <m/>
    <m/>
    <m/>
    <m/>
    <m/>
    <m/>
    <n v="75.209999999999994"/>
    <m/>
    <m/>
    <m/>
    <m/>
    <m/>
    <m/>
    <n v="150.43"/>
    <m/>
    <m/>
    <m/>
    <m/>
    <m/>
    <m/>
    <m/>
    <n v="75.209999999999994"/>
    <m/>
    <n v="451.28"/>
  </r>
  <r>
    <n v="7"/>
    <x v="7"/>
    <x v="0"/>
    <n v="172454"/>
    <s v="CORVALAN ANDREA"/>
    <s v="27-39467778-2"/>
    <d v="2016-08-08T00:00:00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NDEPENDENCIA"/>
    <n v="1225"/>
    <n v="9"/>
    <n v="1"/>
    <s v="CAPITAL FEDERAL"/>
    <s v="Buenos Aires"/>
    <m/>
    <s v="U.O.Centro"/>
    <m/>
    <n v="2"/>
    <n v="1"/>
    <n v="9783.64"/>
    <n v="1956.72"/>
    <m/>
    <m/>
    <n v="7826.92"/>
    <m/>
    <n v="195.68"/>
    <m/>
    <m/>
    <m/>
    <m/>
    <m/>
    <m/>
    <n v="97.84"/>
    <m/>
    <m/>
    <m/>
    <m/>
    <m/>
    <m/>
    <n v="195.68"/>
    <m/>
    <m/>
    <m/>
    <m/>
    <m/>
    <m/>
    <m/>
    <n v="97.84"/>
    <m/>
    <n v="587.04"/>
  </r>
  <r>
    <n v="7"/>
    <x v="7"/>
    <x v="0"/>
    <n v="170608"/>
    <s v="COTSIFIS LEONARDO CRISTIAN"/>
    <s v="20-28488021-9"/>
    <d v="2016-08-08T00:00:00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n v="1091"/>
    <s v="HIPOLITO YRIGOYEN"/>
    <n v="809"/>
    <m/>
    <m/>
    <s v="CAPITAL FEDERAL"/>
    <s v="Capital Federal"/>
    <m/>
    <s v="U.O.Centro"/>
    <m/>
    <n v="2"/>
    <n v="1"/>
    <n v="19054.810000000001"/>
    <n v="3810.95"/>
    <m/>
    <m/>
    <n v="15243.86"/>
    <m/>
    <n v="381.1"/>
    <m/>
    <m/>
    <m/>
    <m/>
    <m/>
    <m/>
    <n v="190.54"/>
    <m/>
    <m/>
    <m/>
    <m/>
    <m/>
    <m/>
    <n v="381.1"/>
    <m/>
    <m/>
    <m/>
    <m/>
    <m/>
    <m/>
    <m/>
    <n v="190.54"/>
    <m/>
    <n v="1143.28"/>
  </r>
  <r>
    <n v="7"/>
    <x v="7"/>
    <x v="0"/>
    <n v="169495"/>
    <s v="CRUZ ARIEL"/>
    <s v="20-23765623-8"/>
    <d v="2016-08-08T00:00:00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2"/>
    <n v="1"/>
    <n v="13699.97"/>
    <n v="2739.99"/>
    <m/>
    <m/>
    <n v="10959.98"/>
    <m/>
    <n v="274"/>
    <m/>
    <m/>
    <m/>
    <m/>
    <m/>
    <m/>
    <n v="137"/>
    <m/>
    <m/>
    <m/>
    <m/>
    <m/>
    <m/>
    <n v="274"/>
    <m/>
    <m/>
    <m/>
    <m/>
    <m/>
    <m/>
    <m/>
    <n v="137"/>
    <m/>
    <n v="822"/>
  </r>
  <r>
    <n v="7"/>
    <x v="7"/>
    <x v="0"/>
    <n v="172089"/>
    <s v="CUESTA NICOLAS"/>
    <s v="20-36989012-4"/>
    <d v="2016-08-08T00:00:00"/>
    <n v="36989012"/>
    <s v="CUESTA"/>
    <s v="NICOLAS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BERTO EINSTEIN"/>
    <n v="1225"/>
    <m/>
    <m/>
    <s v="CAPITAL FEDERAL"/>
    <s v="Buenos Aires"/>
    <m/>
    <s v="U.O.Centro"/>
    <m/>
    <n v="2"/>
    <n v="1"/>
    <n v="3601.52"/>
    <n v="720.31"/>
    <m/>
    <m/>
    <n v="2881.21"/>
    <m/>
    <n v="72.03"/>
    <m/>
    <m/>
    <m/>
    <m/>
    <m/>
    <m/>
    <n v="36.020000000000003"/>
    <m/>
    <m/>
    <m/>
    <m/>
    <m/>
    <m/>
    <n v="72.03"/>
    <m/>
    <m/>
    <m/>
    <m/>
    <m/>
    <m/>
    <m/>
    <n v="36.020000000000003"/>
    <m/>
    <n v="216.1"/>
  </r>
  <r>
    <n v="7"/>
    <x v="7"/>
    <x v="1"/>
    <n v="173595"/>
    <s v="D´AGOSTINO MARCO ALEN"/>
    <s v="20-40547087-0"/>
    <d v="2016-08-01T00:00:00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ALLE 17"/>
    <n v="764"/>
    <m/>
    <m/>
    <s v="CAPITAL FEDERAL"/>
    <s v="Capital Federal"/>
    <m/>
    <s v="U.O.Centro Paga Inplant"/>
    <m/>
    <n v="1"/>
    <n v="1"/>
    <n v="18398.04"/>
    <n v="3679.6"/>
    <m/>
    <m/>
    <n v="14718.44"/>
    <m/>
    <n v="367.96"/>
    <m/>
    <m/>
    <m/>
    <m/>
    <m/>
    <m/>
    <n v="183.98"/>
    <m/>
    <m/>
    <m/>
    <m/>
    <m/>
    <m/>
    <n v="367.96"/>
    <m/>
    <m/>
    <m/>
    <m/>
    <m/>
    <m/>
    <m/>
    <n v="183.98"/>
    <m/>
    <n v="1103.8800000000001"/>
  </r>
  <r>
    <n v="7"/>
    <x v="7"/>
    <x v="0"/>
    <n v="175625"/>
    <s v="DANCOURT BERNUY TERRY ANDRES"/>
    <s v="20-94317177-8"/>
    <d v="2016-08-08T00:00:00"/>
    <n v="94317177"/>
    <s v="DANCOURT BERNUY"/>
    <s v="TERRY ANDRES"/>
    <s v="M"/>
    <m/>
    <d v="2016-07-14T00:00:00"/>
    <m/>
    <m/>
    <s v="GASTRONOMICOS-Hoteles 4 y 5 Estrellas - 362/2003"/>
    <s v="Categoria 3"/>
    <x v="15"/>
    <s v="Ayudante de Cocina"/>
    <s v="Centro"/>
    <s v="Tareas Generales"/>
    <n v="108803"/>
    <s v="O.S.P.Gastronomico"/>
    <s v="Capital Federal"/>
    <m/>
    <n v="1440"/>
    <s v="JUAN DE GARAY"/>
    <n v="265"/>
    <n v="2"/>
    <s v="F"/>
    <s v="CAPITAL FEDERAL"/>
    <s v="Capital Federal"/>
    <m/>
    <s v="U.O.Centro"/>
    <m/>
    <n v="2"/>
    <n v="1"/>
    <n v="7496.41"/>
    <n v="1499.29"/>
    <m/>
    <m/>
    <n v="5997.12"/>
    <m/>
    <n v="149.91999999999999"/>
    <m/>
    <m/>
    <m/>
    <m/>
    <m/>
    <m/>
    <n v="74.959999999999994"/>
    <m/>
    <m/>
    <m/>
    <m/>
    <m/>
    <m/>
    <n v="149.91999999999999"/>
    <m/>
    <m/>
    <m/>
    <m/>
    <m/>
    <m/>
    <m/>
    <n v="74.959999999999994"/>
    <m/>
    <n v="449.76"/>
  </r>
  <r>
    <n v="7"/>
    <x v="7"/>
    <x v="1"/>
    <n v="175739"/>
    <s v="DE BARY LUCIO"/>
    <s v="23-38498237-9"/>
    <d v="2016-08-08T00:00:00"/>
    <n v="38498237"/>
    <s v="DE BARY"/>
    <s v="LUCIO"/>
    <s v="M"/>
    <m/>
    <d v="2016-07-16T00:00:00"/>
    <m/>
    <m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n v="1085"/>
    <s v="SANTIAGO DEL ESTERO"/>
    <n v="1298"/>
    <m/>
    <m/>
    <s v="CAPITAL FEDERAL"/>
    <s v="Capital Federal"/>
    <m/>
    <s v="U.O.Centro"/>
    <m/>
    <n v="1"/>
    <n v="1"/>
    <n v="3488.84"/>
    <n v="697.78"/>
    <m/>
    <m/>
    <n v="2791.06"/>
    <m/>
    <n v="69.78"/>
    <m/>
    <m/>
    <m/>
    <m/>
    <m/>
    <m/>
    <n v="34.89"/>
    <m/>
    <m/>
    <m/>
    <m/>
    <m/>
    <m/>
    <n v="69.78"/>
    <m/>
    <m/>
    <m/>
    <m/>
    <m/>
    <m/>
    <m/>
    <n v="34.89"/>
    <m/>
    <n v="209.34"/>
  </r>
  <r>
    <n v="7"/>
    <x v="7"/>
    <x v="0"/>
    <n v="174566"/>
    <s v="DESAQUILAN AXEL NICOLAS"/>
    <s v="20-39665785-7"/>
    <d v="2016-08-08T00:00:00"/>
    <n v="39665785"/>
    <s v="DESAQUILAN"/>
    <s v="AXEL NICOLAS"/>
    <s v="M"/>
    <m/>
    <d v="2016-06-1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MONTEVERDE"/>
    <n v="1005"/>
    <m/>
    <m/>
    <s v="CAPITAL FEDERAL"/>
    <s v="Capital Federal"/>
    <m/>
    <s v="U.O.Centro"/>
    <m/>
    <n v="2"/>
    <n v="1"/>
    <n v="13288.87"/>
    <n v="2657.79"/>
    <m/>
    <m/>
    <n v="10631.08"/>
    <m/>
    <n v="265.77999999999997"/>
    <m/>
    <m/>
    <m/>
    <m/>
    <m/>
    <m/>
    <n v="132.88999999999999"/>
    <m/>
    <m/>
    <m/>
    <m/>
    <m/>
    <m/>
    <n v="265.77999999999997"/>
    <m/>
    <m/>
    <m/>
    <m/>
    <m/>
    <m/>
    <m/>
    <n v="132.88999999999999"/>
    <m/>
    <n v="797.34"/>
  </r>
  <r>
    <n v="7"/>
    <x v="7"/>
    <x v="0"/>
    <n v="170691"/>
    <s v="DIAZ INGRID MANUELA"/>
    <s v="27-93051595-2"/>
    <d v="2016-08-08T00:00:00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ISANEWTON"/>
    <n v="1225"/>
    <m/>
    <m/>
    <s v="CAPITAL FEDERAL"/>
    <s v="Buenos Aires"/>
    <m/>
    <s v="U.O.Centro"/>
    <m/>
    <n v="1"/>
    <n v="1"/>
    <n v="6434.52"/>
    <n v="1286.92"/>
    <m/>
    <m/>
    <n v="5147.6000000000004"/>
    <m/>
    <n v="128.69"/>
    <m/>
    <m/>
    <m/>
    <m/>
    <m/>
    <m/>
    <n v="64.349999999999994"/>
    <m/>
    <m/>
    <m/>
    <m/>
    <m/>
    <m/>
    <n v="128.69"/>
    <m/>
    <m/>
    <m/>
    <m/>
    <m/>
    <m/>
    <m/>
    <n v="64.349999999999994"/>
    <m/>
    <n v="386.08"/>
  </r>
  <r>
    <n v="7"/>
    <x v="7"/>
    <x v="0"/>
    <n v="169910"/>
    <s v="DIAZ NANCY"/>
    <s v="27-21949289-3"/>
    <d v="2016-08-08T00:00:0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1"/>
    <n v="1"/>
    <n v="5938.52"/>
    <n v="1187.72"/>
    <m/>
    <m/>
    <n v="4750.8"/>
    <m/>
    <n v="118.77"/>
    <m/>
    <m/>
    <m/>
    <m/>
    <m/>
    <m/>
    <n v="59.39"/>
    <m/>
    <m/>
    <m/>
    <m/>
    <m/>
    <m/>
    <n v="118.77"/>
    <m/>
    <m/>
    <m/>
    <m/>
    <m/>
    <m/>
    <m/>
    <n v="59.39"/>
    <m/>
    <n v="356.32"/>
  </r>
  <r>
    <n v="7"/>
    <x v="7"/>
    <x v="0"/>
    <n v="162205"/>
    <s v="DOMINGUEZ CABRERA CESAR FERNANDO"/>
    <s v="23-95304555-9"/>
    <d v="2016-08-08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2"/>
    <n v="1"/>
    <n v="7495.4"/>
    <n v="1499.07"/>
    <m/>
    <m/>
    <n v="5996.33"/>
    <m/>
    <n v="149.91"/>
    <m/>
    <m/>
    <m/>
    <m/>
    <m/>
    <m/>
    <n v="74.95"/>
    <m/>
    <m/>
    <m/>
    <m/>
    <m/>
    <m/>
    <n v="149.91"/>
    <m/>
    <m/>
    <m/>
    <m/>
    <m/>
    <m/>
    <m/>
    <n v="74.95"/>
    <m/>
    <n v="449.72"/>
  </r>
  <r>
    <n v="7"/>
    <x v="7"/>
    <x v="0"/>
    <n v="166685"/>
    <s v="DUARTE PICO EVA CLARINA"/>
    <s v="27-94661310-5"/>
    <d v="2016-08-02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3459.97"/>
    <n v="2692"/>
    <m/>
    <m/>
    <n v="10767.97"/>
    <m/>
    <n v="269.2"/>
    <m/>
    <m/>
    <m/>
    <m/>
    <m/>
    <m/>
    <n v="134.6"/>
    <m/>
    <m/>
    <m/>
    <m/>
    <m/>
    <m/>
    <n v="269.2"/>
    <m/>
    <m/>
    <m/>
    <m/>
    <m/>
    <m/>
    <m/>
    <n v="134.6"/>
    <m/>
    <n v="807.6"/>
  </r>
  <r>
    <n v="7"/>
    <x v="7"/>
    <x v="0"/>
    <n v="164241"/>
    <s v="ELISSAMBURU NICOLE"/>
    <s v="23-40563228-4"/>
    <d v="2016-08-08T00:00:00"/>
    <n v="40563228"/>
    <s v="ELISSAMBURU"/>
    <s v="NICOLE"/>
    <s v="F"/>
    <m/>
    <d v="2016-07-08T00:00:00"/>
    <d v="2016-07-08T00:00:00"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n v="1440"/>
    <s v="AV PIEDRA BUENA"/>
    <n v="265"/>
    <m/>
    <m/>
    <s v="CAPITAL FEDERAL"/>
    <s v="Capital Federal"/>
    <m/>
    <s v="U.O.Centro"/>
    <m/>
    <n v="2"/>
    <n v="1"/>
    <n v="2617.91"/>
    <n v="523.59"/>
    <m/>
    <m/>
    <n v="2094.3200000000002"/>
    <m/>
    <n v="52.36"/>
    <m/>
    <m/>
    <m/>
    <m/>
    <m/>
    <m/>
    <n v="26.18"/>
    <m/>
    <m/>
    <m/>
    <m/>
    <m/>
    <m/>
    <n v="52.36"/>
    <m/>
    <m/>
    <m/>
    <m/>
    <m/>
    <m/>
    <m/>
    <n v="26.18"/>
    <m/>
    <n v="157.08000000000001"/>
  </r>
  <r>
    <n v="7"/>
    <x v="7"/>
    <x v="0"/>
    <n v="138787"/>
    <s v="FERNANDEZ CLAUDIA"/>
    <s v="27-23472256-0"/>
    <d v="2016-08-08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8240.82"/>
    <n v="1648.16"/>
    <m/>
    <m/>
    <n v="6592.66"/>
    <m/>
    <n v="164.82"/>
    <m/>
    <m/>
    <m/>
    <m/>
    <m/>
    <m/>
    <n v="82.41"/>
    <m/>
    <m/>
    <m/>
    <m/>
    <m/>
    <m/>
    <n v="164.82"/>
    <m/>
    <m/>
    <m/>
    <m/>
    <m/>
    <m/>
    <m/>
    <n v="82.41"/>
    <m/>
    <n v="494.46"/>
  </r>
  <r>
    <n v="7"/>
    <x v="7"/>
    <x v="1"/>
    <n v="156623"/>
    <s v="FERNANDEZ JULIO CESAR"/>
    <s v="20-26020864-1"/>
    <d v="2016-08-08T00:00:00"/>
    <n v="26020864"/>
    <s v="FERNANDEZ"/>
    <s v="JULIO CESAR"/>
    <s v="M"/>
    <m/>
    <d v="2015-08-14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GODOY CRUZ"/>
    <n v="535"/>
    <m/>
    <m/>
    <s v="CAPITAL FEDERAL"/>
    <s v="Capital Federal"/>
    <m/>
    <s v="U.O.Centro Paga Inplant"/>
    <m/>
    <n v="2"/>
    <n v="1"/>
    <n v="15785.14"/>
    <n v="3235.94"/>
    <m/>
    <n v="844.44"/>
    <n v="13393.64"/>
    <n v="394.62"/>
    <m/>
    <m/>
    <m/>
    <m/>
    <m/>
    <m/>
    <m/>
    <n v="157.85"/>
    <m/>
    <m/>
    <m/>
    <m/>
    <m/>
    <m/>
    <n v="315.7"/>
    <n v="41.88"/>
    <m/>
    <m/>
    <m/>
    <m/>
    <m/>
    <m/>
    <n v="115.97"/>
    <m/>
    <n v="1026.02"/>
  </r>
  <r>
    <n v="7"/>
    <x v="7"/>
    <x v="1"/>
    <n v="170547"/>
    <s v="Ferreyra Angel Matias"/>
    <s v="20-27942786-7"/>
    <d v="2016-08-01T00:00:00"/>
    <n v="27942786"/>
    <s v="Ferreyra"/>
    <s v="Angel Matias"/>
    <s v="F"/>
    <m/>
    <d v="2016-03-22T00:00:00"/>
    <m/>
    <m/>
    <s v="GASTRONOMICOS-Hoteles 4 y 5 Estrellas - 362/2003"/>
    <s v="Categoría 4"/>
    <x v="3"/>
    <s v="Unidad Principal"/>
    <s v="Centro"/>
    <s v="Tareas Generales"/>
    <n v="111704"/>
    <s v="OS  DE ENCARGADOS APUNTADORES MARITIMOS"/>
    <s v="Capital Federal"/>
    <m/>
    <n v="1002"/>
    <s v="Mateo Churich"/>
    <n v="764"/>
    <m/>
    <m/>
    <s v="CAPITAL FEDERAL"/>
    <s v="Capital Federal"/>
    <m/>
    <s v="U.O.Centro Paga Inplant"/>
    <m/>
    <n v="1"/>
    <n v="1"/>
    <n v="14024.26"/>
    <n v="2804.86"/>
    <m/>
    <m/>
    <n v="11219.4"/>
    <m/>
    <n v="280.49"/>
    <m/>
    <m/>
    <m/>
    <m/>
    <m/>
    <m/>
    <n v="140.24"/>
    <m/>
    <m/>
    <m/>
    <m/>
    <m/>
    <m/>
    <n v="280.49"/>
    <m/>
    <m/>
    <m/>
    <m/>
    <m/>
    <m/>
    <m/>
    <n v="140.24"/>
    <m/>
    <n v="841.46"/>
  </r>
  <r>
    <n v="7"/>
    <x v="7"/>
    <x v="0"/>
    <n v="173372"/>
    <s v="FILATOVA INNA"/>
    <s v="27-18845947-7"/>
    <d v="2016-08-08T00:00:00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GUALEGUAY"/>
    <n v="1225"/>
    <m/>
    <m/>
    <s v="CAPITAL FEDERAL"/>
    <s v="Buenos Aires"/>
    <m/>
    <s v="U.O.Centro"/>
    <m/>
    <n v="2"/>
    <n v="1"/>
    <n v="6002.54"/>
    <n v="1200.51"/>
    <m/>
    <m/>
    <n v="4802.03"/>
    <m/>
    <n v="120.05"/>
    <m/>
    <m/>
    <m/>
    <m/>
    <m/>
    <m/>
    <n v="60.03"/>
    <m/>
    <m/>
    <m/>
    <m/>
    <m/>
    <m/>
    <n v="120.05"/>
    <m/>
    <m/>
    <m/>
    <m/>
    <m/>
    <m/>
    <m/>
    <n v="60.03"/>
    <m/>
    <n v="360.16"/>
  </r>
  <r>
    <n v="7"/>
    <x v="7"/>
    <x v="0"/>
    <n v="176113"/>
    <s v="FLEITAS DIEGO ALEJANDRO"/>
    <s v="20-30160228-7"/>
    <d v="2016-08-08T00:00:00"/>
    <n v="30160228"/>
    <s v="FLEITAS"/>
    <s v="DIEGO ALEJANDRO"/>
    <s v="M"/>
    <m/>
    <d v="2016-07-1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BOULERVARD"/>
    <n v="1225"/>
    <m/>
    <n v="1"/>
    <s v="CAPITAL FEDERAL"/>
    <s v="Buenos Aires"/>
    <m/>
    <s v="U.O.Centro"/>
    <m/>
    <n v="1"/>
    <n v="1"/>
    <n v="2717.68"/>
    <n v="543.53"/>
    <m/>
    <m/>
    <n v="2174.15"/>
    <m/>
    <n v="54.35"/>
    <m/>
    <m/>
    <m/>
    <m/>
    <m/>
    <m/>
    <n v="27.18"/>
    <m/>
    <m/>
    <m/>
    <m/>
    <m/>
    <m/>
    <n v="54.35"/>
    <m/>
    <m/>
    <m/>
    <m/>
    <m/>
    <m/>
    <m/>
    <n v="27.18"/>
    <m/>
    <n v="163.06"/>
  </r>
  <r>
    <n v="7"/>
    <x v="7"/>
    <x v="0"/>
    <n v="172186"/>
    <s v="GALLARDO MELINA ELIZABETH"/>
    <s v="27-38587519-9"/>
    <d v="2016-08-08T00:00:00"/>
    <n v="38587519"/>
    <s v="GALLARDO"/>
    <s v="MELINA ELIZABETH"/>
    <s v="F"/>
    <m/>
    <d v="2016-04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L CHIRIACHE"/>
    <n v="474"/>
    <m/>
    <m/>
    <s v="CAPITAL FEDERAL"/>
    <s v="Buenos Aires"/>
    <m/>
    <s v="U.O.Centro"/>
    <m/>
    <n v="1"/>
    <n v="1"/>
    <n v="6547.09"/>
    <n v="1342.15"/>
    <m/>
    <m/>
    <n v="5204.9399999999996"/>
    <n v="163.68"/>
    <m/>
    <m/>
    <m/>
    <m/>
    <m/>
    <m/>
    <m/>
    <n v="65.47"/>
    <m/>
    <m/>
    <m/>
    <m/>
    <m/>
    <m/>
    <n v="130.94"/>
    <m/>
    <m/>
    <m/>
    <m/>
    <m/>
    <m/>
    <m/>
    <n v="65.47"/>
    <m/>
    <n v="425.56"/>
  </r>
  <r>
    <n v="7"/>
    <x v="7"/>
    <x v="1"/>
    <n v="65418"/>
    <s v="GARAY ANGEL FAUSTINO"/>
    <s v="20-27725694-1"/>
    <d v="2016-08-08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15544.19"/>
    <n v="3186.56"/>
    <m/>
    <m/>
    <n v="12357.63"/>
    <n v="388.6"/>
    <m/>
    <m/>
    <m/>
    <m/>
    <m/>
    <m/>
    <m/>
    <n v="155.44"/>
    <m/>
    <m/>
    <m/>
    <m/>
    <m/>
    <m/>
    <n v="310.88"/>
    <m/>
    <m/>
    <m/>
    <m/>
    <m/>
    <m/>
    <m/>
    <n v="155.44"/>
    <m/>
    <n v="1010.36"/>
  </r>
  <r>
    <n v="7"/>
    <x v="7"/>
    <x v="0"/>
    <n v="174037"/>
    <s v="GARCIA CZUJKO ANDREA LAURA"/>
    <s v="27-93769203-5"/>
    <d v="2016-08-08T00:00:00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2"/>
    <n v="1"/>
    <n v="9419.66"/>
    <n v="1883.92"/>
    <m/>
    <m/>
    <n v="7535.74"/>
    <m/>
    <n v="188.39"/>
    <m/>
    <m/>
    <m/>
    <m/>
    <m/>
    <m/>
    <n v="94.19"/>
    <m/>
    <m/>
    <m/>
    <m/>
    <m/>
    <m/>
    <n v="188.39"/>
    <m/>
    <m/>
    <m/>
    <m/>
    <m/>
    <m/>
    <m/>
    <n v="94.19"/>
    <m/>
    <n v="565.16"/>
  </r>
  <r>
    <n v="7"/>
    <x v="7"/>
    <x v="0"/>
    <n v="171840"/>
    <s v="GERON PABLO"/>
    <s v="20-34949635-7"/>
    <d v="2016-08-08T00:00:00"/>
    <n v="34949635"/>
    <s v="GERON"/>
    <s v="PABLO"/>
    <s v="M"/>
    <m/>
    <d v="2016-04-19T00:00:00"/>
    <m/>
    <m/>
    <s v="GASTRONOMICOS-Hoteles 4 y 5 Estrellas - 362/2003"/>
    <s v="Categoria 1"/>
    <x v="1"/>
    <s v="Cocina"/>
    <s v="Centro"/>
    <s v="Tareas Generales"/>
    <n v="108803"/>
    <s v="O.S.P.Gastronomico"/>
    <s v="Capital Federal"/>
    <m/>
    <n v="1005"/>
    <s v="EL ARREO"/>
    <n v="1005"/>
    <m/>
    <m/>
    <s v="CAPITAL FEDERAL"/>
    <s v="Capital Federal"/>
    <m/>
    <s v="U.O.Centro"/>
    <m/>
    <n v="4"/>
    <n v="1"/>
    <n v="5136.4399999999996"/>
    <n v="1027.29"/>
    <m/>
    <m/>
    <n v="4109.1499999999996"/>
    <m/>
    <n v="102.73"/>
    <m/>
    <m/>
    <m/>
    <m/>
    <m/>
    <m/>
    <n v="51.37"/>
    <m/>
    <m/>
    <m/>
    <m/>
    <m/>
    <m/>
    <n v="102.73"/>
    <m/>
    <m/>
    <m/>
    <m/>
    <m/>
    <m/>
    <m/>
    <n v="51.37"/>
    <m/>
    <n v="308.2"/>
  </r>
  <r>
    <n v="7"/>
    <x v="7"/>
    <x v="0"/>
    <n v="175142"/>
    <s v="GODOY MARIA VALERIA"/>
    <s v="27-34006381-9"/>
    <d v="2016-08-02T00:00:00"/>
    <n v="34006381"/>
    <s v="GODOY"/>
    <s v="MARIA VALERIA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BARTOLOME MITRE"/>
    <n v="1334"/>
    <s v="9º"/>
    <s v="E"/>
    <s v="CAPITAL FEDERAL"/>
    <s v="Capital Federal"/>
    <m/>
    <s v="U.O.Centro"/>
    <m/>
    <n v="1"/>
    <n v="1"/>
    <n v="8945.9599999999991"/>
    <n v="1789.2"/>
    <m/>
    <m/>
    <n v="7156.76"/>
    <m/>
    <n v="178.92"/>
    <m/>
    <m/>
    <m/>
    <m/>
    <m/>
    <m/>
    <n v="89.46"/>
    <m/>
    <m/>
    <m/>
    <m/>
    <m/>
    <m/>
    <n v="178.92"/>
    <m/>
    <m/>
    <m/>
    <m/>
    <m/>
    <m/>
    <m/>
    <n v="89.46"/>
    <m/>
    <n v="536.76"/>
  </r>
  <r>
    <n v="7"/>
    <x v="7"/>
    <x v="1"/>
    <n v="164986"/>
    <s v="GOMEZ MIGUEL ANGEL"/>
    <s v="20-40687394-4"/>
    <d v="2016-08-08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1"/>
    <n v="1"/>
    <n v="14081.82"/>
    <n v="2886.77"/>
    <m/>
    <m/>
    <n v="11195.05"/>
    <n v="352.05"/>
    <m/>
    <m/>
    <m/>
    <m/>
    <m/>
    <m/>
    <m/>
    <n v="140.82"/>
    <m/>
    <m/>
    <m/>
    <m/>
    <m/>
    <m/>
    <n v="281.64"/>
    <m/>
    <m/>
    <m/>
    <m/>
    <m/>
    <m/>
    <m/>
    <n v="140.82"/>
    <m/>
    <n v="915.33"/>
  </r>
  <r>
    <n v="7"/>
    <x v="7"/>
    <x v="0"/>
    <n v="176034"/>
    <s v="GONZALES ARANDA RODRIGO OMAR"/>
    <s v="20-92594717-3"/>
    <d v="2016-08-08T00:00:00"/>
    <n v="92594717"/>
    <s v="GONZALES ARANDA"/>
    <s v="RODRIGO OMAR"/>
    <s v="M"/>
    <m/>
    <d v="2016-07-17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SOLDADO DE LA INDEPENDENCIA"/>
    <n v="1225"/>
    <m/>
    <m/>
    <s v="CAPITAL FEDERAL"/>
    <s v="Buenos Aires"/>
    <m/>
    <s v="U.O.Centro"/>
    <m/>
    <n v="1"/>
    <n v="1"/>
    <n v="1504.13"/>
    <n v="300.81"/>
    <m/>
    <m/>
    <n v="1203.32"/>
    <m/>
    <n v="30.08"/>
    <m/>
    <m/>
    <m/>
    <m/>
    <m/>
    <m/>
    <n v="15.04"/>
    <m/>
    <m/>
    <m/>
    <m/>
    <m/>
    <m/>
    <n v="30.08"/>
    <m/>
    <m/>
    <m/>
    <m/>
    <m/>
    <m/>
    <m/>
    <n v="15.04"/>
    <m/>
    <n v="90.24"/>
  </r>
  <r>
    <n v="7"/>
    <x v="7"/>
    <x v="1"/>
    <n v="173612"/>
    <s v="GONZALEZ CRISTINA ALEJANDRA GRACIELA"/>
    <s v="27-17598323-1"/>
    <d v="2016-08-08T00:00:00"/>
    <n v="17598323"/>
    <s v="GONZALEZ"/>
    <s v="CRISTINA ALEJANDRA GRACIELA"/>
    <s v="F"/>
    <m/>
    <d v="2016-05-28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ALVARADO"/>
    <n v="1891"/>
    <m/>
    <m/>
    <s v="CAPITAL FEDERAL"/>
    <s v="Capital Federal"/>
    <m/>
    <s v="U.O.Centro"/>
    <s v="Alvear Palace"/>
    <n v="1"/>
    <n v="1"/>
    <n v="797.29"/>
    <n v="159.46"/>
    <m/>
    <m/>
    <n v="637.83000000000004"/>
    <m/>
    <n v="15.95"/>
    <m/>
    <m/>
    <m/>
    <m/>
    <m/>
    <m/>
    <n v="7.97"/>
    <m/>
    <m/>
    <m/>
    <m/>
    <m/>
    <m/>
    <n v="15.95"/>
    <m/>
    <m/>
    <m/>
    <m/>
    <m/>
    <m/>
    <m/>
    <n v="7.97"/>
    <m/>
    <n v="47.84"/>
  </r>
  <r>
    <n v="7"/>
    <x v="7"/>
    <x v="0"/>
    <n v="48107"/>
    <s v="GONZALEZ KARINA ELIZABETH"/>
    <s v="27-23467821-9"/>
    <d v="2016-08-08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1"/>
    <n v="1"/>
    <n v="6742.48"/>
    <n v="1348.48"/>
    <m/>
    <m/>
    <n v="5394"/>
    <m/>
    <n v="134.85"/>
    <m/>
    <m/>
    <m/>
    <m/>
    <m/>
    <m/>
    <n v="67.42"/>
    <m/>
    <m/>
    <m/>
    <m/>
    <m/>
    <m/>
    <n v="134.85"/>
    <m/>
    <m/>
    <m/>
    <m/>
    <m/>
    <m/>
    <m/>
    <n v="67.42"/>
    <m/>
    <n v="404.54"/>
  </r>
  <r>
    <n v="7"/>
    <x v="7"/>
    <x v="0"/>
    <n v="164221"/>
    <s v="GONZALEZ MARIA LUJAN"/>
    <s v="27-36902344-1"/>
    <d v="2016-08-08T00:00:00"/>
    <n v="36902344"/>
    <s v="GONZALEZ"/>
    <s v="MARIA LUJA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ODRIGUEZ FLORES"/>
    <n v="1225"/>
    <m/>
    <m/>
    <s v="CAPITAL FEDERAL"/>
    <s v="Buenos Aires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7"/>
    <x v="7"/>
    <x v="1"/>
    <n v="164224"/>
    <s v="GONZALEZ SALOME NATALIA"/>
    <s v="27-35111714-7"/>
    <d v="2016-08-08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5741.74"/>
    <n v="1148.3399999999999"/>
    <m/>
    <m/>
    <n v="4593.3999999999996"/>
    <m/>
    <n v="114.83"/>
    <m/>
    <m/>
    <m/>
    <m/>
    <m/>
    <m/>
    <n v="57.42"/>
    <m/>
    <m/>
    <m/>
    <m/>
    <m/>
    <m/>
    <n v="114.83"/>
    <m/>
    <m/>
    <m/>
    <m/>
    <m/>
    <m/>
    <m/>
    <n v="57.42"/>
    <m/>
    <n v="344.5"/>
  </r>
  <r>
    <n v="7"/>
    <x v="7"/>
    <x v="1"/>
    <n v="136459"/>
    <s v="GONZALEZ VICTOR HUGO"/>
    <s v="20-37376573-3"/>
    <d v="2016-08-08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1"/>
    <n v="1"/>
    <n v="16411.55"/>
    <n v="3282.32"/>
    <m/>
    <m/>
    <n v="13129.23"/>
    <m/>
    <n v="328.23"/>
    <m/>
    <m/>
    <m/>
    <m/>
    <m/>
    <m/>
    <n v="164.12"/>
    <m/>
    <m/>
    <m/>
    <m/>
    <m/>
    <m/>
    <n v="328.23"/>
    <m/>
    <m/>
    <m/>
    <m/>
    <m/>
    <m/>
    <m/>
    <n v="164.12"/>
    <m/>
    <n v="984.7"/>
  </r>
  <r>
    <n v="7"/>
    <x v="7"/>
    <x v="1"/>
    <n v="160168"/>
    <s v="GOROSITO ORNELLA CECILIA"/>
    <s v="27-32738641-2"/>
    <d v="2016-08-01T00:00:00"/>
    <n v="32738641"/>
    <s v="GOROSITO"/>
    <s v="ORNELLA CECILIA"/>
    <s v="F"/>
    <m/>
    <d v="2016-01-05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J V GONZALEZ"/>
    <n v="764"/>
    <m/>
    <m/>
    <s v="CAPITAL FEDERAL"/>
    <s v="Capital Federal"/>
    <m/>
    <s v="U.O.Centro Paga Inplant"/>
    <m/>
    <n v="1"/>
    <n v="1"/>
    <n v="979.05"/>
    <n v="195.81"/>
    <m/>
    <m/>
    <n v="783.24"/>
    <m/>
    <n v="19.579999999999998"/>
    <m/>
    <m/>
    <m/>
    <m/>
    <m/>
    <m/>
    <n v="9.7899999999999991"/>
    <m/>
    <m/>
    <m/>
    <m/>
    <m/>
    <m/>
    <n v="19.579999999999998"/>
    <m/>
    <m/>
    <m/>
    <m/>
    <m/>
    <m/>
    <m/>
    <n v="9.7899999999999991"/>
    <m/>
    <n v="58.74"/>
  </r>
  <r>
    <n v="7"/>
    <x v="7"/>
    <x v="0"/>
    <n v="176115"/>
    <s v="GUAYMAS NORMA DEL CARMEN"/>
    <s v="27-28633921-8"/>
    <d v="2016-08-08T00:00:00"/>
    <n v="28633921"/>
    <s v="GUAYMAS"/>
    <s v="NORMA DEL CARMEN"/>
    <s v="F"/>
    <m/>
    <d v="2016-07-16T00:00:00"/>
    <d v="2016-07-28T00:00:00"/>
    <d v="2016-07-28T00:00:00"/>
    <s v="GASTRONOMICOS-Hoteles 4 y 5 Estrellas - 362/2003"/>
    <s v="Categoría 4"/>
    <x v="5"/>
    <s v="Mucamas - GL"/>
    <s v="Centro"/>
    <s v="Mucama"/>
    <n v="122104"/>
    <s v="OS  DE VIAJANTES VENDEDORES DE LA REPUBLICA ARGENTINA"/>
    <s v="Capital Federal"/>
    <m/>
    <n v="1104"/>
    <s v="PASCO"/>
    <n v="1225"/>
    <n v="3"/>
    <s v="B"/>
    <s v="CAPITAL FEDERAL"/>
    <s v="Buenos Aires"/>
    <m/>
    <s v="U.O.Centro"/>
    <m/>
    <n v="1"/>
    <n v="1"/>
    <n v="1087.06"/>
    <n v="217.41"/>
    <m/>
    <m/>
    <n v="869.65"/>
    <m/>
    <n v="21.74"/>
    <m/>
    <m/>
    <m/>
    <m/>
    <m/>
    <m/>
    <n v="10.87"/>
    <m/>
    <m/>
    <m/>
    <m/>
    <m/>
    <m/>
    <n v="21.74"/>
    <m/>
    <m/>
    <m/>
    <m/>
    <m/>
    <m/>
    <m/>
    <n v="10.87"/>
    <m/>
    <n v="65.22"/>
  </r>
  <r>
    <n v="7"/>
    <x v="7"/>
    <x v="1"/>
    <n v="77136"/>
    <s v="HAURET BELTRAN"/>
    <s v="20-31675095-9"/>
    <d v="2016-08-08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1"/>
    <n v="1"/>
    <n v="17705.68"/>
    <n v="3541.13"/>
    <m/>
    <m/>
    <n v="14164.55"/>
    <m/>
    <n v="354.11"/>
    <m/>
    <m/>
    <m/>
    <m/>
    <m/>
    <m/>
    <n v="177.06"/>
    <m/>
    <m/>
    <m/>
    <m/>
    <m/>
    <m/>
    <n v="354.11"/>
    <m/>
    <m/>
    <m/>
    <m/>
    <m/>
    <m/>
    <m/>
    <n v="177.06"/>
    <m/>
    <n v="1062.3399999999999"/>
  </r>
  <r>
    <n v="7"/>
    <x v="7"/>
    <x v="0"/>
    <n v="170479"/>
    <s v="HERMOSILLA LUIS CARLOS"/>
    <s v="20-93896751-3"/>
    <d v="2016-07-21T00:00:00"/>
    <n v="93896751"/>
    <s v="HERMOSILLA"/>
    <s v="LUIS CARLOS"/>
    <s v="M"/>
    <m/>
    <d v="2016-03-1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ESTEBAN BONORINO"/>
    <n v="1225"/>
    <s v="2C"/>
    <m/>
    <s v="CAPITAL FEDERAL"/>
    <s v="Buenos Aires"/>
    <m/>
    <s v="U.O.Centro"/>
    <m/>
    <n v="1"/>
    <n v="1"/>
    <n v="1313.28"/>
    <n v="262.66000000000003"/>
    <m/>
    <m/>
    <n v="1050.6199999999999"/>
    <m/>
    <n v="26.27"/>
    <m/>
    <m/>
    <m/>
    <m/>
    <m/>
    <m/>
    <n v="13.13"/>
    <m/>
    <m/>
    <m/>
    <m/>
    <m/>
    <m/>
    <n v="26.27"/>
    <m/>
    <m/>
    <m/>
    <m/>
    <m/>
    <m/>
    <m/>
    <n v="13.13"/>
    <m/>
    <n v="78.8"/>
  </r>
  <r>
    <n v="7"/>
    <x v="7"/>
    <x v="0"/>
    <n v="170316"/>
    <s v="HERNÁNDEZ LÓPEZ KEVIN FELIPE"/>
    <s v="20-95292340-5"/>
    <d v="2016-08-08T00:00:00"/>
    <n v="95292340"/>
    <s v="HERNÁNDEZ LÓPEZ"/>
    <s v="KEVIN FELIPE"/>
    <s v="M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 HAYA 3977, CAPITAL FEDERAL"/>
    <n v="1225"/>
    <m/>
    <m/>
    <s v="CAPITAL FEDERAL"/>
    <s v="Buenos Aires"/>
    <m/>
    <s v="U.O.Centro"/>
    <m/>
    <n v="2"/>
    <n v="1"/>
    <n v="3601.52"/>
    <n v="720.31"/>
    <m/>
    <m/>
    <n v="2881.21"/>
    <m/>
    <n v="72.03"/>
    <m/>
    <m/>
    <m/>
    <m/>
    <m/>
    <m/>
    <n v="36.020000000000003"/>
    <m/>
    <m/>
    <m/>
    <m/>
    <m/>
    <m/>
    <n v="72.03"/>
    <m/>
    <m/>
    <m/>
    <m/>
    <m/>
    <m/>
    <m/>
    <n v="36.020000000000003"/>
    <m/>
    <n v="216.1"/>
  </r>
  <r>
    <n v="7"/>
    <x v="7"/>
    <x v="1"/>
    <n v="171895"/>
    <s v="IBARRA LUISINA YASMIN"/>
    <s v="27-37039024-5"/>
    <d v="2016-08-01T00:00:00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LUMERIZZO"/>
    <n v="764"/>
    <m/>
    <m/>
    <s v="CAPITAL FEDERAL"/>
    <s v="Capital Federal"/>
    <m/>
    <s v="U.O.Centro Paga Inplant"/>
    <m/>
    <n v="1"/>
    <n v="1"/>
    <n v="9413.42"/>
    <n v="1882.68"/>
    <m/>
    <m/>
    <n v="7530.74"/>
    <m/>
    <n v="188.27"/>
    <m/>
    <m/>
    <m/>
    <m/>
    <m/>
    <m/>
    <n v="94.13"/>
    <m/>
    <m/>
    <m/>
    <m/>
    <m/>
    <m/>
    <n v="188.27"/>
    <m/>
    <m/>
    <m/>
    <m/>
    <m/>
    <m/>
    <m/>
    <n v="94.13"/>
    <m/>
    <n v="564.79999999999995"/>
  </r>
  <r>
    <n v="7"/>
    <x v="7"/>
    <x v="0"/>
    <n v="174567"/>
    <s v="IERINO MARIA FIORELLA"/>
    <s v="27-40229790-0"/>
    <d v="2016-08-08T00:00:00"/>
    <n v="40229790"/>
    <s v="IERINO"/>
    <s v="MARIA FIORELLA"/>
    <s v="F"/>
    <m/>
    <d v="2016-06-18T00:00:00"/>
    <d v="2016-07-24T00:00:00"/>
    <d v="2016-07-24T00:00:00"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MORENO"/>
    <n v="1005"/>
    <n v="3"/>
    <s v="A"/>
    <s v="CAPITAL FEDERAL"/>
    <s v="Capital Federal"/>
    <m/>
    <s v="U.O.Centro"/>
    <m/>
    <n v="2"/>
    <n v="1"/>
    <n v="3555.45"/>
    <n v="711.09"/>
    <m/>
    <m/>
    <n v="2844.36"/>
    <m/>
    <n v="71.11"/>
    <m/>
    <m/>
    <m/>
    <m/>
    <m/>
    <m/>
    <n v="35.56"/>
    <m/>
    <m/>
    <m/>
    <m/>
    <m/>
    <m/>
    <n v="71.11"/>
    <m/>
    <m/>
    <m/>
    <m/>
    <m/>
    <m/>
    <m/>
    <n v="35.56"/>
    <m/>
    <n v="213.34"/>
  </r>
  <r>
    <n v="7"/>
    <x v="7"/>
    <x v="0"/>
    <n v="155922"/>
    <s v="JANNON LUIS AUGUSTO"/>
    <s v="20-32336089-9"/>
    <d v="2016-08-08T00:00:00"/>
    <n v="32336089"/>
    <s v="JANNON"/>
    <s v="LUIS AUGUSTO"/>
    <s v="M"/>
    <m/>
    <d v="2016-02-0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2"/>
    <n v="1"/>
    <n v="7312.82"/>
    <n v="1462.55"/>
    <m/>
    <m/>
    <n v="5850.27"/>
    <m/>
    <n v="146.26"/>
    <m/>
    <m/>
    <m/>
    <m/>
    <m/>
    <m/>
    <n v="73.12"/>
    <m/>
    <m/>
    <m/>
    <m/>
    <m/>
    <m/>
    <n v="146.26"/>
    <m/>
    <m/>
    <m/>
    <m/>
    <m/>
    <m/>
    <m/>
    <n v="73.12"/>
    <m/>
    <n v="438.76"/>
  </r>
  <r>
    <n v="7"/>
    <x v="7"/>
    <x v="0"/>
    <n v="168403"/>
    <s v="JUAREZ LILIANA MARCELA"/>
    <s v="27-23887293-1"/>
    <d v="2016-08-02T00:00:00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Tareas Generales"/>
    <n v="108803"/>
    <s v="O.S.P.Gastronomico"/>
    <s v="Capital Federal"/>
    <m/>
    <n v="1089"/>
    <s v="LA RIOJA"/>
    <n v="841"/>
    <m/>
    <m/>
    <s v="CAPITAL FEDERAL"/>
    <s v="Buenos Aires"/>
    <m/>
    <s v="U.O.Centro"/>
    <m/>
    <n v="1"/>
    <n v="1"/>
    <n v="13090.64"/>
    <n v="2618.13"/>
    <m/>
    <m/>
    <n v="10472.51"/>
    <m/>
    <n v="261.81"/>
    <m/>
    <m/>
    <m/>
    <m/>
    <m/>
    <m/>
    <n v="130.91"/>
    <m/>
    <m/>
    <m/>
    <m/>
    <m/>
    <m/>
    <n v="261.81"/>
    <m/>
    <m/>
    <m/>
    <m/>
    <m/>
    <m/>
    <m/>
    <n v="130.91"/>
    <m/>
    <n v="785.44"/>
  </r>
  <r>
    <n v="7"/>
    <x v="7"/>
    <x v="0"/>
    <n v="172052"/>
    <s v="KUMANI CINTHIA"/>
    <s v="27-36821956-3"/>
    <d v="2016-08-08T00:00:00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N LUIS"/>
    <n v="1225"/>
    <m/>
    <m/>
    <s v="CAPITAL FEDERAL"/>
    <s v="Buenos Aires"/>
    <m/>
    <s v="U.O.Centro"/>
    <m/>
    <n v="2"/>
    <n v="1"/>
    <n v="8003.39"/>
    <n v="1600.7"/>
    <m/>
    <m/>
    <n v="6402.69"/>
    <m/>
    <n v="160.07"/>
    <m/>
    <m/>
    <m/>
    <m/>
    <m/>
    <m/>
    <n v="80.040000000000006"/>
    <m/>
    <m/>
    <m/>
    <m/>
    <m/>
    <m/>
    <n v="160.07"/>
    <m/>
    <m/>
    <m/>
    <m/>
    <m/>
    <m/>
    <m/>
    <n v="80.040000000000006"/>
    <m/>
    <n v="480.22"/>
  </r>
  <r>
    <n v="7"/>
    <x v="7"/>
    <x v="0"/>
    <n v="175473"/>
    <s v="LAVALLE JULIETA ALEJANDRA"/>
    <s v="27-37823861-2"/>
    <d v="2016-07-21T00:00:00"/>
    <n v="37823861"/>
    <s v="LAVALLE"/>
    <s v="JULIETA ALEJANDRA"/>
    <s v="F"/>
    <m/>
    <d v="2016-07-09T00:00:00"/>
    <m/>
    <m/>
    <s v="GASTRONOMICOS-Hoteles 4 y 5 Estrellas - 362/2003"/>
    <s v="Categoria 6"/>
    <x v="1"/>
    <s v="BANQUETES"/>
    <s v="Centro"/>
    <s v="Recepcionista"/>
    <n v="108803"/>
    <s v="O.S.P.Gastronomico"/>
    <s v="Capital Federal"/>
    <m/>
    <n v="1005"/>
    <s v="AV. SAN JUAN"/>
    <n v="1005"/>
    <n v="1"/>
    <s v="A"/>
    <s v="CAPITAL FEDERAL"/>
    <s v="Capital Federal"/>
    <m/>
    <s v="U.O.Centro"/>
    <m/>
    <n v="1"/>
    <n v="1"/>
    <n v="874.23"/>
    <n v="174.85"/>
    <m/>
    <m/>
    <n v="699.38"/>
    <m/>
    <n v="17.48"/>
    <m/>
    <m/>
    <m/>
    <m/>
    <m/>
    <m/>
    <n v="8.74"/>
    <m/>
    <m/>
    <m/>
    <m/>
    <m/>
    <m/>
    <n v="17.48"/>
    <m/>
    <m/>
    <m/>
    <m/>
    <m/>
    <m/>
    <m/>
    <n v="8.74"/>
    <m/>
    <n v="52.44"/>
  </r>
  <r>
    <n v="7"/>
    <x v="7"/>
    <x v="0"/>
    <n v="173371"/>
    <s v="LEON MONROY MARIA FERNANDA"/>
    <s v="27-95365560-3"/>
    <d v="2016-07-21T00:00:00"/>
    <n v="95365560"/>
    <s v="LEON MONROY"/>
    <s v="MARIA FERNANDA"/>
    <s v="F"/>
    <m/>
    <d v="2016-05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PIEDRAS"/>
    <n v="1225"/>
    <n v="1"/>
    <s v="D"/>
    <s v="CAPITAL FEDERAL"/>
    <s v="Buenos Aires"/>
    <m/>
    <s v="U.O.Centro"/>
    <m/>
    <n v="1"/>
    <n v="1"/>
    <n v="4348.29"/>
    <n v="869.66"/>
    <m/>
    <m/>
    <n v="3478.63"/>
    <m/>
    <n v="86.97"/>
    <m/>
    <m/>
    <m/>
    <m/>
    <m/>
    <m/>
    <n v="43.48"/>
    <m/>
    <m/>
    <m/>
    <m/>
    <m/>
    <m/>
    <n v="86.97"/>
    <m/>
    <m/>
    <m/>
    <m/>
    <m/>
    <m/>
    <m/>
    <n v="43.48"/>
    <m/>
    <n v="260.89999999999998"/>
  </r>
  <r>
    <n v="7"/>
    <x v="7"/>
    <x v="0"/>
    <n v="175088"/>
    <s v="LIET LEANDRO EMANUEL"/>
    <s v="20-37280869-2"/>
    <d v="2016-08-08T00:00:00"/>
    <n v="37280869"/>
    <s v="LIET"/>
    <s v="LEANDRO EMANUEL"/>
    <s v="M"/>
    <m/>
    <d v="2016-07-01T00:00:00"/>
    <m/>
    <m/>
    <s v="GASTRONOMICOS-Hoteles 4 y 5 Estrellas - 362/2003"/>
    <s v="Categoría 4"/>
    <x v="5"/>
    <s v="Mucamas - GL"/>
    <s v="Centro"/>
    <s v="Mucama"/>
    <n v="125905"/>
    <s v="OS  ARBITROS DEPORTIVOS DE LA REPUBLICA ARGENTINA"/>
    <s v="Capital Federal"/>
    <m/>
    <n v="1104"/>
    <n v="158"/>
    <n v="1225"/>
    <m/>
    <m/>
    <s v="CAPITAL FEDERAL"/>
    <s v="Buenos Aires"/>
    <m/>
    <s v="U.O.Centro"/>
    <m/>
    <n v="2"/>
    <n v="1"/>
    <n v="5171.83"/>
    <n v="1034.3499999999999"/>
    <m/>
    <m/>
    <n v="4137.4799999999996"/>
    <m/>
    <n v="103.43"/>
    <m/>
    <m/>
    <m/>
    <m/>
    <m/>
    <m/>
    <n v="51.72"/>
    <m/>
    <m/>
    <m/>
    <m/>
    <m/>
    <m/>
    <n v="103.43"/>
    <m/>
    <m/>
    <m/>
    <m/>
    <m/>
    <m/>
    <m/>
    <n v="51.72"/>
    <m/>
    <n v="310.3"/>
  </r>
  <r>
    <n v="7"/>
    <x v="7"/>
    <x v="0"/>
    <n v="170301"/>
    <s v="LIRA ELIANA EDITH"/>
    <s v="27-27473307-7"/>
    <d v="2016-08-08T00:00:00"/>
    <n v="27473307"/>
    <s v="LIRA"/>
    <s v="ELIANA EDITH"/>
    <s v="F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RONEL MAGAN"/>
    <n v="1225"/>
    <m/>
    <m/>
    <s v="CAPITAL FEDERAL"/>
    <s v="Buenos Aires"/>
    <m/>
    <s v="U.O.Centro"/>
    <m/>
    <n v="1"/>
    <n v="1"/>
    <n v="1600.68"/>
    <n v="320.13"/>
    <m/>
    <m/>
    <n v="1280.55"/>
    <m/>
    <n v="32.01"/>
    <m/>
    <m/>
    <m/>
    <m/>
    <m/>
    <m/>
    <n v="16.010000000000002"/>
    <m/>
    <m/>
    <m/>
    <m/>
    <m/>
    <m/>
    <n v="32.01"/>
    <m/>
    <m/>
    <m/>
    <m/>
    <m/>
    <m/>
    <m/>
    <n v="16.010000000000002"/>
    <m/>
    <n v="96.04"/>
  </r>
  <r>
    <n v="7"/>
    <x v="7"/>
    <x v="1"/>
    <n v="170264"/>
    <s v="LIZARRAGA ARIEL HERNAN"/>
    <s v="20-30593212-5"/>
    <d v="2016-08-08T00:00:00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martinto"/>
    <n v="1891"/>
    <m/>
    <m/>
    <s v="CAPITAL FEDERAL"/>
    <s v="Capital Federal"/>
    <m/>
    <s v="U.O.Centro"/>
    <s v="Alvear Palace"/>
    <n v="1"/>
    <n v="1"/>
    <n v="3116.7"/>
    <n v="623.34"/>
    <m/>
    <m/>
    <n v="2493.36"/>
    <m/>
    <n v="62.33"/>
    <m/>
    <m/>
    <m/>
    <m/>
    <m/>
    <m/>
    <n v="31.17"/>
    <m/>
    <m/>
    <m/>
    <m/>
    <m/>
    <m/>
    <n v="62.33"/>
    <m/>
    <m/>
    <m/>
    <m/>
    <m/>
    <m/>
    <m/>
    <n v="31.17"/>
    <m/>
    <n v="187"/>
  </r>
  <r>
    <n v="7"/>
    <x v="7"/>
    <x v="0"/>
    <n v="164880"/>
    <s v="LOPEZ DIORIO RODRIGO NAHUEL"/>
    <s v="20-38066576-0"/>
    <d v="2016-08-08T00:00:00"/>
    <n v="38066576"/>
    <s v="LOPEZ DIORIO"/>
    <s v="RODRIGO NAHUEL"/>
    <s v="M"/>
    <m/>
    <d v="2016-07-18T00:00:00"/>
    <d v="2016-07-21T00:00:00"/>
    <m/>
    <s v="GASTRONOMICOS-Hoteles 4 y 5 Estrellas - 362/2003"/>
    <s v="Categoria 1"/>
    <x v="3"/>
    <s v="Unidad Principal"/>
    <s v="Centro"/>
    <s v="Bachero"/>
    <n v="108803"/>
    <s v="O.S.P.Gastronomico"/>
    <s v="Capital Federal"/>
    <m/>
    <n v="1002"/>
    <n v="156"/>
    <n v="764"/>
    <m/>
    <m/>
    <s v="CAPITAL FEDERAL"/>
    <s v="Capital Federal"/>
    <m/>
    <s v="U.O.Centro"/>
    <m/>
    <n v="2"/>
    <n v="1"/>
    <n v="1160.19"/>
    <n v="582.04"/>
    <m/>
    <n v="4043.52"/>
    <n v="4621.67"/>
    <m/>
    <n v="23.2"/>
    <m/>
    <m/>
    <m/>
    <m/>
    <m/>
    <m/>
    <n v="11.6"/>
    <m/>
    <m/>
    <m/>
    <m/>
    <m/>
    <m/>
    <n v="23.2"/>
    <m/>
    <m/>
    <m/>
    <m/>
    <m/>
    <m/>
    <m/>
    <n v="11.6"/>
    <m/>
    <n v="69.599999999999994"/>
  </r>
  <r>
    <n v="7"/>
    <x v="7"/>
    <x v="0"/>
    <n v="169947"/>
    <s v="LOPEZ ROMERO NESTOR DAMIAN"/>
    <s v="20-94770741-9"/>
    <d v="2016-08-08T00:00:0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RIO IGUAZU"/>
    <n v="1225"/>
    <m/>
    <m/>
    <s v="CAPITAL FEDERAL"/>
    <s v="Buenos Aires"/>
    <m/>
    <s v="U.O.Centro"/>
    <m/>
    <n v="2"/>
    <n v="1"/>
    <n v="8523.39"/>
    <n v="1704.68"/>
    <m/>
    <m/>
    <n v="6818.71"/>
    <m/>
    <n v="170.47"/>
    <m/>
    <m/>
    <m/>
    <m/>
    <m/>
    <m/>
    <n v="85.24"/>
    <m/>
    <m/>
    <m/>
    <m/>
    <m/>
    <m/>
    <n v="170.47"/>
    <m/>
    <m/>
    <m/>
    <m/>
    <m/>
    <m/>
    <m/>
    <n v="85.24"/>
    <m/>
    <n v="511.42"/>
  </r>
  <r>
    <n v="7"/>
    <x v="7"/>
    <x v="1"/>
    <n v="147835"/>
    <s v="LUQUE JAVIER ANTONIO"/>
    <s v="20-37023577-6"/>
    <d v="2016-08-08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1"/>
    <n v="1"/>
    <n v="12588.58"/>
    <n v="2517.7199999999998"/>
    <m/>
    <m/>
    <n v="10070.86"/>
    <m/>
    <n v="251.77"/>
    <m/>
    <m/>
    <m/>
    <m/>
    <m/>
    <m/>
    <n v="125.89"/>
    <m/>
    <m/>
    <m/>
    <m/>
    <m/>
    <m/>
    <n v="251.77"/>
    <m/>
    <m/>
    <m/>
    <m/>
    <m/>
    <m/>
    <m/>
    <n v="125.89"/>
    <m/>
    <n v="755.32"/>
  </r>
  <r>
    <n v="7"/>
    <x v="7"/>
    <x v="1"/>
    <n v="172051"/>
    <s v="MACIEL DIEGO MAXIMILIANO"/>
    <s v="20-37179030-7"/>
    <d v="2016-08-08T00:00:00"/>
    <n v="37179030"/>
    <s v="MACIEL"/>
    <s v="DIEGO MAXIMILIANO"/>
    <s v="M"/>
    <m/>
    <d v="2016-04-2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s v="CARLOS PELLEGRINI"/>
    <n v="507"/>
    <m/>
    <m/>
    <s v="CAPITAL FEDERAL"/>
    <s v="Capital Federal"/>
    <m/>
    <s v="U.O.Centro Paga Inplant"/>
    <m/>
    <n v="1"/>
    <n v="1"/>
    <n v="10474.620000000001"/>
    <n v="2094.9299999999998"/>
    <m/>
    <m/>
    <n v="8379.69"/>
    <m/>
    <n v="209.49"/>
    <m/>
    <m/>
    <m/>
    <m/>
    <m/>
    <m/>
    <n v="104.75"/>
    <m/>
    <m/>
    <m/>
    <m/>
    <m/>
    <m/>
    <n v="209.49"/>
    <m/>
    <m/>
    <m/>
    <m/>
    <m/>
    <m/>
    <m/>
    <n v="104.75"/>
    <m/>
    <n v="628.48"/>
  </r>
  <r>
    <n v="7"/>
    <x v="7"/>
    <x v="1"/>
    <n v="175505"/>
    <s v="MACIEL INES ADRIANA"/>
    <s v="27-31983979-3"/>
    <d v="2016-08-01T00:00:00"/>
    <n v="31983979"/>
    <s v="MACIEL"/>
    <s v="INES ADRIANA"/>
    <s v="F"/>
    <m/>
    <d v="2016-07-12T00:00:00"/>
    <m/>
    <m/>
    <s v="GASTRONOMICOS-Hoteles 4 y 5 Estrellas - 362/2003"/>
    <s v="Categoría 4"/>
    <x v="3"/>
    <s v="Unidad Principal"/>
    <s v="Centro"/>
    <s v="Mucama"/>
    <n v="121705"/>
    <s v="OS  DEL PERSONAL DE LA ACTIVIDAD DEL TURF"/>
    <s v="Capital Federal"/>
    <m/>
    <n v="1002"/>
    <s v="LUNA"/>
    <n v="764"/>
    <m/>
    <m/>
    <s v="CAPITAL FEDERAL"/>
    <s v="Capital Federal"/>
    <m/>
    <s v="U.O.Centro"/>
    <m/>
    <n v="1"/>
    <n v="1"/>
    <n v="4500.29"/>
    <n v="900.06"/>
    <m/>
    <m/>
    <n v="3600.23"/>
    <m/>
    <n v="90.01"/>
    <m/>
    <m/>
    <m/>
    <m/>
    <m/>
    <m/>
    <n v="45"/>
    <m/>
    <m/>
    <m/>
    <m/>
    <m/>
    <m/>
    <n v="90.01"/>
    <m/>
    <m/>
    <m/>
    <m/>
    <m/>
    <m/>
    <m/>
    <n v="45"/>
    <m/>
    <n v="270.02"/>
  </r>
  <r>
    <n v="7"/>
    <x v="7"/>
    <x v="0"/>
    <n v="170140"/>
    <s v="MAIDANA OSCAR RODOLFO"/>
    <s v="20-12573728-6"/>
    <d v="2016-08-08T00:00:0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n v="1104"/>
    <s v="MARCO SASTRE"/>
    <n v="1225"/>
    <m/>
    <m/>
    <s v="CAPITAL FEDERAL"/>
    <s v="Buenos Aires"/>
    <m/>
    <s v="U.O.Centro"/>
    <m/>
    <n v="1"/>
    <n v="1"/>
    <n v="16681.5"/>
    <n v="3336.32"/>
    <m/>
    <m/>
    <n v="13345.18"/>
    <m/>
    <n v="333.63"/>
    <m/>
    <m/>
    <m/>
    <m/>
    <m/>
    <m/>
    <n v="166.82"/>
    <m/>
    <m/>
    <m/>
    <m/>
    <m/>
    <m/>
    <n v="333.63"/>
    <m/>
    <m/>
    <m/>
    <m/>
    <m/>
    <m/>
    <m/>
    <n v="166.82"/>
    <m/>
    <n v="1000.9"/>
  </r>
  <r>
    <n v="7"/>
    <x v="7"/>
    <x v="1"/>
    <n v="152233"/>
    <s v="MARGHETICH SERGIO VIRGILIO"/>
    <s v="20-21090363-2"/>
    <d v="2016-08-08T00:00:00"/>
    <n v="21090363"/>
    <s v="MARGHETICH"/>
    <s v="SERGIO VIRGILIO"/>
    <s v="M"/>
    <m/>
    <d v="2015-06-16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ATAMARCA"/>
    <n v="535"/>
    <m/>
    <m/>
    <s v="CAPITAL FEDERAL"/>
    <s v="Capital Federal"/>
    <m/>
    <s v="U.O.Centro Paga Inplant"/>
    <m/>
    <n v="1"/>
    <n v="1"/>
    <n v="12188.13"/>
    <n v="2437.61"/>
    <m/>
    <m/>
    <n v="9750.52"/>
    <m/>
    <n v="243.76"/>
    <m/>
    <m/>
    <m/>
    <m/>
    <m/>
    <m/>
    <n v="121.88"/>
    <m/>
    <m/>
    <m/>
    <m/>
    <m/>
    <m/>
    <n v="243.76"/>
    <m/>
    <m/>
    <m/>
    <m/>
    <m/>
    <m/>
    <m/>
    <n v="121.88"/>
    <m/>
    <n v="731.28"/>
  </r>
  <r>
    <n v="7"/>
    <x v="7"/>
    <x v="1"/>
    <n v="122290"/>
    <s v="MARTINEZ EZEQUIEL FACUNDO"/>
    <s v="20-28328215-6"/>
    <d v="2016-08-08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1781.15"/>
    <n v="2415.13"/>
    <m/>
    <m/>
    <n v="9366.02"/>
    <n v="294.52999999999997"/>
    <m/>
    <m/>
    <m/>
    <m/>
    <m/>
    <m/>
    <m/>
    <n v="117.81"/>
    <m/>
    <m/>
    <m/>
    <m/>
    <m/>
    <m/>
    <n v="235.62"/>
    <m/>
    <m/>
    <m/>
    <m/>
    <m/>
    <m/>
    <m/>
    <n v="117.81"/>
    <m/>
    <n v="765.77"/>
  </r>
  <r>
    <n v="7"/>
    <x v="7"/>
    <x v="0"/>
    <n v="155981"/>
    <s v="MARTINEZ GABRIEL ALFREDO"/>
    <s v="20-26702400-7"/>
    <d v="2016-07-21T00:00:00"/>
    <n v="26702400"/>
    <s v="MARTINEZ"/>
    <s v="GABRIEL ALFREDO"/>
    <s v="M"/>
    <m/>
    <d v="2015-08-15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ING- CHAPEAUROUGE"/>
    <n v="1005"/>
    <m/>
    <m/>
    <s v="CAPITAL FEDERAL"/>
    <s v="Capital Federal"/>
    <m/>
    <s v="U.O.Centro"/>
    <m/>
    <n v="1"/>
    <n v="1"/>
    <n v="2419.52"/>
    <n v="483.92"/>
    <m/>
    <m/>
    <n v="1935.6"/>
    <m/>
    <n v="48.39"/>
    <m/>
    <m/>
    <m/>
    <m/>
    <m/>
    <m/>
    <n v="24.2"/>
    <m/>
    <m/>
    <m/>
    <m/>
    <m/>
    <m/>
    <n v="48.39"/>
    <m/>
    <m/>
    <m/>
    <m/>
    <m/>
    <m/>
    <m/>
    <n v="24.2"/>
    <m/>
    <n v="145.18"/>
  </r>
  <r>
    <n v="7"/>
    <x v="7"/>
    <x v="1"/>
    <n v="171586"/>
    <s v="MARTINEZ JONATHAN EZEQUIEL"/>
    <s v="20-31158376-0"/>
    <d v="2016-08-08T00:00:00"/>
    <n v="31158376"/>
    <s v="MARTINEZ"/>
    <s v="JONATHAN EZEQU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LAVALLOL"/>
    <n v="1891"/>
    <n v="1"/>
    <s v="D"/>
    <s v="CAPITAL FEDERAL"/>
    <s v="Capital Federal"/>
    <m/>
    <s v="U.O.Centro"/>
    <s v="Alvear Palace"/>
    <n v="1"/>
    <n v="1"/>
    <n v="1920.75"/>
    <n v="384.15"/>
    <m/>
    <m/>
    <n v="1536.6"/>
    <m/>
    <n v="38.42"/>
    <m/>
    <m/>
    <m/>
    <m/>
    <m/>
    <m/>
    <n v="19.21"/>
    <m/>
    <m/>
    <m/>
    <m/>
    <m/>
    <m/>
    <n v="38.42"/>
    <m/>
    <m/>
    <m/>
    <m/>
    <m/>
    <m/>
    <m/>
    <n v="19.21"/>
    <m/>
    <n v="115.26"/>
  </r>
  <r>
    <n v="7"/>
    <x v="7"/>
    <x v="1"/>
    <n v="152931"/>
    <s v="MARTINEZ KAREN"/>
    <s v="27-37827128-8"/>
    <d v="2016-08-08T00:00:0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1"/>
    <n v="1"/>
    <n v="14251.28"/>
    <n v="2921.51"/>
    <m/>
    <m/>
    <n v="11329.77"/>
    <n v="356.28"/>
    <m/>
    <m/>
    <m/>
    <m/>
    <m/>
    <m/>
    <m/>
    <n v="142.51"/>
    <m/>
    <m/>
    <m/>
    <m/>
    <m/>
    <m/>
    <n v="285.02999999999997"/>
    <m/>
    <m/>
    <m/>
    <m/>
    <m/>
    <m/>
    <m/>
    <n v="142.51"/>
    <m/>
    <n v="926.33"/>
  </r>
  <r>
    <n v="7"/>
    <x v="7"/>
    <x v="0"/>
    <n v="169944"/>
    <s v="MARTINEZ MIGUEL ANGEL"/>
    <s v="20-35371989-1"/>
    <d v="2016-08-08T00:00:00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ZA 5  CASA 38"/>
    <n v="1225"/>
    <m/>
    <m/>
    <s v="CAPITAL FEDERAL"/>
    <s v="Buenos Aires"/>
    <m/>
    <s v="U.O.Centro"/>
    <m/>
    <n v="2"/>
    <n v="1"/>
    <n v="2626.56"/>
    <n v="525.32000000000005"/>
    <m/>
    <m/>
    <n v="2101.2399999999998"/>
    <m/>
    <n v="52.54"/>
    <m/>
    <m/>
    <m/>
    <m/>
    <m/>
    <m/>
    <n v="26.26"/>
    <m/>
    <m/>
    <m/>
    <m/>
    <m/>
    <m/>
    <n v="52.54"/>
    <m/>
    <m/>
    <m/>
    <m/>
    <m/>
    <m/>
    <m/>
    <n v="26.26"/>
    <m/>
    <n v="157.6"/>
  </r>
  <r>
    <n v="7"/>
    <x v="7"/>
    <x v="0"/>
    <n v="161583"/>
    <s v="MEDINA EMILSE RAQUEL"/>
    <s v="27-36216142-3"/>
    <d v="2016-08-08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7"/>
    <x v="7"/>
    <x v="1"/>
    <n v="168289"/>
    <s v="MEDINA JESICA FABIANA"/>
    <s v="23-36214863-4"/>
    <d v="2016-08-01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 Paga Inplant"/>
    <m/>
    <n v="1"/>
    <n v="1"/>
    <n v="5862.74"/>
    <n v="1172.54"/>
    <m/>
    <m/>
    <n v="4690.2"/>
    <m/>
    <n v="117.25"/>
    <m/>
    <m/>
    <m/>
    <m/>
    <m/>
    <m/>
    <n v="58.63"/>
    <m/>
    <m/>
    <m/>
    <m/>
    <m/>
    <m/>
    <n v="117.25"/>
    <m/>
    <m/>
    <m/>
    <m/>
    <m/>
    <m/>
    <m/>
    <n v="58.63"/>
    <m/>
    <n v="351.76"/>
  </r>
  <r>
    <n v="7"/>
    <x v="7"/>
    <x v="1"/>
    <n v="173714"/>
    <s v="MERCADO WALTER SAUL"/>
    <s v="24-32060645-0"/>
    <d v="2016-08-01T00:00:00"/>
    <n v="32060645"/>
    <s v="MERCADO"/>
    <s v="WALTER SAUL"/>
    <s v="M"/>
    <m/>
    <d v="2016-06-0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LAUDIO DE ALAS"/>
    <n v="764"/>
    <m/>
    <m/>
    <s v="CAPITAL FEDERAL"/>
    <s v="Capital Federal"/>
    <m/>
    <s v="U.O.Centro"/>
    <m/>
    <n v="2"/>
    <n v="1"/>
    <n v="12244.8"/>
    <n v="2448.9499999999998"/>
    <m/>
    <m/>
    <n v="9795.85"/>
    <m/>
    <n v="244.9"/>
    <m/>
    <m/>
    <m/>
    <m/>
    <m/>
    <m/>
    <n v="122.45"/>
    <m/>
    <m/>
    <m/>
    <m/>
    <m/>
    <m/>
    <n v="244.9"/>
    <m/>
    <m/>
    <m/>
    <m/>
    <m/>
    <m/>
    <m/>
    <n v="122.45"/>
    <m/>
    <n v="734.7"/>
  </r>
  <r>
    <n v="7"/>
    <x v="7"/>
    <x v="1"/>
    <n v="172224"/>
    <s v="MEZA MAXIMILIANO OMAR"/>
    <s v="20-37205496-5"/>
    <d v="2016-08-01T00:00:00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LVINAS ARGENTINAS"/>
    <n v="764"/>
    <m/>
    <m/>
    <s v="CAPITAL FEDERAL"/>
    <s v="Capital Federal"/>
    <m/>
    <s v="U.O.Centro Paga Inplant"/>
    <m/>
    <n v="1"/>
    <n v="1"/>
    <n v="2341.19"/>
    <n v="468.24"/>
    <m/>
    <m/>
    <n v="1872.95"/>
    <m/>
    <n v="46.82"/>
    <m/>
    <m/>
    <m/>
    <m/>
    <m/>
    <m/>
    <n v="23.41"/>
    <m/>
    <m/>
    <m/>
    <m/>
    <m/>
    <m/>
    <n v="46.82"/>
    <m/>
    <m/>
    <m/>
    <m/>
    <m/>
    <m/>
    <m/>
    <n v="23.41"/>
    <m/>
    <n v="140.46"/>
  </r>
  <r>
    <n v="7"/>
    <x v="7"/>
    <x v="0"/>
    <n v="163371"/>
    <s v="MEZA PIZARRO CHRISTIAN MERVEN"/>
    <s v="20-92327011-7"/>
    <d v="2016-08-08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2"/>
    <n v="1"/>
    <n v="10221"/>
    <n v="2044.2"/>
    <m/>
    <m/>
    <n v="8176.8"/>
    <m/>
    <n v="204.42"/>
    <m/>
    <m/>
    <m/>
    <m/>
    <m/>
    <m/>
    <n v="102.21"/>
    <m/>
    <m/>
    <m/>
    <m/>
    <m/>
    <m/>
    <n v="204.42"/>
    <m/>
    <m/>
    <m/>
    <m/>
    <m/>
    <m/>
    <m/>
    <n v="102.21"/>
    <m/>
    <n v="613.26"/>
  </r>
  <r>
    <n v="7"/>
    <x v="7"/>
    <x v="0"/>
    <n v="170446"/>
    <s v="MONTES LORENA ANDREA"/>
    <s v="27-30914440-1"/>
    <d v="2016-08-08T00:00:0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AREZ"/>
    <n v="1225"/>
    <s v="PB"/>
    <m/>
    <s v="CAPITAL FEDERAL"/>
    <s v="Buenos Aires"/>
    <m/>
    <s v="U.O.Centro"/>
    <m/>
    <n v="2"/>
    <n v="1"/>
    <n v="10870.73"/>
    <n v="2174.15"/>
    <m/>
    <m/>
    <n v="8696.58"/>
    <m/>
    <n v="217.42"/>
    <m/>
    <m/>
    <m/>
    <m/>
    <m/>
    <m/>
    <n v="108.71"/>
    <m/>
    <m/>
    <m/>
    <m/>
    <m/>
    <m/>
    <n v="217.42"/>
    <m/>
    <m/>
    <m/>
    <m/>
    <m/>
    <m/>
    <m/>
    <n v="108.71"/>
    <m/>
    <n v="652.26"/>
  </r>
  <r>
    <n v="7"/>
    <x v="7"/>
    <x v="0"/>
    <n v="171266"/>
    <s v="MUJICA CLAUDIO"/>
    <s v="23-35353560-9"/>
    <d v="2016-08-08T00:00:00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MONTEVERDE"/>
    <n v="1225"/>
    <m/>
    <m/>
    <s v="CAPITAL FEDERAL"/>
    <s v="Buenos Aires"/>
    <m/>
    <s v="U.O.Centro"/>
    <m/>
    <n v="2"/>
    <n v="1"/>
    <n v="8213.7099999999991"/>
    <n v="1642.74"/>
    <m/>
    <m/>
    <n v="6570.97"/>
    <m/>
    <n v="164.28"/>
    <m/>
    <m/>
    <m/>
    <m/>
    <m/>
    <m/>
    <n v="82.13"/>
    <m/>
    <m/>
    <m/>
    <m/>
    <m/>
    <m/>
    <n v="164.28"/>
    <m/>
    <m/>
    <m/>
    <m/>
    <m/>
    <m/>
    <m/>
    <n v="82.13"/>
    <m/>
    <n v="492.82"/>
  </r>
  <r>
    <n v="7"/>
    <x v="7"/>
    <x v="1"/>
    <n v="152586"/>
    <s v="MUSTAFA SILVIO ROBERTO"/>
    <s v="23-31539279-9"/>
    <d v="2016-08-08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1"/>
    <n v="1"/>
    <n v="9754.89"/>
    <n v="2294.25"/>
    <m/>
    <m/>
    <n v="7460.64"/>
    <n v="243.87"/>
    <m/>
    <m/>
    <m/>
    <m/>
    <m/>
    <m/>
    <m/>
    <n v="97.55"/>
    <m/>
    <m/>
    <m/>
    <m/>
    <m/>
    <m/>
    <n v="195.1"/>
    <m/>
    <m/>
    <m/>
    <m/>
    <m/>
    <m/>
    <m/>
    <n v="97.55"/>
    <m/>
    <n v="634.07000000000005"/>
  </r>
  <r>
    <n v="7"/>
    <x v="7"/>
    <x v="0"/>
    <n v="175073"/>
    <s v="NAVARRO EMMANUEL"/>
    <s v="23-34424483-9"/>
    <d v="2016-08-08T00:00:00"/>
    <n v="34424483"/>
    <s v="NAVARRO"/>
    <s v="EMMANUEL"/>
    <s v="M"/>
    <m/>
    <d v="2016-07-04T00:00:00"/>
    <d v="2016-07-17T00:00:00"/>
    <d v="2016-07-17T00:00:00"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ENTRE RIOS"/>
    <n v="1225"/>
    <m/>
    <m/>
    <s v="CAPITAL FEDERAL"/>
    <s v="Buenos Aires"/>
    <m/>
    <s v="U.O.Centro"/>
    <m/>
    <n v="1"/>
    <n v="1"/>
    <n v="3391.1"/>
    <n v="678.21"/>
    <m/>
    <m/>
    <n v="2712.89"/>
    <m/>
    <n v="67.819999999999993"/>
    <m/>
    <m/>
    <m/>
    <m/>
    <m/>
    <m/>
    <n v="33.909999999999997"/>
    <m/>
    <m/>
    <m/>
    <m/>
    <m/>
    <m/>
    <n v="67.819999999999993"/>
    <m/>
    <m/>
    <m/>
    <m/>
    <m/>
    <m/>
    <m/>
    <n v="33.909999999999997"/>
    <m/>
    <n v="203.46"/>
  </r>
  <r>
    <n v="7"/>
    <x v="7"/>
    <x v="0"/>
    <n v="173661"/>
    <s v="OCANTO CHRISTIAN NAHUEL"/>
    <s v="20-36894544-8"/>
    <d v="2016-08-08T00:00:00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JULIAN AGUIRRE"/>
    <n v="1225"/>
    <m/>
    <m/>
    <s v="CAPITAL FEDERAL"/>
    <s v="Buenos Aires"/>
    <m/>
    <s v="U.O.Centro"/>
    <m/>
    <n v="1"/>
    <n v="1"/>
    <n v="3574.74"/>
    <n v="714.94"/>
    <m/>
    <m/>
    <n v="2859.8"/>
    <m/>
    <n v="71.489999999999995"/>
    <m/>
    <m/>
    <m/>
    <m/>
    <m/>
    <m/>
    <n v="35.75"/>
    <m/>
    <m/>
    <m/>
    <m/>
    <m/>
    <m/>
    <n v="71.489999999999995"/>
    <m/>
    <m/>
    <m/>
    <m/>
    <m/>
    <m/>
    <m/>
    <n v="35.75"/>
    <m/>
    <n v="214.48"/>
  </r>
  <r>
    <n v="7"/>
    <x v="7"/>
    <x v="0"/>
    <n v="162167"/>
    <s v="OCANTOS MARIA FERNANDA"/>
    <s v="20-26587101-2"/>
    <d v="2016-08-08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2"/>
    <n v="1"/>
    <n v="2401"/>
    <n v="480.24"/>
    <m/>
    <m/>
    <n v="1920.76"/>
    <m/>
    <n v="48.02"/>
    <m/>
    <m/>
    <m/>
    <m/>
    <m/>
    <m/>
    <n v="24.02"/>
    <m/>
    <m/>
    <m/>
    <m/>
    <m/>
    <m/>
    <n v="48.02"/>
    <m/>
    <m/>
    <m/>
    <m/>
    <m/>
    <m/>
    <m/>
    <n v="24.02"/>
    <m/>
    <n v="144.08000000000001"/>
  </r>
  <r>
    <n v="7"/>
    <x v="7"/>
    <x v="0"/>
    <n v="156371"/>
    <s v="OJEDA HECTOR ALBERTO"/>
    <s v="20-27373033-9"/>
    <d v="2016-08-08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4"/>
    <n v="1"/>
    <n v="12574.9"/>
    <n v="2514.9899999999998"/>
    <m/>
    <m/>
    <n v="10059.91"/>
    <m/>
    <n v="251.5"/>
    <m/>
    <m/>
    <m/>
    <m/>
    <m/>
    <m/>
    <n v="125.75"/>
    <m/>
    <m/>
    <m/>
    <m/>
    <m/>
    <m/>
    <n v="251.5"/>
    <m/>
    <m/>
    <m/>
    <m/>
    <m/>
    <m/>
    <m/>
    <n v="125.75"/>
    <m/>
    <n v="754.5"/>
  </r>
  <r>
    <n v="7"/>
    <x v="7"/>
    <x v="0"/>
    <n v="171274"/>
    <s v="OJEDA LORENA SUSANA"/>
    <s v="27-34340810-8"/>
    <d v="2016-08-08T00:00:00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LTA"/>
    <n v="1225"/>
    <m/>
    <m/>
    <s v="CAPITAL FEDERAL"/>
    <s v="Buenos Aires"/>
    <m/>
    <s v="U.O.Centro"/>
    <m/>
    <n v="2"/>
    <n v="1"/>
    <n v="5435.36"/>
    <n v="1087.06"/>
    <m/>
    <m/>
    <n v="4348.3"/>
    <m/>
    <n v="108.7"/>
    <m/>
    <m/>
    <m/>
    <m/>
    <m/>
    <m/>
    <n v="54.35"/>
    <m/>
    <m/>
    <m/>
    <m/>
    <m/>
    <m/>
    <n v="108.7"/>
    <m/>
    <m/>
    <m/>
    <m/>
    <m/>
    <m/>
    <m/>
    <n v="54.35"/>
    <m/>
    <n v="326.10000000000002"/>
  </r>
  <r>
    <n v="7"/>
    <x v="7"/>
    <x v="0"/>
    <n v="156032"/>
    <s v="OJEDA VALERIA NOEMI"/>
    <s v="27-33485754-4"/>
    <d v="2016-08-08T00:00:00"/>
    <n v="33485754"/>
    <s v="OJEDA"/>
    <s v="VALERIA NOEMI"/>
    <s v="F"/>
    <m/>
    <d v="2016-07-01T00:00:00"/>
    <m/>
    <m/>
    <s v="GASTRONOMICOS-Hoteles 4 y 5 Estrellas - 362/2003"/>
    <s v="Categoria 6"/>
    <x v="6"/>
    <s v="NUEVOS INGRESOS"/>
    <s v="Centro"/>
    <s v="Tareas Generales"/>
    <n v="108803"/>
    <s v="O.S.P.Gastronomico"/>
    <s v="Capital Federal"/>
    <m/>
    <n v="1093"/>
    <s v="CILICIA"/>
    <n v="1232"/>
    <m/>
    <m/>
    <s v="CAPITAL FEDERAL"/>
    <s v="Buenos Aires"/>
    <m/>
    <s v="U.O.Centro"/>
    <s v="Banquetes"/>
    <n v="2"/>
    <n v="1"/>
    <n v="4100.8"/>
    <n v="820.17"/>
    <m/>
    <m/>
    <n v="3280.63"/>
    <m/>
    <n v="82.02"/>
    <m/>
    <m/>
    <m/>
    <m/>
    <m/>
    <m/>
    <n v="41.01"/>
    <m/>
    <m/>
    <m/>
    <m/>
    <m/>
    <m/>
    <n v="82.02"/>
    <m/>
    <m/>
    <m/>
    <m/>
    <m/>
    <m/>
    <m/>
    <n v="41.01"/>
    <m/>
    <n v="246.06"/>
  </r>
  <r>
    <n v="7"/>
    <x v="7"/>
    <x v="0"/>
    <n v="135237"/>
    <s v="ORELLANO JUANA MARIA"/>
    <s v="27-27696157-3"/>
    <d v="2016-08-08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9739.1299999999992"/>
    <n v="1996.51"/>
    <m/>
    <m/>
    <n v="7742.62"/>
    <n v="243.48"/>
    <m/>
    <m/>
    <m/>
    <m/>
    <m/>
    <m/>
    <m/>
    <n v="97.39"/>
    <m/>
    <m/>
    <m/>
    <m/>
    <m/>
    <m/>
    <n v="194.78"/>
    <m/>
    <m/>
    <m/>
    <m/>
    <m/>
    <m/>
    <m/>
    <n v="97.39"/>
    <m/>
    <n v="633.04"/>
  </r>
  <r>
    <n v="7"/>
    <x v="7"/>
    <x v="0"/>
    <n v="172199"/>
    <s v="ORTIZ ANDRES NICOLAS"/>
    <s v="20-32769991-2"/>
    <d v="2016-07-21T00:00:00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LAVEL"/>
    <n v="1225"/>
    <m/>
    <m/>
    <s v="CAPITAL FEDERAL"/>
    <s v="Buenos Aires"/>
    <m/>
    <s v="U.O.Centro"/>
    <m/>
    <n v="1"/>
    <n v="1"/>
    <n v="800.34"/>
    <n v="160.07"/>
    <m/>
    <m/>
    <n v="640.27"/>
    <m/>
    <n v="16.010000000000002"/>
    <m/>
    <m/>
    <m/>
    <m/>
    <m/>
    <m/>
    <n v="8"/>
    <m/>
    <m/>
    <m/>
    <m/>
    <m/>
    <m/>
    <n v="16.010000000000002"/>
    <m/>
    <m/>
    <m/>
    <m/>
    <m/>
    <m/>
    <m/>
    <n v="8"/>
    <m/>
    <n v="48.02"/>
  </r>
  <r>
    <n v="7"/>
    <x v="7"/>
    <x v="0"/>
    <n v="169884"/>
    <s v="ORTIZ MARIA DANIELA"/>
    <s v="27-29459041-8"/>
    <d v="2016-08-08T00:00:00"/>
    <n v="29459041"/>
    <s v="ORTIZ"/>
    <s v="MARIA DANIELA"/>
    <s v="F"/>
    <m/>
    <d v="2016-07-23T00:00:00"/>
    <d v="2016-07-24T00:00:00"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STAÑARES"/>
    <n v="474"/>
    <m/>
    <m/>
    <s v="CAPITAL FEDERAL"/>
    <s v="Buenos Aires"/>
    <m/>
    <s v="U.O.Casa Central"/>
    <m/>
    <n v="3"/>
    <n v="1"/>
    <n v="1594.86"/>
    <n v="318.97000000000003"/>
    <m/>
    <n v="95.85"/>
    <n v="1371.74"/>
    <m/>
    <n v="31.9"/>
    <m/>
    <m/>
    <m/>
    <m/>
    <m/>
    <m/>
    <n v="15.94"/>
    <m/>
    <m/>
    <m/>
    <m/>
    <m/>
    <m/>
    <n v="31.9"/>
    <n v="6.54"/>
    <m/>
    <m/>
    <m/>
    <m/>
    <m/>
    <m/>
    <n v="9.4"/>
    <m/>
    <n v="95.68"/>
  </r>
  <r>
    <n v="7"/>
    <x v="7"/>
    <x v="0"/>
    <n v="175535"/>
    <s v="PADILLA MATIAS OSCAR"/>
    <s v="20-38070027-2"/>
    <d v="2016-08-08T00:00:00"/>
    <n v="38070027"/>
    <s v="PADILLA"/>
    <s v="MATIAS OSCAR"/>
    <s v="M"/>
    <m/>
    <d v="2016-07-1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STAÑON"/>
    <n v="1225"/>
    <m/>
    <m/>
    <s v="CAPITAL FEDERAL"/>
    <s v="Buenos Aires"/>
    <m/>
    <s v="U.O.Centro"/>
    <m/>
    <n v="2"/>
    <n v="1"/>
    <n v="4628.3"/>
    <n v="925.67"/>
    <m/>
    <m/>
    <n v="3702.63"/>
    <m/>
    <n v="92.57"/>
    <m/>
    <m/>
    <m/>
    <m/>
    <m/>
    <m/>
    <n v="46.29"/>
    <m/>
    <m/>
    <m/>
    <m/>
    <m/>
    <m/>
    <n v="92.57"/>
    <m/>
    <m/>
    <m/>
    <m/>
    <m/>
    <m/>
    <m/>
    <n v="46.29"/>
    <m/>
    <n v="277.72000000000003"/>
  </r>
  <r>
    <n v="7"/>
    <x v="7"/>
    <x v="0"/>
    <n v="170439"/>
    <s v="PAEZ DAIANA BEATRIZ"/>
    <s v="27-38350463-0"/>
    <d v="2016-08-08T00:00:00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RDENAS"/>
    <n v="1225"/>
    <m/>
    <m/>
    <s v="CAPITAL FEDERAL"/>
    <s v="Buenos Aires"/>
    <m/>
    <s v="U.O.Avellaneda"/>
    <m/>
    <n v="2"/>
    <n v="1"/>
    <n v="8153.03"/>
    <n v="1630.6"/>
    <m/>
    <m/>
    <n v="6522.43"/>
    <m/>
    <n v="163.06"/>
    <m/>
    <m/>
    <m/>
    <m/>
    <m/>
    <m/>
    <n v="81.53"/>
    <m/>
    <m/>
    <m/>
    <m/>
    <m/>
    <m/>
    <n v="163.06"/>
    <m/>
    <m/>
    <m/>
    <m/>
    <m/>
    <m/>
    <m/>
    <n v="81.53"/>
    <m/>
    <n v="489.18"/>
  </r>
  <r>
    <n v="7"/>
    <x v="7"/>
    <x v="0"/>
    <n v="175536"/>
    <s v="PAREDES NUÑEZ JONATHAN MANUEL"/>
    <s v="20-35901757-0"/>
    <d v="2016-08-08T00:00:00"/>
    <n v="35901757"/>
    <s v="PAREDES NUÑEZ"/>
    <s v="JONATHAN MANUEL"/>
    <s v="M"/>
    <m/>
    <d v="2016-07-12T00:00:00"/>
    <d v="2016-07-2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EVA PERON"/>
    <n v="1225"/>
    <m/>
    <m/>
    <s v="CAPITAL FEDERAL"/>
    <s v="Buenos Aires"/>
    <m/>
    <s v="U.O.Centro"/>
    <m/>
    <n v="2"/>
    <n v="1"/>
    <n v="4628.3"/>
    <n v="925.67"/>
    <m/>
    <m/>
    <n v="3702.63"/>
    <m/>
    <n v="92.57"/>
    <m/>
    <m/>
    <m/>
    <m/>
    <m/>
    <m/>
    <n v="46.29"/>
    <m/>
    <m/>
    <m/>
    <m/>
    <m/>
    <m/>
    <n v="92.57"/>
    <m/>
    <m/>
    <m/>
    <m/>
    <m/>
    <m/>
    <m/>
    <n v="46.29"/>
    <m/>
    <n v="277.72000000000003"/>
  </r>
  <r>
    <n v="7"/>
    <x v="7"/>
    <x v="0"/>
    <n v="161159"/>
    <s v="PARISI GABRIEL DARIO"/>
    <s v="20-34384166-4"/>
    <d v="2016-08-08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2"/>
    <n v="1"/>
    <n v="6764.23"/>
    <n v="1352.86"/>
    <m/>
    <m/>
    <n v="5411.37"/>
    <m/>
    <n v="135.28"/>
    <m/>
    <m/>
    <m/>
    <m/>
    <m/>
    <m/>
    <n v="67.650000000000006"/>
    <m/>
    <m/>
    <m/>
    <m/>
    <m/>
    <m/>
    <n v="135.28"/>
    <m/>
    <m/>
    <m/>
    <m/>
    <m/>
    <m/>
    <m/>
    <n v="67.650000000000006"/>
    <m/>
    <n v="405.86"/>
  </r>
  <r>
    <n v="7"/>
    <x v="7"/>
    <x v="0"/>
    <n v="164321"/>
    <s v="PAZ WALTER RICARDO"/>
    <s v="20-28305441-2"/>
    <d v="2016-08-08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5458.99"/>
    <n v="3091.8"/>
    <m/>
    <m/>
    <n v="12367.19"/>
    <m/>
    <n v="309.18"/>
    <m/>
    <m/>
    <m/>
    <m/>
    <m/>
    <m/>
    <n v="154.59"/>
    <m/>
    <m/>
    <m/>
    <m/>
    <m/>
    <m/>
    <n v="309.18"/>
    <m/>
    <m/>
    <m/>
    <m/>
    <m/>
    <m/>
    <m/>
    <n v="154.59"/>
    <m/>
    <n v="927.54"/>
  </r>
  <r>
    <n v="7"/>
    <x v="7"/>
    <x v="0"/>
    <n v="173370"/>
    <s v="PEDICINO ROMACHUK YESICA NOEMI"/>
    <s v="27-30911440-5"/>
    <d v="2016-08-08T00:00:00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1ºDE MAYO"/>
    <n v="1225"/>
    <m/>
    <m/>
    <s v="CAPITAL FEDERAL"/>
    <s v="Buenos Aires"/>
    <m/>
    <s v="U.O.Centro"/>
    <m/>
    <n v="2"/>
    <n v="1"/>
    <n v="3865.28"/>
    <n v="773.04"/>
    <m/>
    <m/>
    <n v="3092.24"/>
    <m/>
    <n v="77.31"/>
    <m/>
    <m/>
    <m/>
    <m/>
    <m/>
    <m/>
    <n v="38.65"/>
    <m/>
    <m/>
    <m/>
    <m/>
    <m/>
    <m/>
    <n v="77.31"/>
    <m/>
    <m/>
    <m/>
    <m/>
    <m/>
    <m/>
    <m/>
    <n v="38.65"/>
    <m/>
    <n v="231.92"/>
  </r>
  <r>
    <n v="7"/>
    <x v="7"/>
    <x v="0"/>
    <n v="170486"/>
    <s v="PEPE VALVERDE AGUSTINA"/>
    <s v="27-39761877-9"/>
    <d v="2016-07-21T00:00:00"/>
    <n v="39761877"/>
    <s v="PEPE VALVERDE"/>
    <s v="AGUSTINA"/>
    <s v="F"/>
    <m/>
    <d v="2016-03-18T00:00:00"/>
    <m/>
    <d v="2016-07-15T00:00:00"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Provincia de Buenos Aires"/>
    <n v="1005"/>
    <m/>
    <m/>
    <s v="CAPITAL FEDERAL"/>
    <s v="Capital Federal"/>
    <m/>
    <s v="U.O.Centro"/>
    <m/>
    <n v="1"/>
    <n v="1"/>
    <n v="6833.87"/>
    <n v="1366.79"/>
    <m/>
    <m/>
    <n v="5467.08"/>
    <m/>
    <n v="136.68"/>
    <m/>
    <m/>
    <m/>
    <m/>
    <m/>
    <m/>
    <n v="68.34"/>
    <m/>
    <m/>
    <m/>
    <m/>
    <m/>
    <m/>
    <n v="136.68"/>
    <m/>
    <m/>
    <m/>
    <m/>
    <m/>
    <m/>
    <m/>
    <n v="68.34"/>
    <m/>
    <n v="410.04"/>
  </r>
  <r>
    <n v="7"/>
    <x v="7"/>
    <x v="0"/>
    <n v="168239"/>
    <s v="PERALTA RICARDO FRANCISCO"/>
    <s v="20-35719331-2"/>
    <d v="2016-08-08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2"/>
    <n v="1"/>
    <n v="9180.0300000000007"/>
    <n v="1836.01"/>
    <m/>
    <m/>
    <n v="7344.02"/>
    <m/>
    <n v="183.6"/>
    <m/>
    <m/>
    <m/>
    <m/>
    <m/>
    <m/>
    <n v="91.8"/>
    <m/>
    <m/>
    <m/>
    <m/>
    <m/>
    <m/>
    <n v="183.6"/>
    <m/>
    <m/>
    <m/>
    <m/>
    <m/>
    <m/>
    <m/>
    <n v="91.8"/>
    <m/>
    <n v="550.79999999999995"/>
  </r>
  <r>
    <n v="7"/>
    <x v="7"/>
    <x v="0"/>
    <n v="155712"/>
    <s v="PERALTA DE KEMMETER PABLO ADRIAN"/>
    <s v="20-38404684-4"/>
    <d v="2016-08-08T00:00:00"/>
    <n v="38404684"/>
    <s v="PERALTA DE KEMMETER"/>
    <s v="PABLO ADRIAN"/>
    <s v="M"/>
    <m/>
    <d v="2016-02-08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BUENOS AIRES"/>
    <n v="1005"/>
    <m/>
    <m/>
    <s v="CAPITAL FEDERAL"/>
    <s v="Capital Federal"/>
    <m/>
    <s v="U.O.Centro"/>
    <m/>
    <n v="5"/>
    <n v="1"/>
    <n v="15808.4"/>
    <n v="3161.68"/>
    <m/>
    <m/>
    <n v="12646.72"/>
    <m/>
    <n v="316.17"/>
    <m/>
    <m/>
    <m/>
    <m/>
    <m/>
    <m/>
    <n v="158.08000000000001"/>
    <m/>
    <m/>
    <m/>
    <m/>
    <m/>
    <m/>
    <n v="316.17"/>
    <m/>
    <m/>
    <m/>
    <m/>
    <m/>
    <m/>
    <m/>
    <n v="158.08000000000001"/>
    <m/>
    <n v="948.5"/>
  </r>
  <r>
    <n v="7"/>
    <x v="7"/>
    <x v="1"/>
    <n v="65369"/>
    <s v="PEREZ RUBEN HORACIO"/>
    <s v="20-28042935-0"/>
    <d v="2016-08-08T00:00:0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2047.08"/>
    <n v="409.41"/>
    <m/>
    <m/>
    <n v="1637.67"/>
    <m/>
    <n v="40.94"/>
    <m/>
    <m/>
    <m/>
    <m/>
    <m/>
    <m/>
    <n v="20.47"/>
    <m/>
    <m/>
    <m/>
    <m/>
    <m/>
    <m/>
    <n v="40.94"/>
    <m/>
    <m/>
    <m/>
    <m/>
    <m/>
    <m/>
    <m/>
    <n v="20.47"/>
    <m/>
    <n v="122.82"/>
  </r>
  <r>
    <n v="7"/>
    <x v="7"/>
    <x v="0"/>
    <n v="161870"/>
    <s v="PETRONE VICENTE"/>
    <s v="20-27146024-5"/>
    <d v="2016-08-08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2"/>
    <n v="1"/>
    <n v="3601.52"/>
    <n v="720.32"/>
    <m/>
    <m/>
    <n v="2881.2"/>
    <m/>
    <n v="72.03"/>
    <m/>
    <m/>
    <m/>
    <m/>
    <m/>
    <m/>
    <n v="36.020000000000003"/>
    <m/>
    <m/>
    <m/>
    <m/>
    <m/>
    <m/>
    <n v="72.03"/>
    <m/>
    <m/>
    <m/>
    <m/>
    <m/>
    <m/>
    <m/>
    <n v="36.020000000000003"/>
    <m/>
    <n v="216.1"/>
  </r>
  <r>
    <n v="7"/>
    <x v="7"/>
    <x v="1"/>
    <n v="62941"/>
    <s v="POGONZA ANDREA GISELLE"/>
    <s v="27-32522930-1"/>
    <d v="2016-08-08T00:00:0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1"/>
    <n v="1"/>
    <n v="8360.99"/>
    <n v="1714"/>
    <m/>
    <m/>
    <n v="6646.99"/>
    <n v="209.02"/>
    <m/>
    <m/>
    <m/>
    <m/>
    <m/>
    <m/>
    <m/>
    <n v="83.61"/>
    <m/>
    <m/>
    <m/>
    <m/>
    <m/>
    <m/>
    <n v="167.22"/>
    <m/>
    <m/>
    <m/>
    <m/>
    <m/>
    <m/>
    <m/>
    <n v="83.61"/>
    <m/>
    <n v="543.46"/>
  </r>
  <r>
    <n v="7"/>
    <x v="7"/>
    <x v="0"/>
    <n v="176386"/>
    <s v="PORTILLO MACIEL JUAN RAMON"/>
    <s v="20-36896140-0"/>
    <d v="2016-08-08T00:00:00"/>
    <n v="36896140"/>
    <s v="PORTILLO MACIEL"/>
    <s v="JUAN RAMON"/>
    <s v="M"/>
    <m/>
    <d v="2016-07-2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QUINTINO BOCAYUVA"/>
    <n v="1225"/>
    <m/>
    <m/>
    <s v="CAPITAL FEDERAL"/>
    <s v="Buenos Aires"/>
    <m/>
    <s v="U.O.Centro"/>
    <m/>
    <n v="1"/>
    <n v="1"/>
    <n v="1449.48"/>
    <n v="289.88"/>
    <m/>
    <m/>
    <n v="1159.5999999999999"/>
    <m/>
    <n v="28.99"/>
    <m/>
    <m/>
    <m/>
    <m/>
    <m/>
    <m/>
    <n v="14.49"/>
    <m/>
    <m/>
    <m/>
    <m/>
    <m/>
    <m/>
    <n v="28.99"/>
    <m/>
    <m/>
    <m/>
    <m/>
    <m/>
    <m/>
    <m/>
    <n v="14.49"/>
    <m/>
    <n v="86.96"/>
  </r>
  <r>
    <n v="7"/>
    <x v="7"/>
    <x v="0"/>
    <n v="172087"/>
    <s v="POSTERNAK ERIKA ELENA"/>
    <s v="27-38699581-3"/>
    <d v="2016-08-08T00:00:00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INGENIERO HUERGO"/>
    <n v="1225"/>
    <m/>
    <m/>
    <s v="CAPITAL FEDERAL"/>
    <s v="Buenos Aires"/>
    <m/>
    <s v="U.O.Centro"/>
    <m/>
    <n v="2"/>
    <n v="1"/>
    <n v="1600.66"/>
    <n v="320.14"/>
    <m/>
    <m/>
    <n v="1280.52"/>
    <m/>
    <n v="32.01"/>
    <m/>
    <m/>
    <m/>
    <m/>
    <m/>
    <m/>
    <n v="16.010000000000002"/>
    <m/>
    <m/>
    <m/>
    <m/>
    <m/>
    <m/>
    <n v="32.01"/>
    <m/>
    <m/>
    <m/>
    <m/>
    <m/>
    <m/>
    <m/>
    <n v="16.010000000000002"/>
    <m/>
    <n v="96.04"/>
  </r>
  <r>
    <n v="7"/>
    <x v="7"/>
    <x v="0"/>
    <n v="157561"/>
    <s v="QUESADA HERNAN MATIAS"/>
    <s v="20-33154140-1"/>
    <d v="2016-08-08T00:00:00"/>
    <n v="33154140"/>
    <s v="QUESADA"/>
    <s v="HERNAN MATIAS"/>
    <s v="M"/>
    <m/>
    <d v="2015-09-29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LIBERTAD"/>
    <n v="1232"/>
    <m/>
    <m/>
    <s v="CAPITAL FEDERAL"/>
    <s v="Buenos Aires"/>
    <m/>
    <s v="U.O.Centro"/>
    <s v="Banquetes"/>
    <n v="2"/>
    <n v="1"/>
    <n v="2863.13"/>
    <n v="572.63"/>
    <m/>
    <m/>
    <n v="2290.5"/>
    <m/>
    <n v="57.26"/>
    <m/>
    <m/>
    <m/>
    <m/>
    <m/>
    <m/>
    <n v="28.63"/>
    <m/>
    <m/>
    <m/>
    <m/>
    <m/>
    <m/>
    <n v="57.26"/>
    <m/>
    <m/>
    <m/>
    <m/>
    <m/>
    <m/>
    <m/>
    <n v="28.63"/>
    <m/>
    <n v="171.78"/>
  </r>
  <r>
    <n v="7"/>
    <x v="7"/>
    <x v="1"/>
    <n v="168959"/>
    <s v="RAMIREZ ANDREA FABIANA"/>
    <s v="27-22241765-7"/>
    <d v="2016-08-01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 Paga Inplant"/>
    <m/>
    <n v="1"/>
    <n v="1"/>
    <n v="8381.26"/>
    <n v="1676.26"/>
    <m/>
    <m/>
    <n v="6705"/>
    <m/>
    <n v="167.63"/>
    <m/>
    <m/>
    <m/>
    <m/>
    <m/>
    <m/>
    <n v="83.81"/>
    <m/>
    <m/>
    <m/>
    <m/>
    <m/>
    <m/>
    <n v="167.63"/>
    <m/>
    <m/>
    <m/>
    <m/>
    <m/>
    <m/>
    <m/>
    <n v="83.81"/>
    <m/>
    <n v="502.88"/>
  </r>
  <r>
    <n v="7"/>
    <x v="7"/>
    <x v="0"/>
    <n v="170302"/>
    <s v="RAMIREZ GABRIEL LEONARDO"/>
    <s v="20-37596484-9"/>
    <d v="2016-08-08T00:00:00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Barilari"/>
    <n v="1225"/>
    <m/>
    <m/>
    <s v="CAPITAL FEDERAL"/>
    <s v="Buenos Aires"/>
    <m/>
    <s v="U.O.Centro"/>
    <m/>
    <n v="2"/>
    <n v="1"/>
    <n v="6002.55"/>
    <n v="1200.52"/>
    <m/>
    <m/>
    <n v="4802.03"/>
    <m/>
    <n v="120.05"/>
    <m/>
    <m/>
    <m/>
    <m/>
    <m/>
    <m/>
    <n v="60.03"/>
    <m/>
    <m/>
    <m/>
    <m/>
    <m/>
    <m/>
    <n v="120.05"/>
    <m/>
    <m/>
    <m/>
    <m/>
    <m/>
    <m/>
    <m/>
    <n v="60.03"/>
    <m/>
    <n v="360.16"/>
  </r>
  <r>
    <n v="7"/>
    <x v="7"/>
    <x v="1"/>
    <n v="171689"/>
    <s v="RAMOS LEONEL ALBERTO"/>
    <s v="23-36484857-9"/>
    <d v="2016-08-01T00:00:00"/>
    <n v="36484857"/>
    <s v="RAMOS"/>
    <s v="LEONEL ALBERTO"/>
    <s v="M"/>
    <m/>
    <d v="2016-04-13T00:00:00"/>
    <m/>
    <m/>
    <s v="GASTRONOMICOS-Hoteles 4 y 5 Estrellas - 362/2003"/>
    <s v="Categoria 2"/>
    <x v="3"/>
    <s v="Unidad Principal"/>
    <s v="Centro"/>
    <s v="Tareas Generales"/>
    <n v="108803"/>
    <s v="O.S.P.Gastronomico"/>
    <s v="Capital Federal"/>
    <m/>
    <n v="1002"/>
    <s v="LORENZINI"/>
    <n v="764"/>
    <m/>
    <m/>
    <s v="CAPITAL FEDERAL"/>
    <s v="Capital Federal"/>
    <m/>
    <s v="U.O.Centro Paga Inplant"/>
    <m/>
    <n v="1"/>
    <n v="1"/>
    <n v="5415.38"/>
    <n v="1083.07"/>
    <m/>
    <m/>
    <n v="4332.3100000000004"/>
    <m/>
    <n v="108.31"/>
    <m/>
    <m/>
    <m/>
    <m/>
    <m/>
    <m/>
    <n v="54.15"/>
    <m/>
    <m/>
    <m/>
    <m/>
    <m/>
    <m/>
    <n v="108.31"/>
    <m/>
    <m/>
    <m/>
    <m/>
    <m/>
    <m/>
    <m/>
    <n v="54.15"/>
    <m/>
    <n v="324.92"/>
  </r>
  <r>
    <n v="7"/>
    <x v="7"/>
    <x v="0"/>
    <n v="169776"/>
    <s v="RENEDO MARINA VANESA"/>
    <s v="27-29268429-6"/>
    <d v="2016-08-08T00:00:00"/>
    <n v="29268429"/>
    <s v="RENEDO"/>
    <s v="MARINA VANESA"/>
    <s v="F"/>
    <m/>
    <d v="2016-03-01T00:00:00"/>
    <d v="2016-08-01T00:00:00"/>
    <d v="2016-08-01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LLE 834"/>
    <n v="1225"/>
    <m/>
    <m/>
    <s v="CAPITAL FEDERAL"/>
    <s v="Buenos Aires"/>
    <m/>
    <s v="U.O.Centro"/>
    <m/>
    <n v="2"/>
    <n v="1"/>
    <n v="2174.14"/>
    <n v="434.85"/>
    <m/>
    <m/>
    <n v="1739.29"/>
    <m/>
    <n v="43.48"/>
    <m/>
    <m/>
    <m/>
    <m/>
    <m/>
    <m/>
    <n v="21.75"/>
    <m/>
    <m/>
    <m/>
    <m/>
    <m/>
    <m/>
    <n v="43.48"/>
    <m/>
    <m/>
    <m/>
    <m/>
    <m/>
    <m/>
    <m/>
    <n v="21.75"/>
    <m/>
    <n v="130.46"/>
  </r>
  <r>
    <n v="7"/>
    <x v="7"/>
    <x v="0"/>
    <n v="162333"/>
    <s v="RIOS MARIA ROSA"/>
    <s v="27-26405230-6"/>
    <d v="2016-08-08T00:00:00"/>
    <n v="26405230"/>
    <s v="RIOS"/>
    <s v="MARIA ROSA"/>
    <s v="F"/>
    <m/>
    <d v="2015-12-02T00:00:00"/>
    <d v="2016-07-29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OLLEDO"/>
    <n v="1225"/>
    <m/>
    <m/>
    <s v="CAPITAL FEDERAL"/>
    <s v="Buenos Aires"/>
    <m/>
    <s v="U.O.Centro"/>
    <m/>
    <n v="3"/>
    <n v="1"/>
    <n v="6112.74"/>
    <n v="1222.54"/>
    <m/>
    <m/>
    <n v="4890.2"/>
    <m/>
    <n v="122.25"/>
    <m/>
    <m/>
    <m/>
    <m/>
    <m/>
    <m/>
    <n v="61.13"/>
    <m/>
    <m/>
    <m/>
    <m/>
    <m/>
    <m/>
    <n v="122.25"/>
    <m/>
    <m/>
    <m/>
    <m/>
    <m/>
    <m/>
    <m/>
    <n v="61.13"/>
    <m/>
    <n v="366.76"/>
  </r>
  <r>
    <n v="7"/>
    <x v="7"/>
    <x v="0"/>
    <n v="172295"/>
    <s v="RIOS TEODORO HERMES"/>
    <s v="20-25239719-2"/>
    <d v="2016-08-08T00:00:00"/>
    <n v="25239719"/>
    <s v="RIOS"/>
    <s v="TEODORO HERMES"/>
    <s v="M"/>
    <m/>
    <d v="2016-07-05T00:00:00"/>
    <d v="2016-07-23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VENEZUELA"/>
    <n v="1225"/>
    <m/>
    <m/>
    <s v="CAPITAL FEDERAL"/>
    <s v="Buenos Aires"/>
    <m/>
    <s v="U.O.Centro"/>
    <m/>
    <n v="1"/>
    <n v="1"/>
    <n v="11303.69"/>
    <n v="2260.7399999999998"/>
    <m/>
    <m/>
    <n v="9042.9500000000007"/>
    <m/>
    <n v="226.07"/>
    <m/>
    <m/>
    <m/>
    <m/>
    <m/>
    <m/>
    <n v="113.04"/>
    <m/>
    <m/>
    <m/>
    <m/>
    <m/>
    <m/>
    <n v="226.07"/>
    <m/>
    <m/>
    <m/>
    <m/>
    <m/>
    <m/>
    <m/>
    <n v="113.04"/>
    <m/>
    <n v="678.22"/>
  </r>
  <r>
    <n v="7"/>
    <x v="7"/>
    <x v="1"/>
    <n v="170996"/>
    <s v="RODRIGUEZ ENZO"/>
    <s v="20-95508201-0"/>
    <d v="2016-08-01T00:00:00"/>
    <n v="95508201"/>
    <s v="RODRIGUEZ"/>
    <s v="ENZO"/>
    <s v="M"/>
    <m/>
    <d v="2016-03-31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UAN FRANCISCO SEGUI"/>
    <n v="764"/>
    <n v="14"/>
    <s v="B"/>
    <s v="CAPITAL FEDERAL"/>
    <s v="Capital Federal"/>
    <m/>
    <s v="U.O.Centro"/>
    <m/>
    <n v="1"/>
    <n v="1"/>
    <n v="16062.68"/>
    <n v="3212.53"/>
    <m/>
    <m/>
    <n v="12850.15"/>
    <m/>
    <n v="321.25"/>
    <m/>
    <m/>
    <m/>
    <m/>
    <m/>
    <m/>
    <n v="160.63"/>
    <m/>
    <m/>
    <m/>
    <m/>
    <m/>
    <m/>
    <n v="321.25"/>
    <m/>
    <m/>
    <m/>
    <m/>
    <m/>
    <m/>
    <m/>
    <n v="160.63"/>
    <m/>
    <n v="963.76"/>
  </r>
  <r>
    <n v="7"/>
    <x v="7"/>
    <x v="0"/>
    <n v="168582"/>
    <s v="RODRIGUEZ MILENA ESTEFANIA"/>
    <s v="27-36872590-6"/>
    <d v="2016-08-08T00:00:00"/>
    <n v="36872590"/>
    <s v="RODRIGUEZ"/>
    <s v="MILENA ESTEFANIA"/>
    <s v="F"/>
    <m/>
    <d v="2016-07-24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LAS HERAS"/>
    <n v="474"/>
    <m/>
    <m/>
    <s v="CAPITAL FEDERAL"/>
    <s v="Buenos Aires"/>
    <m/>
    <s v="U.O.Centro"/>
    <m/>
    <n v="1"/>
    <n v="1"/>
    <n v="935.31"/>
    <n v="187.06"/>
    <m/>
    <m/>
    <n v="748.25"/>
    <m/>
    <n v="18.71"/>
    <m/>
    <m/>
    <m/>
    <m/>
    <m/>
    <m/>
    <n v="9.35"/>
    <m/>
    <m/>
    <m/>
    <m/>
    <m/>
    <m/>
    <n v="18.71"/>
    <m/>
    <m/>
    <m/>
    <m/>
    <m/>
    <m/>
    <m/>
    <n v="9.35"/>
    <m/>
    <n v="56.12"/>
  </r>
  <r>
    <n v="7"/>
    <x v="7"/>
    <x v="0"/>
    <n v="175077"/>
    <s v="ROJAS EMILIANO MIGUEL"/>
    <s v="20-37422393-4"/>
    <d v="2016-08-08T00:00:00"/>
    <n v="37422393"/>
    <s v="ROJAS"/>
    <s v="EMILIANO MIGUEL"/>
    <s v="M"/>
    <m/>
    <d v="2016-07-04T00:00:00"/>
    <d v="2016-07-23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FALUCHO"/>
    <n v="1225"/>
    <m/>
    <m/>
    <s v="CAPITAL FEDERAL"/>
    <s v="Buenos Aires"/>
    <m/>
    <s v="U.O.Centro"/>
    <m/>
    <n v="1"/>
    <n v="1"/>
    <n v="11868.88"/>
    <n v="2373.79"/>
    <m/>
    <m/>
    <n v="9495.09"/>
    <m/>
    <n v="237.38"/>
    <m/>
    <m/>
    <m/>
    <m/>
    <m/>
    <m/>
    <n v="118.69"/>
    <m/>
    <m/>
    <m/>
    <m/>
    <m/>
    <m/>
    <n v="237.38"/>
    <m/>
    <m/>
    <m/>
    <m/>
    <m/>
    <m/>
    <m/>
    <n v="118.69"/>
    <m/>
    <n v="712.14"/>
  </r>
  <r>
    <n v="7"/>
    <x v="7"/>
    <x v="0"/>
    <n v="175474"/>
    <s v="ROJAS TRIANA ANDRES VICENTE"/>
    <s v="20-95123600-5"/>
    <d v="2016-07-21T00:00:00"/>
    <n v="95123600"/>
    <s v="ROJAS TRIANA"/>
    <s v="ANDRES VICENTE"/>
    <s v="M"/>
    <m/>
    <d v="2016-07-11T00:00:00"/>
    <m/>
    <m/>
    <s v="GASTRONOMICOS-Hoteles 4 y 5 Estrellas - 362/2003"/>
    <s v="Categoria 3"/>
    <x v="15"/>
    <s v="Ayudante de Cocina"/>
    <s v="Centro"/>
    <s v="Ayudante de Cocina"/>
    <n v="108803"/>
    <s v="O.S.P.Gastronomico"/>
    <s v="Capital Federal"/>
    <m/>
    <n v="1440"/>
    <s v="MALABIA"/>
    <n v="265"/>
    <n v="6"/>
    <n v="48"/>
    <s v="CAPITAL FEDERAL"/>
    <s v="Capital Federal"/>
    <m/>
    <s v="U.O.Centro"/>
    <m/>
    <n v="1"/>
    <n v="1"/>
    <n v="749.64"/>
    <n v="149.93"/>
    <m/>
    <m/>
    <n v="599.71"/>
    <m/>
    <n v="14.99"/>
    <m/>
    <m/>
    <m/>
    <m/>
    <m/>
    <m/>
    <n v="7.5"/>
    <m/>
    <m/>
    <m/>
    <m/>
    <m/>
    <m/>
    <n v="14.99"/>
    <m/>
    <m/>
    <m/>
    <m/>
    <m/>
    <m/>
    <m/>
    <n v="7.5"/>
    <m/>
    <n v="44.98"/>
  </r>
  <r>
    <n v="7"/>
    <x v="7"/>
    <x v="0"/>
    <n v="170549"/>
    <s v="ROSALES MATIAS SEBASTIAN"/>
    <s v="20-38950370-4"/>
    <d v="2016-08-08T00:00:00"/>
    <n v="38950370"/>
    <s v="ROSALES"/>
    <s v="MATIAS SEBASTIAN"/>
    <s v="M"/>
    <m/>
    <d v="2016-03-22T00:00:00"/>
    <m/>
    <m/>
    <s v="GASTRONOMICOS-Hoteles 4 y 5 Estrellas - 362/2003"/>
    <s v="Categoria 1"/>
    <x v="1"/>
    <s v="RESTAURANT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3"/>
    <n v="1"/>
    <n v="6062.08"/>
    <n v="1212.4100000000001"/>
    <m/>
    <m/>
    <n v="4849.67"/>
    <m/>
    <n v="121.24"/>
    <m/>
    <m/>
    <m/>
    <m/>
    <m/>
    <m/>
    <n v="60.62"/>
    <m/>
    <m/>
    <m/>
    <m/>
    <m/>
    <m/>
    <n v="121.24"/>
    <m/>
    <m/>
    <m/>
    <m/>
    <m/>
    <m/>
    <m/>
    <n v="60.62"/>
    <m/>
    <n v="363.72"/>
  </r>
  <r>
    <n v="7"/>
    <x v="7"/>
    <x v="0"/>
    <n v="173747"/>
    <s v="RUIZ JUAN MARIO ESEQUIEL"/>
    <s v="20-36944344-6"/>
    <d v="2016-07-21T00:00:00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ERMA"/>
    <n v="1225"/>
    <n v="3"/>
    <s v="A"/>
    <s v="CAPITAL FEDERAL"/>
    <s v="Buenos Aires"/>
    <m/>
    <s v="U.O.Centro"/>
    <m/>
    <n v="1"/>
    <n v="1"/>
    <n v="656.64"/>
    <n v="131.33000000000001"/>
    <m/>
    <m/>
    <n v="525.30999999999995"/>
    <m/>
    <n v="13.13"/>
    <m/>
    <m/>
    <m/>
    <m/>
    <m/>
    <m/>
    <n v="6.57"/>
    <m/>
    <m/>
    <m/>
    <m/>
    <m/>
    <m/>
    <n v="13.13"/>
    <m/>
    <m/>
    <m/>
    <m/>
    <m/>
    <m/>
    <m/>
    <n v="6.57"/>
    <m/>
    <n v="39.4"/>
  </r>
  <r>
    <n v="7"/>
    <x v="7"/>
    <x v="0"/>
    <n v="170780"/>
    <s v="SANCHEZ JAVIER EDUARDO"/>
    <s v="20-29388721-8"/>
    <d v="2016-08-08T00:00:0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MONROE"/>
    <n v="181"/>
    <m/>
    <m/>
    <s v="CAPITAL FEDERAL"/>
    <s v="Capital Federal"/>
    <m/>
    <s v="U.O.Centro"/>
    <m/>
    <n v="1"/>
    <n v="1"/>
    <n v="293.06"/>
    <n v="58.61"/>
    <m/>
    <m/>
    <n v="234.45"/>
    <m/>
    <n v="5.86"/>
    <m/>
    <m/>
    <m/>
    <m/>
    <m/>
    <m/>
    <n v="2.93"/>
    <m/>
    <m/>
    <m/>
    <m/>
    <m/>
    <m/>
    <n v="5.86"/>
    <m/>
    <m/>
    <m/>
    <m/>
    <m/>
    <m/>
    <m/>
    <n v="2.93"/>
    <m/>
    <n v="17.579999999999998"/>
  </r>
  <r>
    <n v="7"/>
    <x v="7"/>
    <x v="0"/>
    <n v="164903"/>
    <s v="SANTO LEANDRO"/>
    <s v="20-39458602-2"/>
    <d v="2016-08-08T00:00:00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MERICA"/>
    <n v="1225"/>
    <m/>
    <m/>
    <s v="CAPITAL FEDERAL"/>
    <s v="Buenos Aires"/>
    <m/>
    <s v="U.O.Centro"/>
    <m/>
    <n v="1"/>
    <n v="1"/>
    <n v="400.16"/>
    <n v="80.02"/>
    <m/>
    <m/>
    <n v="320.14"/>
    <m/>
    <n v="8"/>
    <m/>
    <m/>
    <m/>
    <m/>
    <m/>
    <m/>
    <n v="4"/>
    <m/>
    <m/>
    <m/>
    <m/>
    <m/>
    <m/>
    <n v="8"/>
    <m/>
    <m/>
    <m/>
    <m/>
    <m/>
    <m/>
    <m/>
    <n v="4"/>
    <m/>
    <n v="24"/>
  </r>
  <r>
    <n v="7"/>
    <x v="7"/>
    <x v="0"/>
    <n v="163422"/>
    <s v="SAUCEDO BETIANA MAGALI"/>
    <s v="23-38354831-4"/>
    <d v="2016-08-08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1"/>
    <n v="1"/>
    <n v="400.16"/>
    <n v="80.02"/>
    <m/>
    <m/>
    <n v="320.14"/>
    <m/>
    <n v="8"/>
    <m/>
    <m/>
    <m/>
    <m/>
    <m/>
    <m/>
    <n v="4"/>
    <m/>
    <m/>
    <m/>
    <m/>
    <m/>
    <m/>
    <n v="8"/>
    <m/>
    <m/>
    <m/>
    <m/>
    <m/>
    <m/>
    <m/>
    <n v="4"/>
    <m/>
    <n v="24"/>
  </r>
  <r>
    <n v="7"/>
    <x v="7"/>
    <x v="0"/>
    <n v="157784"/>
    <s v="SAUCEDO MARCELA"/>
    <s v="27-33197318-7"/>
    <d v="2016-08-08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4103.99"/>
    <n v="2891.32"/>
    <m/>
    <m/>
    <n v="11212.67"/>
    <n v="352.6"/>
    <m/>
    <m/>
    <m/>
    <m/>
    <m/>
    <m/>
    <m/>
    <n v="141.04"/>
    <m/>
    <m/>
    <m/>
    <m/>
    <m/>
    <m/>
    <n v="282.08"/>
    <m/>
    <m/>
    <m/>
    <m/>
    <m/>
    <m/>
    <m/>
    <n v="141.04"/>
    <m/>
    <n v="916.76"/>
  </r>
  <r>
    <n v="7"/>
    <x v="7"/>
    <x v="0"/>
    <n v="174055"/>
    <s v="SCHNIDRIG ANA LAURA"/>
    <s v="27-25098943-7"/>
    <d v="2016-08-08T00:00:00"/>
    <n v="25098943"/>
    <s v="SCHNIDRIG"/>
    <s v="ANA LAURA"/>
    <s v="F"/>
    <m/>
    <d v="2016-06-06T00:00:00"/>
    <d v="2016-07-23T00:00:00"/>
    <d v="2016-07-23T00:00:00"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USTRIA"/>
    <n v="1005"/>
    <n v="3"/>
    <n v="11"/>
    <s v="CAPITAL FEDERAL"/>
    <s v="Capital Federal"/>
    <m/>
    <s v="U.O.Centro"/>
    <m/>
    <n v="2"/>
    <n v="1"/>
    <n v="7480.32"/>
    <n v="1496.06"/>
    <m/>
    <m/>
    <n v="5984.26"/>
    <m/>
    <n v="149.6"/>
    <m/>
    <m/>
    <m/>
    <m/>
    <m/>
    <m/>
    <n v="74.8"/>
    <m/>
    <m/>
    <m/>
    <m/>
    <m/>
    <m/>
    <n v="149.6"/>
    <m/>
    <m/>
    <m/>
    <m/>
    <m/>
    <m/>
    <m/>
    <n v="74.8"/>
    <m/>
    <n v="448.8"/>
  </r>
  <r>
    <n v="7"/>
    <x v="7"/>
    <x v="0"/>
    <n v="172826"/>
    <s v="SENA GABRIEL FABIAN"/>
    <s v="20-34705676-7"/>
    <d v="2016-08-08T00:00:00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2"/>
    <n v="1"/>
    <n v="13699.97"/>
    <n v="2739.99"/>
    <m/>
    <m/>
    <n v="10959.98"/>
    <m/>
    <n v="274"/>
    <m/>
    <m/>
    <m/>
    <m/>
    <m/>
    <m/>
    <n v="137"/>
    <m/>
    <m/>
    <m/>
    <m/>
    <m/>
    <m/>
    <n v="274"/>
    <m/>
    <m/>
    <m/>
    <m/>
    <m/>
    <m/>
    <m/>
    <n v="137"/>
    <m/>
    <n v="822"/>
  </r>
  <r>
    <n v="7"/>
    <x v="7"/>
    <x v="0"/>
    <n v="175084"/>
    <s v="SILVA ANGEL MARCOS"/>
    <s v="20-26283168-0"/>
    <d v="2016-08-08T00:00:00"/>
    <n v="26283168"/>
    <s v="SILVA"/>
    <s v="ANGEL MARCOS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DR. JOSE KELLERTAS"/>
    <n v="1225"/>
    <m/>
    <m/>
    <s v="CAPITAL FEDERAL"/>
    <s v="Buenos Aires"/>
    <m/>
    <s v="U.O.Centro"/>
    <m/>
    <n v="2"/>
    <n v="1"/>
    <n v="6670.66"/>
    <n v="1334.14"/>
    <m/>
    <m/>
    <n v="5336.52"/>
    <m/>
    <n v="133.41"/>
    <m/>
    <m/>
    <m/>
    <m/>
    <m/>
    <m/>
    <n v="66.709999999999994"/>
    <m/>
    <m/>
    <m/>
    <m/>
    <m/>
    <m/>
    <n v="133.41"/>
    <m/>
    <m/>
    <m/>
    <m/>
    <m/>
    <m/>
    <m/>
    <n v="66.709999999999994"/>
    <m/>
    <n v="400.24"/>
  </r>
  <r>
    <n v="7"/>
    <x v="7"/>
    <x v="0"/>
    <n v="169877"/>
    <s v="SILVA MATIAS OSCAR"/>
    <s v="20-30651917-5"/>
    <d v="2016-08-08T00:00:00"/>
    <n v="30651917"/>
    <s v="SILVA"/>
    <s v="MATIAS OSCAR"/>
    <s v="M"/>
    <m/>
    <d v="2016-04-27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IGUALDAD"/>
    <n v="1232"/>
    <m/>
    <m/>
    <s v="CAPITAL FEDERAL"/>
    <s v="Buenos Aires"/>
    <m/>
    <s v="U.O.Centro"/>
    <s v="Banquetes"/>
    <n v="1"/>
    <n v="1"/>
    <n v="535.95000000000005"/>
    <n v="107.19"/>
    <m/>
    <m/>
    <n v="428.76"/>
    <m/>
    <n v="10.72"/>
    <m/>
    <m/>
    <m/>
    <m/>
    <m/>
    <m/>
    <n v="5.36"/>
    <m/>
    <m/>
    <m/>
    <m/>
    <m/>
    <m/>
    <n v="10.72"/>
    <m/>
    <m/>
    <m/>
    <m/>
    <m/>
    <m/>
    <m/>
    <n v="5.36"/>
    <m/>
    <n v="32.159999999999997"/>
  </r>
  <r>
    <n v="7"/>
    <x v="7"/>
    <x v="0"/>
    <n v="171605"/>
    <s v="SILVERO OSVALDO MANUEL"/>
    <s v="20-29271878-1"/>
    <d v="2016-08-08T00:00:00"/>
    <n v="29271878"/>
    <s v="SILVERO"/>
    <s v="OSVALDO MANUEL"/>
    <s v="M"/>
    <m/>
    <d v="2016-04-10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SARGENTO CABRAL"/>
    <n v="1232"/>
    <m/>
    <m/>
    <s v="CAPITAL FEDERAL"/>
    <s v="Buenos Aires"/>
    <m/>
    <s v="U.O.Centro"/>
    <s v="Banquetes"/>
    <n v="2"/>
    <n v="1"/>
    <n v="1311.87"/>
    <n v="262.38"/>
    <m/>
    <m/>
    <n v="1049.49"/>
    <m/>
    <n v="26.24"/>
    <m/>
    <m/>
    <m/>
    <m/>
    <m/>
    <m/>
    <n v="13.12"/>
    <m/>
    <m/>
    <m/>
    <m/>
    <m/>
    <m/>
    <n v="26.24"/>
    <m/>
    <m/>
    <m/>
    <m/>
    <m/>
    <m/>
    <m/>
    <n v="13.12"/>
    <m/>
    <n v="78.72"/>
  </r>
  <r>
    <n v="7"/>
    <x v="7"/>
    <x v="0"/>
    <n v="162176"/>
    <s v="SOMMA GABRIELA ALEJANDRA"/>
    <s v="27-31822042-0"/>
    <d v="2016-08-08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2"/>
    <n v="1"/>
    <n v="11604.91"/>
    <n v="2320.9899999999998"/>
    <m/>
    <m/>
    <n v="9283.92"/>
    <m/>
    <n v="232.1"/>
    <m/>
    <m/>
    <m/>
    <m/>
    <m/>
    <m/>
    <n v="116.05"/>
    <m/>
    <m/>
    <m/>
    <m/>
    <m/>
    <m/>
    <n v="232.1"/>
    <m/>
    <m/>
    <m/>
    <m/>
    <m/>
    <m/>
    <m/>
    <n v="116.05"/>
    <m/>
    <n v="696.3"/>
  </r>
  <r>
    <n v="7"/>
    <x v="7"/>
    <x v="0"/>
    <n v="154462"/>
    <s v="SOTELO DAMARIS ROXANA"/>
    <s v="27-38100104-6"/>
    <d v="2016-08-01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 Paga Inplant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7"/>
    <x v="1"/>
    <n v="93346"/>
    <s v="SOTO JAVIER EDUARDO"/>
    <s v="20-37676002-3"/>
    <d v="2016-08-08T00:00:00"/>
    <n v="37676002"/>
    <s v="SOTO"/>
    <s v="JAVIER EDUARDO"/>
    <s v="M"/>
    <m/>
    <d v="2012-07-06T00:00:00"/>
    <m/>
    <m/>
    <s v="GASTRONOMICOS-Hoteles 4 y 5 Estrellas - 362/2003"/>
    <s v="Categoria 5"/>
    <x v="9"/>
    <s v="Unidad Principal"/>
    <s v="Centro"/>
    <s v="Ayudante de Cocina"/>
    <n v="108803"/>
    <s v="O.S.P.Gastronomico"/>
    <s v="Capital Federal"/>
    <m/>
    <n v="1049"/>
    <s v="ALVARADO"/>
    <n v="535"/>
    <m/>
    <m/>
    <s v="CAPITAL FEDERAL"/>
    <s v="Capital Federal"/>
    <m/>
    <s v="U.O.Centro Paga Inplant"/>
    <s v="PEONES"/>
    <n v="2"/>
    <n v="1"/>
    <n v="15092.6"/>
    <n v="3018.52"/>
    <m/>
    <n v="1695.4"/>
    <n v="13769.48"/>
    <m/>
    <n v="301.85000000000002"/>
    <m/>
    <m/>
    <m/>
    <m/>
    <m/>
    <m/>
    <n v="150.91999999999999"/>
    <m/>
    <m/>
    <m/>
    <m/>
    <m/>
    <m/>
    <n v="301.85000000000002"/>
    <n v="85.51"/>
    <m/>
    <m/>
    <m/>
    <m/>
    <m/>
    <m/>
    <n v="65.41"/>
    <m/>
    <n v="905.54"/>
  </r>
  <r>
    <n v="7"/>
    <x v="7"/>
    <x v="0"/>
    <n v="155979"/>
    <s v="SOULE ROMINA SOLEDAD"/>
    <s v="23-34390010-4"/>
    <d v="2016-08-08T00:00:00"/>
    <n v="34390010"/>
    <s v="SOULE"/>
    <s v="ROMINA SOLEDAD"/>
    <s v="F"/>
    <m/>
    <d v="2016-07-08T00:00:00"/>
    <d v="2016-07-08T00:00:00"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n v="1440"/>
    <s v="CHACO"/>
    <n v="265"/>
    <n v="1"/>
    <s v="A"/>
    <s v="CAPITAL FEDERAL"/>
    <s v="Capital Federal"/>
    <m/>
    <s v="U.O.Centro"/>
    <m/>
    <n v="3"/>
    <n v="1"/>
    <n v="5133.54"/>
    <n v="1026.7"/>
    <m/>
    <m/>
    <n v="4106.84"/>
    <m/>
    <n v="102.66"/>
    <m/>
    <m/>
    <m/>
    <m/>
    <m/>
    <m/>
    <n v="51.33"/>
    <m/>
    <m/>
    <m/>
    <m/>
    <m/>
    <m/>
    <n v="102.66"/>
    <m/>
    <m/>
    <m/>
    <m/>
    <m/>
    <m/>
    <m/>
    <n v="51.33"/>
    <m/>
    <n v="307.98"/>
  </r>
  <r>
    <n v="7"/>
    <x v="7"/>
    <x v="0"/>
    <n v="162209"/>
    <s v="STOCKL BRENDA JENNIFER"/>
    <s v="27-37769971-3"/>
    <d v="2016-08-08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2"/>
    <n v="1"/>
    <n v="9203.89"/>
    <n v="1840.78"/>
    <m/>
    <m/>
    <n v="7363.11"/>
    <m/>
    <n v="184.07"/>
    <m/>
    <m/>
    <m/>
    <m/>
    <m/>
    <m/>
    <n v="92.04"/>
    <m/>
    <m/>
    <m/>
    <m/>
    <m/>
    <m/>
    <n v="184.07"/>
    <m/>
    <m/>
    <m/>
    <m/>
    <m/>
    <m/>
    <m/>
    <n v="92.04"/>
    <m/>
    <n v="552.22"/>
  </r>
  <r>
    <n v="7"/>
    <x v="7"/>
    <x v="0"/>
    <n v="162177"/>
    <s v="SZYCHOWSKI WALTER TADEO"/>
    <s v="23-20698069-9"/>
    <d v="2016-08-08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m/>
    <n v="2"/>
    <n v="1"/>
    <n v="1200.5"/>
    <n v="240.09"/>
    <m/>
    <m/>
    <n v="960.41"/>
    <m/>
    <n v="24.01"/>
    <m/>
    <m/>
    <m/>
    <m/>
    <m/>
    <m/>
    <n v="12"/>
    <m/>
    <m/>
    <m/>
    <m/>
    <m/>
    <m/>
    <n v="24.01"/>
    <m/>
    <m/>
    <m/>
    <m/>
    <m/>
    <m/>
    <m/>
    <n v="12"/>
    <m/>
    <n v="72.02"/>
  </r>
  <r>
    <n v="7"/>
    <x v="7"/>
    <x v="0"/>
    <n v="169811"/>
    <s v="TOLABA ESTELA MARTINA"/>
    <s v="27-25992551-2"/>
    <d v="2016-08-08T00:00:00"/>
    <n v="25992551"/>
    <s v="TOLABA"/>
    <s v="ESTELA MARTINA"/>
    <s v="F"/>
    <m/>
    <d v="2016-03-03T00:00:00"/>
    <d v="2016-07-25T00:00:00"/>
    <d v="2016-07-25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ULPINA"/>
    <n v="1225"/>
    <m/>
    <m/>
    <s v="CAPITAL FEDERAL"/>
    <s v="Buenos Aires"/>
    <m/>
    <s v="U.O.Centro"/>
    <m/>
    <n v="2"/>
    <n v="1"/>
    <n v="6522.42"/>
    <n v="1304.48"/>
    <m/>
    <m/>
    <n v="5217.9399999999996"/>
    <m/>
    <n v="130.44"/>
    <m/>
    <m/>
    <m/>
    <m/>
    <m/>
    <m/>
    <n v="65.22"/>
    <m/>
    <m/>
    <m/>
    <m/>
    <m/>
    <m/>
    <n v="130.44"/>
    <m/>
    <m/>
    <m/>
    <m/>
    <m/>
    <m/>
    <m/>
    <n v="65.22"/>
    <m/>
    <n v="391.32"/>
  </r>
  <r>
    <n v="7"/>
    <x v="7"/>
    <x v="0"/>
    <n v="161179"/>
    <s v="TORRES CLAUDIA ANDREA"/>
    <s v="27-30236589-5"/>
    <d v="2016-08-08T00:00:00"/>
    <n v="30236589"/>
    <s v="TORRES"/>
    <s v="CLAUDIA ANDREA"/>
    <s v="F"/>
    <m/>
    <d v="2015-11-15T00:00:00"/>
    <d v="2016-05-02T00:00:00"/>
    <d v="2016-05-02T00:00:00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ECIA"/>
    <n v="1225"/>
    <m/>
    <m/>
    <s v="CAPITAL FEDERAL"/>
    <s v="Buenos Aires"/>
    <m/>
    <s v="U.O.Centro"/>
    <m/>
    <n v="1"/>
    <n v="1"/>
    <n v="1841.53"/>
    <n v="368.32"/>
    <m/>
    <n v="1449.4"/>
    <n v="2922.61"/>
    <m/>
    <n v="36.83"/>
    <m/>
    <m/>
    <m/>
    <m/>
    <m/>
    <m/>
    <n v="18.420000000000002"/>
    <m/>
    <m/>
    <m/>
    <m/>
    <m/>
    <m/>
    <n v="36.83"/>
    <m/>
    <m/>
    <m/>
    <m/>
    <m/>
    <m/>
    <m/>
    <n v="18.420000000000002"/>
    <m/>
    <n v="110.5"/>
  </r>
  <r>
    <n v="7"/>
    <x v="7"/>
    <x v="0"/>
    <n v="170180"/>
    <s v="TORRES FERNANDO"/>
    <s v="23-36164521-9"/>
    <d v="2016-08-08T00:00:0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ICARDO ROJAS"/>
    <n v="265"/>
    <m/>
    <m/>
    <s v="CAPITAL FEDERAL"/>
    <s v="Capital Federal"/>
    <m/>
    <s v="U.O.Centro"/>
    <s v="Ayudantes"/>
    <n v="2"/>
    <n v="1"/>
    <n v="13991.07"/>
    <n v="2798.21"/>
    <m/>
    <m/>
    <n v="11192.86"/>
    <m/>
    <n v="279.82"/>
    <m/>
    <m/>
    <m/>
    <m/>
    <m/>
    <m/>
    <n v="139.91"/>
    <m/>
    <m/>
    <m/>
    <m/>
    <m/>
    <m/>
    <n v="279.82"/>
    <m/>
    <m/>
    <m/>
    <m/>
    <m/>
    <m/>
    <m/>
    <n v="139.91"/>
    <m/>
    <n v="839.46"/>
  </r>
  <r>
    <n v="7"/>
    <x v="7"/>
    <x v="1"/>
    <n v="165162"/>
    <s v="TORRES VERONICA ALEJANDRA"/>
    <s v="23-25413259-4"/>
    <d v="2016-07-14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 Paga Inplant"/>
    <m/>
    <n v="1"/>
    <n v="1"/>
    <n v="2779.65"/>
    <n v="555.92999999999995"/>
    <m/>
    <m/>
    <n v="2223.7199999999998"/>
    <m/>
    <n v="55.59"/>
    <m/>
    <m/>
    <m/>
    <m/>
    <m/>
    <m/>
    <n v="27.8"/>
    <m/>
    <m/>
    <m/>
    <m/>
    <m/>
    <m/>
    <n v="55.59"/>
    <m/>
    <m/>
    <m/>
    <m/>
    <m/>
    <m/>
    <m/>
    <n v="27.8"/>
    <m/>
    <n v="166.78"/>
  </r>
  <r>
    <n v="7"/>
    <x v="7"/>
    <x v="0"/>
    <n v="170203"/>
    <s v="TOTARO ALEJANDRO EZEQUIEL"/>
    <s v="20-34309566-0"/>
    <d v="2016-08-08T00:00:0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ATANZA"/>
    <n v="1225"/>
    <m/>
    <m/>
    <s v="CAPITAL FEDERAL"/>
    <s v="Buenos Aires"/>
    <m/>
    <s v="U.O.Centro"/>
    <m/>
    <n v="2"/>
    <n v="1"/>
    <n v="7618.44"/>
    <n v="1523.71"/>
    <m/>
    <m/>
    <n v="6094.73"/>
    <m/>
    <n v="152.37"/>
    <m/>
    <m/>
    <m/>
    <m/>
    <m/>
    <m/>
    <n v="76.19"/>
    <m/>
    <m/>
    <m/>
    <m/>
    <m/>
    <m/>
    <n v="152.37"/>
    <m/>
    <m/>
    <m/>
    <m/>
    <m/>
    <m/>
    <m/>
    <n v="76.19"/>
    <m/>
    <n v="457.12"/>
  </r>
  <r>
    <n v="7"/>
    <x v="7"/>
    <x v="0"/>
    <n v="173656"/>
    <s v="VALENZUELA LETICIA MERCEDES"/>
    <s v="27-30230511-6"/>
    <d v="2016-07-21T00:00:00"/>
    <n v="30230511"/>
    <s v="VALENZUELA"/>
    <s v="LETICIA MERCEDES"/>
    <s v="F"/>
    <m/>
    <d v="2016-05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IO GALLEGOS"/>
    <n v="1225"/>
    <m/>
    <s v="D"/>
    <s v="CAPITAL FEDERAL"/>
    <s v="Buenos Aires"/>
    <m/>
    <s v="U.O.Quilmes"/>
    <m/>
    <n v="1"/>
    <n v="1"/>
    <n v="2000.84"/>
    <n v="400.18"/>
    <m/>
    <m/>
    <n v="1600.66"/>
    <m/>
    <n v="40.020000000000003"/>
    <m/>
    <m/>
    <m/>
    <m/>
    <m/>
    <m/>
    <n v="20.010000000000002"/>
    <m/>
    <m/>
    <m/>
    <m/>
    <m/>
    <m/>
    <n v="40.020000000000003"/>
    <m/>
    <m/>
    <m/>
    <m/>
    <m/>
    <m/>
    <m/>
    <n v="20.010000000000002"/>
    <m/>
    <n v="120.06"/>
  </r>
  <r>
    <n v="7"/>
    <x v="7"/>
    <x v="1"/>
    <n v="170492"/>
    <s v="VALIENTE MARIA NAZARENA"/>
    <s v="27-23700239-9"/>
    <d v="2016-08-08T00:00:0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3551.58"/>
    <n v="710.32"/>
    <m/>
    <m/>
    <n v="2841.26"/>
    <m/>
    <n v="71.03"/>
    <m/>
    <m/>
    <m/>
    <m/>
    <m/>
    <m/>
    <n v="35.520000000000003"/>
    <m/>
    <m/>
    <m/>
    <m/>
    <m/>
    <m/>
    <n v="71.03"/>
    <m/>
    <m/>
    <m/>
    <m/>
    <m/>
    <m/>
    <m/>
    <n v="35.520000000000003"/>
    <m/>
    <n v="213.1"/>
  </r>
  <r>
    <n v="7"/>
    <x v="7"/>
    <x v="0"/>
    <n v="163376"/>
    <s v="VARGAS BENITEZ KARINA LUJAN"/>
    <s v="27-37354725-0"/>
    <d v="2016-08-08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2"/>
    <n v="1"/>
    <n v="2000.84"/>
    <n v="400.19"/>
    <m/>
    <m/>
    <n v="1600.65"/>
    <m/>
    <n v="40.020000000000003"/>
    <m/>
    <m/>
    <m/>
    <m/>
    <m/>
    <m/>
    <n v="20.010000000000002"/>
    <m/>
    <m/>
    <m/>
    <m/>
    <m/>
    <m/>
    <n v="40.020000000000003"/>
    <m/>
    <m/>
    <m/>
    <m/>
    <m/>
    <m/>
    <m/>
    <n v="20.010000000000002"/>
    <m/>
    <n v="120.06"/>
  </r>
  <r>
    <n v="7"/>
    <x v="7"/>
    <x v="1"/>
    <n v="140009"/>
    <s v="VEGA JUAN JOSE"/>
    <s v="20-34339212-6"/>
    <d v="2016-08-01T00:00:00"/>
    <n v="34339212"/>
    <s v="VEGA"/>
    <s v="JUAN JOSE"/>
    <s v="M"/>
    <m/>
    <d v="2014-12-17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PRUDAN"/>
    <n v="764"/>
    <n v="5"/>
    <n v="5"/>
    <s v="CAPITAL FEDERAL"/>
    <s v="Capital Federal"/>
    <m/>
    <s v="U.O.Centro Paga Inplant"/>
    <m/>
    <n v="1"/>
    <n v="1"/>
    <n v="14281.24"/>
    <n v="2927.66"/>
    <m/>
    <m/>
    <n v="11353.58"/>
    <n v="357.03"/>
    <m/>
    <m/>
    <m/>
    <m/>
    <m/>
    <m/>
    <m/>
    <n v="142.81"/>
    <m/>
    <m/>
    <m/>
    <m/>
    <m/>
    <m/>
    <n v="285.62"/>
    <m/>
    <m/>
    <m/>
    <m/>
    <m/>
    <m/>
    <m/>
    <n v="142.81"/>
    <m/>
    <n v="928.27"/>
  </r>
  <r>
    <n v="7"/>
    <x v="7"/>
    <x v="0"/>
    <n v="176107"/>
    <s v="VEGA MARIANO EMANUEL"/>
    <s v="20-36845666-8"/>
    <d v="2016-08-08T00:00:00"/>
    <n v="36845666"/>
    <s v="VEGA"/>
    <s v="MARIANO EMANUEL"/>
    <s v="M"/>
    <m/>
    <d v="2016-07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PADRE CARLOS MUGICA"/>
    <n v="1225"/>
    <m/>
    <m/>
    <s v="CAPITAL FEDERAL"/>
    <s v="Buenos Aires"/>
    <m/>
    <s v="U.O.Centro"/>
    <m/>
    <n v="1"/>
    <n v="1"/>
    <n v="2859.79"/>
    <n v="571.96"/>
    <m/>
    <m/>
    <n v="2287.83"/>
    <m/>
    <n v="57.2"/>
    <m/>
    <m/>
    <m/>
    <m/>
    <m/>
    <m/>
    <n v="28.6"/>
    <m/>
    <m/>
    <m/>
    <m/>
    <m/>
    <m/>
    <n v="57.2"/>
    <m/>
    <m/>
    <m/>
    <m/>
    <m/>
    <m/>
    <m/>
    <n v="28.6"/>
    <m/>
    <n v="171.6"/>
  </r>
  <r>
    <n v="7"/>
    <x v="7"/>
    <x v="0"/>
    <n v="174627"/>
    <s v="VEGA RAMONA CAROLINA"/>
    <s v="27-92893847-1"/>
    <d v="2016-08-08T00:00:00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MARGARITA WEILD"/>
    <n v="1225"/>
    <n v="7"/>
    <s v="A"/>
    <s v="CAPITAL FEDERAL"/>
    <s v="Buenos Aires"/>
    <m/>
    <s v="U.O.Centro"/>
    <m/>
    <n v="2"/>
    <n v="1"/>
    <n v="4011.01"/>
    <n v="802.21"/>
    <m/>
    <m/>
    <n v="3208.8"/>
    <m/>
    <n v="80.23"/>
    <m/>
    <m/>
    <m/>
    <m/>
    <m/>
    <m/>
    <n v="40.11"/>
    <m/>
    <m/>
    <m/>
    <m/>
    <m/>
    <m/>
    <n v="80.23"/>
    <m/>
    <m/>
    <m/>
    <m/>
    <m/>
    <m/>
    <m/>
    <n v="40.11"/>
    <m/>
    <n v="240.68"/>
  </r>
  <r>
    <n v="7"/>
    <x v="7"/>
    <x v="0"/>
    <n v="143424"/>
    <s v="VELASQUEZ NESTOR IGNACIO"/>
    <s v="20-30830390-0"/>
    <d v="2016-08-08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2"/>
    <n v="1"/>
    <n v="13195.97"/>
    <n v="2705.18"/>
    <m/>
    <m/>
    <n v="10490.79"/>
    <n v="329.9"/>
    <m/>
    <m/>
    <m/>
    <m/>
    <m/>
    <m/>
    <m/>
    <n v="131.96"/>
    <m/>
    <m/>
    <m/>
    <m/>
    <m/>
    <m/>
    <n v="263.92"/>
    <m/>
    <m/>
    <m/>
    <m/>
    <m/>
    <m/>
    <m/>
    <n v="131.96"/>
    <m/>
    <n v="857.74"/>
  </r>
  <r>
    <n v="7"/>
    <x v="7"/>
    <x v="1"/>
    <n v="170478"/>
    <s v="VELAZQUEZ FERNANDO ARIEL"/>
    <s v="20-18830125-9"/>
    <d v="2016-08-08T00:00:00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n v="1129"/>
    <s v="SARMIENTO"/>
    <n v="1891"/>
    <m/>
    <m/>
    <s v="CAPITAL FEDERAL"/>
    <s v="Capital Federal"/>
    <m/>
    <s v="U.O.Centro"/>
    <s v="Alvear Palace"/>
    <n v="1"/>
    <n v="1"/>
    <n v="5726.02"/>
    <n v="1145.2"/>
    <m/>
    <m/>
    <n v="4580.82"/>
    <m/>
    <n v="114.52"/>
    <m/>
    <m/>
    <m/>
    <m/>
    <m/>
    <m/>
    <n v="57.26"/>
    <m/>
    <m/>
    <m/>
    <m/>
    <m/>
    <m/>
    <n v="114.52"/>
    <m/>
    <m/>
    <m/>
    <m/>
    <m/>
    <m/>
    <m/>
    <n v="57.26"/>
    <m/>
    <n v="343.56"/>
  </r>
  <r>
    <n v="7"/>
    <x v="7"/>
    <x v="0"/>
    <n v="173657"/>
    <s v="VELAZQUEZ LEONARDO GASPAR"/>
    <s v="20-37205067-6"/>
    <d v="2016-07-21T00:00:00"/>
    <n v="37205067"/>
    <s v="VELAZQUEZ"/>
    <s v="LEONARDO GASPAR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BLAS PARERA"/>
    <n v="1225"/>
    <m/>
    <m/>
    <s v="CAPITAL FEDERAL"/>
    <s v="Buenos Aires"/>
    <m/>
    <s v="U.O.Centro"/>
    <m/>
    <n v="1"/>
    <n v="1"/>
    <n v="1969.94"/>
    <n v="393.99"/>
    <m/>
    <m/>
    <n v="1575.95"/>
    <m/>
    <n v="39.4"/>
    <m/>
    <m/>
    <m/>
    <m/>
    <m/>
    <m/>
    <n v="19.7"/>
    <m/>
    <m/>
    <m/>
    <m/>
    <m/>
    <m/>
    <n v="39.4"/>
    <m/>
    <m/>
    <m/>
    <m/>
    <m/>
    <m/>
    <m/>
    <n v="19.7"/>
    <m/>
    <n v="118.2"/>
  </r>
  <r>
    <n v="7"/>
    <x v="7"/>
    <x v="0"/>
    <n v="172595"/>
    <s v="VERA GUILLERMO EDUARDO"/>
    <s v="23-28162145-9"/>
    <d v="2016-08-08T00:00:00"/>
    <n v="28162145"/>
    <s v="VERA"/>
    <s v="GUILLERMO EDUARDO"/>
    <s v="M"/>
    <m/>
    <d v="2016-05-05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2"/>
    <n v="1"/>
    <n v="12292.78"/>
    <n v="2494.61"/>
    <m/>
    <m/>
    <n v="9798.17"/>
    <n v="180.2"/>
    <n v="101.7"/>
    <m/>
    <m/>
    <m/>
    <m/>
    <m/>
    <m/>
    <n v="122.93"/>
    <m/>
    <m/>
    <m/>
    <m/>
    <m/>
    <m/>
    <n v="245.86"/>
    <m/>
    <m/>
    <m/>
    <m/>
    <m/>
    <m/>
    <m/>
    <n v="122.93"/>
    <m/>
    <n v="773.62"/>
  </r>
  <r>
    <n v="7"/>
    <x v="7"/>
    <x v="0"/>
    <n v="174054"/>
    <s v="VILLAFAÑE CRISTIAN FABRICIO"/>
    <s v="20-36622446-8"/>
    <d v="2016-08-08T00:00:00"/>
    <n v="36622446"/>
    <s v="VILLAFAÑE"/>
    <s v="CRISTIAN FABRICIO"/>
    <s v="M"/>
    <m/>
    <d v="2016-07-14T00:00:00"/>
    <d v="2016-07-14T00:00:00"/>
    <m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n v="1009"/>
    <s v="GOLETA ESPORA"/>
    <n v="507"/>
    <m/>
    <m/>
    <s v="CAPITAL FEDERAL"/>
    <s v="Capital Federal"/>
    <m/>
    <s v="U.O.Centro"/>
    <m/>
    <n v="2"/>
    <n v="1"/>
    <n v="739.5"/>
    <n v="147.88"/>
    <m/>
    <m/>
    <n v="591.62"/>
    <m/>
    <n v="14.79"/>
    <m/>
    <m/>
    <m/>
    <m/>
    <m/>
    <m/>
    <n v="7.39"/>
    <m/>
    <m/>
    <m/>
    <m/>
    <m/>
    <m/>
    <n v="14.79"/>
    <m/>
    <m/>
    <m/>
    <m/>
    <m/>
    <m/>
    <m/>
    <n v="7.39"/>
    <m/>
    <n v="44.36"/>
  </r>
  <r>
    <n v="7"/>
    <x v="7"/>
    <x v="0"/>
    <n v="173647"/>
    <s v="VILLALBA JIMENA BELEN"/>
    <s v="27-40730484-0"/>
    <d v="2016-08-08T00:00:00"/>
    <n v="40730484"/>
    <s v="VILLALBA"/>
    <s v="JIMENA BELEN"/>
    <s v="F"/>
    <m/>
    <d v="2016-07-08T00:00:00"/>
    <d v="2016-07-08T00:00:00"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n v="1440"/>
    <s v="PERON"/>
    <n v="265"/>
    <n v="1"/>
    <n v="11"/>
    <s v="CAPITAL FEDERAL"/>
    <s v="Capital Federal"/>
    <m/>
    <s v="U.O.Centro"/>
    <m/>
    <n v="2"/>
    <n v="1"/>
    <n v="1662.29"/>
    <n v="332.47"/>
    <m/>
    <m/>
    <n v="1329.82"/>
    <m/>
    <n v="33.25"/>
    <m/>
    <m/>
    <m/>
    <m/>
    <m/>
    <m/>
    <n v="16.62"/>
    <m/>
    <m/>
    <m/>
    <m/>
    <m/>
    <m/>
    <n v="33.25"/>
    <m/>
    <m/>
    <m/>
    <m/>
    <m/>
    <m/>
    <m/>
    <n v="16.62"/>
    <m/>
    <n v="99.74"/>
  </r>
  <r>
    <n v="7"/>
    <x v="7"/>
    <x v="0"/>
    <n v="170044"/>
    <s v="VILLANUEVA STELLA MARIS"/>
    <s v="27-24358222-4"/>
    <d v="2016-08-08T00:00:00"/>
    <n v="24358222"/>
    <s v="VILLANUEVA"/>
    <s v="STELLA MARIS"/>
    <s v="F"/>
    <m/>
    <d v="2016-06-23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BOLIVAR"/>
    <n v="474"/>
    <m/>
    <m/>
    <s v="CAPITAL FEDERAL"/>
    <s v="Buenos Aires"/>
    <m/>
    <s v="U.O.Centro"/>
    <m/>
    <n v="3"/>
    <n v="1"/>
    <n v="12747.61"/>
    <n v="2549.5300000000002"/>
    <m/>
    <n v="191.7"/>
    <n v="10389.780000000001"/>
    <m/>
    <n v="254.95"/>
    <m/>
    <m/>
    <m/>
    <m/>
    <m/>
    <m/>
    <n v="127.48"/>
    <m/>
    <m/>
    <m/>
    <m/>
    <m/>
    <m/>
    <n v="254.95"/>
    <n v="13.09"/>
    <m/>
    <m/>
    <m/>
    <m/>
    <m/>
    <m/>
    <n v="114.39"/>
    <m/>
    <n v="764.86"/>
  </r>
  <r>
    <n v="7"/>
    <x v="7"/>
    <x v="1"/>
    <n v="165035"/>
    <s v="VILLAROEL BARRIOS WILMER OLIVER"/>
    <s v="20-95503977-8"/>
    <d v="2016-08-01T00:00:00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OMBATE DE LOS POZOS"/>
    <n v="764"/>
    <m/>
    <m/>
    <s v="CAPITAL FEDERAL"/>
    <s v="Capital Federal"/>
    <m/>
    <s v="U.O.Centro Paga Inplant"/>
    <m/>
    <n v="1"/>
    <n v="1"/>
    <n v="681.07"/>
    <n v="139.62"/>
    <m/>
    <m/>
    <n v="541.45000000000005"/>
    <n v="17.03"/>
    <m/>
    <m/>
    <m/>
    <m/>
    <m/>
    <m/>
    <m/>
    <n v="6.81"/>
    <m/>
    <m/>
    <m/>
    <m/>
    <m/>
    <m/>
    <n v="13.62"/>
    <m/>
    <m/>
    <m/>
    <m/>
    <m/>
    <m/>
    <m/>
    <n v="6.81"/>
    <m/>
    <n v="44.27"/>
  </r>
  <r>
    <n v="7"/>
    <x v="7"/>
    <x v="1"/>
    <n v="130773"/>
    <s v="WTOREK WALTER EZEQUIEL"/>
    <s v="20-30454246-3"/>
    <d v="2016-08-08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6020.65"/>
    <n v="3284.24"/>
    <m/>
    <m/>
    <n v="12736.41"/>
    <n v="400.52"/>
    <m/>
    <m/>
    <m/>
    <m/>
    <m/>
    <m/>
    <m/>
    <n v="160.21"/>
    <m/>
    <m/>
    <m/>
    <m/>
    <m/>
    <m/>
    <n v="320.41000000000003"/>
    <m/>
    <m/>
    <m/>
    <m/>
    <m/>
    <m/>
    <m/>
    <n v="160.21"/>
    <m/>
    <n v="1041.3499999999999"/>
  </r>
  <r>
    <n v="7"/>
    <x v="7"/>
    <x v="0"/>
    <n v="156235"/>
    <s v="ZENTENO CRISTIAN OSCAR"/>
    <s v="20-37675043-5"/>
    <d v="2016-08-08T00:00:00"/>
    <n v="37675043"/>
    <s v="ZENTENO"/>
    <s v="CRISTIAN OSCAR"/>
    <s v="M"/>
    <m/>
    <d v="2016-02-0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CAMPICHUELO"/>
    <n v="1005"/>
    <m/>
    <m/>
    <s v="CAPITAL FEDERAL"/>
    <s v="Capital Federal"/>
    <m/>
    <s v="U.O.Centro"/>
    <m/>
    <n v="2"/>
    <n v="1"/>
    <n v="5575.03"/>
    <n v="1115.01"/>
    <m/>
    <m/>
    <n v="4460.0200000000004"/>
    <m/>
    <n v="111.5"/>
    <m/>
    <m/>
    <m/>
    <m/>
    <m/>
    <m/>
    <n v="55.75"/>
    <m/>
    <m/>
    <m/>
    <m/>
    <m/>
    <m/>
    <n v="111.5"/>
    <m/>
    <m/>
    <m/>
    <m/>
    <m/>
    <m/>
    <m/>
    <n v="55.75"/>
    <m/>
    <n v="334.5"/>
  </r>
  <r>
    <n v="7"/>
    <x v="7"/>
    <x v="0"/>
    <n v="172976"/>
    <s v="ZOZAYA GABRIELA ALICIA"/>
    <s v="27-36457426-1"/>
    <d v="2016-07-21T00:00:00"/>
    <n v="36457426"/>
    <s v="ZOZAYA"/>
    <s v="GABRIELA ALICIA"/>
    <s v="F"/>
    <m/>
    <d v="2016-07-09T00:00:00"/>
    <d v="2016-07-09T00:00:00"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n v="1440"/>
    <s v="CABO VERDE"/>
    <n v="265"/>
    <m/>
    <m/>
    <s v="CAPITAL FEDERAL"/>
    <s v="Capital Federal"/>
    <m/>
    <s v="U.O.Centro"/>
    <m/>
    <n v="1"/>
    <n v="1"/>
    <n v="1592.7"/>
    <n v="318.54000000000002"/>
    <m/>
    <m/>
    <n v="1274.1600000000001"/>
    <m/>
    <n v="31.85"/>
    <m/>
    <m/>
    <m/>
    <m/>
    <m/>
    <m/>
    <n v="15.93"/>
    <m/>
    <m/>
    <m/>
    <m/>
    <m/>
    <m/>
    <n v="31.85"/>
    <m/>
    <m/>
    <m/>
    <m/>
    <m/>
    <m/>
    <m/>
    <n v="15.93"/>
    <m/>
    <n v="95.56"/>
  </r>
  <r>
    <n v="7"/>
    <x v="7"/>
    <x v="0"/>
    <n v="164888"/>
    <s v="ZURCO IRINA BELEN"/>
    <s v="27-35930307-1"/>
    <d v="2016-08-08T00:00:00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2"/>
    <n v="1"/>
    <n v="2801.18"/>
    <n v="560.25"/>
    <m/>
    <m/>
    <n v="2240.9299999999998"/>
    <m/>
    <n v="56.02"/>
    <m/>
    <m/>
    <m/>
    <m/>
    <m/>
    <m/>
    <n v="28.02"/>
    <m/>
    <m/>
    <m/>
    <m/>
    <m/>
    <m/>
    <n v="56.02"/>
    <m/>
    <m/>
    <m/>
    <m/>
    <m/>
    <m/>
    <m/>
    <n v="28.02"/>
    <m/>
    <n v="168.08"/>
  </r>
  <r>
    <n v="8"/>
    <x v="8"/>
    <x v="0"/>
    <n v="177728"/>
    <s v="ABUSLAIMAN YESICA BELEN"/>
    <s v="27-34693898-1"/>
    <d v="2016-09-06T00:00:00"/>
    <n v="34693898"/>
    <s v="ABUSLAIMAN"/>
    <s v="YESICA BELEN"/>
    <s v="F"/>
    <m/>
    <d v="2016-08-26T00:00:00"/>
    <m/>
    <m/>
    <s v="GASTRONOMICOS-Hoteles 4 y 5 Estrellas - 362/2003"/>
    <s v="Categoria 6"/>
    <x v="17"/>
    <s v="Unidad Base-GL"/>
    <s v="San Isidro"/>
    <s v="Camarero/a"/>
    <n v="108803"/>
    <s v="O.S.P.Gastronomico"/>
    <s v="Buenos Aires - Tigre"/>
    <m/>
    <n v="1648"/>
    <s v="COMBATE DE SAN LORENZO"/>
    <n v="240"/>
    <m/>
    <m/>
    <s v="TIGRE"/>
    <s v="Buenos Aires"/>
    <m/>
    <s v="U.O.San Isidro"/>
    <m/>
    <n v="1"/>
    <n v="1"/>
    <n v="401.12"/>
    <n v="80.209999999999994"/>
    <m/>
    <m/>
    <n v="320.91000000000003"/>
    <m/>
    <n v="8.02"/>
    <m/>
    <m/>
    <m/>
    <m/>
    <m/>
    <m/>
    <n v="4.01"/>
    <m/>
    <m/>
    <m/>
    <m/>
    <m/>
    <m/>
    <n v="8.02"/>
    <m/>
    <m/>
    <m/>
    <m/>
    <m/>
    <m/>
    <m/>
    <n v="4.01"/>
    <m/>
    <n v="24.06"/>
  </r>
  <r>
    <n v="8"/>
    <x v="8"/>
    <x v="1"/>
    <n v="177552"/>
    <s v="ACEVAL MARIA BELEN"/>
    <s v="23-38846176-4"/>
    <d v="2016-08-30T00:00:00"/>
    <n v="38846176"/>
    <s v="ACEVAL"/>
    <s v="MARIA BELEN"/>
    <s v="F"/>
    <m/>
    <d v="2016-08-24T00:00:00"/>
    <d v="2016-08-24T00:00:00"/>
    <n v="42606"/>
    <s v="GASTRONOMICOS-Hoteles 4 y 5 Estrellas - 362/2003"/>
    <s v="Categoría 4"/>
    <x v="3"/>
    <s v="Unidad Principal"/>
    <s v="Centro"/>
    <s v="Mucama"/>
    <n v="108803"/>
    <s v="O.S.P.Gastronomico"/>
    <s v="Capital Federal"/>
    <m/>
    <n v="1002"/>
    <s v="BOLAÑOS"/>
    <n v="764"/>
    <m/>
    <m/>
    <s v="CAPITAL FEDERAL"/>
    <s v="Capital Federal"/>
    <m/>
    <s v="U.O.Centro"/>
    <m/>
    <n v="1"/>
    <n v="1"/>
    <n v="743.16"/>
    <n v="148.62"/>
    <m/>
    <m/>
    <n v="594.54"/>
    <m/>
    <n v="14.86"/>
    <m/>
    <m/>
    <m/>
    <m/>
    <m/>
    <m/>
    <n v="7.43"/>
    <m/>
    <m/>
    <m/>
    <m/>
    <m/>
    <m/>
    <n v="14.86"/>
    <m/>
    <m/>
    <m/>
    <m/>
    <m/>
    <m/>
    <m/>
    <n v="7.43"/>
    <m/>
    <n v="44.58"/>
  </r>
  <r>
    <n v="8"/>
    <x v="8"/>
    <x v="0"/>
    <n v="176112"/>
    <s v="ACEVEDO FLAVIA ANALIA"/>
    <s v="27-28987335-5"/>
    <d v="2016-09-06T00:00:00"/>
    <n v="28987335"/>
    <s v="ACEVEDO"/>
    <s v="FLAVIA ANALIA"/>
    <s v="F"/>
    <m/>
    <d v="2016-07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NGALLO"/>
    <n v="1225"/>
    <m/>
    <m/>
    <s v="CAPITAL FEDERAL"/>
    <s v="Buenos Aires"/>
    <m/>
    <s v="U.O.Centro"/>
    <m/>
    <n v="5"/>
    <n v="1"/>
    <n v="11776.9"/>
    <n v="2361.98"/>
    <m/>
    <n v="329.48"/>
    <n v="9744.4"/>
    <m/>
    <n v="242.13"/>
    <m/>
    <m/>
    <m/>
    <m/>
    <m/>
    <m/>
    <n v="117.77"/>
    <m/>
    <m/>
    <m/>
    <m/>
    <m/>
    <m/>
    <n v="242.13"/>
    <m/>
    <m/>
    <n v="-6.59"/>
    <m/>
    <m/>
    <m/>
    <m/>
    <n v="117.77"/>
    <m/>
    <n v="713.21"/>
  </r>
  <r>
    <n v="8"/>
    <x v="8"/>
    <x v="1"/>
    <n v="170882"/>
    <s v="ACOSTA ADRIAN JOSE"/>
    <s v="23-30887276-9"/>
    <d v="2016-08-30T00:00:00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n v="1002"/>
    <s v="GRAL MOLINA"/>
    <n v="764"/>
    <m/>
    <m/>
    <s v="CAPITAL FEDERAL"/>
    <s v="Capital Federal"/>
    <m/>
    <s v="U.O.Centro Paga Inplant"/>
    <m/>
    <n v="2"/>
    <n v="1"/>
    <n v="4862.18"/>
    <n v="1059.71"/>
    <m/>
    <n v="4363.57"/>
    <n v="8166.04"/>
    <m/>
    <n v="184.51"/>
    <m/>
    <m/>
    <m/>
    <m/>
    <m/>
    <m/>
    <n v="48.62"/>
    <m/>
    <m/>
    <m/>
    <m/>
    <m/>
    <m/>
    <n v="184.51"/>
    <m/>
    <m/>
    <m/>
    <m/>
    <m/>
    <m/>
    <m/>
    <n v="48.62"/>
    <m/>
    <n v="466.26"/>
  </r>
  <r>
    <n v="8"/>
    <x v="8"/>
    <x v="0"/>
    <n v="118846"/>
    <s v="ACOSTA SUSANA BEATRIZ"/>
    <s v="27-32902543-3"/>
    <d v="2016-09-06T00:00:0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n v="1008"/>
    <s v="JUEZ TEDIN"/>
    <n v="948"/>
    <m/>
    <m/>
    <s v="CAPITAL FEDERAL"/>
    <s v="Capital Federal"/>
    <m/>
    <s v="U.O.Centro"/>
    <m/>
    <n v="2"/>
    <n v="1"/>
    <n v="1383.03"/>
    <n v="339.41"/>
    <m/>
    <n v="3140.62"/>
    <n v="4184.24"/>
    <m/>
    <n v="90.47"/>
    <m/>
    <m/>
    <m/>
    <m/>
    <m/>
    <m/>
    <n v="13.83"/>
    <m/>
    <m/>
    <m/>
    <m/>
    <m/>
    <m/>
    <n v="90.47"/>
    <m/>
    <m/>
    <m/>
    <m/>
    <m/>
    <m/>
    <m/>
    <n v="13.83"/>
    <m/>
    <n v="208.6"/>
  </r>
  <r>
    <n v="8"/>
    <x v="8"/>
    <x v="0"/>
    <n v="139738"/>
    <s v="ALEGRE FLAVIO RODRIGO"/>
    <s v="20-30462269-6"/>
    <d v="2016-09-06T00:00:00"/>
    <n v="30462269"/>
    <s v="ALEGRE"/>
    <s v="FLAVIO RODRIGO"/>
    <s v="M"/>
    <m/>
    <d v="2015-10-07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MBAT. DE LOS POZOS"/>
    <n v="1005"/>
    <n v="3"/>
    <m/>
    <s v="CAPITAL FEDERAL"/>
    <s v="Capital Federal"/>
    <m/>
    <s v="U.O.Centro"/>
    <m/>
    <n v="8"/>
    <n v="1"/>
    <n v="23351.49"/>
    <n v="4663.49"/>
    <m/>
    <n v="2219.67"/>
    <n v="20907.669999999998"/>
    <m/>
    <n v="511.43"/>
    <m/>
    <m/>
    <m/>
    <m/>
    <m/>
    <m/>
    <n v="182.32"/>
    <m/>
    <m/>
    <m/>
    <m/>
    <m/>
    <m/>
    <n v="511.43"/>
    <m/>
    <m/>
    <m/>
    <m/>
    <m/>
    <m/>
    <m/>
    <n v="182.32"/>
    <m/>
    <n v="1387.5"/>
  </r>
  <r>
    <n v="8"/>
    <x v="8"/>
    <x v="0"/>
    <n v="168236"/>
    <s v="ALFONZO SEBASTIAN ALEJANDRO"/>
    <s v="20-34553164-6"/>
    <d v="2016-09-06T00:00:0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AVENIDA PUEYRREDON"/>
    <n v="1225"/>
    <m/>
    <m/>
    <s v="CAPITAL FEDERAL"/>
    <s v="Buenos Aires"/>
    <m/>
    <s v="U.O.Centro"/>
    <m/>
    <n v="4"/>
    <n v="1"/>
    <n v="9458.11"/>
    <n v="1931.17"/>
    <m/>
    <n v="1976.4"/>
    <n v="9503.34"/>
    <m/>
    <n v="228.69"/>
    <m/>
    <m/>
    <m/>
    <m/>
    <m/>
    <m/>
    <n v="94.58"/>
    <m/>
    <m/>
    <m/>
    <m/>
    <m/>
    <m/>
    <n v="228.69"/>
    <m/>
    <m/>
    <n v="-39.53"/>
    <m/>
    <m/>
    <m/>
    <m/>
    <n v="94.58"/>
    <m/>
    <n v="607.01"/>
  </r>
  <r>
    <n v="8"/>
    <x v="8"/>
    <x v="0"/>
    <n v="171273"/>
    <s v="ALONSO LUCIANO ANDRES"/>
    <s v="20-37206267-4"/>
    <d v="2016-09-06T00:00:00"/>
    <n v="37206267"/>
    <s v="ALONSO"/>
    <s v="LUCIANO ANDRES"/>
    <s v="F"/>
    <m/>
    <d v="2016-04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RMIENTO"/>
    <n v="1225"/>
    <n v="11"/>
    <m/>
    <s v="CAPITAL FEDERAL"/>
    <s v="Buenos Aires"/>
    <m/>
    <s v="U.O.Centro"/>
    <m/>
    <n v="2"/>
    <n v="1"/>
    <m/>
    <n v="5.35"/>
    <m/>
    <n v="267.7"/>
    <n v="262.35000000000002"/>
    <m/>
    <n v="5.35"/>
    <m/>
    <m/>
    <m/>
    <m/>
    <m/>
    <m/>
    <m/>
    <m/>
    <m/>
    <m/>
    <m/>
    <m/>
    <m/>
    <n v="5.35"/>
    <m/>
    <m/>
    <n v="-5.35"/>
    <m/>
    <m/>
    <m/>
    <m/>
    <m/>
    <m/>
    <n v="5.35"/>
  </r>
  <r>
    <n v="8"/>
    <x v="8"/>
    <x v="0"/>
    <n v="160165"/>
    <s v="ALONZO JAVIER ANTONIO"/>
    <s v="20-25146812-6"/>
    <d v="2016-09-06T00:00:00"/>
    <n v="25146812"/>
    <s v="ALONZO"/>
    <s v="JAVIER ANTONIO"/>
    <s v="M"/>
    <m/>
    <d v="2016-08-19T00:00:00"/>
    <d v="2016-08-19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CALLAO"/>
    <n v="1225"/>
    <m/>
    <m/>
    <s v="CAPITAL FEDERAL"/>
    <s v="Buenos Aires"/>
    <m/>
    <s v="U.O.Centro"/>
    <m/>
    <n v="5"/>
    <n v="1"/>
    <n v="2750.81"/>
    <n v="558.49"/>
    <m/>
    <n v="414.93"/>
    <n v="2607.25"/>
    <m/>
    <n v="63.32"/>
    <m/>
    <m/>
    <m/>
    <m/>
    <m/>
    <m/>
    <n v="27.51"/>
    <m/>
    <m/>
    <m/>
    <m/>
    <m/>
    <m/>
    <n v="63.32"/>
    <m/>
    <m/>
    <m/>
    <m/>
    <m/>
    <m/>
    <m/>
    <n v="27.51"/>
    <m/>
    <n v="181.66"/>
  </r>
  <r>
    <n v="8"/>
    <x v="8"/>
    <x v="0"/>
    <n v="163395"/>
    <s v="ALTAMIRANO EUGENIA DELIA"/>
    <s v="27-33347518-4"/>
    <d v="2016-09-06T00:00:00"/>
    <n v="33347518"/>
    <s v="ALTAMIRANO"/>
    <s v="EUGENIA DELIA"/>
    <s v="F"/>
    <m/>
    <d v="2015-12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ONTEGUDO"/>
    <n v="1225"/>
    <m/>
    <m/>
    <s v="CAPITAL FEDERAL"/>
    <s v="Buenos Aires"/>
    <m/>
    <s v="U.O.Pacheco"/>
    <m/>
    <n v="4"/>
    <n v="1"/>
    <n v="7788.88"/>
    <n v="1573.83"/>
    <m/>
    <n v="803.1"/>
    <n v="7018.15"/>
    <m/>
    <n v="171.83"/>
    <m/>
    <m/>
    <m/>
    <m/>
    <m/>
    <m/>
    <n v="77.89"/>
    <m/>
    <m/>
    <m/>
    <m/>
    <m/>
    <m/>
    <n v="171.83"/>
    <m/>
    <m/>
    <n v="-16.059999999999999"/>
    <m/>
    <m/>
    <m/>
    <m/>
    <n v="77.89"/>
    <m/>
    <n v="483.38"/>
  </r>
  <r>
    <n v="8"/>
    <x v="8"/>
    <x v="0"/>
    <n v="156038"/>
    <s v="AMARILLA GLADIS NORMA"/>
    <s v="27-31471414-3"/>
    <d v="2016-09-06T00:00:00"/>
    <n v="31471414"/>
    <s v="AMARILLA"/>
    <s v="GLADIS NORM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N JAVIER"/>
    <n v="1225"/>
    <m/>
    <m/>
    <s v="CAPITAL FEDERAL"/>
    <s v="Buenos Aires"/>
    <m/>
    <s v="U.O.Centro"/>
    <m/>
    <n v="4"/>
    <n v="1"/>
    <n v="8917.25"/>
    <n v="1806.71"/>
    <m/>
    <n v="1163.76"/>
    <n v="8274.2999999999993"/>
    <m/>
    <n v="201.61"/>
    <m/>
    <m/>
    <m/>
    <m/>
    <m/>
    <m/>
    <n v="89.17"/>
    <m/>
    <m/>
    <m/>
    <m/>
    <m/>
    <m/>
    <n v="201.61"/>
    <m/>
    <m/>
    <m/>
    <m/>
    <m/>
    <m/>
    <m/>
    <n v="89.17"/>
    <m/>
    <n v="581.55999999999995"/>
  </r>
  <r>
    <n v="8"/>
    <x v="8"/>
    <x v="0"/>
    <n v="172090"/>
    <s v="ANGULO QUINTERO JUAN FRANCISCO"/>
    <s v="20-95530684-9"/>
    <d v="2016-09-06T00:00:00"/>
    <n v="95530684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LTA"/>
    <n v="1225"/>
    <m/>
    <m/>
    <s v="CAPITAL FEDERAL"/>
    <s v="Buenos Aires"/>
    <m/>
    <s v="U.O.Centro"/>
    <m/>
    <n v="4"/>
    <n v="1"/>
    <n v="6414.37"/>
    <n v="1302.1400000000001"/>
    <m/>
    <n v="963.72"/>
    <n v="6075.95"/>
    <m/>
    <n v="147.55000000000001"/>
    <m/>
    <m/>
    <m/>
    <m/>
    <m/>
    <m/>
    <n v="64.150000000000006"/>
    <m/>
    <m/>
    <m/>
    <m/>
    <m/>
    <m/>
    <n v="147.55000000000001"/>
    <m/>
    <m/>
    <n v="-19.27"/>
    <m/>
    <m/>
    <m/>
    <m/>
    <n v="64.150000000000006"/>
    <m/>
    <n v="404.13"/>
  </r>
  <r>
    <n v="8"/>
    <x v="8"/>
    <x v="0"/>
    <n v="175159"/>
    <s v="ARANDA DIEGO MAXIMILIANO"/>
    <s v="20-37226133-2"/>
    <d v="2016-09-06T00:00:00"/>
    <n v="37226133"/>
    <s v="ARANDA"/>
    <s v="DIEGO MAXIMILIANO"/>
    <s v="M"/>
    <m/>
    <d v="2016-07-05T00:00:00"/>
    <d v="2016-07-28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armen de Areco"/>
    <n v="1225"/>
    <s v="No"/>
    <s v="No"/>
    <s v="CAPITAL FEDERAL"/>
    <s v="Buenos Aires"/>
    <m/>
    <s v="U.O.Centro"/>
    <m/>
    <n v="2"/>
    <n v="1"/>
    <m/>
    <n v="41.1"/>
    <m/>
    <n v="2055.12"/>
    <n v="2014.02"/>
    <m/>
    <n v="41.1"/>
    <m/>
    <m/>
    <m/>
    <m/>
    <m/>
    <m/>
    <m/>
    <m/>
    <m/>
    <m/>
    <m/>
    <m/>
    <m/>
    <n v="41.1"/>
    <m/>
    <m/>
    <n v="-41.1"/>
    <m/>
    <m/>
    <m/>
    <m/>
    <m/>
    <m/>
    <n v="41.1"/>
  </r>
  <r>
    <n v="8"/>
    <x v="8"/>
    <x v="0"/>
    <n v="173246"/>
    <s v="ARBOLELLA LAUTARO URIEL GABRIEL"/>
    <s v="27-33782994-0"/>
    <d v="2016-09-06T00:00:00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SALGUERO"/>
    <n v="1225"/>
    <n v="2"/>
    <s v="B"/>
    <s v="CAPITAL FEDERAL"/>
    <s v="Buenos Aires"/>
    <m/>
    <s v="U.O.Centro"/>
    <m/>
    <n v="4"/>
    <n v="1"/>
    <n v="6631.3"/>
    <n v="1342.67"/>
    <m/>
    <n v="820.44"/>
    <n v="6109.07"/>
    <m/>
    <n v="149.04"/>
    <m/>
    <m/>
    <m/>
    <m/>
    <m/>
    <m/>
    <n v="66.31"/>
    <m/>
    <m/>
    <m/>
    <m/>
    <m/>
    <m/>
    <n v="149.04"/>
    <m/>
    <m/>
    <n v="-16.41"/>
    <m/>
    <m/>
    <m/>
    <m/>
    <n v="66.31"/>
    <m/>
    <n v="414.29"/>
  </r>
  <r>
    <n v="8"/>
    <x v="8"/>
    <x v="0"/>
    <n v="169461"/>
    <s v="AREGUATI MARIA LUZ"/>
    <s v="27-35880306-2"/>
    <d v="2016-09-06T00:00:00"/>
    <n v="35880306"/>
    <s v="AREGUATI"/>
    <s v="MARIA LUZ"/>
    <s v="F"/>
    <m/>
    <d v="2016-03-01T00:00:00"/>
    <d v="2016-08-25T00:00:00"/>
    <n v="42608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DARCO"/>
    <n v="1225"/>
    <m/>
    <m/>
    <s v="CAPITAL FEDERAL"/>
    <s v="Buenos Aires"/>
    <m/>
    <s v="U.O.San Justo"/>
    <m/>
    <n v="4"/>
    <n v="1"/>
    <n v="6884.96"/>
    <n v="1411.6"/>
    <m/>
    <n v="1729.77"/>
    <n v="7203.13"/>
    <m/>
    <n v="172.3"/>
    <m/>
    <m/>
    <m/>
    <m/>
    <m/>
    <m/>
    <n v="68.849999999999994"/>
    <m/>
    <m/>
    <m/>
    <m/>
    <m/>
    <m/>
    <n v="172.3"/>
    <m/>
    <m/>
    <n v="-34.6"/>
    <m/>
    <m/>
    <m/>
    <m/>
    <n v="68.849999999999994"/>
    <m/>
    <n v="447.7"/>
  </r>
  <r>
    <n v="8"/>
    <x v="8"/>
    <x v="0"/>
    <n v="139740"/>
    <s v="AREVALO PABLO DAVID"/>
    <s v="20-37897359-8"/>
    <d v="2016-09-06T00:00:00"/>
    <n v="37897359"/>
    <s v="AREVALO"/>
    <s v="PABL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UJAN"/>
    <n v="1225"/>
    <m/>
    <m/>
    <s v="CAPITAL FEDERAL"/>
    <s v="Buenos Aires"/>
    <m/>
    <s v="U.O.Centro"/>
    <m/>
    <n v="6"/>
    <n v="1"/>
    <n v="4308.54"/>
    <n v="883.8"/>
    <m/>
    <n v="1291.6500000000001"/>
    <n v="4716.3900000000003"/>
    <m/>
    <n v="112"/>
    <m/>
    <m/>
    <m/>
    <m/>
    <m/>
    <m/>
    <n v="39.369999999999997"/>
    <m/>
    <m/>
    <m/>
    <m/>
    <m/>
    <m/>
    <n v="112"/>
    <m/>
    <m/>
    <m/>
    <m/>
    <m/>
    <m/>
    <m/>
    <n v="39.369999999999997"/>
    <m/>
    <n v="302.74"/>
  </r>
  <r>
    <n v="8"/>
    <x v="8"/>
    <x v="0"/>
    <n v="166810"/>
    <s v="ARRIETA CLAUDIA ALEJANDRA"/>
    <s v="27-20538808-2"/>
    <d v="2016-08-22T00:00:00"/>
    <n v="20538808"/>
    <s v="ARRIETA"/>
    <s v="CLAUDIA ALEJANDRA"/>
    <s v="F"/>
    <m/>
    <d v="2016-01-22T00:00:00"/>
    <d v="2016-06-09T00:00:00"/>
    <n v="42530"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ARACAS"/>
    <n v="474"/>
    <m/>
    <m/>
    <s v="CAPITAL FEDERAL"/>
    <s v="Buenos Aires"/>
    <m/>
    <s v="U.O.Centro"/>
    <m/>
    <n v="1"/>
    <n v="1"/>
    <m/>
    <n v="8.6300000000000008"/>
    <m/>
    <n v="431.6"/>
    <n v="422.97"/>
    <m/>
    <n v="8.6300000000000008"/>
    <m/>
    <m/>
    <m/>
    <m/>
    <m/>
    <m/>
    <m/>
    <m/>
    <m/>
    <m/>
    <m/>
    <m/>
    <m/>
    <n v="8.6300000000000008"/>
    <m/>
    <m/>
    <m/>
    <m/>
    <m/>
    <m/>
    <m/>
    <m/>
    <m/>
    <n v="17.260000000000002"/>
  </r>
  <r>
    <n v="8"/>
    <x v="8"/>
    <x v="0"/>
    <n v="177462"/>
    <s v="ASPRES IGNACIO DAVID"/>
    <s v="23-39159959-9"/>
    <d v="2016-09-06T00:00:00"/>
    <n v="39159959"/>
    <s v="ASPRES"/>
    <s v="IGNACI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VICTORICA"/>
    <n v="1225"/>
    <m/>
    <m/>
    <s v="CAPITAL FEDERAL"/>
    <s v="Buenos Aires"/>
    <m/>
    <s v="U.O.Centro"/>
    <m/>
    <n v="1"/>
    <n v="1"/>
    <n v="4123.53"/>
    <n v="824.72"/>
    <m/>
    <m/>
    <n v="3298.81"/>
    <m/>
    <n v="82.47"/>
    <m/>
    <m/>
    <m/>
    <m/>
    <m/>
    <m/>
    <n v="41.24"/>
    <m/>
    <m/>
    <m/>
    <m/>
    <m/>
    <m/>
    <n v="82.47"/>
    <m/>
    <m/>
    <m/>
    <m/>
    <m/>
    <m/>
    <m/>
    <n v="41.24"/>
    <m/>
    <n v="247.42"/>
  </r>
  <r>
    <n v="8"/>
    <x v="8"/>
    <x v="0"/>
    <n v="173402"/>
    <s v="AUHAD MARIA DELFINA"/>
    <s v="27-33808278-4"/>
    <d v="2016-09-06T00:00:00"/>
    <n v="33808278"/>
    <s v="AUHAD"/>
    <s v="MARIA DELFINA"/>
    <s v="F"/>
    <m/>
    <d v="2016-05-21T00:00:00"/>
    <m/>
    <m/>
    <s v="GASTRONOMICOS-Hoteles 4 y 5 Estrellas - 362/2003"/>
    <s v="Categoria 3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3"/>
    <n v="1"/>
    <n v="12453.01"/>
    <n v="2548.0300000000002"/>
    <m/>
    <n v="2871.54"/>
    <n v="12776.52"/>
    <m/>
    <n v="306.49"/>
    <m/>
    <m/>
    <m/>
    <m/>
    <m/>
    <m/>
    <n v="124.53"/>
    <m/>
    <m/>
    <m/>
    <m/>
    <m/>
    <m/>
    <n v="306.49"/>
    <m/>
    <m/>
    <m/>
    <m/>
    <m/>
    <m/>
    <m/>
    <n v="124.53"/>
    <m/>
    <n v="862.04"/>
  </r>
  <r>
    <n v="8"/>
    <x v="8"/>
    <x v="0"/>
    <n v="173369"/>
    <s v="AYALA NUÑEZ SONIA REYNA"/>
    <s v="27-95412275-7"/>
    <d v="2016-09-06T00:00:00"/>
    <n v="95412275"/>
    <s v="AYALA NUÑEZ"/>
    <s v="SONIA REYNA"/>
    <s v="F"/>
    <m/>
    <d v="2016-05-20T00:00:00"/>
    <d v="2016-08-22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LARREA"/>
    <n v="1225"/>
    <n v="1"/>
    <s v="D"/>
    <s v="CAPITAL FEDERAL"/>
    <s v="Buenos Aires"/>
    <m/>
    <s v="U.O.Centro"/>
    <m/>
    <n v="3"/>
    <n v="1"/>
    <n v="2503.63"/>
    <n v="551.79999999999995"/>
    <m/>
    <n v="2553.4699999999998"/>
    <n v="4505.3"/>
    <m/>
    <n v="101.14"/>
    <m/>
    <m/>
    <m/>
    <m/>
    <m/>
    <m/>
    <n v="25.04"/>
    <m/>
    <m/>
    <m/>
    <m/>
    <m/>
    <m/>
    <n v="101.14"/>
    <m/>
    <m/>
    <n v="-51.07"/>
    <m/>
    <m/>
    <m/>
    <m/>
    <n v="25.04"/>
    <m/>
    <n v="201.29"/>
  </r>
  <r>
    <n v="8"/>
    <x v="8"/>
    <x v="0"/>
    <n v="175079"/>
    <s v="AYMERIC CRISTIAN DAMIAN"/>
    <s v="20-35863307-3"/>
    <d v="2016-09-06T00:00:00"/>
    <n v="35863307"/>
    <s v="AYMERIC"/>
    <s v="CRISTIAN DAMIAN"/>
    <s v="M"/>
    <m/>
    <d v="2016-07-03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GAONA"/>
    <n v="1225"/>
    <m/>
    <m/>
    <s v="CAPITAL FEDERAL"/>
    <s v="Buenos Aires"/>
    <m/>
    <s v="U.O.Centro"/>
    <m/>
    <n v="4"/>
    <n v="1"/>
    <n v="5196.12"/>
    <n v="1051.3699999999999"/>
    <m/>
    <n v="607.76"/>
    <n v="4752.51"/>
    <m/>
    <n v="116.08"/>
    <m/>
    <m/>
    <m/>
    <m/>
    <m/>
    <m/>
    <n v="51.96"/>
    <m/>
    <m/>
    <m/>
    <m/>
    <m/>
    <m/>
    <n v="116.08"/>
    <m/>
    <m/>
    <n v="-12.16"/>
    <m/>
    <m/>
    <m/>
    <m/>
    <n v="51.96"/>
    <m/>
    <n v="323.92"/>
  </r>
  <r>
    <n v="8"/>
    <x v="8"/>
    <x v="0"/>
    <n v="177860"/>
    <s v="BAREIRO OLGA ESTER"/>
    <s v="27-26866306-7"/>
    <d v="2016-09-06T00:00:00"/>
    <n v="26866306"/>
    <s v="BAREIRO"/>
    <s v="OLGA ESTER"/>
    <s v="F"/>
    <m/>
    <d v="2016-08-26T00:00:00"/>
    <m/>
    <m/>
    <s v="GASTRONOMICOS-Hoteles 4 y 5 Estrellas - 362/2003"/>
    <s v="Categoría 4"/>
    <x v="5"/>
    <s v="Mucamas - GL"/>
    <s v="Centro"/>
    <s v="Mucama"/>
    <n v="121002"/>
    <s v="O.S.P.Ind.Textil"/>
    <s v="Capital Federal"/>
    <m/>
    <n v="1104"/>
    <s v="BERNARDINO RIVADAVIA"/>
    <n v="1225"/>
    <n v="3"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8"/>
    <x v="8"/>
    <x v="0"/>
    <n v="176956"/>
    <s v="BARRETO FABIAN ORLANDO"/>
    <s v="20-35367966-0"/>
    <d v="2016-09-06T00:00:00"/>
    <n v="35367966"/>
    <s v="BARRETO"/>
    <s v="FABIAN ORLANDO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SANTO DOMINGO"/>
    <n v="1005"/>
    <n v="1"/>
    <m/>
    <s v="CAPITAL FEDERAL"/>
    <s v="Capital Federal"/>
    <m/>
    <s v="U.O.Centro"/>
    <m/>
    <n v="4"/>
    <n v="1"/>
    <n v="4398.63"/>
    <n v="869.36"/>
    <m/>
    <m/>
    <n v="3529.27"/>
    <m/>
    <n v="87.98"/>
    <m/>
    <m/>
    <m/>
    <m/>
    <m/>
    <m/>
    <n v="33.6"/>
    <m/>
    <m/>
    <m/>
    <m/>
    <m/>
    <m/>
    <n v="87.98"/>
    <m/>
    <m/>
    <m/>
    <m/>
    <m/>
    <m/>
    <m/>
    <n v="33.6"/>
    <m/>
    <n v="243.16"/>
  </r>
  <r>
    <n v="8"/>
    <x v="8"/>
    <x v="0"/>
    <n v="155970"/>
    <s v="BARRIONUEVO SILVIA NOEMI"/>
    <s v="27-22804897-1"/>
    <d v="2016-09-06T00:00:00"/>
    <n v="22804897"/>
    <s v="BARRIONUEVO"/>
    <s v="SILVIA NOEMI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COBO CURAPALIGUE"/>
    <n v="1225"/>
    <s v="A"/>
    <m/>
    <s v="CAPITAL FEDERAL"/>
    <s v="Buenos Aires"/>
    <m/>
    <s v="U.O.Centro"/>
    <m/>
    <n v="5"/>
    <n v="1"/>
    <n v="2773.16"/>
    <n v="576.86"/>
    <m/>
    <n v="1351.41"/>
    <n v="3547.71"/>
    <m/>
    <n v="82.5"/>
    <m/>
    <m/>
    <m/>
    <m/>
    <m/>
    <m/>
    <n v="22.91"/>
    <m/>
    <m/>
    <m/>
    <m/>
    <m/>
    <m/>
    <n v="82.5"/>
    <m/>
    <m/>
    <m/>
    <m/>
    <m/>
    <m/>
    <m/>
    <n v="22.91"/>
    <m/>
    <n v="210.82"/>
  </r>
  <r>
    <n v="8"/>
    <x v="8"/>
    <x v="0"/>
    <n v="150709"/>
    <s v="BARRIOS NAHUEL ALEJANDRO"/>
    <s v="20-39155005-1"/>
    <d v="2016-09-06T00:00:00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n v="1004"/>
    <s v="CALA"/>
    <n v="474"/>
    <m/>
    <m/>
    <s v="CAPITAL FEDERAL"/>
    <s v="Buenos Aires"/>
    <m/>
    <s v="U.O.Centro"/>
    <m/>
    <n v="2"/>
    <n v="1"/>
    <n v="8826.83"/>
    <n v="1799.91"/>
    <m/>
    <n v="1727.6"/>
    <n v="8754.52"/>
    <m/>
    <n v="211.09"/>
    <m/>
    <m/>
    <m/>
    <m/>
    <m/>
    <m/>
    <n v="88.27"/>
    <m/>
    <m/>
    <m/>
    <m/>
    <m/>
    <m/>
    <n v="211.09"/>
    <m/>
    <m/>
    <m/>
    <m/>
    <m/>
    <m/>
    <m/>
    <n v="88.27"/>
    <m/>
    <n v="598.72"/>
  </r>
  <r>
    <n v="8"/>
    <x v="8"/>
    <x v="0"/>
    <n v="171010"/>
    <s v="BAYA ANDRES FERNANDO"/>
    <s v="20-32123994-4"/>
    <d v="2016-09-06T00:00:00"/>
    <n v="32123994"/>
    <s v="BAYA"/>
    <s v="ANDRES FERNANDO"/>
    <s v="M"/>
    <m/>
    <d v="2016-03-31T00:00:00"/>
    <d v="2016-08-04T00:00:00"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MARCELO T DE ALVEAR"/>
    <n v="1005"/>
    <m/>
    <m/>
    <s v="CAPITAL FEDERAL"/>
    <s v="Capital Federal"/>
    <m/>
    <s v="U.O.Centro"/>
    <m/>
    <n v="4"/>
    <n v="1"/>
    <n v="10266.14"/>
    <n v="1890.26"/>
    <m/>
    <n v="1049.24"/>
    <n v="9425.1200000000008"/>
    <m/>
    <n v="134.33000000000001"/>
    <m/>
    <m/>
    <m/>
    <m/>
    <m/>
    <m/>
    <n v="10.69"/>
    <m/>
    <m/>
    <m/>
    <m/>
    <m/>
    <m/>
    <n v="134.33000000000001"/>
    <m/>
    <m/>
    <m/>
    <m/>
    <m/>
    <m/>
    <m/>
    <n v="10.69"/>
    <m/>
    <n v="290.04000000000002"/>
  </r>
  <r>
    <n v="8"/>
    <x v="8"/>
    <x v="0"/>
    <n v="177168"/>
    <s v="BEJARANO DIEGO ARMANDO"/>
    <s v="20-34529330-3"/>
    <d v="2016-09-06T00:00:00"/>
    <n v="34529330"/>
    <s v="BEJARANO"/>
    <s v="DIEGO ARMANDO"/>
    <s v="M"/>
    <m/>
    <d v="2016-08-12T00:00:00"/>
    <d v="2016-08-17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oncepcion Arenal"/>
    <n v="1225"/>
    <m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8"/>
    <x v="8"/>
    <x v="0"/>
    <n v="158285"/>
    <s v="BELTRAN CAROLINA VANESA"/>
    <s v="27-35803096-9"/>
    <d v="2016-09-06T00:00:00"/>
    <n v="35803096"/>
    <s v="BELTRAN"/>
    <s v="CAROLINA VANESA"/>
    <s v="F"/>
    <m/>
    <d v="2015-09-26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SANTIAGO DE LINIERS"/>
    <n v="1005"/>
    <m/>
    <m/>
    <s v="CAPITAL FEDERAL"/>
    <s v="Capital Federal"/>
    <m/>
    <s v="U.O.Centro"/>
    <m/>
    <n v="4"/>
    <n v="1"/>
    <n v="1883.37"/>
    <n v="380.46"/>
    <m/>
    <n v="189.49"/>
    <n v="1692.4"/>
    <m/>
    <n v="41.46"/>
    <m/>
    <m/>
    <m/>
    <m/>
    <m/>
    <m/>
    <n v="18.829999999999998"/>
    <m/>
    <m/>
    <m/>
    <m/>
    <m/>
    <m/>
    <n v="41.46"/>
    <m/>
    <m/>
    <m/>
    <m/>
    <m/>
    <m/>
    <m/>
    <n v="18.829999999999998"/>
    <m/>
    <n v="120.58"/>
  </r>
  <r>
    <n v="8"/>
    <x v="8"/>
    <x v="0"/>
    <n v="153657"/>
    <s v="BENITEZ LEONARDO RAMON"/>
    <s v="20-36457404-6"/>
    <d v="2016-09-06T00:00:00"/>
    <n v="36457404"/>
    <s v="BENITEZ"/>
    <s v="LEONARDO RAMON"/>
    <s v="M"/>
    <m/>
    <d v="2016-02-15T00:00:00"/>
    <d v="2016-07-21T00:00:00"/>
    <n v="42572"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PUENTE MARQUEZ"/>
    <n v="181"/>
    <m/>
    <m/>
    <s v="CAPITAL FEDERAL"/>
    <s v="Capital Federal"/>
    <m/>
    <s v="U.O.Centro"/>
    <m/>
    <n v="1"/>
    <n v="1"/>
    <m/>
    <n v="5.94"/>
    <m/>
    <n v="296.77999999999997"/>
    <n v="290.83999999999997"/>
    <m/>
    <n v="5.94"/>
    <m/>
    <m/>
    <m/>
    <m/>
    <m/>
    <m/>
    <m/>
    <m/>
    <m/>
    <m/>
    <m/>
    <m/>
    <m/>
    <n v="5.94"/>
    <m/>
    <m/>
    <m/>
    <m/>
    <m/>
    <m/>
    <m/>
    <m/>
    <m/>
    <n v="11.88"/>
  </r>
  <r>
    <n v="8"/>
    <x v="8"/>
    <x v="0"/>
    <n v="173416"/>
    <s v="BERGARA LUIS ERNESTO"/>
    <s v="20-39492544-7"/>
    <d v="2016-08-22T00:00:00"/>
    <n v="39492544"/>
    <s v="BERGARA"/>
    <s v="LUIS ERNESTO"/>
    <s v="M"/>
    <m/>
    <d v="2016-06-1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SUAREZ"/>
    <n v="1232"/>
    <n v="1"/>
    <n v="1"/>
    <s v="CAPITAL FEDERAL"/>
    <s v="Buenos Aires"/>
    <m/>
    <s v="U.O.Centro"/>
    <s v="Cocina"/>
    <n v="1"/>
    <n v="1"/>
    <m/>
    <n v="1.82"/>
    <m/>
    <n v="91.16"/>
    <n v="89.34"/>
    <m/>
    <n v="1.82"/>
    <m/>
    <m/>
    <m/>
    <m/>
    <m/>
    <m/>
    <m/>
    <m/>
    <m/>
    <m/>
    <m/>
    <m/>
    <m/>
    <n v="1.82"/>
    <m/>
    <m/>
    <m/>
    <m/>
    <m/>
    <m/>
    <m/>
    <m/>
    <m/>
    <n v="3.64"/>
  </r>
  <r>
    <n v="8"/>
    <x v="8"/>
    <x v="0"/>
    <n v="174969"/>
    <s v="BERRUTI MARTIN EZEQUIEL"/>
    <s v="20-37249383-7"/>
    <d v="2016-09-06T00:00:00"/>
    <n v="37249383"/>
    <s v="BERRUTI"/>
    <s v="MARTIN EZEQUIEL"/>
    <s v="M"/>
    <m/>
    <d v="2016-06-30T00:00:00"/>
    <d v="2016-08-01T00:00:00"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LAMBARDI"/>
    <n v="1225"/>
    <m/>
    <m/>
    <s v="CAPITAL FEDERAL"/>
    <s v="Buenos Aires"/>
    <m/>
    <s v="U.O.Centro"/>
    <m/>
    <n v="2"/>
    <n v="1"/>
    <m/>
    <n v="7.6"/>
    <m/>
    <n v="379.85"/>
    <n v="372.25"/>
    <m/>
    <n v="7.6"/>
    <m/>
    <m/>
    <m/>
    <m/>
    <m/>
    <m/>
    <m/>
    <m/>
    <m/>
    <m/>
    <m/>
    <m/>
    <m/>
    <n v="7.6"/>
    <m/>
    <m/>
    <n v="-7.6"/>
    <m/>
    <m/>
    <m/>
    <m/>
    <m/>
    <m/>
    <n v="7.6"/>
  </r>
  <r>
    <n v="8"/>
    <x v="8"/>
    <x v="0"/>
    <n v="169887"/>
    <s v="BOTICELLI LIDIA CAROLINA"/>
    <s v="27-25698889-0"/>
    <d v="2016-09-06T00:00:0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2"/>
    <n v="1"/>
    <n v="6794.93"/>
    <n v="1394.57"/>
    <m/>
    <n v="1779.12"/>
    <n v="7179.48"/>
    <m/>
    <n v="171.48"/>
    <m/>
    <m/>
    <m/>
    <m/>
    <m/>
    <m/>
    <n v="67.95"/>
    <m/>
    <m/>
    <m/>
    <m/>
    <m/>
    <m/>
    <n v="171.48"/>
    <m/>
    <m/>
    <m/>
    <m/>
    <m/>
    <m/>
    <m/>
    <n v="67.95"/>
    <m/>
    <n v="478.86"/>
  </r>
  <r>
    <n v="8"/>
    <x v="8"/>
    <x v="0"/>
    <n v="156037"/>
    <s v="BRAGA ERIKA GRACIELA"/>
    <s v="27-38026883-9"/>
    <d v="2016-09-06T00:00:00"/>
    <n v="38026883"/>
    <s v="BRAGA"/>
    <s v="ERIKA GRACIELA"/>
    <s v="F"/>
    <m/>
    <d v="2016-08-17T00:00:00"/>
    <d v="2016-08-17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RIVADAVIA"/>
    <n v="1225"/>
    <n v="7"/>
    <s v="D"/>
    <s v="CAPITAL FEDERAL"/>
    <s v="Buenos Aires"/>
    <m/>
    <s v="U.O.Centro"/>
    <m/>
    <n v="3"/>
    <n v="1"/>
    <n v="1398.66"/>
    <n v="282.82"/>
    <m/>
    <n v="394.86"/>
    <n v="1510.7"/>
    <m/>
    <n v="35.880000000000003"/>
    <m/>
    <m/>
    <m/>
    <m/>
    <m/>
    <m/>
    <n v="9.16"/>
    <m/>
    <m/>
    <m/>
    <m/>
    <m/>
    <m/>
    <n v="35.880000000000003"/>
    <m/>
    <m/>
    <m/>
    <m/>
    <m/>
    <m/>
    <m/>
    <n v="9.16"/>
    <m/>
    <n v="90.08"/>
  </r>
  <r>
    <n v="8"/>
    <x v="8"/>
    <x v="0"/>
    <n v="175662"/>
    <s v="BRANDAN MARIA CECILIA DE LOS ANGELES"/>
    <s v="27-32663858-2"/>
    <d v="2016-09-06T00:00:00"/>
    <n v="32663858"/>
    <s v="BRANDAN"/>
    <s v="MARIA CECILIA DE LOS ANGELES"/>
    <s v="F"/>
    <m/>
    <d v="2016-07-15T00:00:00"/>
    <m/>
    <m/>
    <s v="GASTRONOMICOS-Hoteles 4 y 5 Estrellas - 362/2003"/>
    <s v="Categoria 2"/>
    <x v="5"/>
    <s v="Medio Oficial de lavanderia - GL"/>
    <s v="Centro"/>
    <s v="Medio Oficial de lavandería"/>
    <n v="120900"/>
    <s v="OS DEL PERSONAL DE TELEVISION"/>
    <s v="Capital Federal"/>
    <m/>
    <n v="1104"/>
    <s v="RECARTE"/>
    <n v="1225"/>
    <m/>
    <m/>
    <s v="CAPITAL FEDERAL"/>
    <s v="Buenos Aires"/>
    <m/>
    <s v="U.O.Centro"/>
    <m/>
    <n v="4"/>
    <n v="1"/>
    <n v="6928.16"/>
    <n v="1399.29"/>
    <m/>
    <n v="683.73"/>
    <n v="6212.6"/>
    <m/>
    <n v="152.22999999999999"/>
    <m/>
    <m/>
    <m/>
    <m/>
    <m/>
    <m/>
    <n v="69.28"/>
    <m/>
    <m/>
    <m/>
    <m/>
    <m/>
    <m/>
    <n v="152.22999999999999"/>
    <m/>
    <m/>
    <n v="-13.67"/>
    <m/>
    <m/>
    <m/>
    <m/>
    <n v="69.28"/>
    <m/>
    <n v="429.35"/>
  </r>
  <r>
    <n v="8"/>
    <x v="8"/>
    <x v="0"/>
    <n v="175678"/>
    <s v="BUONTEMPO LEANDRO"/>
    <s v="20-32563434-1"/>
    <d v="2016-09-01T00:00:00"/>
    <n v="32563434"/>
    <s v="BUONTEMPO"/>
    <s v="LEANDRO"/>
    <s v="M"/>
    <m/>
    <d v="2016-07-14T00:00:00"/>
    <m/>
    <m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LISANDRO DE LA TORRE"/>
    <n v="841"/>
    <m/>
    <m/>
    <s v="CAPITAL FEDERAL"/>
    <s v="Buenos Aires"/>
    <m/>
    <s v="U.O.Centro"/>
    <m/>
    <n v="2"/>
    <n v="1"/>
    <n v="13001.55"/>
    <n v="2616.2199999999998"/>
    <m/>
    <n v="795.11"/>
    <n v="11180.44"/>
    <m/>
    <n v="275.93"/>
    <m/>
    <m/>
    <m/>
    <m/>
    <m/>
    <m/>
    <n v="130.02000000000001"/>
    <m/>
    <m/>
    <m/>
    <m/>
    <m/>
    <m/>
    <n v="275.93"/>
    <m/>
    <m/>
    <m/>
    <m/>
    <m/>
    <m/>
    <m/>
    <n v="130.02000000000001"/>
    <m/>
    <n v="811.9"/>
  </r>
  <r>
    <n v="8"/>
    <x v="8"/>
    <x v="0"/>
    <n v="142078"/>
    <s v="BUSTOS NORMA EDITH"/>
    <s v="27-34073776-3"/>
    <d v="2016-09-06T00:00:00"/>
    <n v="34073776"/>
    <s v="BUSTOS"/>
    <s v="NORMA EDITH"/>
    <s v="F"/>
    <m/>
    <d v="2016-08-26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GANDOLFO"/>
    <n v="240"/>
    <m/>
    <m/>
    <s v="TIGRE"/>
    <s v="Buenos Aires"/>
    <m/>
    <s v="U.O.San Isidro"/>
    <m/>
    <n v="1"/>
    <n v="1"/>
    <n v="1780.67"/>
    <n v="356.13"/>
    <m/>
    <m/>
    <n v="1424.54"/>
    <m/>
    <n v="35.61"/>
    <m/>
    <m/>
    <m/>
    <m/>
    <m/>
    <m/>
    <n v="17.809999999999999"/>
    <m/>
    <m/>
    <m/>
    <m/>
    <m/>
    <m/>
    <n v="35.61"/>
    <m/>
    <m/>
    <m/>
    <m/>
    <m/>
    <m/>
    <m/>
    <n v="17.809999999999999"/>
    <m/>
    <n v="106.84"/>
  </r>
  <r>
    <n v="8"/>
    <x v="8"/>
    <x v="0"/>
    <n v="177330"/>
    <s v="CABALLERO VICTOR MANUEL"/>
    <s v="20-33180549-2"/>
    <d v="2016-09-06T00:00:00"/>
    <n v="33180549"/>
    <s v="CABALLERO"/>
    <s v="VICTOR MANUEL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SARGENTO CABRAL"/>
    <n v="1225"/>
    <m/>
    <m/>
    <s v="CAPITAL FEDERAL"/>
    <s v="Buenos Aires"/>
    <m/>
    <s v="U.O.Centro"/>
    <m/>
    <n v="1"/>
    <n v="1"/>
    <n v="7776.25"/>
    <n v="1555.26"/>
    <m/>
    <m/>
    <n v="6220.99"/>
    <m/>
    <n v="155.53"/>
    <m/>
    <m/>
    <m/>
    <m/>
    <m/>
    <m/>
    <n v="77.760000000000005"/>
    <m/>
    <m/>
    <m/>
    <m/>
    <m/>
    <m/>
    <n v="155.53"/>
    <m/>
    <m/>
    <m/>
    <m/>
    <m/>
    <m/>
    <m/>
    <n v="77.760000000000005"/>
    <m/>
    <n v="466.58"/>
  </r>
  <r>
    <n v="8"/>
    <x v="8"/>
    <x v="0"/>
    <n v="173039"/>
    <s v="CABIATI ELIZABETH ANDREA"/>
    <s v="27-28132105-1"/>
    <d v="2016-08-30T00:00:00"/>
    <n v="28132105"/>
    <s v="CABIATI"/>
    <s v="ELIZABETH ANDREA"/>
    <s v="F"/>
    <m/>
    <d v="2016-05-1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TELLIER"/>
    <n v="764"/>
    <m/>
    <m/>
    <s v="CAPITAL FEDERAL"/>
    <s v="Capital Federal"/>
    <m/>
    <s v="U.O.Centro Paga Inplant"/>
    <m/>
    <n v="1"/>
    <n v="1"/>
    <m/>
    <n v="9.8800000000000008"/>
    <m/>
    <n v="494.2"/>
    <n v="484.32"/>
    <m/>
    <n v="9.8800000000000008"/>
    <m/>
    <m/>
    <m/>
    <m/>
    <m/>
    <m/>
    <m/>
    <m/>
    <m/>
    <m/>
    <m/>
    <m/>
    <m/>
    <n v="9.8800000000000008"/>
    <m/>
    <m/>
    <m/>
    <m/>
    <m/>
    <m/>
    <m/>
    <m/>
    <m/>
    <n v="19.760000000000002"/>
  </r>
  <r>
    <n v="8"/>
    <x v="8"/>
    <x v="0"/>
    <n v="171783"/>
    <s v="CACERES ANGEL ESTEBAN"/>
    <s v="20-38536806-3"/>
    <d v="2016-09-06T00:00:00"/>
    <n v="38536806"/>
    <s v="CACERES"/>
    <s v="ANGEL ESTEBAN"/>
    <s v="M"/>
    <m/>
    <d v="2016-04-14T00:00:00"/>
    <m/>
    <m/>
    <s v="GASTRONOMICOS-Hoteles 4 y 5 Estrellas - 362/2003"/>
    <s v="Categoria 3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3"/>
    <n v="1"/>
    <n v="10465.77"/>
    <n v="2099.31"/>
    <m/>
    <n v="307.66000000000003"/>
    <n v="8674.1200000000008"/>
    <m/>
    <n v="215.47"/>
    <m/>
    <m/>
    <m/>
    <m/>
    <m/>
    <m/>
    <n v="104.66"/>
    <m/>
    <m/>
    <m/>
    <m/>
    <m/>
    <m/>
    <n v="215.47"/>
    <m/>
    <m/>
    <m/>
    <m/>
    <m/>
    <m/>
    <m/>
    <n v="104.66"/>
    <m/>
    <n v="640.26"/>
  </r>
  <r>
    <n v="8"/>
    <x v="8"/>
    <x v="0"/>
    <n v="161580"/>
    <s v="CAEIRO MAURO ALBERTO"/>
    <s v="20-30431921-7"/>
    <d v="2016-09-06T00:00:0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 SANTA FE"/>
    <n v="1225"/>
    <m/>
    <m/>
    <s v="CAPITAL FEDERAL"/>
    <s v="Buenos Aires"/>
    <m/>
    <s v="U.O.Centro"/>
    <m/>
    <n v="4"/>
    <n v="1"/>
    <n v="19243.11"/>
    <n v="3912.86"/>
    <m/>
    <n v="3212.4"/>
    <n v="18542.650000000001"/>
    <m/>
    <n v="449.11"/>
    <m/>
    <m/>
    <m/>
    <m/>
    <m/>
    <m/>
    <n v="192.43"/>
    <m/>
    <m/>
    <m/>
    <m/>
    <m/>
    <m/>
    <n v="449.11"/>
    <m/>
    <m/>
    <n v="-64.25"/>
    <m/>
    <m/>
    <m/>
    <m/>
    <n v="192.43"/>
    <m/>
    <n v="1218.83"/>
  </r>
  <r>
    <n v="8"/>
    <x v="8"/>
    <x v="0"/>
    <n v="172931"/>
    <s v="CALAFAT MARCICHAL ARIS MAXIMILIANO"/>
    <s v="20-94723921-0"/>
    <d v="2016-08-30T00:00:00"/>
    <n v="94723921"/>
    <s v="CALAFAT MARCICHAL"/>
    <s v="ARIS MAXIMILIANO"/>
    <s v="M"/>
    <m/>
    <d v="2016-05-1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AVENIDA DERQUI"/>
    <n v="764"/>
    <m/>
    <s v="E"/>
    <s v="CAPITAL FEDERAL"/>
    <s v="Capital Federal"/>
    <m/>
    <s v="U.O.Centro"/>
    <m/>
    <n v="1"/>
    <n v="1"/>
    <m/>
    <n v="8.7799999999999994"/>
    <m/>
    <n v="439.2"/>
    <n v="430.42"/>
    <m/>
    <n v="8.7799999999999994"/>
    <m/>
    <m/>
    <m/>
    <m/>
    <m/>
    <m/>
    <m/>
    <m/>
    <m/>
    <m/>
    <m/>
    <m/>
    <m/>
    <n v="8.7799999999999994"/>
    <m/>
    <m/>
    <m/>
    <m/>
    <m/>
    <m/>
    <m/>
    <m/>
    <m/>
    <n v="17.559999999999999"/>
  </r>
  <r>
    <n v="8"/>
    <x v="8"/>
    <x v="0"/>
    <n v="170314"/>
    <s v="CAMPOS ANIBAL EDUARDO"/>
    <s v="20-38361143-2"/>
    <d v="2016-08-22T00:00:00"/>
    <n v="38361143"/>
    <s v="CAMPOS"/>
    <s v="ANIBAL EDUARDO"/>
    <s v="M"/>
    <m/>
    <d v="2016-03-19T00:00:00"/>
    <d v="2016-06-10T00:00:00"/>
    <n v="42531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INGENIERO HUERGO"/>
    <n v="1891"/>
    <n v="1"/>
    <m/>
    <s v="CAPITAL FEDERAL"/>
    <s v="Capital Federal"/>
    <m/>
    <s v="U.O.Centro"/>
    <s v="Alvear Palace"/>
    <n v="1"/>
    <n v="1"/>
    <m/>
    <n v="4.3899999999999997"/>
    <m/>
    <n v="219.6"/>
    <n v="215.21"/>
    <m/>
    <n v="4.3899999999999997"/>
    <m/>
    <m/>
    <m/>
    <m/>
    <m/>
    <m/>
    <m/>
    <m/>
    <m/>
    <m/>
    <m/>
    <m/>
    <m/>
    <n v="4.3899999999999997"/>
    <m/>
    <m/>
    <m/>
    <m/>
    <m/>
    <m/>
    <m/>
    <m/>
    <m/>
    <n v="8.7799999999999994"/>
  </r>
  <r>
    <n v="8"/>
    <x v="8"/>
    <x v="0"/>
    <n v="171897"/>
    <s v="CAPURRO EDUARDO ADOLFO"/>
    <s v="20-31064205-4"/>
    <d v="2016-09-06T00:00:00"/>
    <n v="31064205"/>
    <s v="CAPURRO"/>
    <s v="EDUARDO ADOLFO"/>
    <s v="M"/>
    <m/>
    <d v="2016-07-04T00:00:00"/>
    <d v="2016-07-28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CHILE"/>
    <n v="1225"/>
    <m/>
    <m/>
    <s v="CAPITAL FEDERAL"/>
    <s v="Buenos Aires"/>
    <m/>
    <s v="U.O.Quilmes"/>
    <m/>
    <n v="2"/>
    <n v="1"/>
    <m/>
    <n v="41.1"/>
    <m/>
    <n v="2055.12"/>
    <n v="2014.02"/>
    <m/>
    <n v="41.1"/>
    <m/>
    <m/>
    <m/>
    <m/>
    <m/>
    <m/>
    <m/>
    <m/>
    <m/>
    <m/>
    <m/>
    <m/>
    <m/>
    <n v="41.1"/>
    <m/>
    <m/>
    <n v="-41.1"/>
    <m/>
    <m/>
    <m/>
    <m/>
    <m/>
    <m/>
    <n v="41.1"/>
  </r>
  <r>
    <n v="8"/>
    <x v="8"/>
    <x v="0"/>
    <n v="175900"/>
    <s v="CARRION CECILIA FLORENCIA"/>
    <s v="27-40916782-4"/>
    <d v="2016-09-06T00:00:00"/>
    <n v="40916782"/>
    <s v="CARRION"/>
    <s v="CECILIA FLORENCIA"/>
    <s v="F"/>
    <m/>
    <d v="2016-07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CONDARCO"/>
    <n v="474"/>
    <m/>
    <m/>
    <s v="CAPITAL FEDERAL"/>
    <s v="Buenos Aires"/>
    <m/>
    <s v="U.O.Avellaneda"/>
    <m/>
    <n v="2"/>
    <n v="1"/>
    <n v="539.58000000000004"/>
    <n v="117.53"/>
    <m/>
    <n v="480.4"/>
    <n v="902.45"/>
    <m/>
    <n v="20.399999999999999"/>
    <m/>
    <m/>
    <m/>
    <m/>
    <m/>
    <m/>
    <n v="5.4"/>
    <m/>
    <m/>
    <m/>
    <m/>
    <m/>
    <m/>
    <n v="20.399999999999999"/>
    <m/>
    <m/>
    <m/>
    <m/>
    <m/>
    <m/>
    <m/>
    <n v="5.4"/>
    <m/>
    <n v="51.6"/>
  </r>
  <r>
    <n v="8"/>
    <x v="8"/>
    <x v="0"/>
    <n v="162432"/>
    <s v="CARRIZO ALDANA AYLEN"/>
    <s v="27-35584563-5"/>
    <d v="2016-09-06T00:00:00"/>
    <n v="35584563"/>
    <s v="CARRIZO"/>
    <s v="ALDANA AYLEN"/>
    <s v="F"/>
    <m/>
    <d v="2016-07-0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HACO"/>
    <n v="1005"/>
    <m/>
    <m/>
    <s v="CAPITAL FEDERAL"/>
    <s v="Capital Federal"/>
    <m/>
    <s v="U.O.Centro"/>
    <m/>
    <n v="1"/>
    <n v="1"/>
    <m/>
    <n v="1.07"/>
    <m/>
    <n v="53.54"/>
    <n v="52.47"/>
    <m/>
    <n v="1.07"/>
    <m/>
    <m/>
    <m/>
    <m/>
    <m/>
    <m/>
    <m/>
    <m/>
    <m/>
    <m/>
    <m/>
    <m/>
    <m/>
    <n v="1.07"/>
    <m/>
    <m/>
    <m/>
    <m/>
    <m/>
    <m/>
    <m/>
    <m/>
    <m/>
    <n v="2.14"/>
  </r>
  <r>
    <n v="8"/>
    <x v="8"/>
    <x v="0"/>
    <n v="141323"/>
    <s v="CARRIZO ENRIQUE ISMAEL"/>
    <s v="20-34731318-2"/>
    <d v="2016-09-06T00:00:00"/>
    <n v="34731318"/>
    <s v="CARRIZO"/>
    <s v="ENRIQUE ISMAEL"/>
    <s v="M"/>
    <m/>
    <d v="2016-08-18T00:00:00"/>
    <d v="2016-08-18T00:00:00"/>
    <m/>
    <s v="GASTRONOMICOS-Hoteles 4 y 5 Estrellas - 362/2003"/>
    <s v="Categoria 6"/>
    <x v="5"/>
    <s v="Extra Dotación Mozos / Camareros - GL"/>
    <s v="Centro"/>
    <s v="Camarero/a"/>
    <n v="100304"/>
    <s v="OS DE TECNICOS DE VUELO DE LINEAS AEREAS"/>
    <s v="Capital Federal"/>
    <m/>
    <n v="1104"/>
    <s v="&quot;31&quot;"/>
    <n v="1225"/>
    <m/>
    <m/>
    <s v="CAPITAL FEDERAL"/>
    <s v="Buenos Aires"/>
    <m/>
    <s v="U.O.Centro"/>
    <m/>
    <n v="6"/>
    <n v="1"/>
    <n v="4037.78"/>
    <n v="803.83"/>
    <m/>
    <n v="406.76"/>
    <n v="3640.71"/>
    <m/>
    <n v="88.9"/>
    <m/>
    <m/>
    <m/>
    <m/>
    <m/>
    <m/>
    <n v="28.51"/>
    <m/>
    <m/>
    <m/>
    <m/>
    <m/>
    <m/>
    <n v="88.9"/>
    <m/>
    <m/>
    <m/>
    <m/>
    <m/>
    <m/>
    <m/>
    <n v="28.51"/>
    <m/>
    <n v="234.82"/>
  </r>
  <r>
    <n v="8"/>
    <x v="8"/>
    <x v="1"/>
    <n v="176378"/>
    <s v="CARRIZO GUSTAVO ARIEL"/>
    <s v="20-22907224-3"/>
    <d v="2016-09-06T00:00:00"/>
    <n v="22907224"/>
    <s v="CARRIZO"/>
    <s v="GUSTAVO ARIEL"/>
    <s v="M"/>
    <m/>
    <d v="2016-08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RODRIGO DE TRIANA"/>
    <n v="507"/>
    <n v="8"/>
    <m/>
    <s v="CAPITAL FEDERAL"/>
    <s v="Capital Federal"/>
    <m/>
    <s v="U.O.Centro"/>
    <m/>
    <n v="1"/>
    <n v="1"/>
    <n v="7402.89"/>
    <n v="1480.59"/>
    <m/>
    <m/>
    <n v="5922.3"/>
    <m/>
    <n v="148.06"/>
    <m/>
    <m/>
    <m/>
    <m/>
    <m/>
    <m/>
    <n v="74.03"/>
    <m/>
    <m/>
    <m/>
    <m/>
    <m/>
    <m/>
    <n v="148.06"/>
    <m/>
    <m/>
    <m/>
    <m/>
    <m/>
    <m/>
    <m/>
    <n v="74.03"/>
    <m/>
    <n v="444.18"/>
  </r>
  <r>
    <n v="8"/>
    <x v="8"/>
    <x v="0"/>
    <n v="163460"/>
    <s v="CASTRO JUAN MANUEL"/>
    <s v="20-34103204-1"/>
    <d v="2016-09-06T00:00:00"/>
    <n v="34103204"/>
    <s v="CASTRO"/>
    <s v="JUAN MANUEL"/>
    <s v="M"/>
    <m/>
    <d v="2016-08-17T00:00:00"/>
    <d v="2016-08-17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CONDARCO"/>
    <n v="1225"/>
    <m/>
    <m/>
    <s v="CAPITAL FEDERAL"/>
    <s v="Buenos Aires"/>
    <m/>
    <s v="U.O.Centro"/>
    <m/>
    <n v="2"/>
    <n v="1"/>
    <n v="1435.76"/>
    <n v="281.95999999999998"/>
    <m/>
    <m/>
    <n v="1153.8"/>
    <m/>
    <n v="28.72"/>
    <m/>
    <m/>
    <m/>
    <m/>
    <m/>
    <m/>
    <n v="9.16"/>
    <m/>
    <m/>
    <m/>
    <m/>
    <m/>
    <m/>
    <n v="28.72"/>
    <m/>
    <m/>
    <m/>
    <m/>
    <m/>
    <m/>
    <m/>
    <n v="9.16"/>
    <m/>
    <n v="75.760000000000005"/>
  </r>
  <r>
    <n v="8"/>
    <x v="8"/>
    <x v="0"/>
    <n v="144180"/>
    <s v="CATALAN CRISTINA DEL CARMEN"/>
    <s v="27-31138041-4"/>
    <d v="2016-09-06T00:00:0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2"/>
    <n v="1"/>
    <n v="10286.09"/>
    <n v="2112.56"/>
    <m/>
    <n v="2767.52"/>
    <n v="10941.05"/>
    <m/>
    <n v="261.07"/>
    <m/>
    <m/>
    <m/>
    <m/>
    <m/>
    <m/>
    <n v="102.86"/>
    <m/>
    <m/>
    <m/>
    <m/>
    <m/>
    <m/>
    <n v="261.07"/>
    <m/>
    <m/>
    <m/>
    <m/>
    <m/>
    <m/>
    <m/>
    <n v="102.86"/>
    <m/>
    <n v="727.86"/>
  </r>
  <r>
    <n v="8"/>
    <x v="8"/>
    <x v="0"/>
    <n v="158525"/>
    <s v="CELIBERTI YESICA ROMINA"/>
    <s v="27-35202883-0"/>
    <d v="2016-09-06T00:00:0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2"/>
    <n v="1"/>
    <n v="11041.77"/>
    <n v="2315.44"/>
    <m/>
    <n v="2075.64"/>
    <n v="10801.97"/>
    <n v="327.93"/>
    <m/>
    <m/>
    <m/>
    <m/>
    <m/>
    <m/>
    <m/>
    <n v="110.42"/>
    <m/>
    <m/>
    <m/>
    <m/>
    <m/>
    <m/>
    <n v="262.35000000000002"/>
    <m/>
    <m/>
    <m/>
    <m/>
    <m/>
    <m/>
    <m/>
    <n v="110.42"/>
    <m/>
    <n v="811.12"/>
  </r>
  <r>
    <n v="8"/>
    <x v="8"/>
    <x v="0"/>
    <n v="175082"/>
    <s v="CENTENO VARA SERGIO MEYER"/>
    <s v="20-94675854-0"/>
    <d v="2016-09-06T00:00:00"/>
    <n v="94675854"/>
    <s v="CENTENO VARA"/>
    <s v="SERGIO MEYER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BARTOLOME MITRE"/>
    <n v="1225"/>
    <n v="2"/>
    <s v="B"/>
    <s v="CAPITAL FEDERAL"/>
    <s v="Buenos Aires"/>
    <m/>
    <s v="U.O.Centro"/>
    <m/>
    <n v="4"/>
    <n v="1"/>
    <n v="10014.5"/>
    <n v="2024.31"/>
    <m/>
    <n v="1070.81"/>
    <n v="9061"/>
    <m/>
    <n v="221.71"/>
    <m/>
    <m/>
    <m/>
    <m/>
    <m/>
    <m/>
    <n v="100.14"/>
    <m/>
    <m/>
    <m/>
    <m/>
    <m/>
    <m/>
    <n v="221.71"/>
    <m/>
    <m/>
    <n v="-21.42"/>
    <m/>
    <m/>
    <m/>
    <m/>
    <n v="100.14"/>
    <m/>
    <n v="622.28"/>
  </r>
  <r>
    <n v="8"/>
    <x v="8"/>
    <x v="1"/>
    <n v="177553"/>
    <s v="CENTURION LAURA BELEN"/>
    <s v="27-94421695-8"/>
    <d v="2016-08-30T00:00:00"/>
    <n v="94421695"/>
    <s v="CENTURION"/>
    <s v="LAURA BELEN"/>
    <s v="F"/>
    <m/>
    <d v="2016-08-24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n v="1002"/>
    <s v="SAN LUIS"/>
    <n v="764"/>
    <m/>
    <m/>
    <s v="CAPITAL FEDERAL"/>
    <s v="Capital Federal"/>
    <m/>
    <s v="U.O.Centro"/>
    <m/>
    <n v="1"/>
    <n v="1"/>
    <n v="743.16"/>
    <n v="148.62"/>
    <m/>
    <m/>
    <n v="594.54"/>
    <m/>
    <n v="14.86"/>
    <m/>
    <m/>
    <m/>
    <m/>
    <m/>
    <m/>
    <n v="7.43"/>
    <m/>
    <m/>
    <m/>
    <m/>
    <m/>
    <m/>
    <n v="14.86"/>
    <m/>
    <m/>
    <m/>
    <m/>
    <m/>
    <m/>
    <m/>
    <n v="7.43"/>
    <m/>
    <n v="44.58"/>
  </r>
  <r>
    <n v="8"/>
    <x v="8"/>
    <x v="0"/>
    <n v="175141"/>
    <s v="CENTURION AQUINO CRISTINA LEONOR"/>
    <s v="27-95065474-6"/>
    <d v="2016-09-01T00:00:00"/>
    <n v="95065474"/>
    <s v="CENTURION AQUINO"/>
    <s v="CRISTINA LEONOR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AV REGIMIENTO PATRICIOS"/>
    <n v="1334"/>
    <n v="3"/>
    <s v="C"/>
    <s v="CAPITAL FEDERAL"/>
    <s v="Capital Federal"/>
    <m/>
    <s v="U.O.Centro"/>
    <m/>
    <n v="2"/>
    <n v="1"/>
    <n v="16350.37"/>
    <n v="3292.8"/>
    <m/>
    <n v="1136.6600000000001"/>
    <n v="14194.23"/>
    <m/>
    <n v="349.74"/>
    <m/>
    <m/>
    <m/>
    <m/>
    <m/>
    <m/>
    <n v="163.5"/>
    <m/>
    <m/>
    <m/>
    <m/>
    <m/>
    <m/>
    <n v="349.74"/>
    <m/>
    <m/>
    <m/>
    <m/>
    <m/>
    <m/>
    <m/>
    <n v="163.5"/>
    <m/>
    <n v="1026.48"/>
  </r>
  <r>
    <n v="8"/>
    <x v="8"/>
    <x v="0"/>
    <n v="170318"/>
    <s v="CERNEAZ JOANA"/>
    <s v="27-35043953-1"/>
    <d v="2016-09-06T00:00:0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. MEDRANO"/>
    <n v="1225"/>
    <s v="PB"/>
    <m/>
    <s v="CAPITAL FEDERAL"/>
    <s v="Buenos Aires"/>
    <m/>
    <s v="U.O.Centro"/>
    <m/>
    <n v="4"/>
    <n v="1"/>
    <n v="16157.72"/>
    <n v="3287.22"/>
    <m/>
    <n v="2784.08"/>
    <n v="15654.58"/>
    <m/>
    <n v="378.84"/>
    <m/>
    <m/>
    <m/>
    <m/>
    <m/>
    <m/>
    <n v="161.57"/>
    <m/>
    <m/>
    <m/>
    <m/>
    <m/>
    <m/>
    <n v="378.84"/>
    <m/>
    <m/>
    <n v="-55.68"/>
    <m/>
    <m/>
    <m/>
    <m/>
    <n v="161.57"/>
    <m/>
    <n v="1025.1400000000001"/>
  </r>
  <r>
    <n v="8"/>
    <x v="8"/>
    <x v="0"/>
    <n v="171029"/>
    <s v="CERRANO PATRICIA VIVIANA"/>
    <s v="23-31509842-4"/>
    <d v="2016-09-06T00:00:00"/>
    <n v="31509842"/>
    <s v="CERRANO"/>
    <s v="PATRICIA VIVIANA"/>
    <s v="F"/>
    <m/>
    <d v="2016-07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PASAJE BOLAÑOS"/>
    <n v="474"/>
    <m/>
    <m/>
    <s v="CAPITAL FEDERAL"/>
    <s v="Buenos Aires"/>
    <m/>
    <s v="U.O.Centro"/>
    <m/>
    <n v="2"/>
    <n v="1"/>
    <n v="539.58000000000004"/>
    <n v="113.67"/>
    <m/>
    <n v="287.73"/>
    <n v="713.64"/>
    <m/>
    <n v="16.54"/>
    <m/>
    <m/>
    <m/>
    <m/>
    <m/>
    <m/>
    <n v="5.4"/>
    <m/>
    <m/>
    <m/>
    <m/>
    <m/>
    <m/>
    <n v="16.54"/>
    <m/>
    <m/>
    <m/>
    <m/>
    <m/>
    <m/>
    <m/>
    <n v="5.4"/>
    <m/>
    <n v="43.88"/>
  </r>
  <r>
    <n v="8"/>
    <x v="8"/>
    <x v="0"/>
    <n v="161041"/>
    <s v="CESANI LEONARDO ROBERTO"/>
    <s v="20-36155165-7"/>
    <d v="2016-09-06T00:00:00"/>
    <n v="36155165"/>
    <s v="CESANI"/>
    <s v="LEONARDO ROBERTO"/>
    <s v="M"/>
    <m/>
    <d v="2016-03-30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STAÑARES"/>
    <n v="1232"/>
    <m/>
    <m/>
    <s v="CAPITAL FEDERAL"/>
    <s v="Buenos Aires"/>
    <m/>
    <s v="U.O.Centro"/>
    <s v="Cocina"/>
    <n v="2"/>
    <n v="1"/>
    <n v="10450.17"/>
    <n v="2126.5"/>
    <m/>
    <n v="1823.18"/>
    <n v="10146.85"/>
    <m/>
    <n v="245.46"/>
    <m/>
    <m/>
    <m/>
    <m/>
    <m/>
    <m/>
    <n v="104.5"/>
    <m/>
    <m/>
    <m/>
    <m/>
    <m/>
    <m/>
    <n v="245.46"/>
    <m/>
    <m/>
    <m/>
    <m/>
    <m/>
    <m/>
    <m/>
    <n v="104.5"/>
    <m/>
    <n v="699.92"/>
  </r>
  <r>
    <n v="8"/>
    <x v="8"/>
    <x v="1"/>
    <n v="112977"/>
    <s v="CHACON NADIA DE LOS ANGELES"/>
    <s v="27-34151854-2"/>
    <d v="2016-09-06T00:00:0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2"/>
    <n v="1"/>
    <n v="13277.94"/>
    <n v="2780.54"/>
    <m/>
    <n v="2342.37"/>
    <n v="12839.77"/>
    <n v="390.51"/>
    <m/>
    <m/>
    <m/>
    <m/>
    <m/>
    <m/>
    <m/>
    <n v="132.78"/>
    <m/>
    <m/>
    <m/>
    <m/>
    <m/>
    <m/>
    <n v="312.41000000000003"/>
    <m/>
    <m/>
    <m/>
    <m/>
    <m/>
    <m/>
    <m/>
    <n v="132.78"/>
    <m/>
    <n v="968.48"/>
  </r>
  <r>
    <n v="8"/>
    <x v="8"/>
    <x v="0"/>
    <n v="171062"/>
    <s v="CIPRIANO RODOLFO DARDO"/>
    <s v="20-22964628-2"/>
    <d v="2016-09-06T00:00:00"/>
    <n v="22964628"/>
    <s v="CIPRIANO"/>
    <s v="RODOLFO DARDO"/>
    <s v="M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IMA"/>
    <n v="1005"/>
    <m/>
    <m/>
    <s v="CAPITAL FEDERAL"/>
    <s v="Capital Federal"/>
    <m/>
    <s v="U.O.Centro"/>
    <m/>
    <n v="1"/>
    <n v="1"/>
    <m/>
    <n v="1.2"/>
    <m/>
    <n v="60.23"/>
    <n v="59.03"/>
    <m/>
    <n v="1.2"/>
    <m/>
    <m/>
    <m/>
    <m/>
    <m/>
    <m/>
    <m/>
    <m/>
    <m/>
    <m/>
    <m/>
    <m/>
    <m/>
    <n v="1.2"/>
    <m/>
    <m/>
    <m/>
    <m/>
    <m/>
    <m/>
    <m/>
    <m/>
    <m/>
    <n v="2.4"/>
  </r>
  <r>
    <n v="8"/>
    <x v="8"/>
    <x v="0"/>
    <n v="172187"/>
    <s v="CONDORI DANIEL"/>
    <s v="20-35216365-2"/>
    <d v="2016-09-01T00:00:00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2"/>
    <n v="1"/>
    <n v="9959.98"/>
    <n v="2039.86"/>
    <m/>
    <n v="2392.9499999999998"/>
    <n v="10313.07"/>
    <m/>
    <n v="247.06"/>
    <m/>
    <m/>
    <m/>
    <m/>
    <m/>
    <m/>
    <n v="99.6"/>
    <m/>
    <m/>
    <m/>
    <m/>
    <m/>
    <m/>
    <n v="247.06"/>
    <m/>
    <m/>
    <m/>
    <m/>
    <m/>
    <m/>
    <m/>
    <n v="99.6"/>
    <m/>
    <n v="693.32"/>
  </r>
  <r>
    <n v="8"/>
    <x v="8"/>
    <x v="0"/>
    <n v="177863"/>
    <s v="CORONEL VANESA VERONICA"/>
    <s v="27-30878233-1"/>
    <d v="2016-09-06T00:00:00"/>
    <n v="30878233"/>
    <s v="CORONEL"/>
    <s v="VANESA VERONIC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IGNACIO"/>
    <n v="1225"/>
    <m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8"/>
    <x v="8"/>
    <x v="0"/>
    <n v="172454"/>
    <s v="CORVALAN ANDREA"/>
    <s v="27-39467778-2"/>
    <d v="2016-09-06T00:00:00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INDEPENDENCIA"/>
    <n v="1225"/>
    <n v="9"/>
    <n v="1"/>
    <s v="CAPITAL FEDERAL"/>
    <s v="Buenos Aires"/>
    <m/>
    <s v="U.O.Centro"/>
    <m/>
    <n v="4"/>
    <n v="1"/>
    <n v="12518.12"/>
    <n v="2556.34"/>
    <m/>
    <n v="2635.84"/>
    <n v="12597.62"/>
    <m/>
    <n v="303.08"/>
    <m/>
    <m/>
    <m/>
    <m/>
    <m/>
    <m/>
    <n v="125.18"/>
    <m/>
    <m/>
    <m/>
    <m/>
    <m/>
    <m/>
    <n v="303.08"/>
    <m/>
    <m/>
    <n v="-52.72"/>
    <m/>
    <m/>
    <m/>
    <m/>
    <n v="125.18"/>
    <m/>
    <n v="803.8"/>
  </r>
  <r>
    <n v="8"/>
    <x v="8"/>
    <x v="0"/>
    <n v="170608"/>
    <s v="COTSIFIS LEONARDO CRISTIAN"/>
    <s v="20-28488021-9"/>
    <d v="2016-09-06T00:00:00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n v="1091"/>
    <s v="HIPOLITO YRIGOYEN"/>
    <n v="809"/>
    <m/>
    <m/>
    <s v="CAPITAL FEDERAL"/>
    <s v="Capital Federal"/>
    <m/>
    <s v="U.O.Centro"/>
    <m/>
    <n v="3"/>
    <n v="1"/>
    <n v="21243.3"/>
    <n v="4354.13"/>
    <m/>
    <n v="5273.69"/>
    <n v="22162.86"/>
    <m/>
    <n v="530.34"/>
    <m/>
    <m/>
    <m/>
    <m/>
    <m/>
    <m/>
    <n v="212.43"/>
    <m/>
    <m/>
    <m/>
    <m/>
    <m/>
    <m/>
    <n v="530.34"/>
    <m/>
    <m/>
    <m/>
    <m/>
    <m/>
    <m/>
    <m/>
    <n v="212.43"/>
    <m/>
    <n v="1485.54"/>
  </r>
  <r>
    <n v="8"/>
    <x v="8"/>
    <x v="0"/>
    <n v="169495"/>
    <s v="CRUZ ARIEL"/>
    <s v="20-23765623-8"/>
    <d v="2016-09-06T00:00:00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2"/>
    <n v="1"/>
    <n v="15675.27"/>
    <n v="3173.75"/>
    <m/>
    <n v="1934.6"/>
    <n v="14436.12"/>
    <m/>
    <n v="352.2"/>
    <m/>
    <m/>
    <m/>
    <m/>
    <m/>
    <m/>
    <n v="156.75"/>
    <m/>
    <m/>
    <m/>
    <m/>
    <m/>
    <m/>
    <n v="352.2"/>
    <m/>
    <m/>
    <m/>
    <m/>
    <m/>
    <m/>
    <m/>
    <n v="156.75"/>
    <m/>
    <n v="1017.9"/>
  </r>
  <r>
    <n v="8"/>
    <x v="8"/>
    <x v="0"/>
    <n v="172089"/>
    <s v="CUESTA NICOLAS"/>
    <s v="20-36989012-4"/>
    <d v="2016-09-06T00:00:00"/>
    <n v="36989012"/>
    <s v="CUESTA"/>
    <s v="NICOLAS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BERTO EINSTEIN"/>
    <n v="1225"/>
    <m/>
    <m/>
    <s v="CAPITAL FEDERAL"/>
    <s v="Buenos Aires"/>
    <m/>
    <s v="U.O.Centro"/>
    <m/>
    <n v="4"/>
    <n v="1"/>
    <n v="5039.87"/>
    <n v="1028.32"/>
    <m/>
    <n v="1017.26"/>
    <n v="5028.8100000000004"/>
    <m/>
    <n v="121.14"/>
    <m/>
    <m/>
    <m/>
    <m/>
    <m/>
    <m/>
    <n v="50.4"/>
    <m/>
    <m/>
    <m/>
    <m/>
    <m/>
    <m/>
    <n v="121.14"/>
    <m/>
    <m/>
    <n v="-20.350000000000001"/>
    <m/>
    <m/>
    <m/>
    <m/>
    <n v="50.4"/>
    <m/>
    <n v="322.73"/>
  </r>
  <r>
    <n v="8"/>
    <x v="8"/>
    <x v="1"/>
    <n v="173595"/>
    <s v="D´AGOSTINO MARCO ALEN"/>
    <s v="20-40547087-0"/>
    <d v="2016-08-30T00:00:00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ALLE 17"/>
    <n v="764"/>
    <m/>
    <m/>
    <s v="CAPITAL FEDERAL"/>
    <s v="Capital Federal"/>
    <m/>
    <s v="U.O.Centro Paga Inplant"/>
    <m/>
    <n v="2"/>
    <n v="1"/>
    <n v="6697.9"/>
    <n v="1439.27"/>
    <m/>
    <n v="4983.8599999999997"/>
    <n v="10242.49"/>
    <m/>
    <n v="233.64"/>
    <m/>
    <m/>
    <m/>
    <m/>
    <m/>
    <m/>
    <n v="66.98"/>
    <m/>
    <m/>
    <m/>
    <m/>
    <m/>
    <m/>
    <n v="233.64"/>
    <m/>
    <m/>
    <m/>
    <m/>
    <m/>
    <m/>
    <m/>
    <n v="66.98"/>
    <m/>
    <n v="601.24"/>
  </r>
  <r>
    <n v="8"/>
    <x v="8"/>
    <x v="0"/>
    <n v="175625"/>
    <s v="DANCOURT BERNUY TERRY ANDRES"/>
    <s v="20-94317177-8"/>
    <d v="2016-09-06T00:00:00"/>
    <n v="94317177"/>
    <s v="DANCOURT BERNUY"/>
    <s v="TERRY ANDRES"/>
    <s v="M"/>
    <m/>
    <d v="2016-07-14T00:00:00"/>
    <d v="2016-08-21T00:00:00"/>
    <m/>
    <s v="GASTRONOMICOS-Hoteles 4 y 5 Estrellas - 362/2003"/>
    <s v="Categoria 3"/>
    <x v="15"/>
    <s v="Ayudante de Cocina"/>
    <s v="Centro"/>
    <s v="Tareas Generales"/>
    <n v="108803"/>
    <s v="O.S.P.Gastronomico"/>
    <s v="Capital Federal"/>
    <m/>
    <n v="1440"/>
    <s v="JUAN DE GARAY"/>
    <n v="265"/>
    <n v="2"/>
    <s v="F"/>
    <s v="CAPITAL FEDERAL"/>
    <s v="Capital Federal"/>
    <m/>
    <s v="U.O.Centro"/>
    <m/>
    <n v="3"/>
    <n v="1"/>
    <n v="8747.3799999999992"/>
    <n v="1772.21"/>
    <m/>
    <n v="1135.72"/>
    <n v="8110.89"/>
    <m/>
    <n v="197.66"/>
    <m/>
    <m/>
    <m/>
    <m/>
    <m/>
    <m/>
    <n v="87.48"/>
    <m/>
    <m/>
    <m/>
    <m/>
    <m/>
    <m/>
    <n v="197.66"/>
    <m/>
    <m/>
    <m/>
    <m/>
    <m/>
    <m/>
    <m/>
    <n v="87.48"/>
    <m/>
    <n v="570.28"/>
  </r>
  <r>
    <n v="8"/>
    <x v="8"/>
    <x v="1"/>
    <n v="175739"/>
    <s v="DE BARY LUCIO"/>
    <s v="23-38498237-9"/>
    <d v="2016-09-06T00:00:00"/>
    <n v="38498237"/>
    <s v="DE BARY"/>
    <s v="LUCIO"/>
    <s v="M"/>
    <m/>
    <d v="2016-07-16T00:00:00"/>
    <m/>
    <m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n v="1085"/>
    <s v="SANTIAGO DEL ESTERO"/>
    <n v="1298"/>
    <m/>
    <m/>
    <s v="CAPITAL FEDERAL"/>
    <s v="Capital Federal"/>
    <m/>
    <s v="U.O.Centro"/>
    <m/>
    <n v="2"/>
    <n v="1"/>
    <n v="7044.58"/>
    <n v="1419.65"/>
    <m/>
    <n v="536.64"/>
    <n v="6161.57"/>
    <m/>
    <n v="151.62"/>
    <m/>
    <m/>
    <m/>
    <m/>
    <m/>
    <m/>
    <n v="70.45"/>
    <m/>
    <m/>
    <m/>
    <m/>
    <m/>
    <m/>
    <n v="151.62"/>
    <m/>
    <m/>
    <m/>
    <m/>
    <m/>
    <m/>
    <m/>
    <n v="70.45"/>
    <m/>
    <n v="444.14"/>
  </r>
  <r>
    <n v="8"/>
    <x v="8"/>
    <x v="0"/>
    <n v="174566"/>
    <s v="DESAQUILAN AXEL NICOLAS"/>
    <s v="20-39665785-7"/>
    <d v="2016-09-06T00:00:00"/>
    <n v="39665785"/>
    <s v="DESAQUILAN"/>
    <s v="AXEL NICOLAS"/>
    <s v="M"/>
    <m/>
    <d v="2016-06-1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MONTEVERDE"/>
    <n v="1005"/>
    <m/>
    <m/>
    <s v="CAPITAL FEDERAL"/>
    <s v="Capital Federal"/>
    <m/>
    <s v="U.O.Centro"/>
    <m/>
    <n v="3"/>
    <n v="1"/>
    <n v="15848.35"/>
    <n v="3224.38"/>
    <m/>
    <n v="2734.8"/>
    <n v="15358.77"/>
    <m/>
    <n v="371.67"/>
    <m/>
    <m/>
    <m/>
    <m/>
    <m/>
    <m/>
    <n v="158.49"/>
    <m/>
    <m/>
    <m/>
    <m/>
    <m/>
    <m/>
    <n v="371.67"/>
    <m/>
    <m/>
    <m/>
    <m/>
    <m/>
    <m/>
    <m/>
    <n v="158.49"/>
    <m/>
    <n v="1060.32"/>
  </r>
  <r>
    <n v="8"/>
    <x v="8"/>
    <x v="0"/>
    <n v="170691"/>
    <s v="DIAZ INGRID MANUELA"/>
    <s v="27-93051595-2"/>
    <d v="2016-09-06T00:00:00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ISANEWTON"/>
    <n v="1225"/>
    <m/>
    <m/>
    <s v="CAPITAL FEDERAL"/>
    <s v="Buenos Aires"/>
    <m/>
    <s v="U.O.Centro"/>
    <m/>
    <n v="4"/>
    <n v="1"/>
    <n v="5729.89"/>
    <n v="1174.6600000000001"/>
    <m/>
    <n v="1434.6"/>
    <n v="5989.83"/>
    <m/>
    <n v="143.28"/>
    <m/>
    <m/>
    <m/>
    <m/>
    <m/>
    <m/>
    <n v="57.3"/>
    <m/>
    <m/>
    <m/>
    <m/>
    <m/>
    <m/>
    <n v="143.28"/>
    <m/>
    <m/>
    <n v="-28.69"/>
    <m/>
    <m/>
    <m/>
    <m/>
    <n v="57.3"/>
    <m/>
    <n v="372.47"/>
  </r>
  <r>
    <n v="8"/>
    <x v="8"/>
    <x v="0"/>
    <n v="169910"/>
    <s v="DIAZ NANCY"/>
    <s v="27-21949289-3"/>
    <d v="2016-09-06T00:00:0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2"/>
    <n v="1"/>
    <n v="5945.57"/>
    <n v="1222.73"/>
    <m/>
    <n v="1680.28"/>
    <n v="6403.12"/>
    <m/>
    <n v="152.52000000000001"/>
    <m/>
    <m/>
    <m/>
    <m/>
    <m/>
    <m/>
    <n v="59.46"/>
    <m/>
    <m/>
    <m/>
    <m/>
    <m/>
    <m/>
    <n v="152.52000000000001"/>
    <m/>
    <m/>
    <m/>
    <m/>
    <m/>
    <m/>
    <m/>
    <n v="59.46"/>
    <m/>
    <n v="423.96"/>
  </r>
  <r>
    <n v="8"/>
    <x v="8"/>
    <x v="0"/>
    <n v="162205"/>
    <s v="DOMINGUEZ CABRERA CESAR FERNANDO"/>
    <s v="23-95304555-9"/>
    <d v="2016-09-06T00:00:0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AV CORRIENTES"/>
    <n v="1225"/>
    <n v="3"/>
    <s v="D"/>
    <s v="CAPITAL FEDERAL"/>
    <s v="Buenos Aires"/>
    <m/>
    <s v="U.O.Centro"/>
    <m/>
    <n v="4"/>
    <n v="1"/>
    <n v="10142"/>
    <n v="2066.69"/>
    <m/>
    <n v="1914.36"/>
    <n v="9989.67"/>
    <m/>
    <n v="241.13"/>
    <m/>
    <m/>
    <m/>
    <m/>
    <m/>
    <m/>
    <n v="101.42"/>
    <m/>
    <m/>
    <m/>
    <m/>
    <m/>
    <m/>
    <n v="241.13"/>
    <m/>
    <m/>
    <n v="-38.29"/>
    <m/>
    <m/>
    <m/>
    <m/>
    <n v="101.42"/>
    <m/>
    <n v="646.80999999999995"/>
  </r>
  <r>
    <n v="8"/>
    <x v="8"/>
    <x v="0"/>
    <n v="166685"/>
    <s v="DUARTE PICO EVA CLARINA"/>
    <s v="27-94661310-5"/>
    <d v="2016-09-01T00:00:00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2"/>
    <n v="1"/>
    <n v="15786.56"/>
    <n v="3239.8"/>
    <m/>
    <n v="4123.82"/>
    <n v="16670.580000000002"/>
    <m/>
    <n v="398.21"/>
    <m/>
    <m/>
    <m/>
    <m/>
    <m/>
    <m/>
    <n v="157.87"/>
    <m/>
    <m/>
    <m/>
    <m/>
    <m/>
    <m/>
    <n v="398.21"/>
    <m/>
    <m/>
    <m/>
    <m/>
    <m/>
    <m/>
    <m/>
    <n v="157.87"/>
    <m/>
    <n v="1112.1600000000001"/>
  </r>
  <r>
    <n v="8"/>
    <x v="8"/>
    <x v="0"/>
    <n v="164241"/>
    <s v="ELISSAMBURU NICOLE"/>
    <s v="23-40563228-4"/>
    <d v="2016-09-06T00:00:00"/>
    <n v="40563228"/>
    <s v="ELISSAMBURU"/>
    <s v="NICOLE"/>
    <s v="F"/>
    <m/>
    <d v="2016-08-18T00:00:00"/>
    <d v="2016-08-18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AV PIEDRA BUENA"/>
    <n v="1225"/>
    <m/>
    <m/>
    <s v="CAPITAL FEDERAL"/>
    <s v="Buenos Aires"/>
    <m/>
    <s v="U.O.Centro"/>
    <m/>
    <n v="3"/>
    <n v="1"/>
    <n v="1893.92"/>
    <n v="380.03"/>
    <m/>
    <n v="321.24"/>
    <n v="1835.13"/>
    <m/>
    <n v="44.3"/>
    <m/>
    <m/>
    <m/>
    <m/>
    <m/>
    <m/>
    <n v="13.75"/>
    <m/>
    <m/>
    <m/>
    <m/>
    <m/>
    <m/>
    <n v="44.3"/>
    <m/>
    <m/>
    <m/>
    <m/>
    <m/>
    <m/>
    <m/>
    <n v="13.75"/>
    <m/>
    <n v="116.1"/>
  </r>
  <r>
    <n v="8"/>
    <x v="8"/>
    <x v="0"/>
    <n v="138787"/>
    <s v="FERNANDEZ CLAUDIA"/>
    <s v="27-23472256-0"/>
    <d v="2016-09-06T00:00:0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2"/>
    <n v="1"/>
    <n v="8572.26"/>
    <n v="1763.88"/>
    <m/>
    <n v="2471"/>
    <n v="9279.3799999999992"/>
    <m/>
    <n v="220.87"/>
    <m/>
    <m/>
    <m/>
    <m/>
    <m/>
    <m/>
    <n v="85.72"/>
    <m/>
    <m/>
    <m/>
    <m/>
    <m/>
    <m/>
    <n v="220.87"/>
    <m/>
    <m/>
    <m/>
    <m/>
    <m/>
    <m/>
    <m/>
    <n v="85.72"/>
    <m/>
    <n v="613.17999999999995"/>
  </r>
  <r>
    <n v="8"/>
    <x v="8"/>
    <x v="1"/>
    <n v="170547"/>
    <s v="Ferreyra Angel Matias"/>
    <s v="20-27942786-7"/>
    <d v="2016-08-30T00:00:00"/>
    <n v="27942786"/>
    <s v="Ferreyra"/>
    <s v="Angel Matias"/>
    <s v="F"/>
    <m/>
    <d v="2016-03-22T00:00:00"/>
    <d v="2016-08-19T00:00:00"/>
    <n v="42601"/>
    <s v="GASTRONOMICOS-Hoteles 4 y 5 Estrellas - 362/2003"/>
    <s v="Categoría 4"/>
    <x v="3"/>
    <s v="Unidad Principal"/>
    <s v="Centro"/>
    <s v="Tareas Generales"/>
    <n v="111704"/>
    <s v="OS DE ENCARGADOS APUNTADORES MARITIMOS"/>
    <s v="Capital Federal"/>
    <m/>
    <n v="1002"/>
    <s v="Mateo Churich"/>
    <n v="764"/>
    <m/>
    <m/>
    <s v="CAPITAL FEDERAL"/>
    <s v="Capital Federal"/>
    <m/>
    <s v="U.O.Centro Paga Inplant"/>
    <m/>
    <n v="2"/>
    <n v="1"/>
    <n v="3546.84"/>
    <n v="789.81"/>
    <m/>
    <n v="4021.55"/>
    <n v="6778.58"/>
    <m/>
    <n v="151.37"/>
    <m/>
    <m/>
    <m/>
    <m/>
    <m/>
    <m/>
    <n v="35.47"/>
    <m/>
    <m/>
    <m/>
    <m/>
    <m/>
    <m/>
    <n v="151.37"/>
    <m/>
    <m/>
    <m/>
    <m/>
    <m/>
    <m/>
    <m/>
    <n v="35.47"/>
    <m/>
    <n v="373.68"/>
  </r>
  <r>
    <n v="8"/>
    <x v="8"/>
    <x v="0"/>
    <n v="177331"/>
    <s v="FIGUEREDO MILCIDADES JOSE"/>
    <s v="20-29951754-4"/>
    <d v="2016-09-06T00:00:00"/>
    <n v="29951754"/>
    <s v="FIGUEREDO"/>
    <s v="MILCIDADES JOSE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JOSE A.CASACUBERTA"/>
    <n v="1225"/>
    <m/>
    <m/>
    <s v="CAPITAL FEDERAL"/>
    <s v="Buenos Aires"/>
    <m/>
    <s v="U.O.Centro"/>
    <m/>
    <n v="1"/>
    <n v="1"/>
    <n v="4092.77"/>
    <n v="818.55"/>
    <m/>
    <m/>
    <n v="3274.22"/>
    <m/>
    <n v="81.86"/>
    <m/>
    <m/>
    <m/>
    <m/>
    <m/>
    <m/>
    <n v="40.93"/>
    <m/>
    <m/>
    <m/>
    <m/>
    <m/>
    <m/>
    <n v="81.86"/>
    <m/>
    <m/>
    <m/>
    <m/>
    <m/>
    <m/>
    <m/>
    <n v="40.93"/>
    <m/>
    <n v="245.58"/>
  </r>
  <r>
    <n v="8"/>
    <x v="8"/>
    <x v="0"/>
    <n v="173372"/>
    <s v="FILATOVA INNA"/>
    <s v="27-18845947-7"/>
    <d v="2016-09-06T00:00:00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GUALEGUAY"/>
    <n v="1225"/>
    <m/>
    <m/>
    <s v="CAPITAL FEDERAL"/>
    <s v="Buenos Aires"/>
    <m/>
    <s v="U.O.Centro"/>
    <m/>
    <n v="4"/>
    <n v="1"/>
    <n v="6872.54"/>
    <n v="1398.07"/>
    <m/>
    <n v="1177.8800000000001"/>
    <n v="6652.35"/>
    <m/>
    <n v="161.01"/>
    <m/>
    <m/>
    <m/>
    <m/>
    <m/>
    <m/>
    <n v="68.73"/>
    <m/>
    <m/>
    <m/>
    <m/>
    <m/>
    <m/>
    <n v="161.01"/>
    <m/>
    <m/>
    <n v="-23.56"/>
    <m/>
    <m/>
    <m/>
    <m/>
    <n v="68.73"/>
    <m/>
    <n v="435.92"/>
  </r>
  <r>
    <n v="8"/>
    <x v="8"/>
    <x v="0"/>
    <n v="176113"/>
    <s v="FLEITAS DIEGO ALEJANDRO"/>
    <s v="20-30160228-7"/>
    <d v="2016-09-06T00:00:00"/>
    <n v="30160228"/>
    <s v="FLEITAS"/>
    <s v="DIEGO ALEJANDRO"/>
    <s v="M"/>
    <m/>
    <d v="2016-07-1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BOULERVARD"/>
    <n v="1225"/>
    <m/>
    <n v="1"/>
    <s v="CAPITAL FEDERAL"/>
    <s v="Buenos Aires"/>
    <m/>
    <s v="U.O.Centro"/>
    <m/>
    <n v="5"/>
    <n v="1"/>
    <n v="13259.28"/>
    <n v="2660.08"/>
    <m/>
    <n v="411.85"/>
    <n v="11011.05"/>
    <m/>
    <n v="273.42"/>
    <m/>
    <m/>
    <m/>
    <m/>
    <m/>
    <m/>
    <n v="132.59"/>
    <m/>
    <m/>
    <m/>
    <m/>
    <m/>
    <m/>
    <n v="273.42"/>
    <m/>
    <m/>
    <n v="-8.24"/>
    <m/>
    <m/>
    <m/>
    <m/>
    <n v="132.59"/>
    <m/>
    <n v="803.78"/>
  </r>
  <r>
    <n v="8"/>
    <x v="8"/>
    <x v="0"/>
    <n v="177973"/>
    <s v="GALLARDO BRENDA NOELIA"/>
    <s v="27-34574227-7"/>
    <d v="2016-09-06T00:00:00"/>
    <n v="34574227"/>
    <s v="GALLARDO"/>
    <s v="BRENDA NOELIA"/>
    <s v="F"/>
    <m/>
    <d v="2016-08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ECIA"/>
    <n v="1225"/>
    <m/>
    <m/>
    <s v="CAPITAL FEDERAL"/>
    <s v="Buenos Aires"/>
    <m/>
    <s v="U.O.Centro"/>
    <m/>
    <n v="1"/>
    <n v="1"/>
    <n v="938.87"/>
    <n v="187.79"/>
    <m/>
    <m/>
    <n v="751.08"/>
    <m/>
    <n v="18.78"/>
    <m/>
    <m/>
    <m/>
    <m/>
    <m/>
    <m/>
    <n v="9.39"/>
    <m/>
    <m/>
    <m/>
    <m/>
    <m/>
    <m/>
    <n v="18.78"/>
    <m/>
    <m/>
    <m/>
    <m/>
    <m/>
    <m/>
    <m/>
    <n v="9.39"/>
    <m/>
    <n v="56.34"/>
  </r>
  <r>
    <n v="8"/>
    <x v="8"/>
    <x v="0"/>
    <n v="172186"/>
    <s v="GALLARDO MELINA ELIZABETH"/>
    <s v="27-38587519-9"/>
    <d v="2016-09-06T00:00:00"/>
    <n v="38587519"/>
    <s v="GALLARDO"/>
    <s v="MELINA ELIZABETH"/>
    <s v="F"/>
    <m/>
    <d v="2016-04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EL CHIRIACHE"/>
    <n v="474"/>
    <m/>
    <m/>
    <s v="CAPITAL FEDERAL"/>
    <s v="Buenos Aires"/>
    <m/>
    <s v="U.O.Centro"/>
    <m/>
    <n v="2"/>
    <n v="1"/>
    <n v="7446.24"/>
    <n v="1582.24"/>
    <m/>
    <n v="2229.94"/>
    <n v="8093.94"/>
    <n v="241.91"/>
    <m/>
    <m/>
    <m/>
    <m/>
    <m/>
    <m/>
    <m/>
    <n v="74.459999999999994"/>
    <m/>
    <m/>
    <m/>
    <m/>
    <m/>
    <m/>
    <n v="193.52"/>
    <m/>
    <m/>
    <m/>
    <m/>
    <m/>
    <m/>
    <m/>
    <n v="74.459999999999994"/>
    <m/>
    <n v="584.35"/>
  </r>
  <r>
    <n v="8"/>
    <x v="8"/>
    <x v="1"/>
    <n v="65418"/>
    <s v="GARAY ANGEL FAUSTINO"/>
    <s v="20-27725694-1"/>
    <d v="2016-09-06T00:00:0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2"/>
    <n v="1"/>
    <n v="20953.169999999998"/>
    <n v="4411.8599999999997"/>
    <m/>
    <n v="4657.9799999999996"/>
    <n v="21199.29"/>
    <n v="640.28"/>
    <m/>
    <m/>
    <m/>
    <m/>
    <m/>
    <m/>
    <m/>
    <n v="209.53"/>
    <m/>
    <m/>
    <m/>
    <m/>
    <m/>
    <m/>
    <n v="512.22"/>
    <m/>
    <m/>
    <m/>
    <m/>
    <m/>
    <m/>
    <m/>
    <n v="209.53"/>
    <m/>
    <n v="1571.56"/>
  </r>
  <r>
    <n v="8"/>
    <x v="8"/>
    <x v="0"/>
    <n v="177859"/>
    <s v="GARAY NARA MARIANA"/>
    <s v="27-34750126-9"/>
    <d v="2016-09-06T00:00:00"/>
    <n v="34750126"/>
    <s v="GARAY"/>
    <s v="NARA MARIAN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n v="10"/>
    <n v="1225"/>
    <m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8"/>
    <x v="8"/>
    <x v="0"/>
    <n v="160167"/>
    <s v="GARCIA GRACIELA SUSANA"/>
    <s v="27-28071456-4"/>
    <d v="2016-09-06T00:00:00"/>
    <n v="28071456"/>
    <s v="GARCIA"/>
    <s v="GRACIELA SUSANA"/>
    <s v="F"/>
    <m/>
    <d v="2015-11-1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GARZON"/>
    <n v="1005"/>
    <m/>
    <m/>
    <s v="CAPITAL FEDERAL"/>
    <s v="Capital Federal"/>
    <m/>
    <s v="U.O.Centro"/>
    <m/>
    <n v="4"/>
    <n v="1"/>
    <n v="4298.92"/>
    <n v="865.28"/>
    <m/>
    <n v="274.39"/>
    <n v="3708.03"/>
    <m/>
    <n v="91.47"/>
    <m/>
    <m/>
    <m/>
    <m/>
    <m/>
    <m/>
    <n v="42.99"/>
    <m/>
    <m/>
    <m/>
    <m/>
    <m/>
    <m/>
    <n v="91.47"/>
    <m/>
    <m/>
    <m/>
    <m/>
    <m/>
    <m/>
    <m/>
    <n v="42.99"/>
    <m/>
    <n v="268.92"/>
  </r>
  <r>
    <n v="8"/>
    <x v="8"/>
    <x v="0"/>
    <n v="174037"/>
    <s v="GARCIA CZUJKO ANDREA LAURA"/>
    <s v="27-93769203-5"/>
    <d v="2016-09-06T00:00:00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3"/>
    <n v="1"/>
    <n v="14133.98"/>
    <n v="2875.52"/>
    <m/>
    <n v="2436.06"/>
    <n v="13694.52"/>
    <m/>
    <n v="331.4"/>
    <m/>
    <m/>
    <m/>
    <m/>
    <m/>
    <m/>
    <n v="141.34"/>
    <m/>
    <m/>
    <m/>
    <m/>
    <m/>
    <m/>
    <n v="331.4"/>
    <m/>
    <m/>
    <m/>
    <m/>
    <m/>
    <m/>
    <m/>
    <n v="141.34"/>
    <m/>
    <n v="945.48"/>
  </r>
  <r>
    <n v="8"/>
    <x v="8"/>
    <x v="0"/>
    <n v="164235"/>
    <s v="GAUTO ALVAREZ BEATRIZ"/>
    <s v="27-94488727-5"/>
    <d v="2016-09-06T00:00:00"/>
    <n v="94488727"/>
    <s v="GAUTO ALVAREZ"/>
    <s v="BEATRIZ"/>
    <s v="F"/>
    <m/>
    <d v="2015-12-19T00:00:00"/>
    <m/>
    <m/>
    <s v="GASTRONOMICOS-Hoteles 4 y 5 Estrellas - 362/2003"/>
    <s v="Categoría 4"/>
    <x v="7"/>
    <s v="Unidad Base-GL"/>
    <s v="Centro"/>
    <s v="Tareas Generales"/>
    <n v="108803"/>
    <s v="O.S.P.Gastronomico"/>
    <s v="Capital Federal"/>
    <m/>
    <n v="1022"/>
    <s v="PINZON"/>
    <n v="181"/>
    <n v="1"/>
    <n v="4"/>
    <s v="CAPITAL FEDERAL"/>
    <s v="Capital Federal"/>
    <m/>
    <s v="U.O.Centro"/>
    <m/>
    <n v="1"/>
    <n v="1"/>
    <m/>
    <n v="11.24"/>
    <m/>
    <n v="561.77"/>
    <n v="550.53"/>
    <m/>
    <n v="11.24"/>
    <m/>
    <m/>
    <m/>
    <m/>
    <m/>
    <m/>
    <m/>
    <m/>
    <m/>
    <m/>
    <m/>
    <m/>
    <m/>
    <n v="11.24"/>
    <m/>
    <m/>
    <m/>
    <m/>
    <m/>
    <m/>
    <m/>
    <m/>
    <m/>
    <n v="22.48"/>
  </r>
  <r>
    <n v="8"/>
    <x v="8"/>
    <x v="0"/>
    <n v="171840"/>
    <s v="GERON PABLO"/>
    <s v="20-34949635-7"/>
    <d v="2016-09-06T00:00:00"/>
    <n v="34949635"/>
    <s v="GERON"/>
    <s v="PABLO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EL ARREO"/>
    <n v="1005"/>
    <m/>
    <m/>
    <s v="CAPITAL FEDERAL"/>
    <s v="Capital Federal"/>
    <m/>
    <s v="U.O.Centro"/>
    <m/>
    <n v="6"/>
    <n v="1"/>
    <n v="14491.89"/>
    <n v="2930.19"/>
    <m/>
    <n v="1592.1"/>
    <n v="13153.8"/>
    <m/>
    <n v="321.68"/>
    <m/>
    <m/>
    <m/>
    <m/>
    <m/>
    <m/>
    <n v="144.91"/>
    <m/>
    <m/>
    <m/>
    <m/>
    <m/>
    <m/>
    <n v="321.68"/>
    <m/>
    <m/>
    <m/>
    <m/>
    <m/>
    <m/>
    <m/>
    <n v="144.91"/>
    <m/>
    <n v="933.18"/>
  </r>
  <r>
    <n v="8"/>
    <x v="8"/>
    <x v="0"/>
    <n v="175142"/>
    <s v="GODOY MARIA VALERIA"/>
    <s v="27-34006381-9"/>
    <d v="2016-09-01T00:00:00"/>
    <n v="34006381"/>
    <s v="GODOY"/>
    <s v="MARIA VALERIA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BARTOLOME MITRE"/>
    <n v="1334"/>
    <s v="9º"/>
    <s v="E"/>
    <s v="CAPITAL FEDERAL"/>
    <s v="Capital Federal"/>
    <m/>
    <s v="U.O.Centro"/>
    <m/>
    <n v="2"/>
    <n v="1"/>
    <n v="16350.37"/>
    <n v="3294.01"/>
    <m/>
    <n v="1197.06"/>
    <n v="14253.42"/>
    <m/>
    <n v="350.95"/>
    <m/>
    <m/>
    <m/>
    <m/>
    <m/>
    <m/>
    <n v="163.5"/>
    <m/>
    <m/>
    <m/>
    <m/>
    <m/>
    <m/>
    <n v="350.95"/>
    <m/>
    <m/>
    <m/>
    <m/>
    <m/>
    <m/>
    <m/>
    <n v="163.5"/>
    <m/>
    <n v="1028.9000000000001"/>
  </r>
  <r>
    <n v="8"/>
    <x v="8"/>
    <x v="0"/>
    <n v="177475"/>
    <s v="GOMEZ LUCAS MARTIN"/>
    <s v="20-25647658-5"/>
    <n v="42619"/>
    <n v="25647658"/>
    <s v="GOMEZ"/>
    <s v="LUCAS MARTIN"/>
    <s v="M"/>
    <m/>
    <d v="2016-08-20T00:00:00"/>
    <m/>
    <m/>
    <s v="GASTRONOMICOS-Hoteles 4 y 5 Estrellas - 362/2003"/>
    <s v="Categoria 6"/>
    <x v="1"/>
    <s v="Banquetes Extra Eventual - GL"/>
    <s v="Centro"/>
    <s v="Tareas Generales"/>
    <n v="100601"/>
    <s v="OS DEL PERSONAL DE AERONAVEGACION DE ENTES PRIVADOS"/>
    <s v="Capital Federal"/>
    <m/>
    <n v="1005"/>
    <s v="OLAZABAL"/>
    <n v="1005"/>
    <n v="2"/>
    <s v="C"/>
    <s v="CAPITAL FEDERAL"/>
    <s v="Capital Federal"/>
    <m/>
    <s v="U.O.Centro"/>
    <m/>
    <n v="2"/>
    <n v="1"/>
    <n v="3955.21"/>
    <n v="791.05"/>
    <m/>
    <m/>
    <n v="3164.16"/>
    <m/>
    <n v="79.11"/>
    <m/>
    <m/>
    <m/>
    <m/>
    <m/>
    <m/>
    <n v="39.549999999999997"/>
    <m/>
    <m/>
    <m/>
    <m/>
    <m/>
    <m/>
    <n v="79.11"/>
    <m/>
    <m/>
    <m/>
    <m/>
    <m/>
    <m/>
    <m/>
    <n v="39.549999999999997"/>
    <m/>
    <n v="237.32"/>
  </r>
  <r>
    <n v="8"/>
    <x v="8"/>
    <x v="1"/>
    <n v="164986"/>
    <s v="GOMEZ MIGUEL ANGEL"/>
    <s v="20-40687394-4"/>
    <d v="2016-09-06T00:00:0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n v="9"/>
    <n v="507"/>
    <m/>
    <m/>
    <s v="CAPITAL FEDERAL"/>
    <s v="Capital Federal"/>
    <m/>
    <s v="U.O.Centro"/>
    <m/>
    <n v="2"/>
    <n v="1"/>
    <n v="15889.78"/>
    <n v="3362.27"/>
    <m/>
    <n v="4194.78"/>
    <n v="16722.29"/>
    <n v="502.11"/>
    <m/>
    <m/>
    <m/>
    <m/>
    <m/>
    <m/>
    <m/>
    <n v="158.9"/>
    <m/>
    <m/>
    <m/>
    <m/>
    <m/>
    <m/>
    <n v="401.7"/>
    <m/>
    <m/>
    <m/>
    <m/>
    <m/>
    <m/>
    <m/>
    <n v="158.9"/>
    <m/>
    <n v="1221.6099999999999"/>
  </r>
  <r>
    <n v="8"/>
    <x v="8"/>
    <x v="0"/>
    <n v="176034"/>
    <s v="GONZALES ARANDA RODRIGO OMAR"/>
    <s v="20-92594717-3"/>
    <d v="2016-09-06T00:00:00"/>
    <n v="92594717"/>
    <s v="GONZALES ARANDA"/>
    <s v="RODRIGO OMAR"/>
    <s v="M"/>
    <m/>
    <d v="2016-07-17T00:00:00"/>
    <d v="2016-08-16T00:00:00"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SOLDADO DE LA INDEPENDENCIA"/>
    <n v="1225"/>
    <m/>
    <m/>
    <s v="CAPITAL FEDERAL"/>
    <s v="Buenos Aires"/>
    <m/>
    <s v="U.O.Centro"/>
    <m/>
    <n v="2"/>
    <n v="1"/>
    <m/>
    <n v="4.5599999999999996"/>
    <m/>
    <n v="227.91"/>
    <n v="223.35"/>
    <m/>
    <n v="4.5599999999999996"/>
    <m/>
    <m/>
    <m/>
    <m/>
    <m/>
    <m/>
    <m/>
    <m/>
    <m/>
    <m/>
    <m/>
    <m/>
    <m/>
    <n v="4.5599999999999996"/>
    <m/>
    <m/>
    <n v="-4.5599999999999996"/>
    <m/>
    <m/>
    <m/>
    <m/>
    <m/>
    <m/>
    <n v="4.5599999999999996"/>
  </r>
  <r>
    <n v="8"/>
    <x v="8"/>
    <x v="0"/>
    <n v="177437"/>
    <s v="GONZALEZ ANDREA CELESTE"/>
    <s v="23-94771102-4"/>
    <d v="2016-09-06T00:00:00"/>
    <n v="94771102"/>
    <s v="GONZALEZ"/>
    <s v="ANDREA CELESTE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OLIS"/>
    <n v="1225"/>
    <n v="3"/>
    <m/>
    <s v="CAPITAL FEDERAL"/>
    <s v="Buenos Aires"/>
    <m/>
    <s v="U.O.Centro"/>
    <m/>
    <n v="1"/>
    <n v="1"/>
    <n v="1374.5"/>
    <n v="274.92"/>
    <m/>
    <m/>
    <n v="1099.58"/>
    <m/>
    <n v="27.49"/>
    <m/>
    <m/>
    <m/>
    <m/>
    <m/>
    <m/>
    <n v="13.75"/>
    <m/>
    <m/>
    <m/>
    <m/>
    <m/>
    <m/>
    <n v="27.49"/>
    <m/>
    <m/>
    <m/>
    <m/>
    <m/>
    <m/>
    <m/>
    <n v="13.75"/>
    <m/>
    <n v="82.48"/>
  </r>
  <r>
    <n v="8"/>
    <x v="8"/>
    <x v="1"/>
    <n v="173612"/>
    <s v="GONZALEZ CRISTINA ALEJANDRA GRACIELA"/>
    <s v="27-17598323-1"/>
    <d v="2016-09-06T00:00:00"/>
    <n v="17598323"/>
    <s v="GONZALEZ"/>
    <s v="CRISTINA ALEJANDRA GRACIELA"/>
    <s v="F"/>
    <m/>
    <d v="2016-05-28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ALVARADO"/>
    <n v="1891"/>
    <m/>
    <m/>
    <s v="CAPITAL FEDERAL"/>
    <s v="Capital Federal"/>
    <m/>
    <s v="U.O.Centro"/>
    <s v="Alvear Palace"/>
    <n v="2"/>
    <n v="1"/>
    <n v="834.61"/>
    <n v="175.93"/>
    <m/>
    <n v="450.18"/>
    <n v="1108.8599999999999"/>
    <m/>
    <n v="25.69"/>
    <m/>
    <m/>
    <m/>
    <m/>
    <m/>
    <m/>
    <n v="8.35"/>
    <m/>
    <m/>
    <m/>
    <m/>
    <m/>
    <m/>
    <n v="25.69"/>
    <m/>
    <m/>
    <m/>
    <m/>
    <m/>
    <m/>
    <m/>
    <n v="8.35"/>
    <m/>
    <n v="68.08"/>
  </r>
  <r>
    <n v="8"/>
    <x v="8"/>
    <x v="0"/>
    <n v="48107"/>
    <s v="GONZALEZ KARINA ELIZABETH"/>
    <s v="27-23467821-9"/>
    <d v="2016-09-06T00:00:0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2"/>
    <n v="1"/>
    <n v="6857.82"/>
    <n v="1407.14"/>
    <m/>
    <n v="1779.12"/>
    <n v="7229.8"/>
    <m/>
    <n v="172.74"/>
    <m/>
    <m/>
    <m/>
    <m/>
    <m/>
    <m/>
    <n v="68.58"/>
    <m/>
    <m/>
    <m/>
    <m/>
    <m/>
    <m/>
    <n v="172.74"/>
    <m/>
    <m/>
    <m/>
    <m/>
    <m/>
    <m/>
    <m/>
    <n v="68.58"/>
    <m/>
    <n v="482.64"/>
  </r>
  <r>
    <n v="8"/>
    <x v="8"/>
    <x v="1"/>
    <n v="164224"/>
    <s v="GONZALEZ SALOME NATALIA"/>
    <s v="27-35111714-7"/>
    <d v="2016-09-06T00:00:0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2"/>
    <n v="1"/>
    <n v="2948.55"/>
    <n v="614.62"/>
    <m/>
    <n v="1244.8"/>
    <n v="3578.73"/>
    <m/>
    <n v="83.87"/>
    <m/>
    <m/>
    <m/>
    <m/>
    <m/>
    <m/>
    <n v="29.49"/>
    <m/>
    <m/>
    <m/>
    <m/>
    <m/>
    <m/>
    <n v="83.87"/>
    <m/>
    <m/>
    <m/>
    <m/>
    <m/>
    <m/>
    <m/>
    <n v="29.49"/>
    <m/>
    <n v="226.72"/>
  </r>
  <r>
    <n v="8"/>
    <x v="8"/>
    <x v="1"/>
    <n v="136459"/>
    <s v="GONZALEZ VICTOR HUGO"/>
    <s v="20-37376573-3"/>
    <d v="2016-09-06T00:00:0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PERDRIEL"/>
    <n v="507"/>
    <m/>
    <m/>
    <s v="CAPITAL FEDERAL"/>
    <s v="Capital Federal"/>
    <m/>
    <s v="U.O.Centro Paga Inplant"/>
    <m/>
    <n v="2"/>
    <n v="1"/>
    <n v="17770.75"/>
    <n v="3651.34"/>
    <m/>
    <n v="4859.7299999999996"/>
    <n v="18979.14"/>
    <m/>
    <n v="452.61"/>
    <m/>
    <m/>
    <m/>
    <m/>
    <m/>
    <m/>
    <n v="177.71"/>
    <m/>
    <m/>
    <m/>
    <m/>
    <m/>
    <m/>
    <n v="452.61"/>
    <m/>
    <m/>
    <m/>
    <m/>
    <m/>
    <m/>
    <m/>
    <n v="177.71"/>
    <m/>
    <n v="1260.6400000000001"/>
  </r>
  <r>
    <n v="8"/>
    <x v="8"/>
    <x v="1"/>
    <n v="160168"/>
    <s v="GOROSITO ORNELLA CECILIA"/>
    <s v="27-32738641-2"/>
    <d v="2016-08-30T00:00:00"/>
    <n v="32738641"/>
    <s v="GOROSITO"/>
    <s v="ORNELLA CECILIA"/>
    <s v="F"/>
    <m/>
    <d v="2016-01-05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J V GONZALEZ"/>
    <n v="764"/>
    <m/>
    <m/>
    <s v="CAPITAL FEDERAL"/>
    <s v="Capital Federal"/>
    <m/>
    <s v="U.O.Centro Paga Inplant"/>
    <m/>
    <n v="2"/>
    <n v="1"/>
    <n v="1788.34"/>
    <n v="360.62"/>
    <m/>
    <n v="147.72"/>
    <n v="1575.44"/>
    <m/>
    <n v="38.72"/>
    <m/>
    <m/>
    <m/>
    <m/>
    <m/>
    <m/>
    <n v="17.88"/>
    <m/>
    <m/>
    <m/>
    <m/>
    <m/>
    <m/>
    <n v="38.72"/>
    <m/>
    <m/>
    <m/>
    <m/>
    <m/>
    <m/>
    <m/>
    <n v="17.88"/>
    <m/>
    <n v="113.2"/>
  </r>
  <r>
    <n v="8"/>
    <x v="8"/>
    <x v="0"/>
    <n v="176115"/>
    <s v="GUAYMAS NORMA DEL CARMEN"/>
    <s v="27-28633921-8"/>
    <d v="2016-09-06T00:00:00"/>
    <n v="28633921"/>
    <s v="GUAYMAS"/>
    <s v="NORMA DEL CARMEN"/>
    <s v="F"/>
    <m/>
    <d v="2016-07-16T00:00:00"/>
    <d v="2016-07-28T00:00:00"/>
    <n v="42579"/>
    <s v="GASTRONOMICOS-Hoteles 4 y 5 Estrellas - 362/2003"/>
    <s v="Categoría 4"/>
    <x v="5"/>
    <s v="Mucamas - GL"/>
    <s v="Centro"/>
    <s v="Mucama"/>
    <n v="122104"/>
    <s v="OS DE VIAJANTES VENDEDORES DE LA REPUBLICA ARGENTINA"/>
    <s v="Capital Federal"/>
    <m/>
    <n v="1104"/>
    <s v="PASCO"/>
    <n v="1225"/>
    <n v="3"/>
    <s v="B"/>
    <s v="CAPITAL FEDERAL"/>
    <s v="Buenos Aires"/>
    <m/>
    <s v="U.O.Centro"/>
    <m/>
    <n v="3"/>
    <n v="1"/>
    <n v="823.54"/>
    <n v="168.01"/>
    <m/>
    <n v="164.74"/>
    <n v="820.27"/>
    <m/>
    <n v="19.760000000000002"/>
    <m/>
    <m/>
    <m/>
    <m/>
    <m/>
    <m/>
    <n v="8.24"/>
    <m/>
    <m/>
    <m/>
    <m/>
    <m/>
    <m/>
    <n v="19.760000000000002"/>
    <m/>
    <m/>
    <n v="-3.29"/>
    <m/>
    <m/>
    <m/>
    <m/>
    <n v="8.24"/>
    <m/>
    <n v="52.71"/>
  </r>
  <r>
    <n v="8"/>
    <x v="8"/>
    <x v="1"/>
    <n v="77136"/>
    <s v="HAURET BELTRAN"/>
    <s v="20-31675095-9"/>
    <d v="2016-09-06T00:00:0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ELECTRICISTAS NAVALES"/>
    <s v="Capital Federal"/>
    <m/>
    <n v="1009"/>
    <s v="BILLINGHURST"/>
    <n v="507"/>
    <n v="2"/>
    <s v="C"/>
    <s v="CAPITAL FEDERAL"/>
    <s v="Capital Federal"/>
    <m/>
    <s v="U.O.Centro Paga Inplant"/>
    <s v="RECEPCIONISTA"/>
    <n v="2"/>
    <n v="1"/>
    <n v="19114.79"/>
    <n v="3927.05"/>
    <m/>
    <n v="5204.55"/>
    <n v="20392.29"/>
    <m/>
    <n v="486.39"/>
    <m/>
    <m/>
    <m/>
    <m/>
    <m/>
    <m/>
    <n v="191.15"/>
    <m/>
    <m/>
    <m/>
    <m/>
    <m/>
    <m/>
    <n v="486.39"/>
    <m/>
    <m/>
    <m/>
    <m/>
    <m/>
    <m/>
    <m/>
    <n v="191.15"/>
    <m/>
    <n v="1355.08"/>
  </r>
  <r>
    <n v="8"/>
    <x v="8"/>
    <x v="0"/>
    <n v="174125"/>
    <s v="HERMOSA MIGUEL ANGEL"/>
    <s v="20-33991587-4"/>
    <d v="2016-09-06T00:00:00"/>
    <n v="33991587"/>
    <s v="HERMOSA"/>
    <s v="MIGUEL ANGEL"/>
    <s v="M"/>
    <m/>
    <d v="2016-08-01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ENTRE RIOS"/>
    <n v="181"/>
    <m/>
    <m/>
    <s v="CAPITAL FEDERAL"/>
    <s v="Capital Federal"/>
    <m/>
    <s v="U.O.Centro"/>
    <m/>
    <n v="1"/>
    <n v="1"/>
    <n v="464.57"/>
    <n v="92.92"/>
    <m/>
    <m/>
    <n v="371.65"/>
    <m/>
    <n v="9.2899999999999991"/>
    <m/>
    <m/>
    <m/>
    <m/>
    <m/>
    <m/>
    <n v="4.6500000000000004"/>
    <m/>
    <m/>
    <m/>
    <m/>
    <m/>
    <m/>
    <n v="9.2899999999999991"/>
    <m/>
    <m/>
    <m/>
    <m/>
    <m/>
    <m/>
    <m/>
    <n v="4.6500000000000004"/>
    <m/>
    <n v="27.88"/>
  </r>
  <r>
    <n v="8"/>
    <x v="8"/>
    <x v="0"/>
    <n v="170479"/>
    <s v="HERMOSILLA LUIS CARLOS"/>
    <s v="20-93896751-3"/>
    <d v="2016-09-06T00:00:00"/>
    <n v="93896751"/>
    <s v="HERMOSILLA"/>
    <s v="LUIS CARLOS"/>
    <s v="M"/>
    <m/>
    <d v="2016-03-1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ESTEBAN BONORINO"/>
    <n v="1225"/>
    <s v="2C"/>
    <m/>
    <s v="CAPITAL FEDERAL"/>
    <s v="Buenos Aires"/>
    <m/>
    <s v="U.O.Centro"/>
    <m/>
    <n v="4"/>
    <n v="1"/>
    <n v="13532.4"/>
    <n v="2718.79"/>
    <m/>
    <n v="614.88"/>
    <n v="11428.49"/>
    <m/>
    <n v="282.95"/>
    <m/>
    <m/>
    <m/>
    <m/>
    <m/>
    <m/>
    <n v="135.33000000000001"/>
    <m/>
    <m/>
    <m/>
    <m/>
    <m/>
    <m/>
    <n v="282.95"/>
    <m/>
    <m/>
    <n v="-12.3"/>
    <m/>
    <m/>
    <m/>
    <m/>
    <n v="135.33000000000001"/>
    <m/>
    <n v="824.26"/>
  </r>
  <r>
    <n v="8"/>
    <x v="8"/>
    <x v="0"/>
    <n v="170316"/>
    <s v="HERNÁNDEZ LÓPEZ KEVIN FELIPE"/>
    <s v="20-95292340-5"/>
    <d v="2016-09-06T00:00:00"/>
    <n v="95292340"/>
    <s v="HERNÁNDEZ LÓPEZ"/>
    <s v="KEVIN FELIPE"/>
    <s v="M"/>
    <m/>
    <d v="2016-03-16T00:00:00"/>
    <d v="2016-08-07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A HAYA 3977, CAPITAL FEDERAL"/>
    <n v="1225"/>
    <m/>
    <m/>
    <s v="CAPITAL FEDERAL"/>
    <s v="Buenos Aires"/>
    <m/>
    <s v="U.O.Centro"/>
    <m/>
    <n v="2"/>
    <n v="1"/>
    <m/>
    <n v="17.13"/>
    <m/>
    <n v="856.64"/>
    <n v="839.51"/>
    <m/>
    <n v="17.13"/>
    <m/>
    <m/>
    <m/>
    <m/>
    <m/>
    <m/>
    <m/>
    <m/>
    <m/>
    <m/>
    <m/>
    <m/>
    <m/>
    <n v="17.13"/>
    <m/>
    <m/>
    <n v="-17.13"/>
    <m/>
    <m/>
    <m/>
    <m/>
    <m/>
    <m/>
    <n v="17.13"/>
  </r>
  <r>
    <n v="8"/>
    <x v="8"/>
    <x v="0"/>
    <n v="177496"/>
    <s v="HINOJOSA CLAURE MAURICIO GABRIEL"/>
    <s v="20-38620142-1"/>
    <d v="2016-09-06T00:00:00"/>
    <n v="38620142"/>
    <s v="HINOJOSA CLAURE"/>
    <s v="MAURICIO GABRIEL"/>
    <s v="M"/>
    <m/>
    <d v="2016-08-23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RIVERA INDARTE"/>
    <n v="181"/>
    <m/>
    <m/>
    <s v="CAPITAL FEDERAL"/>
    <s v="Capital Federal"/>
    <m/>
    <s v="U.O.Centro"/>
    <m/>
    <n v="1"/>
    <n v="1"/>
    <n v="260.14"/>
    <n v="52.02"/>
    <m/>
    <m/>
    <n v="208.12"/>
    <m/>
    <n v="5.2"/>
    <m/>
    <m/>
    <m/>
    <m/>
    <m/>
    <m/>
    <n v="2.6"/>
    <m/>
    <m/>
    <m/>
    <m/>
    <m/>
    <m/>
    <n v="5.2"/>
    <m/>
    <m/>
    <m/>
    <m/>
    <m/>
    <m/>
    <m/>
    <n v="2.6"/>
    <m/>
    <n v="15.6"/>
  </r>
  <r>
    <n v="8"/>
    <x v="8"/>
    <x v="0"/>
    <n v="177719"/>
    <s v="IACUZZI DANIELA INES"/>
    <s v="27-30100376-0"/>
    <d v="2016-09-06T00:00:00"/>
    <n v="30100376"/>
    <s v="IACUZZI"/>
    <s v="DANIELA INES"/>
    <s v="F"/>
    <m/>
    <d v="2016-08-26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PERDRIEL"/>
    <n v="240"/>
    <m/>
    <m/>
    <s v="TIGRE"/>
    <s v="Buenos Aires"/>
    <m/>
    <s v="U.O.San Isidro"/>
    <m/>
    <n v="1"/>
    <n v="1"/>
    <n v="1780.67"/>
    <n v="356.13"/>
    <m/>
    <m/>
    <n v="1424.54"/>
    <m/>
    <n v="35.61"/>
    <m/>
    <m/>
    <m/>
    <m/>
    <m/>
    <m/>
    <n v="17.809999999999999"/>
    <m/>
    <m/>
    <m/>
    <m/>
    <m/>
    <m/>
    <n v="35.61"/>
    <m/>
    <m/>
    <m/>
    <m/>
    <m/>
    <m/>
    <m/>
    <n v="17.809999999999999"/>
    <m/>
    <n v="106.84"/>
  </r>
  <r>
    <n v="8"/>
    <x v="8"/>
    <x v="1"/>
    <n v="171895"/>
    <s v="IBARRA LUISINA YASMIN"/>
    <s v="27-37039024-5"/>
    <d v="2016-08-30T00:00:00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PLUMERIZZO"/>
    <n v="764"/>
    <m/>
    <m/>
    <s v="CAPITAL FEDERAL"/>
    <s v="Capital Federal"/>
    <m/>
    <s v="U.O.Centro Paga Inplant"/>
    <m/>
    <n v="2"/>
    <n v="1"/>
    <n v="9908.8700000000008"/>
    <n v="2043.57"/>
    <m/>
    <n v="3088.75"/>
    <n v="10954.05"/>
    <m/>
    <n v="259.95999999999998"/>
    <m/>
    <m/>
    <m/>
    <m/>
    <m/>
    <m/>
    <n v="99.09"/>
    <m/>
    <m/>
    <m/>
    <m/>
    <m/>
    <m/>
    <n v="259.95999999999998"/>
    <m/>
    <m/>
    <m/>
    <m/>
    <m/>
    <m/>
    <m/>
    <n v="99.09"/>
    <m/>
    <n v="718.1"/>
  </r>
  <r>
    <n v="8"/>
    <x v="8"/>
    <x v="0"/>
    <n v="174567"/>
    <s v="IERINO MARIA FIORELLA"/>
    <s v="27-40229790-0"/>
    <d v="2016-09-06T00:00:00"/>
    <n v="40229790"/>
    <s v="IERINO"/>
    <s v="MARIA FIORELLA"/>
    <s v="F"/>
    <m/>
    <d v="2016-06-18T00:00:00"/>
    <d v="2016-07-24T00:00:00"/>
    <n v="42575"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MORENO"/>
    <n v="1005"/>
    <n v="3"/>
    <s v="A"/>
    <s v="CAPITAL FEDERAL"/>
    <s v="Capital Federal"/>
    <m/>
    <s v="U.O.Centro"/>
    <m/>
    <n v="1"/>
    <n v="1"/>
    <m/>
    <n v="13.79"/>
    <m/>
    <n v="689.33"/>
    <n v="675.54"/>
    <m/>
    <n v="13.79"/>
    <m/>
    <m/>
    <m/>
    <m/>
    <m/>
    <m/>
    <m/>
    <m/>
    <m/>
    <m/>
    <m/>
    <m/>
    <m/>
    <n v="13.79"/>
    <m/>
    <m/>
    <m/>
    <m/>
    <m/>
    <m/>
    <m/>
    <m/>
    <m/>
    <n v="27.58"/>
  </r>
  <r>
    <n v="8"/>
    <x v="8"/>
    <x v="0"/>
    <n v="155922"/>
    <s v="JANNON LUIS AUGUSTO"/>
    <s v="20-32336089-9"/>
    <d v="2016-09-06T00:00:00"/>
    <n v="32336089"/>
    <s v="JANNON"/>
    <s v="LUIS AUGUSTO"/>
    <s v="M"/>
    <m/>
    <d v="2016-02-06T00:00:00"/>
    <d v="2016-07-27T00:00:00"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GALENO"/>
    <n v="1005"/>
    <m/>
    <m/>
    <s v="CAPITAL FEDERAL"/>
    <s v="Capital Federal"/>
    <m/>
    <s v="U.O.Centro"/>
    <m/>
    <n v="1"/>
    <n v="1"/>
    <m/>
    <n v="51.51"/>
    <m/>
    <n v="2575.27"/>
    <n v="2523.7600000000002"/>
    <m/>
    <n v="51.51"/>
    <m/>
    <m/>
    <m/>
    <m/>
    <m/>
    <m/>
    <m/>
    <m/>
    <m/>
    <m/>
    <m/>
    <m/>
    <m/>
    <n v="51.51"/>
    <m/>
    <m/>
    <m/>
    <m/>
    <m/>
    <m/>
    <m/>
    <m/>
    <m/>
    <n v="103.02"/>
  </r>
  <r>
    <n v="8"/>
    <x v="8"/>
    <x v="0"/>
    <n v="168403"/>
    <s v="JUAREZ LILIANA MARCELA"/>
    <s v="27-23887293-1"/>
    <d v="2016-09-01T00:00:00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089"/>
    <s v="LA RIOJA"/>
    <n v="841"/>
    <m/>
    <m/>
    <s v="CAPITAL FEDERAL"/>
    <s v="Buenos Aires"/>
    <m/>
    <s v="U.O.Centro"/>
    <m/>
    <n v="2"/>
    <n v="1"/>
    <n v="8175.18"/>
    <n v="1692.15"/>
    <m/>
    <n v="2855.37"/>
    <n v="9338.4"/>
    <m/>
    <n v="220.61"/>
    <m/>
    <m/>
    <m/>
    <m/>
    <m/>
    <m/>
    <n v="81.75"/>
    <m/>
    <m/>
    <m/>
    <m/>
    <m/>
    <m/>
    <n v="220.61"/>
    <m/>
    <m/>
    <m/>
    <m/>
    <m/>
    <m/>
    <m/>
    <n v="81.75"/>
    <m/>
    <n v="604.72"/>
  </r>
  <r>
    <n v="8"/>
    <x v="8"/>
    <x v="0"/>
    <n v="162207"/>
    <s v="KOLTOWSKI ALICIA ANDREA"/>
    <s v="27-24905826-8"/>
    <d v="2016-09-06T00:00:00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MONTEVERDE"/>
    <n v="1225"/>
    <m/>
    <m/>
    <s v="CAPITAL FEDERAL"/>
    <s v="Buenos Aires"/>
    <m/>
    <s v="U.O.Centro"/>
    <m/>
    <n v="4"/>
    <n v="1"/>
    <n v="4123.51"/>
    <n v="827.93"/>
    <m/>
    <n v="160.62"/>
    <n v="3456.2"/>
    <m/>
    <n v="85.68"/>
    <m/>
    <m/>
    <m/>
    <m/>
    <m/>
    <m/>
    <n v="41.24"/>
    <m/>
    <m/>
    <m/>
    <m/>
    <m/>
    <m/>
    <n v="85.68"/>
    <m/>
    <m/>
    <n v="-3.21"/>
    <m/>
    <m/>
    <m/>
    <m/>
    <n v="41.24"/>
    <m/>
    <n v="250.63"/>
  </r>
  <r>
    <n v="8"/>
    <x v="8"/>
    <x v="0"/>
    <n v="172052"/>
    <s v="KUMANI CINTHIA"/>
    <s v="27-36821956-3"/>
    <d v="2016-09-06T00:00:00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SAN LUIS"/>
    <n v="1225"/>
    <m/>
    <m/>
    <s v="CAPITAL FEDERAL"/>
    <s v="Buenos Aires"/>
    <m/>
    <s v="U.O.Centro"/>
    <m/>
    <n v="4"/>
    <n v="1"/>
    <n v="18210.78"/>
    <n v="3672.12"/>
    <m/>
    <n v="1499.12"/>
    <n v="16037.78"/>
    <m/>
    <n v="394.2"/>
    <m/>
    <m/>
    <m/>
    <m/>
    <m/>
    <m/>
    <n v="182.1"/>
    <m/>
    <m/>
    <m/>
    <m/>
    <m/>
    <m/>
    <n v="394.2"/>
    <m/>
    <m/>
    <n v="-29.98"/>
    <m/>
    <m/>
    <m/>
    <m/>
    <n v="182.1"/>
    <m/>
    <n v="1122.6199999999999"/>
  </r>
  <r>
    <n v="8"/>
    <x v="8"/>
    <x v="0"/>
    <n v="177722"/>
    <s v="LADERO VIVAS MARIA ANGELES"/>
    <s v="27-34889963-0"/>
    <d v="2016-09-06T00:00:00"/>
    <n v="34889963"/>
    <s v="LADERO VIVAS"/>
    <s v="MARIA ANGELES"/>
    <s v="F"/>
    <m/>
    <d v="2016-08-26T00:00:00"/>
    <m/>
    <m/>
    <s v="GASTRONOMICOS-Hoteles 4 y 5 Estrellas - 362/2003"/>
    <s v="Categoria 6"/>
    <x v="17"/>
    <s v="Unidad Base-GL"/>
    <s v="San Isidro"/>
    <s v="Camarero/a"/>
    <n v="108803"/>
    <s v="O.S.P.Gastronomico"/>
    <s v="Buenos Aires - Tigre"/>
    <m/>
    <n v="1648"/>
    <s v="GENERAL SAVIO"/>
    <n v="240"/>
    <n v="1"/>
    <m/>
    <s v="TIGRE"/>
    <s v="Buenos Aires"/>
    <m/>
    <s v="U.O.San Isidro"/>
    <m/>
    <n v="1"/>
    <n v="1"/>
    <n v="401.12"/>
    <n v="80.209999999999994"/>
    <m/>
    <m/>
    <n v="320.91000000000003"/>
    <m/>
    <n v="8.02"/>
    <m/>
    <m/>
    <m/>
    <m/>
    <m/>
    <m/>
    <n v="4.01"/>
    <m/>
    <m/>
    <m/>
    <m/>
    <m/>
    <m/>
    <n v="8.02"/>
    <m/>
    <m/>
    <m/>
    <m/>
    <m/>
    <m/>
    <m/>
    <n v="4.01"/>
    <m/>
    <n v="24.06"/>
  </r>
  <r>
    <n v="8"/>
    <x v="8"/>
    <x v="0"/>
    <n v="175473"/>
    <s v="LAVALLE JULIETA ALEJANDRA"/>
    <s v="27-37823861-2"/>
    <d v="2016-09-06T00:00:00"/>
    <n v="37823861"/>
    <s v="LAVALLE"/>
    <s v="JULIETA ALEJANDRA"/>
    <s v="F"/>
    <m/>
    <d v="2016-07-0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V. SAN JUAN"/>
    <n v="1005"/>
    <n v="1"/>
    <s v="A"/>
    <s v="CAPITAL FEDERAL"/>
    <s v="Capital Federal"/>
    <m/>
    <s v="U.O.Centro"/>
    <m/>
    <n v="1"/>
    <n v="1"/>
    <m/>
    <n v="1.07"/>
    <m/>
    <n v="53.54"/>
    <n v="52.47"/>
    <m/>
    <n v="1.07"/>
    <m/>
    <m/>
    <m/>
    <m/>
    <m/>
    <m/>
    <m/>
    <m/>
    <m/>
    <m/>
    <m/>
    <m/>
    <m/>
    <n v="1.07"/>
    <m/>
    <m/>
    <m/>
    <m/>
    <m/>
    <m/>
    <m/>
    <m/>
    <m/>
    <n v="2.14"/>
  </r>
  <r>
    <n v="8"/>
    <x v="8"/>
    <x v="0"/>
    <n v="173371"/>
    <s v="LEON MONROY MARIA FERNANDA"/>
    <s v="27-95365560-3"/>
    <d v="2016-09-06T00:00:00"/>
    <n v="95365560"/>
    <s v="LEON MONROY"/>
    <s v="MARIA FERNANDA"/>
    <s v="F"/>
    <m/>
    <d v="2016-05-20T00:00:00"/>
    <d v="2016-07-26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PIEDRAS"/>
    <n v="1225"/>
    <n v="1"/>
    <s v="D"/>
    <s v="CAPITAL FEDERAL"/>
    <s v="Buenos Aires"/>
    <m/>
    <s v="U.O.Centro"/>
    <m/>
    <n v="2"/>
    <n v="1"/>
    <m/>
    <n v="37.89"/>
    <m/>
    <n v="1894.51"/>
    <n v="1856.62"/>
    <m/>
    <n v="37.89"/>
    <m/>
    <m/>
    <m/>
    <m/>
    <m/>
    <m/>
    <m/>
    <m/>
    <m/>
    <m/>
    <m/>
    <m/>
    <m/>
    <n v="37.89"/>
    <m/>
    <m/>
    <n v="-37.89"/>
    <m/>
    <m/>
    <m/>
    <m/>
    <m/>
    <m/>
    <n v="37.89"/>
  </r>
  <r>
    <n v="8"/>
    <x v="8"/>
    <x v="0"/>
    <n v="175088"/>
    <s v="LIET LEANDRO EMANUEL"/>
    <s v="20-37280869-2"/>
    <d v="2016-09-06T00:00:00"/>
    <n v="37280869"/>
    <s v="LIET"/>
    <s v="LEANDRO EMANUEL"/>
    <s v="M"/>
    <m/>
    <d v="2016-07-01T00:00:00"/>
    <m/>
    <m/>
    <s v="GASTRONOMICOS-Hoteles 4 y 5 Estrellas - 362/2003"/>
    <s v="Categoría 4"/>
    <x v="5"/>
    <s v="Mucamas - GL"/>
    <s v="Centro"/>
    <s v="Mucama"/>
    <n v="125905"/>
    <s v="OS ARBITROS DEPORTIVOS DE LA REPUBLICA ARGENTINA"/>
    <s v="Capital Federal"/>
    <m/>
    <n v="1104"/>
    <n v="158"/>
    <n v="1225"/>
    <m/>
    <m/>
    <s v="CAPITAL FEDERAL"/>
    <s v="Buenos Aires"/>
    <m/>
    <s v="U.O.Centro"/>
    <m/>
    <n v="4"/>
    <n v="1"/>
    <n v="7922.65"/>
    <n v="1597.71"/>
    <m/>
    <n v="658.96"/>
    <n v="6983.9"/>
    <m/>
    <n v="171.63"/>
    <m/>
    <m/>
    <m/>
    <m/>
    <m/>
    <m/>
    <n v="79.23"/>
    <m/>
    <m/>
    <m/>
    <m/>
    <m/>
    <m/>
    <n v="171.63"/>
    <m/>
    <m/>
    <n v="-13.18"/>
    <m/>
    <m/>
    <m/>
    <m/>
    <n v="79.23"/>
    <m/>
    <n v="488.54"/>
  </r>
  <r>
    <n v="8"/>
    <x v="8"/>
    <x v="0"/>
    <n v="170301"/>
    <s v="LIRA ELIANA EDITH"/>
    <s v="27-27473307-7"/>
    <d v="2016-09-06T00:00:00"/>
    <n v="27473307"/>
    <s v="LIRA"/>
    <s v="ELIANA EDITH"/>
    <s v="F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RONEL MAGAN"/>
    <n v="1225"/>
    <m/>
    <m/>
    <s v="CAPITAL FEDERAL"/>
    <s v="Buenos Aires"/>
    <m/>
    <s v="U.O.Centro"/>
    <m/>
    <n v="6"/>
    <n v="1"/>
    <n v="5957.87"/>
    <n v="1196.26"/>
    <m/>
    <n v="642.48"/>
    <n v="5404.09"/>
    <m/>
    <n v="132"/>
    <m/>
    <m/>
    <m/>
    <m/>
    <m/>
    <m/>
    <n v="51.42"/>
    <m/>
    <m/>
    <m/>
    <m/>
    <m/>
    <m/>
    <n v="132"/>
    <m/>
    <m/>
    <n v="-12.85"/>
    <m/>
    <m/>
    <m/>
    <m/>
    <n v="51.42"/>
    <m/>
    <n v="353.99"/>
  </r>
  <r>
    <n v="8"/>
    <x v="8"/>
    <x v="0"/>
    <n v="170264"/>
    <s v="LIZARRAGA ARIEL HERNAN"/>
    <s v="20-30593212-5"/>
    <d v="2016-08-22T00:00:00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martinto"/>
    <n v="1891"/>
    <m/>
    <m/>
    <s v="CAPITAL FEDERAL"/>
    <s v="Capital Federal"/>
    <m/>
    <s v="U.O.Centro"/>
    <s v="Alvear Palace"/>
    <n v="1"/>
    <n v="1"/>
    <m/>
    <n v="31.07"/>
    <m/>
    <n v="1553.67"/>
    <n v="1522.6"/>
    <m/>
    <n v="31.07"/>
    <m/>
    <m/>
    <m/>
    <m/>
    <m/>
    <m/>
    <m/>
    <m/>
    <m/>
    <m/>
    <m/>
    <m/>
    <m/>
    <n v="31.07"/>
    <m/>
    <m/>
    <m/>
    <m/>
    <m/>
    <m/>
    <m/>
    <m/>
    <m/>
    <n v="62.14"/>
  </r>
  <r>
    <n v="8"/>
    <x v="8"/>
    <x v="1"/>
    <n v="166016"/>
    <s v="LOPEZ BILLERI MARIA ANTONELLA"/>
    <s v="27-36157606-9"/>
    <d v="2016-09-06T00:00:00"/>
    <n v="36157606"/>
    <s v="LOPEZ BILLERI"/>
    <s v="MARIA ANTONELLA"/>
    <s v="F"/>
    <m/>
    <d v="2016-0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IRIGOYEN"/>
    <n v="535"/>
    <m/>
    <m/>
    <s v="CAPITAL FEDERAL"/>
    <s v="Capital Federal"/>
    <m/>
    <s v="U.O.Centro"/>
    <m/>
    <n v="2"/>
    <n v="1"/>
    <n v="18775.48"/>
    <n v="3755.08"/>
    <m/>
    <m/>
    <n v="15020.4"/>
    <m/>
    <n v="375.51"/>
    <m/>
    <m/>
    <m/>
    <m/>
    <m/>
    <m/>
    <n v="187.75"/>
    <m/>
    <m/>
    <m/>
    <m/>
    <m/>
    <m/>
    <n v="375.51"/>
    <m/>
    <m/>
    <m/>
    <m/>
    <m/>
    <m/>
    <m/>
    <n v="187.75"/>
    <m/>
    <n v="1126.52"/>
  </r>
  <r>
    <n v="8"/>
    <x v="8"/>
    <x v="0"/>
    <n v="164880"/>
    <s v="LOPEZ DIORIO RODRIGO NAHUEL"/>
    <s v="20-38066576-0"/>
    <d v="2016-09-06T00:00:00"/>
    <n v="38066576"/>
    <s v="LOPEZ DIORIO"/>
    <s v="RODRIGO NAHUEL"/>
    <s v="M"/>
    <m/>
    <d v="2016-05-18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n v="156"/>
    <n v="181"/>
    <m/>
    <m/>
    <s v="CAPITAL FEDERAL"/>
    <s v="Capital Federal"/>
    <m/>
    <s v="U.O.Centro"/>
    <m/>
    <n v="2"/>
    <n v="1"/>
    <n v="1393.7"/>
    <n v="282.25"/>
    <m/>
    <n v="175.68"/>
    <n v="1287.1300000000001"/>
    <m/>
    <n v="31.38"/>
    <m/>
    <m/>
    <m/>
    <m/>
    <m/>
    <m/>
    <n v="13.94"/>
    <m/>
    <m/>
    <m/>
    <m/>
    <m/>
    <m/>
    <n v="31.38"/>
    <m/>
    <m/>
    <m/>
    <m/>
    <m/>
    <m/>
    <m/>
    <n v="13.94"/>
    <m/>
    <n v="90.64"/>
  </r>
  <r>
    <n v="8"/>
    <x v="8"/>
    <x v="0"/>
    <n v="169947"/>
    <s v="LOPEZ ROMERO NESTOR DAMIAN"/>
    <s v="20-94770741-9"/>
    <d v="2016-09-06T00:00:0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RIO IGUAZU"/>
    <n v="1225"/>
    <m/>
    <m/>
    <s v="CAPITAL FEDERAL"/>
    <s v="Buenos Aires"/>
    <m/>
    <s v="U.O.Centro"/>
    <m/>
    <n v="4"/>
    <n v="1"/>
    <n v="6928.15"/>
    <n v="1431.2"/>
    <m/>
    <n v="2279.1"/>
    <n v="7776.05"/>
    <m/>
    <n v="184.14"/>
    <m/>
    <m/>
    <m/>
    <m/>
    <m/>
    <m/>
    <n v="69.28"/>
    <m/>
    <m/>
    <m/>
    <m/>
    <m/>
    <m/>
    <n v="184.14"/>
    <m/>
    <m/>
    <n v="-45.58"/>
    <m/>
    <m/>
    <m/>
    <m/>
    <n v="69.28"/>
    <m/>
    <n v="461.26"/>
  </r>
  <r>
    <n v="8"/>
    <x v="8"/>
    <x v="0"/>
    <n v="177167"/>
    <s v="LUNA ELIANA DENISE"/>
    <s v="27-37280303-2"/>
    <d v="2016-09-06T00:00:00"/>
    <n v="37280303"/>
    <s v="LUNA"/>
    <s v="ELIANA DENISE"/>
    <s v="F"/>
    <m/>
    <d v="2016-08-13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SANTIAGO DE CHILE"/>
    <n v="1225"/>
    <m/>
    <m/>
    <s v="CAPITAL FEDERAL"/>
    <s v="Buenos Aires"/>
    <m/>
    <s v="U.O.Centro"/>
    <m/>
    <n v="2"/>
    <n v="1"/>
    <n v="5007.25"/>
    <n v="1001.46"/>
    <m/>
    <m/>
    <n v="4005.79"/>
    <m/>
    <n v="100.14"/>
    <m/>
    <m/>
    <m/>
    <m/>
    <m/>
    <m/>
    <n v="50.08"/>
    <m/>
    <m/>
    <m/>
    <m/>
    <m/>
    <m/>
    <n v="100.14"/>
    <m/>
    <m/>
    <m/>
    <m/>
    <m/>
    <m/>
    <m/>
    <n v="50.08"/>
    <m/>
    <n v="300.44"/>
  </r>
  <r>
    <n v="8"/>
    <x v="8"/>
    <x v="1"/>
    <n v="147835"/>
    <s v="LUQUE JAVIER ANTONIO"/>
    <s v="20-37023577-6"/>
    <d v="2016-09-06T00:00:0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n v="1009"/>
    <s v="LILA"/>
    <n v="507"/>
    <m/>
    <m/>
    <s v="CAPITAL FEDERAL"/>
    <s v="Capital Federal"/>
    <m/>
    <s v="U.O.Centro Paga Inplant"/>
    <m/>
    <n v="2"/>
    <n v="1"/>
    <n v="10882.68"/>
    <n v="2250.19"/>
    <m/>
    <n v="3683.22"/>
    <n v="12315.71"/>
    <m/>
    <n v="291.31"/>
    <m/>
    <m/>
    <m/>
    <m/>
    <m/>
    <m/>
    <n v="108.83"/>
    <m/>
    <m/>
    <m/>
    <m/>
    <m/>
    <m/>
    <n v="291.31"/>
    <m/>
    <m/>
    <m/>
    <m/>
    <m/>
    <m/>
    <m/>
    <n v="108.83"/>
    <m/>
    <n v="800.28"/>
  </r>
  <r>
    <n v="8"/>
    <x v="8"/>
    <x v="1"/>
    <n v="177466"/>
    <s v="LUQUI LUCIO NICOLAS"/>
    <s v="23-38176357-9"/>
    <d v="2016-08-30T00:00:00"/>
    <n v="38176357"/>
    <s v="LUQUI"/>
    <s v="LUCIO NICOLAS"/>
    <s v="M"/>
    <m/>
    <d v="2016-08-2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LAMBARE"/>
    <n v="764"/>
    <m/>
    <m/>
    <s v="CAPITAL FEDERAL"/>
    <s v="Capital Federal"/>
    <m/>
    <s v="U.O.Centro"/>
    <m/>
    <n v="1"/>
    <n v="1"/>
    <n v="553.54"/>
    <n v="110.72"/>
    <m/>
    <m/>
    <n v="442.82"/>
    <m/>
    <n v="11.07"/>
    <m/>
    <m/>
    <m/>
    <m/>
    <m/>
    <m/>
    <n v="5.54"/>
    <m/>
    <m/>
    <m/>
    <m/>
    <m/>
    <m/>
    <n v="11.07"/>
    <m/>
    <m/>
    <m/>
    <m/>
    <m/>
    <m/>
    <m/>
    <n v="5.54"/>
    <m/>
    <n v="33.22"/>
  </r>
  <r>
    <n v="8"/>
    <x v="8"/>
    <x v="1"/>
    <n v="172051"/>
    <s v="MACIEL DIEGO MAXIMILIANO"/>
    <s v="20-37179030-7"/>
    <d v="2016-09-06T00:00:00"/>
    <n v="37179030"/>
    <s v="MACIEL"/>
    <s v="DIEGO MAXIMILIANO"/>
    <s v="M"/>
    <m/>
    <d v="2016-04-2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n v="1009"/>
    <s v="CARLOS PELLEGRINI"/>
    <n v="507"/>
    <m/>
    <m/>
    <s v="CAPITAL FEDERAL"/>
    <s v="Capital Federal"/>
    <m/>
    <s v="U.O.Centro Paga Inplant"/>
    <m/>
    <n v="2"/>
    <n v="1"/>
    <n v="12047.83"/>
    <n v="2472.4899999999998"/>
    <m/>
    <n v="3146.7"/>
    <n v="12722.04"/>
    <m/>
    <n v="303.89"/>
    <m/>
    <m/>
    <m/>
    <m/>
    <m/>
    <m/>
    <n v="120.48"/>
    <m/>
    <m/>
    <m/>
    <m/>
    <m/>
    <m/>
    <n v="303.89"/>
    <m/>
    <m/>
    <m/>
    <m/>
    <m/>
    <m/>
    <m/>
    <n v="120.48"/>
    <m/>
    <n v="848.74"/>
  </r>
  <r>
    <n v="8"/>
    <x v="8"/>
    <x v="0"/>
    <n v="175505"/>
    <s v="MACIEL INES ADRIANA"/>
    <s v="27-31983979-3"/>
    <d v="2016-08-30T00:00:00"/>
    <n v="31983979"/>
    <s v="MACIEL"/>
    <s v="INES ADRIANA"/>
    <s v="F"/>
    <m/>
    <d v="2016-07-12T00:00:00"/>
    <m/>
    <m/>
    <s v="GASTRONOMICOS-Hoteles 4 y 5 Estrellas - 362/2003"/>
    <s v="Categoría 4"/>
    <x v="3"/>
    <s v="Unidad Principal"/>
    <s v="Centro"/>
    <s v="Mucama"/>
    <n v="121705"/>
    <s v="OS DEL PERSONAL DE LA ACTIVIDAD DEL TURF"/>
    <s v="Capital Federal"/>
    <m/>
    <n v="1002"/>
    <s v="LUNA"/>
    <n v="764"/>
    <m/>
    <m/>
    <s v="CAPITAL FEDERAL"/>
    <s v="Capital Federal"/>
    <m/>
    <s v="U.O.Centro"/>
    <m/>
    <n v="1"/>
    <n v="1"/>
    <m/>
    <n v="13.47"/>
    <m/>
    <n v="673.35"/>
    <n v="659.88"/>
    <m/>
    <n v="13.47"/>
    <m/>
    <m/>
    <m/>
    <m/>
    <m/>
    <m/>
    <m/>
    <m/>
    <m/>
    <m/>
    <m/>
    <m/>
    <m/>
    <n v="13.47"/>
    <m/>
    <m/>
    <m/>
    <m/>
    <m/>
    <m/>
    <m/>
    <m/>
    <m/>
    <n v="26.94"/>
  </r>
  <r>
    <n v="8"/>
    <x v="8"/>
    <x v="0"/>
    <n v="170140"/>
    <s v="MAIDANA OSCAR RODOLFO"/>
    <s v="20-12573728-6"/>
    <d v="2016-09-06T00:00:0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n v="1104"/>
    <s v="MARCO SASTRE"/>
    <n v="1225"/>
    <m/>
    <m/>
    <s v="CAPITAL FEDERAL"/>
    <s v="Buenos Aires"/>
    <m/>
    <s v="U.O.Centro"/>
    <m/>
    <n v="4"/>
    <n v="1"/>
    <n v="19952.599999999999"/>
    <n v="7089.86"/>
    <m/>
    <n v="7966.54"/>
    <n v="20829.28"/>
    <m/>
    <n v="498.38"/>
    <m/>
    <m/>
    <m/>
    <m/>
    <m/>
    <m/>
    <n v="199.53"/>
    <m/>
    <m/>
    <m/>
    <m/>
    <n v="3000"/>
    <m/>
    <n v="498.38"/>
    <m/>
    <m/>
    <n v="-99.33"/>
    <m/>
    <m/>
    <m/>
    <m/>
    <n v="199.53"/>
    <m/>
    <n v="4296.49"/>
  </r>
  <r>
    <n v="8"/>
    <x v="8"/>
    <x v="0"/>
    <n v="171021"/>
    <s v="MAITA GISELLE ELIANA"/>
    <s v="27-34799549-0"/>
    <d v="2016-09-06T00:00:00"/>
    <n v="34799549"/>
    <s v="MAITA"/>
    <s v="GISELLE ELIANA"/>
    <s v="F"/>
    <m/>
    <d v="2016-03-3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RQUIMEDES"/>
    <n v="1005"/>
    <m/>
    <m/>
    <s v="CAPITAL FEDERAL"/>
    <s v="Capital Federal"/>
    <m/>
    <s v="U.O.Centro"/>
    <m/>
    <n v="4"/>
    <n v="1"/>
    <n v="6293.16"/>
    <n v="1253.08"/>
    <m/>
    <m/>
    <n v="5040.08"/>
    <m/>
    <n v="125.86"/>
    <m/>
    <m/>
    <m/>
    <m/>
    <m/>
    <m/>
    <n v="57.36"/>
    <m/>
    <m/>
    <m/>
    <m/>
    <m/>
    <m/>
    <n v="125.86"/>
    <m/>
    <m/>
    <m/>
    <m/>
    <m/>
    <m/>
    <m/>
    <n v="57.36"/>
    <m/>
    <n v="366.44"/>
  </r>
  <r>
    <n v="8"/>
    <x v="8"/>
    <x v="0"/>
    <n v="176964"/>
    <s v="MALCEÑIDO MARIANO RUBEN"/>
    <s v="20-26939242-9"/>
    <d v="2016-09-06T00:00:00"/>
    <n v="26939242"/>
    <s v="MALCEÑIDO"/>
    <s v="MARIANO RUBEN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MPOSTELA"/>
    <n v="1005"/>
    <m/>
    <m/>
    <s v="CAPITAL FEDERAL"/>
    <s v="Capital Federal"/>
    <m/>
    <s v="U.O.Centro"/>
    <m/>
    <n v="2"/>
    <n v="1"/>
    <n v="1781.55"/>
    <n v="356.32"/>
    <m/>
    <m/>
    <n v="1425.23"/>
    <m/>
    <n v="35.630000000000003"/>
    <m/>
    <m/>
    <m/>
    <m/>
    <m/>
    <m/>
    <n v="17.82"/>
    <m/>
    <m/>
    <m/>
    <m/>
    <m/>
    <m/>
    <n v="35.630000000000003"/>
    <m/>
    <m/>
    <m/>
    <m/>
    <m/>
    <m/>
    <m/>
    <n v="17.82"/>
    <m/>
    <n v="106.9"/>
  </r>
  <r>
    <n v="8"/>
    <x v="8"/>
    <x v="0"/>
    <n v="177725"/>
    <s v="MARCASOLI JOAQUIN GASPAR"/>
    <s v="20-40060166-7"/>
    <d v="2016-09-06T00:00:00"/>
    <n v="40060166"/>
    <s v="MARCASOLI"/>
    <s v="JOAQUIN GASPAR"/>
    <s v="M"/>
    <m/>
    <d v="2016-08-26T00:00:00"/>
    <m/>
    <m/>
    <s v="GASTRONOMICOS-Hoteles 4 y 5 Estrellas - 362/2003"/>
    <s v="Categoria 6"/>
    <x v="17"/>
    <s v="Unidad Base-GL"/>
    <s v="San Isidro"/>
    <s v="Camarero/a"/>
    <n v="108803"/>
    <s v="O.S.P.Gastronomico"/>
    <s v="Buenos Aires - Tigre"/>
    <m/>
    <n v="1648"/>
    <s v="TENIENTE GENERAL LONARDI"/>
    <n v="240"/>
    <m/>
    <m/>
    <s v="TIGRE"/>
    <s v="Buenos Aires"/>
    <m/>
    <s v="U.O.San Isidro"/>
    <m/>
    <n v="1"/>
    <n v="1"/>
    <n v="1704.77"/>
    <n v="340.95"/>
    <m/>
    <m/>
    <n v="1363.82"/>
    <m/>
    <n v="34.1"/>
    <m/>
    <m/>
    <m/>
    <m/>
    <m/>
    <m/>
    <n v="17.05"/>
    <m/>
    <m/>
    <m/>
    <m/>
    <m/>
    <m/>
    <n v="34.1"/>
    <m/>
    <m/>
    <m/>
    <m/>
    <m/>
    <m/>
    <m/>
    <n v="17.05"/>
    <m/>
    <n v="102.3"/>
  </r>
  <r>
    <n v="8"/>
    <x v="8"/>
    <x v="0"/>
    <n v="173545"/>
    <s v="MARECOS NANCY MABEL"/>
    <s v="27-35799561-8"/>
    <d v="2016-09-06T00:00:00"/>
    <n v="35799561"/>
    <s v="MARECOS"/>
    <s v="NANCY MABEL"/>
    <s v="F"/>
    <m/>
    <d v="2016-08-17T00:00:00"/>
    <d v="2016-08-17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PASAJE CARICANCHA"/>
    <n v="1225"/>
    <n v="1"/>
    <s v="E"/>
    <s v="CAPITAL FEDERAL"/>
    <s v="Buenos Aires"/>
    <m/>
    <s v="U.O.Centro"/>
    <m/>
    <n v="2"/>
    <n v="1"/>
    <n v="1435.76"/>
    <n v="281.95999999999998"/>
    <m/>
    <m/>
    <n v="1153.8"/>
    <m/>
    <n v="28.72"/>
    <m/>
    <m/>
    <m/>
    <m/>
    <m/>
    <m/>
    <n v="9.16"/>
    <m/>
    <m/>
    <m/>
    <m/>
    <m/>
    <m/>
    <n v="28.72"/>
    <m/>
    <m/>
    <m/>
    <m/>
    <m/>
    <m/>
    <m/>
    <n v="9.16"/>
    <m/>
    <n v="75.760000000000005"/>
  </r>
  <r>
    <n v="8"/>
    <x v="8"/>
    <x v="0"/>
    <n v="152233"/>
    <s v="MARGHETICH SERGIO VIRGILIO"/>
    <s v="20-21090363-2"/>
    <d v="2016-09-06T00:00:00"/>
    <n v="21090363"/>
    <s v="MARGHETICH"/>
    <s v="SERGIO VIRGILIO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ATAMARCA"/>
    <n v="1225"/>
    <m/>
    <m/>
    <s v="CAPITAL FEDERAL"/>
    <s v="Buenos Aires"/>
    <m/>
    <s v="U.O.Centro"/>
    <m/>
    <n v="4"/>
    <n v="1"/>
    <n v="16118.34"/>
    <n v="3274.4"/>
    <m/>
    <n v="2797.46"/>
    <n v="15641.4"/>
    <m/>
    <n v="378.32"/>
    <m/>
    <m/>
    <m/>
    <m/>
    <m/>
    <m/>
    <n v="155.94999999999999"/>
    <m/>
    <m/>
    <m/>
    <m/>
    <m/>
    <m/>
    <n v="378.32"/>
    <m/>
    <m/>
    <m/>
    <m/>
    <m/>
    <m/>
    <m/>
    <n v="155.94999999999999"/>
    <m/>
    <n v="1068.54"/>
  </r>
  <r>
    <n v="8"/>
    <x v="8"/>
    <x v="1"/>
    <n v="122290"/>
    <s v="MARTINEZ EZEQUIEL FACUNDO"/>
    <s v="20-28328215-6"/>
    <d v="2016-09-06T00:00:0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2"/>
    <n v="1"/>
    <n v="12880.56"/>
    <n v="2733.85"/>
    <m/>
    <n v="3733.2"/>
    <n v="13879.91"/>
    <n v="415.34"/>
    <m/>
    <m/>
    <m/>
    <m/>
    <m/>
    <m/>
    <m/>
    <n v="128.81"/>
    <m/>
    <m/>
    <m/>
    <m/>
    <m/>
    <m/>
    <n v="332.27"/>
    <m/>
    <m/>
    <m/>
    <m/>
    <m/>
    <m/>
    <m/>
    <n v="128.81"/>
    <m/>
    <n v="1005.23"/>
  </r>
  <r>
    <n v="8"/>
    <x v="8"/>
    <x v="0"/>
    <n v="171586"/>
    <s v="MARTINEZ JONATHAN EZEQUIEL"/>
    <s v="20-31158376-0"/>
    <d v="2016-08-22T00:00:00"/>
    <n v="31158376"/>
    <s v="MARTINEZ"/>
    <s v="JONATHAN EZEQU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LAVALLOL"/>
    <n v="1891"/>
    <n v="1"/>
    <s v="D"/>
    <s v="CAPITAL FEDERAL"/>
    <s v="Capital Federal"/>
    <m/>
    <s v="U.O.Centro"/>
    <s v="Alvear Palace"/>
    <n v="1"/>
    <n v="1"/>
    <m/>
    <n v="26.46"/>
    <m/>
    <n v="1323.09"/>
    <n v="1296.6300000000001"/>
    <m/>
    <n v="26.46"/>
    <m/>
    <m/>
    <m/>
    <m/>
    <m/>
    <m/>
    <m/>
    <m/>
    <m/>
    <m/>
    <m/>
    <m/>
    <m/>
    <n v="26.46"/>
    <m/>
    <m/>
    <m/>
    <m/>
    <m/>
    <m/>
    <m/>
    <m/>
    <m/>
    <n v="52.92"/>
  </r>
  <r>
    <n v="8"/>
    <x v="8"/>
    <x v="1"/>
    <n v="152931"/>
    <s v="MARTINEZ KAREN"/>
    <s v="27-37827128-8"/>
    <d v="2016-09-06T00:00:0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2"/>
    <n v="1"/>
    <n v="16392.8"/>
    <n v="3467.6"/>
    <m/>
    <n v="4283.2"/>
    <n v="17208.400000000001"/>
    <n v="516.9"/>
    <m/>
    <m/>
    <m/>
    <m/>
    <m/>
    <m/>
    <m/>
    <n v="163.93"/>
    <m/>
    <m/>
    <m/>
    <m/>
    <m/>
    <m/>
    <n v="413.52"/>
    <m/>
    <m/>
    <m/>
    <m/>
    <m/>
    <m/>
    <m/>
    <n v="163.93"/>
    <m/>
    <n v="1258.28"/>
  </r>
  <r>
    <n v="8"/>
    <x v="8"/>
    <x v="0"/>
    <n v="169944"/>
    <s v="MARTINEZ MIGUEL ANGEL"/>
    <s v="20-35371989-1"/>
    <d v="2016-09-06T00:00:00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ZA 5 CASA 38"/>
    <n v="1225"/>
    <m/>
    <m/>
    <s v="CAPITAL FEDERAL"/>
    <s v="Buenos Aires"/>
    <m/>
    <s v="U.O.Centro"/>
    <m/>
    <n v="4"/>
    <n v="1"/>
    <n v="12780.61"/>
    <n v="2570.17"/>
    <m/>
    <n v="702.72"/>
    <n v="10913.16"/>
    <m/>
    <n v="269.67"/>
    <m/>
    <m/>
    <m/>
    <m/>
    <m/>
    <m/>
    <n v="127.81"/>
    <m/>
    <m/>
    <m/>
    <m/>
    <m/>
    <m/>
    <n v="269.67"/>
    <m/>
    <m/>
    <n v="-14.05"/>
    <m/>
    <m/>
    <m/>
    <m/>
    <n v="127.81"/>
    <m/>
    <n v="780.91"/>
  </r>
  <r>
    <n v="8"/>
    <x v="8"/>
    <x v="0"/>
    <n v="161583"/>
    <s v="MEDINA EMILSE RAQUEL"/>
    <s v="27-36216142-3"/>
    <d v="2016-09-06T00:00:0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ELO T DE ALVEAR"/>
    <n v="1225"/>
    <m/>
    <m/>
    <s v="CAPITAL FEDERAL"/>
    <s v="Buenos Aires"/>
    <m/>
    <s v="U.O.Quilmes"/>
    <m/>
    <n v="4"/>
    <n v="1"/>
    <n v="2749.02"/>
    <n v="558.37"/>
    <m/>
    <n v="428.32"/>
    <n v="2618.9699999999998"/>
    <m/>
    <n v="63.55"/>
    <m/>
    <m/>
    <m/>
    <m/>
    <m/>
    <m/>
    <n v="27.49"/>
    <m/>
    <m/>
    <m/>
    <m/>
    <m/>
    <m/>
    <n v="63.55"/>
    <m/>
    <m/>
    <n v="-8.57"/>
    <m/>
    <m/>
    <m/>
    <m/>
    <n v="27.49"/>
    <m/>
    <n v="173.51"/>
  </r>
  <r>
    <n v="8"/>
    <x v="8"/>
    <x v="1"/>
    <n v="168289"/>
    <s v="MEDINA JESICA FABIANA"/>
    <s v="23-36214863-4"/>
    <d v="2016-08-30T00:00:00"/>
    <n v="36214863"/>
    <s v="MEDINA"/>
    <s v="JESICA FABIANA"/>
    <s v="F"/>
    <m/>
    <d v="2016-02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MORANCHEL"/>
    <n v="764"/>
    <m/>
    <m/>
    <s v="CAPITAL FEDERAL"/>
    <s v="Capital Federal"/>
    <m/>
    <s v="U.O.Centro Paga Inplant"/>
    <m/>
    <n v="2"/>
    <n v="1"/>
    <n v="4458.99"/>
    <n v="933.81"/>
    <m/>
    <n v="2100.34"/>
    <n v="5625.52"/>
    <m/>
    <n v="131.19"/>
    <m/>
    <m/>
    <m/>
    <m/>
    <m/>
    <m/>
    <n v="44.59"/>
    <m/>
    <m/>
    <m/>
    <m/>
    <m/>
    <m/>
    <n v="131.19"/>
    <m/>
    <m/>
    <m/>
    <m/>
    <m/>
    <m/>
    <m/>
    <n v="44.59"/>
    <m/>
    <n v="351.56"/>
  </r>
  <r>
    <n v="8"/>
    <x v="8"/>
    <x v="0"/>
    <n v="176967"/>
    <s v="MEDINA ROLON ROSALIA ANGELA"/>
    <s v="23-26670442-9"/>
    <d v="2016-09-06T00:00:00"/>
    <n v="26670442"/>
    <s v="MEDINA ROLON"/>
    <s v="ROSALIA ANGELA"/>
    <s v="F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n v="891"/>
    <n v="1005"/>
    <m/>
    <m/>
    <s v="CAPITAL FEDERAL"/>
    <s v="Capital Federal"/>
    <m/>
    <s v="U.O.Centro"/>
    <m/>
    <n v="3"/>
    <n v="1"/>
    <n v="3308.89"/>
    <n v="661.78"/>
    <m/>
    <m/>
    <n v="2647.11"/>
    <m/>
    <n v="66.180000000000007"/>
    <m/>
    <m/>
    <m/>
    <m/>
    <m/>
    <m/>
    <n v="33.090000000000003"/>
    <m/>
    <m/>
    <m/>
    <m/>
    <m/>
    <m/>
    <n v="66.180000000000007"/>
    <m/>
    <m/>
    <m/>
    <m/>
    <m/>
    <m/>
    <m/>
    <n v="33.090000000000003"/>
    <m/>
    <n v="198.54"/>
  </r>
  <r>
    <n v="8"/>
    <x v="8"/>
    <x v="0"/>
    <n v="171008"/>
    <s v="MELIAN CHRISTIAN ALEJANDRO"/>
    <s v="20-38820036-8"/>
    <d v="2016-09-06T00:00:00"/>
    <n v="38820036"/>
    <s v="MELIAN"/>
    <s v="CHRISTIAN ALEJANDRO"/>
    <s v="M"/>
    <m/>
    <d v="2016-03-31T00:00:00"/>
    <d v="2016-06-09T00:00:00"/>
    <n v="42530"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LAPRIDA"/>
    <n v="1005"/>
    <m/>
    <m/>
    <s v="CAPITAL FEDERAL"/>
    <s v="Capital Federal"/>
    <m/>
    <s v="U.O.Centro"/>
    <m/>
    <n v="1"/>
    <n v="1"/>
    <m/>
    <n v="1.2"/>
    <m/>
    <n v="60.23"/>
    <n v="59.03"/>
    <m/>
    <n v="1.2"/>
    <m/>
    <m/>
    <m/>
    <m/>
    <m/>
    <m/>
    <m/>
    <m/>
    <m/>
    <m/>
    <m/>
    <m/>
    <m/>
    <n v="1.2"/>
    <m/>
    <m/>
    <m/>
    <m/>
    <m/>
    <m/>
    <m/>
    <m/>
    <m/>
    <n v="2.4"/>
  </r>
  <r>
    <n v="8"/>
    <x v="8"/>
    <x v="1"/>
    <n v="173714"/>
    <s v="MERCADO WALTER SAUL"/>
    <s v="24-32060645-0"/>
    <d v="2016-08-30T00:00:00"/>
    <n v="32060645"/>
    <s v="MERCADO"/>
    <s v="WALTER SAUL"/>
    <s v="M"/>
    <m/>
    <d v="2016-06-0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LAUDIO DE ALAS"/>
    <n v="764"/>
    <m/>
    <m/>
    <s v="CAPITAL FEDERAL"/>
    <s v="Capital Federal"/>
    <m/>
    <s v="U.O.Centro"/>
    <m/>
    <n v="2"/>
    <n v="1"/>
    <n v="2609.3200000000002"/>
    <n v="561.4"/>
    <m/>
    <n v="1976.4"/>
    <n v="4024.32"/>
    <m/>
    <n v="91.72"/>
    <m/>
    <m/>
    <m/>
    <m/>
    <m/>
    <m/>
    <n v="26.09"/>
    <m/>
    <m/>
    <m/>
    <m/>
    <m/>
    <m/>
    <n v="91.72"/>
    <m/>
    <m/>
    <m/>
    <m/>
    <m/>
    <m/>
    <m/>
    <n v="26.09"/>
    <m/>
    <n v="235.62"/>
  </r>
  <r>
    <n v="8"/>
    <x v="8"/>
    <x v="1"/>
    <n v="172224"/>
    <s v="MEZA MAXIMILIANO OMAR"/>
    <s v="20-37205496-5"/>
    <d v="2016-08-30T00:00:00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MALVINAS ARGENTINAS"/>
    <n v="764"/>
    <m/>
    <m/>
    <s v="CAPITAL FEDERAL"/>
    <s v="Capital Federal"/>
    <m/>
    <s v="U.O.Centro Paga Inplant"/>
    <m/>
    <n v="2"/>
    <n v="1"/>
    <n v="1277.3800000000001"/>
    <n v="267.29000000000002"/>
    <m/>
    <n v="590.87"/>
    <n v="1600.96"/>
    <m/>
    <n v="37.369999999999997"/>
    <m/>
    <m/>
    <m/>
    <m/>
    <m/>
    <m/>
    <n v="12.77"/>
    <m/>
    <m/>
    <m/>
    <m/>
    <m/>
    <m/>
    <n v="37.369999999999997"/>
    <m/>
    <m/>
    <m/>
    <m/>
    <m/>
    <m/>
    <m/>
    <n v="12.77"/>
    <m/>
    <n v="100.28"/>
  </r>
  <r>
    <n v="8"/>
    <x v="8"/>
    <x v="0"/>
    <n v="163371"/>
    <s v="MEZA PIZARRO CHRISTIAN MERVEN"/>
    <s v="20-92327011-7"/>
    <d v="2016-09-06T00:00:0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n v="1104"/>
    <s v="MANUEL OCAMPO"/>
    <n v="1225"/>
    <m/>
    <m/>
    <s v="CAPITAL FEDERAL"/>
    <s v="Buenos Aires"/>
    <m/>
    <s v="U.O.Centro"/>
    <m/>
    <n v="4"/>
    <n v="1"/>
    <n v="15998.09"/>
    <n v="3243.4"/>
    <m/>
    <n v="2187.84"/>
    <n v="14942.53"/>
    <m/>
    <n v="363.72"/>
    <m/>
    <m/>
    <m/>
    <m/>
    <m/>
    <m/>
    <n v="159.99"/>
    <m/>
    <m/>
    <m/>
    <m/>
    <m/>
    <m/>
    <n v="363.72"/>
    <m/>
    <m/>
    <n v="-43.76"/>
    <m/>
    <m/>
    <m/>
    <m/>
    <n v="159.99"/>
    <m/>
    <n v="1003.66"/>
  </r>
  <r>
    <n v="8"/>
    <x v="8"/>
    <x v="0"/>
    <n v="177866"/>
    <s v="MIÑO ADRIAN GUSTAVO"/>
    <s v="20-37179628-3"/>
    <d v="2016-09-06T00:00:00"/>
    <n v="37179628"/>
    <s v="MIÑO"/>
    <s v="ADRIAN GUSTAVO"/>
    <s v="M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118 a"/>
    <n v="1225"/>
    <m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8"/>
    <x v="8"/>
    <x v="0"/>
    <n v="177489"/>
    <s v="MISITI ANGELES LUCIA"/>
    <s v="27-33554155-9"/>
    <d v="2016-09-06T00:00:00"/>
    <n v="33554155"/>
    <s v="MISITI"/>
    <s v="ANGELES LUCI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HOMERO"/>
    <n v="1005"/>
    <m/>
    <m/>
    <s v="CAPITAL FEDERAL"/>
    <s v="Capital Federal"/>
    <m/>
    <s v="U.O.Centro"/>
    <m/>
    <n v="1"/>
    <n v="1"/>
    <n v="509"/>
    <n v="101.8"/>
    <m/>
    <m/>
    <n v="407.2"/>
    <m/>
    <n v="10.18"/>
    <m/>
    <m/>
    <m/>
    <m/>
    <m/>
    <m/>
    <n v="5.09"/>
    <m/>
    <m/>
    <m/>
    <m/>
    <m/>
    <m/>
    <n v="10.18"/>
    <m/>
    <m/>
    <m/>
    <m/>
    <m/>
    <m/>
    <m/>
    <n v="5.09"/>
    <m/>
    <n v="30.54"/>
  </r>
  <r>
    <n v="8"/>
    <x v="8"/>
    <x v="0"/>
    <n v="170446"/>
    <s v="MONTES LORENA ANDREA"/>
    <s v="27-30914440-1"/>
    <d v="2016-09-06T00:00:0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UAREZ"/>
    <n v="1225"/>
    <s v="PB"/>
    <m/>
    <s v="CAPITAL FEDERAL"/>
    <s v="Buenos Aires"/>
    <m/>
    <s v="U.O.Centro"/>
    <m/>
    <n v="4"/>
    <n v="1"/>
    <n v="15977.06"/>
    <n v="3251.44"/>
    <m/>
    <n v="2800.58"/>
    <n v="15526.2"/>
    <m/>
    <n v="375.55"/>
    <m/>
    <m/>
    <m/>
    <m/>
    <m/>
    <m/>
    <n v="159.77000000000001"/>
    <m/>
    <m/>
    <m/>
    <m/>
    <m/>
    <m/>
    <n v="375.55"/>
    <m/>
    <m/>
    <n v="-56.01"/>
    <m/>
    <m/>
    <m/>
    <m/>
    <n v="159.77000000000001"/>
    <m/>
    <n v="1014.63"/>
  </r>
  <r>
    <n v="8"/>
    <x v="8"/>
    <x v="0"/>
    <n v="171266"/>
    <s v="MUJICA CLAUDIO"/>
    <s v="23-35353560-9"/>
    <d v="2016-09-06T00:00:00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MONTEVERDE"/>
    <n v="1225"/>
    <m/>
    <m/>
    <s v="CAPITAL FEDERAL"/>
    <s v="Buenos Aires"/>
    <m/>
    <s v="U.O.Centro"/>
    <m/>
    <n v="4"/>
    <n v="1"/>
    <n v="6676.33"/>
    <n v="1379.2"/>
    <m/>
    <n v="2196"/>
    <n v="7493.13"/>
    <m/>
    <n v="177.45"/>
    <m/>
    <m/>
    <m/>
    <m/>
    <m/>
    <m/>
    <n v="66.77"/>
    <m/>
    <m/>
    <m/>
    <m/>
    <m/>
    <m/>
    <n v="177.45"/>
    <m/>
    <m/>
    <n v="-43.92"/>
    <m/>
    <m/>
    <m/>
    <m/>
    <n v="66.77"/>
    <m/>
    <n v="444.52"/>
  </r>
  <r>
    <n v="8"/>
    <x v="8"/>
    <x v="0"/>
    <n v="169906"/>
    <s v="MULLER MADAI INES"/>
    <s v="27-33246587-8"/>
    <d v="2016-09-06T00:00:00"/>
    <n v="33246587"/>
    <s v="MULLER"/>
    <s v="MADAI INES"/>
    <s v="F"/>
    <m/>
    <d v="2016-03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ORIBE"/>
    <n v="1005"/>
    <m/>
    <m/>
    <s v="CAPITAL FEDERAL"/>
    <s v="Capital Federal"/>
    <m/>
    <s v="U.O.Centro"/>
    <m/>
    <n v="3"/>
    <n v="1"/>
    <n v="2453.75"/>
    <n v="485.56"/>
    <m/>
    <m/>
    <n v="1968.19"/>
    <m/>
    <n v="49.08"/>
    <m/>
    <m/>
    <m/>
    <m/>
    <m/>
    <m/>
    <n v="19.34"/>
    <m/>
    <m/>
    <m/>
    <m/>
    <m/>
    <m/>
    <n v="49.08"/>
    <m/>
    <m/>
    <m/>
    <m/>
    <m/>
    <m/>
    <m/>
    <n v="19.34"/>
    <m/>
    <n v="136.84"/>
  </r>
  <r>
    <n v="8"/>
    <x v="8"/>
    <x v="1"/>
    <n v="152586"/>
    <s v="MUSTAFA SILVIO ROBERTO"/>
    <s v="23-31539279-9"/>
    <d v="2016-09-06T00:00:0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n v="1009"/>
    <s v="ANCASTE"/>
    <n v="507"/>
    <m/>
    <m/>
    <s v="CAPITAL FEDERAL"/>
    <s v="Capital Federal"/>
    <m/>
    <s v="U.O.Centro Paga Inplant"/>
    <m/>
    <n v="2"/>
    <n v="1"/>
    <n v="9288.44"/>
    <n v="2491.85"/>
    <m/>
    <n v="2719.08"/>
    <n v="9515.67"/>
    <n v="300.19"/>
    <m/>
    <m/>
    <m/>
    <m/>
    <m/>
    <m/>
    <m/>
    <n v="92.88"/>
    <m/>
    <m/>
    <m/>
    <m/>
    <m/>
    <m/>
    <n v="240.15"/>
    <m/>
    <m/>
    <m/>
    <m/>
    <m/>
    <m/>
    <m/>
    <n v="92.88"/>
    <m/>
    <n v="726.1"/>
  </r>
  <r>
    <n v="8"/>
    <x v="8"/>
    <x v="0"/>
    <n v="175073"/>
    <s v="NAVARRO EMMANUEL"/>
    <s v="23-34424483-9"/>
    <d v="2016-09-06T00:00:00"/>
    <n v="34424483"/>
    <s v="NAVARRO"/>
    <s v="EMMANUEL"/>
    <s v="M"/>
    <m/>
    <d v="2016-07-04T00:00:00"/>
    <d v="2016-07-17T00:00:00"/>
    <n v="42568"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ENTRE RIOS"/>
    <n v="1225"/>
    <m/>
    <m/>
    <s v="CAPITAL FEDERAL"/>
    <s v="Buenos Aires"/>
    <m/>
    <s v="U.O.Centro"/>
    <m/>
    <n v="2"/>
    <n v="1"/>
    <m/>
    <n v="10.28"/>
    <m/>
    <n v="513.78"/>
    <n v="503.5"/>
    <m/>
    <n v="10.28"/>
    <m/>
    <m/>
    <m/>
    <m/>
    <m/>
    <m/>
    <m/>
    <m/>
    <m/>
    <m/>
    <m/>
    <m/>
    <m/>
    <n v="10.28"/>
    <m/>
    <m/>
    <n v="-10.28"/>
    <m/>
    <m/>
    <m/>
    <m/>
    <m/>
    <m/>
    <n v="10.28"/>
  </r>
  <r>
    <n v="8"/>
    <x v="8"/>
    <x v="0"/>
    <n v="173738"/>
    <s v="NIZ JAVIER ARMANDO"/>
    <s v="20-34711040-0"/>
    <d v="2016-08-22T00:00:00"/>
    <n v="34711040"/>
    <s v="NIZ"/>
    <s v="JAVIER ARMANDO"/>
    <s v="M"/>
    <m/>
    <d v="2016-06-1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IEDRABUENA"/>
    <n v="1584"/>
    <m/>
    <m/>
    <s v="CAPITAL FEDERAL"/>
    <s v="Capital Federal"/>
    <m/>
    <s v="U.O.Centro"/>
    <m/>
    <n v="1"/>
    <n v="1"/>
    <m/>
    <n v="2.2000000000000002"/>
    <m/>
    <n v="109.8"/>
    <n v="107.6"/>
    <m/>
    <n v="2.2000000000000002"/>
    <m/>
    <m/>
    <m/>
    <m/>
    <m/>
    <m/>
    <m/>
    <m/>
    <m/>
    <m/>
    <m/>
    <m/>
    <m/>
    <n v="2.2000000000000002"/>
    <m/>
    <m/>
    <m/>
    <m/>
    <m/>
    <m/>
    <m/>
    <m/>
    <m/>
    <n v="4.4000000000000004"/>
  </r>
  <r>
    <n v="8"/>
    <x v="8"/>
    <x v="0"/>
    <n v="173661"/>
    <s v="OCANTO CHRISTIAN NAHUEL"/>
    <s v="20-36894544-8"/>
    <d v="2016-09-06T00:00:00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JULIAN AGUIRRE"/>
    <n v="1225"/>
    <m/>
    <m/>
    <s v="CAPITAL FEDERAL"/>
    <s v="Buenos Aires"/>
    <m/>
    <s v="U.O.Centro"/>
    <m/>
    <n v="4"/>
    <n v="1"/>
    <n v="6139.16"/>
    <n v="1237.3800000000001"/>
    <m/>
    <n v="478.2"/>
    <n v="5379.98"/>
    <m/>
    <n v="132.35"/>
    <m/>
    <m/>
    <m/>
    <m/>
    <m/>
    <m/>
    <n v="61.39"/>
    <m/>
    <m/>
    <m/>
    <m/>
    <m/>
    <m/>
    <n v="132.35"/>
    <m/>
    <m/>
    <n v="-9.56"/>
    <m/>
    <m/>
    <m/>
    <m/>
    <n v="61.39"/>
    <m/>
    <n v="377.92"/>
  </r>
  <r>
    <n v="8"/>
    <x v="8"/>
    <x v="0"/>
    <n v="162167"/>
    <s v="OCANTOS MARIA FERNANDA"/>
    <s v="20-26587101-2"/>
    <d v="2016-09-06T00:00:0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LVEAR"/>
    <n v="1225"/>
    <m/>
    <m/>
    <s v="CAPITAL FEDERAL"/>
    <s v="Buenos Aires"/>
    <m/>
    <s v="U.O.San Justo"/>
    <m/>
    <n v="4"/>
    <n v="1"/>
    <n v="5956.19"/>
    <n v="1207.32"/>
    <m/>
    <n v="803.1"/>
    <n v="5551.97"/>
    <m/>
    <n v="135.18"/>
    <m/>
    <m/>
    <m/>
    <m/>
    <m/>
    <m/>
    <n v="59.57"/>
    <m/>
    <m/>
    <m/>
    <m/>
    <m/>
    <m/>
    <n v="135.18"/>
    <m/>
    <m/>
    <n v="-16.059999999999999"/>
    <m/>
    <m/>
    <m/>
    <m/>
    <n v="59.57"/>
    <m/>
    <n v="373.44"/>
  </r>
  <r>
    <n v="8"/>
    <x v="8"/>
    <x v="0"/>
    <n v="156371"/>
    <s v="OJEDA HECTOR ALBERTO"/>
    <s v="20-27373033-9"/>
    <d v="2016-09-06T00:00:00"/>
    <n v="27373033"/>
    <s v="OJEDA"/>
    <s v="HECTOR ALBERTO"/>
    <s v="M"/>
    <m/>
    <d v="2015-09-10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FINLANDIA"/>
    <n v="1005"/>
    <m/>
    <m/>
    <s v="CAPITAL FEDERAL"/>
    <s v="Capital Federal"/>
    <m/>
    <s v="U.O.Centro"/>
    <m/>
    <n v="5"/>
    <n v="1"/>
    <n v="14303.54"/>
    <n v="2900.57"/>
    <m/>
    <n v="1993.39"/>
    <n v="13396.36"/>
    <m/>
    <n v="325.93"/>
    <m/>
    <m/>
    <m/>
    <m/>
    <m/>
    <m/>
    <n v="143.04"/>
    <m/>
    <m/>
    <m/>
    <m/>
    <m/>
    <m/>
    <n v="325.93"/>
    <m/>
    <m/>
    <m/>
    <m/>
    <m/>
    <m/>
    <m/>
    <n v="143.04"/>
    <m/>
    <n v="937.94"/>
  </r>
  <r>
    <n v="8"/>
    <x v="8"/>
    <x v="0"/>
    <n v="171274"/>
    <s v="OJEDA LORENA SUSANA"/>
    <s v="27-34340810-8"/>
    <d v="2016-09-06T00:00:00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LTA"/>
    <n v="1225"/>
    <m/>
    <m/>
    <s v="CAPITAL FEDERAL"/>
    <s v="Buenos Aires"/>
    <m/>
    <s v="U.O.Centro"/>
    <m/>
    <n v="4"/>
    <n v="1"/>
    <n v="12122.83"/>
    <n v="2460.8200000000002"/>
    <m/>
    <n v="1812.14"/>
    <n v="11474.15"/>
    <m/>
    <n v="278.7"/>
    <m/>
    <m/>
    <m/>
    <m/>
    <m/>
    <m/>
    <n v="121.23"/>
    <m/>
    <m/>
    <m/>
    <m/>
    <m/>
    <m/>
    <n v="278.7"/>
    <m/>
    <m/>
    <n v="-36.24"/>
    <m/>
    <m/>
    <m/>
    <m/>
    <n v="121.23"/>
    <m/>
    <n v="763.62"/>
  </r>
  <r>
    <n v="8"/>
    <x v="8"/>
    <x v="0"/>
    <n v="156032"/>
    <s v="OJEDA VALERIA NOEMI"/>
    <s v="27-33485754-4"/>
    <d v="2016-09-06T00:00:00"/>
    <n v="33485754"/>
    <s v="OJEDA"/>
    <s v="VALERIA NOEMI"/>
    <s v="F"/>
    <m/>
    <d v="2015-08-15T00:00:00"/>
    <d v="2016-07-31T00:00:00"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ILICIA"/>
    <n v="1005"/>
    <m/>
    <m/>
    <s v="CAPITAL FEDERAL"/>
    <s v="Capital Federal"/>
    <m/>
    <s v="U.O.Centro"/>
    <m/>
    <n v="2"/>
    <n v="1"/>
    <n v="-703.88"/>
    <n v="-123.79"/>
    <m/>
    <n v="849.95"/>
    <n v="269.86"/>
    <m/>
    <n v="2.92"/>
    <m/>
    <m/>
    <m/>
    <m/>
    <m/>
    <m/>
    <n v="-7.04"/>
    <m/>
    <m/>
    <m/>
    <m/>
    <m/>
    <m/>
    <n v="2.92"/>
    <m/>
    <m/>
    <m/>
    <m/>
    <m/>
    <m/>
    <m/>
    <n v="-7.04"/>
    <m/>
    <n v="-8.24"/>
  </r>
  <r>
    <n v="8"/>
    <x v="8"/>
    <x v="0"/>
    <n v="135237"/>
    <s v="ORELLANO JUANA MARIA"/>
    <s v="27-27696157-3"/>
    <d v="2016-09-06T00:00:0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3"/>
    <n v="1"/>
    <n v="18774.7"/>
    <n v="3925.42"/>
    <m/>
    <n v="3064.04"/>
    <n v="17913.32"/>
    <n v="545.97"/>
    <m/>
    <m/>
    <m/>
    <m/>
    <m/>
    <m/>
    <m/>
    <n v="187.75"/>
    <m/>
    <m/>
    <m/>
    <m/>
    <m/>
    <m/>
    <n v="434.8"/>
    <m/>
    <m/>
    <m/>
    <m/>
    <m/>
    <m/>
    <m/>
    <n v="187.75"/>
    <m/>
    <n v="1356.27"/>
  </r>
  <r>
    <n v="8"/>
    <x v="8"/>
    <x v="0"/>
    <n v="172199"/>
    <s v="ORTIZ ANDRES NICOLAS"/>
    <s v="20-32769991-2"/>
    <d v="2016-09-06T00:00:00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LAVEL"/>
    <n v="1225"/>
    <m/>
    <m/>
    <s v="CAPITAL FEDERAL"/>
    <s v="Buenos Aires"/>
    <m/>
    <s v="U.O.Centro"/>
    <m/>
    <n v="4"/>
    <n v="1"/>
    <n v="10079.709999999999"/>
    <n v="2026.68"/>
    <m/>
    <n v="535.4"/>
    <n v="8588.43"/>
    <m/>
    <n v="212.31"/>
    <m/>
    <m/>
    <m/>
    <m/>
    <m/>
    <m/>
    <n v="100.8"/>
    <m/>
    <m/>
    <m/>
    <m/>
    <m/>
    <m/>
    <n v="212.31"/>
    <m/>
    <m/>
    <n v="-10.71"/>
    <m/>
    <m/>
    <m/>
    <m/>
    <n v="100.8"/>
    <m/>
    <n v="615.51"/>
  </r>
  <r>
    <n v="8"/>
    <x v="8"/>
    <x v="0"/>
    <n v="175535"/>
    <s v="PADILLA MATIAS OSCAR"/>
    <s v="20-38070027-2"/>
    <d v="2016-09-06T00:00:00"/>
    <n v="38070027"/>
    <s v="PADILLA"/>
    <s v="MATIAS OSCAR"/>
    <s v="M"/>
    <m/>
    <d v="2016-07-1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STAÑON"/>
    <n v="1225"/>
    <m/>
    <m/>
    <s v="CAPITAL FEDERAL"/>
    <s v="Buenos Aires"/>
    <m/>
    <s v="U.O.Centro"/>
    <m/>
    <n v="4"/>
    <n v="1"/>
    <n v="7922.64"/>
    <n v="1596.06"/>
    <m/>
    <n v="576.59"/>
    <n v="6903.17"/>
    <m/>
    <n v="169.98"/>
    <m/>
    <m/>
    <m/>
    <m/>
    <m/>
    <m/>
    <n v="79.23"/>
    <m/>
    <m/>
    <m/>
    <m/>
    <m/>
    <m/>
    <n v="169.98"/>
    <m/>
    <m/>
    <n v="-11.53"/>
    <m/>
    <m/>
    <m/>
    <m/>
    <n v="79.23"/>
    <m/>
    <n v="486.89"/>
  </r>
  <r>
    <n v="8"/>
    <x v="8"/>
    <x v="0"/>
    <n v="170439"/>
    <s v="PAEZ DAIANA BEATRIZ"/>
    <s v="27-38350463-0"/>
    <d v="2016-09-06T00:00:00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ARDENAS"/>
    <n v="1225"/>
    <m/>
    <m/>
    <s v="CAPITAL FEDERAL"/>
    <s v="Buenos Aires"/>
    <m/>
    <s v="U.O.Avellaneda"/>
    <m/>
    <n v="5"/>
    <n v="1"/>
    <n v="9306.2199999999993"/>
    <n v="1907.39"/>
    <m/>
    <n v="2306.36"/>
    <n v="9705.19"/>
    <m/>
    <n v="232.25"/>
    <m/>
    <m/>
    <m/>
    <m/>
    <m/>
    <m/>
    <n v="93.07"/>
    <m/>
    <m/>
    <m/>
    <m/>
    <m/>
    <m/>
    <n v="232.25"/>
    <m/>
    <m/>
    <n v="-46.13"/>
    <m/>
    <m/>
    <m/>
    <m/>
    <n v="93.07"/>
    <m/>
    <n v="604.51"/>
  </r>
  <r>
    <n v="8"/>
    <x v="8"/>
    <x v="0"/>
    <n v="173398"/>
    <s v="PAIS DANIEL ESTEBAN ALEJANDRO"/>
    <s v="20-36894777-7"/>
    <d v="2016-09-06T00:00:00"/>
    <n v="36894777"/>
    <s v="PAIS"/>
    <s v="DANIEL ESTEBAN ALEJANDRO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BOEDO"/>
    <n v="1005"/>
    <m/>
    <m/>
    <s v="CAPITAL FEDERAL"/>
    <s v="Capital Federal"/>
    <m/>
    <s v="U.O.Centro"/>
    <m/>
    <n v="4"/>
    <n v="1"/>
    <n v="3678.1"/>
    <n v="725.81"/>
    <m/>
    <n v="381.47"/>
    <n v="3333.76"/>
    <m/>
    <n v="81.2"/>
    <m/>
    <m/>
    <m/>
    <m/>
    <m/>
    <m/>
    <n v="19.34"/>
    <m/>
    <m/>
    <m/>
    <m/>
    <m/>
    <m/>
    <n v="81.2"/>
    <m/>
    <m/>
    <m/>
    <m/>
    <m/>
    <m/>
    <m/>
    <n v="19.34"/>
    <m/>
    <n v="201.08"/>
  </r>
  <r>
    <n v="8"/>
    <x v="8"/>
    <x v="0"/>
    <n v="164223"/>
    <s v="PAIS PABLO MARIANO"/>
    <s v="20-23510883-7"/>
    <d v="2016-08-22T00:00:00"/>
    <n v="23510883"/>
    <s v="PAIS"/>
    <s v="PABLO MARIANO"/>
    <s v="M"/>
    <m/>
    <d v="2015-12-24T00:00:00"/>
    <m/>
    <m/>
    <s v="GASTRONOMICOS-Hoteles 4 y 5 Estrellas - 362/2003"/>
    <s v="Categoria 6"/>
    <x v="6"/>
    <s v="NUEVOS INGRESOS"/>
    <s v="Centro"/>
    <s v="Camarero/a"/>
    <n v="108803"/>
    <s v="O.S.P.Gastronomico"/>
    <s v="Capital Federal"/>
    <m/>
    <n v="1093"/>
    <s v="MARGARIÑOS CERVANTES"/>
    <n v="1232"/>
    <n v="3"/>
    <s v="C"/>
    <s v="CAPITAL FEDERAL"/>
    <s v="Buenos Aires"/>
    <m/>
    <s v="U.O.Centro"/>
    <s v="Banquetes"/>
    <n v="1"/>
    <n v="1"/>
    <m/>
    <n v="3.21"/>
    <m/>
    <n v="160.62"/>
    <n v="157.41"/>
    <m/>
    <n v="3.21"/>
    <m/>
    <m/>
    <m/>
    <m/>
    <m/>
    <m/>
    <m/>
    <m/>
    <m/>
    <m/>
    <m/>
    <m/>
    <m/>
    <n v="3.21"/>
    <m/>
    <m/>
    <m/>
    <m/>
    <m/>
    <m/>
    <m/>
    <m/>
    <m/>
    <n v="6.42"/>
  </r>
  <r>
    <n v="8"/>
    <x v="8"/>
    <x v="1"/>
    <n v="177492"/>
    <s v="PALOMINO LEONARDO"/>
    <s v="20-30666816-2"/>
    <d v="2016-08-30T00:00:00"/>
    <n v="30666816"/>
    <s v="PALOMINO"/>
    <s v="LEONARD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n v="1002"/>
    <s v="TERRANOVA"/>
    <n v="764"/>
    <m/>
    <m/>
    <s v="CAPITAL FEDERAL"/>
    <s v="Capital Federal"/>
    <m/>
    <s v="U.O.Centro"/>
    <m/>
    <n v="1"/>
    <n v="1"/>
    <n v="4100.84"/>
    <n v="820.18"/>
    <m/>
    <m/>
    <n v="3280.66"/>
    <m/>
    <n v="82.02"/>
    <m/>
    <m/>
    <m/>
    <m/>
    <m/>
    <m/>
    <n v="41.01"/>
    <m/>
    <m/>
    <m/>
    <m/>
    <m/>
    <m/>
    <n v="82.02"/>
    <m/>
    <m/>
    <m/>
    <m/>
    <m/>
    <m/>
    <m/>
    <n v="41.01"/>
    <m/>
    <n v="246.06"/>
  </r>
  <r>
    <n v="8"/>
    <x v="8"/>
    <x v="0"/>
    <n v="175536"/>
    <s v="PAREDES NUÑEZ JONATHAN MANUEL"/>
    <s v="20-35901757-0"/>
    <d v="2016-09-06T00:00:00"/>
    <n v="35901757"/>
    <s v="PAREDES NUÑEZ"/>
    <s v="JONATHAN MANUEL"/>
    <s v="M"/>
    <m/>
    <d v="2016-07-12T00:00:00"/>
    <d v="2016-07-2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EVA PERON"/>
    <n v="1225"/>
    <m/>
    <m/>
    <s v="CAPITAL FEDERAL"/>
    <s v="Buenos Aires"/>
    <m/>
    <s v="U.O.Centro"/>
    <m/>
    <n v="2"/>
    <n v="1"/>
    <m/>
    <n v="11.53"/>
    <m/>
    <n v="576.59"/>
    <n v="565.05999999999995"/>
    <m/>
    <n v="11.53"/>
    <m/>
    <m/>
    <m/>
    <m/>
    <m/>
    <m/>
    <m/>
    <m/>
    <m/>
    <m/>
    <m/>
    <m/>
    <m/>
    <n v="11.53"/>
    <m/>
    <m/>
    <n v="-11.53"/>
    <m/>
    <m/>
    <m/>
    <m/>
    <m/>
    <m/>
    <n v="11.53"/>
  </r>
  <r>
    <n v="8"/>
    <x v="8"/>
    <x v="0"/>
    <n v="161159"/>
    <s v="PARISI GABRIEL DARIO"/>
    <s v="20-34384166-4"/>
    <d v="2016-09-06T00:00:0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TABORDA"/>
    <n v="1225"/>
    <m/>
    <m/>
    <s v="CAPITAL FEDERAL"/>
    <s v="Buenos Aires"/>
    <m/>
    <s v="U.O.Centro"/>
    <m/>
    <n v="4"/>
    <n v="1"/>
    <n v="11420.02"/>
    <n v="2326.4699999999998"/>
    <m/>
    <n v="2122.8000000000002"/>
    <n v="11216.35"/>
    <m/>
    <n v="270.86"/>
    <m/>
    <m/>
    <m/>
    <m/>
    <m/>
    <m/>
    <n v="114.2"/>
    <m/>
    <m/>
    <m/>
    <m/>
    <m/>
    <m/>
    <n v="270.86"/>
    <m/>
    <m/>
    <n v="-42.46"/>
    <m/>
    <m/>
    <m/>
    <m/>
    <n v="114.2"/>
    <m/>
    <n v="727.66"/>
  </r>
  <r>
    <n v="8"/>
    <x v="8"/>
    <x v="0"/>
    <n v="164321"/>
    <s v="PAZ WALTER RICARDO"/>
    <s v="20-28305441-2"/>
    <d v="2016-09-06T00:00:0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3"/>
    <n v="1"/>
    <n v="14204.1"/>
    <n v="2894.14"/>
    <m/>
    <n v="2666.43"/>
    <n v="13976.39"/>
    <m/>
    <n v="337.41"/>
    <m/>
    <m/>
    <m/>
    <m/>
    <m/>
    <m/>
    <n v="142.04"/>
    <m/>
    <m/>
    <m/>
    <m/>
    <m/>
    <m/>
    <n v="337.41"/>
    <m/>
    <m/>
    <m/>
    <m/>
    <m/>
    <m/>
    <m/>
    <n v="142.04"/>
    <m/>
    <n v="958.9"/>
  </r>
  <r>
    <n v="8"/>
    <x v="8"/>
    <x v="0"/>
    <n v="173370"/>
    <s v="PEDICINO ROMACHUK YESICA NOEMI"/>
    <s v="27-30911440-5"/>
    <d v="2016-09-06T00:00:00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1ºDE MAYO"/>
    <n v="1225"/>
    <m/>
    <m/>
    <s v="CAPITAL FEDERAL"/>
    <s v="Buenos Aires"/>
    <m/>
    <s v="U.O.Centro"/>
    <m/>
    <n v="4"/>
    <n v="1"/>
    <n v="7598.71"/>
    <n v="1549.02"/>
    <m/>
    <n v="1464"/>
    <n v="7513.69"/>
    <m/>
    <n v="181.25"/>
    <m/>
    <m/>
    <m/>
    <m/>
    <m/>
    <m/>
    <n v="75.989999999999995"/>
    <m/>
    <m/>
    <m/>
    <m/>
    <m/>
    <m/>
    <n v="181.25"/>
    <m/>
    <m/>
    <n v="-29.28"/>
    <m/>
    <m/>
    <m/>
    <m/>
    <n v="75.989999999999995"/>
    <m/>
    <n v="485.2"/>
  </r>
  <r>
    <n v="8"/>
    <x v="8"/>
    <x v="0"/>
    <n v="170486"/>
    <s v="PEPE VALVERDE AGUSTINA"/>
    <s v="27-39761877-9"/>
    <d v="2016-09-06T00:00:00"/>
    <n v="39761877"/>
    <s v="PEPE VALVERDE"/>
    <s v="AGUSTINA"/>
    <s v="F"/>
    <m/>
    <d v="2016-03-18T00:00:00"/>
    <d v="2016-07-15T00:00:00"/>
    <n v="42566"/>
    <s v="GASTRONOMICOS-Hoteles 4 y 5 Estrellas - 362/2003"/>
    <s v="Categoria 6"/>
    <x v="1"/>
    <s v="RESTAURANT"/>
    <s v="Centro"/>
    <s v="Tareas Generales"/>
    <n v="108803"/>
    <s v="O.S.P.Gastronomico"/>
    <s v="Capital Federal"/>
    <m/>
    <n v="1005"/>
    <s v="Provincia de Buenos Aires"/>
    <n v="1005"/>
    <m/>
    <m/>
    <s v="CAPITAL FEDERAL"/>
    <s v="Capital Federal"/>
    <m/>
    <s v="U.O.Centro"/>
    <m/>
    <n v="1"/>
    <n v="1"/>
    <m/>
    <n v="44.44"/>
    <m/>
    <n v="2221.91"/>
    <n v="2177.4699999999998"/>
    <m/>
    <n v="44.44"/>
    <m/>
    <m/>
    <m/>
    <m/>
    <m/>
    <m/>
    <m/>
    <m/>
    <m/>
    <m/>
    <m/>
    <m/>
    <m/>
    <n v="44.44"/>
    <m/>
    <m/>
    <m/>
    <m/>
    <m/>
    <m/>
    <m/>
    <m/>
    <m/>
    <n v="88.88"/>
  </r>
  <r>
    <n v="8"/>
    <x v="8"/>
    <x v="0"/>
    <n v="177325"/>
    <s v="PERALTA PAMELA DEL VALLE"/>
    <s v="27-36590873-2"/>
    <d v="2016-09-06T00:00:00"/>
    <n v="36590873"/>
    <s v="PERALTA"/>
    <s v="PAMELA DEL VALLE"/>
    <s v="F"/>
    <m/>
    <d v="2016-08-2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VENEZUELA Y POSADAS"/>
    <n v="1005"/>
    <m/>
    <m/>
    <s v="CAPITAL FEDERAL"/>
    <s v="Capital Federal"/>
    <m/>
    <s v="U.O.Centro"/>
    <m/>
    <n v="2"/>
    <n v="1"/>
    <n v="977.52"/>
    <n v="190.3"/>
    <m/>
    <m/>
    <n v="787.22"/>
    <m/>
    <n v="19.55"/>
    <m/>
    <m/>
    <m/>
    <m/>
    <m/>
    <m/>
    <n v="4.58"/>
    <m/>
    <m/>
    <m/>
    <m/>
    <m/>
    <m/>
    <n v="19.55"/>
    <m/>
    <m/>
    <m/>
    <m/>
    <m/>
    <m/>
    <m/>
    <n v="4.58"/>
    <m/>
    <n v="48.26"/>
  </r>
  <r>
    <n v="8"/>
    <x v="8"/>
    <x v="0"/>
    <n v="168239"/>
    <s v="PERALTA RICARDO FRANCISCO"/>
    <s v="20-35719331-2"/>
    <d v="2016-09-06T00:00:0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BOUCHARD"/>
    <n v="1225"/>
    <m/>
    <m/>
    <s v="CAPITAL FEDERAL"/>
    <s v="Buenos Aires"/>
    <m/>
    <s v="U.O.Centro"/>
    <m/>
    <n v="4"/>
    <n v="1"/>
    <n v="10380.49"/>
    <n v="2122.96"/>
    <m/>
    <n v="2342.4"/>
    <n v="10599.93"/>
    <m/>
    <n v="254.46"/>
    <m/>
    <m/>
    <m/>
    <m/>
    <m/>
    <m/>
    <n v="103.8"/>
    <m/>
    <m/>
    <m/>
    <m/>
    <m/>
    <m/>
    <n v="254.46"/>
    <m/>
    <m/>
    <n v="-46.85"/>
    <m/>
    <m/>
    <m/>
    <m/>
    <n v="103.8"/>
    <m/>
    <n v="669.67"/>
  </r>
  <r>
    <n v="8"/>
    <x v="8"/>
    <x v="0"/>
    <n v="155712"/>
    <s v="PERALTA DE KEMMETER PABLO ADRIAN"/>
    <s v="20-38404684-4"/>
    <d v="2016-09-06T00:00:00"/>
    <n v="38404684"/>
    <s v="PERALTA DE KEMMETER"/>
    <s v="PABLO ADRIAN"/>
    <s v="M"/>
    <m/>
    <d v="2016-08-16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BUENOS AIRES"/>
    <n v="1225"/>
    <m/>
    <m/>
    <s v="CAPITAL FEDERAL"/>
    <s v="Buenos Aires"/>
    <m/>
    <s v="U.O.Centro"/>
    <m/>
    <n v="6"/>
    <n v="1"/>
    <n v="8413.2800000000007"/>
    <n v="1737.58"/>
    <m/>
    <n v="2746.08"/>
    <n v="9421.7800000000007"/>
    <m/>
    <n v="223.19"/>
    <m/>
    <m/>
    <m/>
    <m/>
    <m/>
    <m/>
    <n v="84.13"/>
    <m/>
    <m/>
    <m/>
    <m/>
    <m/>
    <m/>
    <n v="223.19"/>
    <m/>
    <m/>
    <m/>
    <m/>
    <m/>
    <m/>
    <m/>
    <n v="84.13"/>
    <m/>
    <n v="614.64"/>
  </r>
  <r>
    <n v="8"/>
    <x v="8"/>
    <x v="1"/>
    <n v="65369"/>
    <s v="PEREZ RUBEN HORACIO"/>
    <s v="20-28042935-0"/>
    <d v="2016-09-06T00:00:00"/>
    <n v="28042935"/>
    <s v="PEREZ"/>
    <s v="RUBEN HORACIO"/>
    <s v="M"/>
    <m/>
    <d v="2014-05-01T00:00:00"/>
    <m/>
    <n v="40647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2"/>
    <n v="1"/>
    <n v="2967.96"/>
    <n v="598.21"/>
    <m/>
    <n v="230.58"/>
    <n v="2600.33"/>
    <m/>
    <n v="63.97"/>
    <m/>
    <m/>
    <m/>
    <m/>
    <m/>
    <m/>
    <n v="29.68"/>
    <m/>
    <m/>
    <m/>
    <m/>
    <m/>
    <m/>
    <n v="63.97"/>
    <m/>
    <m/>
    <m/>
    <m/>
    <m/>
    <m/>
    <m/>
    <n v="29.68"/>
    <m/>
    <n v="187.3"/>
  </r>
  <r>
    <n v="8"/>
    <x v="8"/>
    <x v="0"/>
    <n v="173560"/>
    <s v="PEREZ VILLANI LUCIA"/>
    <s v="27-34755207-6"/>
    <d v="2016-09-06T00:00:00"/>
    <n v="34755207"/>
    <s v="PEREZ VILLANI"/>
    <s v="LUCI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ITRE"/>
    <n v="1225"/>
    <n v="21"/>
    <m/>
    <s v="CAPITAL FEDERAL"/>
    <s v="Buenos Aires"/>
    <m/>
    <s v="U.O.Centro"/>
    <m/>
    <n v="2"/>
    <n v="1"/>
    <n v="2277.9"/>
    <n v="451.12"/>
    <m/>
    <m/>
    <n v="1826.78"/>
    <m/>
    <n v="45.55"/>
    <m/>
    <m/>
    <m/>
    <m/>
    <m/>
    <m/>
    <n v="18.329999999999998"/>
    <m/>
    <m/>
    <m/>
    <m/>
    <m/>
    <m/>
    <n v="45.55"/>
    <m/>
    <m/>
    <m/>
    <m/>
    <m/>
    <m/>
    <m/>
    <n v="18.329999999999998"/>
    <m/>
    <n v="127.76"/>
  </r>
  <r>
    <n v="8"/>
    <x v="8"/>
    <x v="0"/>
    <n v="161870"/>
    <s v="PETRONE VICENTE"/>
    <s v="20-27146024-5"/>
    <d v="2016-09-06T00:00:0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MOL"/>
    <n v="1225"/>
    <m/>
    <m/>
    <s v="CAPITAL FEDERAL"/>
    <s v="Buenos Aires"/>
    <m/>
    <s v="U.O.Quilmes"/>
    <m/>
    <n v="4"/>
    <n v="1"/>
    <n v="5956.19"/>
    <n v="1206.21"/>
    <m/>
    <n v="749.56"/>
    <n v="5499.54"/>
    <m/>
    <n v="134.11000000000001"/>
    <m/>
    <m/>
    <m/>
    <m/>
    <m/>
    <m/>
    <n v="59.56"/>
    <m/>
    <m/>
    <m/>
    <m/>
    <m/>
    <m/>
    <n v="134.11000000000001"/>
    <m/>
    <m/>
    <n v="-14.99"/>
    <m/>
    <m/>
    <m/>
    <m/>
    <n v="59.56"/>
    <m/>
    <n v="372.35"/>
  </r>
  <r>
    <n v="8"/>
    <x v="8"/>
    <x v="0"/>
    <n v="173659"/>
    <s v="PIGNI EMANUEL"/>
    <s v="23-36874910-9"/>
    <d v="2016-09-06T00:00:00"/>
    <n v="36874910"/>
    <s v="PIGNI"/>
    <s v="EMANUEL"/>
    <s v="M"/>
    <m/>
    <d v="2016-08-0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MANZANA 2 EDIFICIO B 7"/>
    <n v="1225"/>
    <s v="PB"/>
    <s v="D"/>
    <s v="CAPITAL FEDERAL"/>
    <s v="Buenos Aires"/>
    <m/>
    <s v="U.O.Centro"/>
    <m/>
    <n v="4"/>
    <n v="1"/>
    <n v="7518.01"/>
    <n v="1508.88"/>
    <m/>
    <n v="263.52"/>
    <n v="6272.65"/>
    <m/>
    <n v="155.63"/>
    <m/>
    <m/>
    <m/>
    <m/>
    <m/>
    <m/>
    <n v="75.180000000000007"/>
    <m/>
    <m/>
    <m/>
    <m/>
    <m/>
    <m/>
    <n v="155.63"/>
    <m/>
    <m/>
    <n v="-5.27"/>
    <m/>
    <m/>
    <m/>
    <m/>
    <n v="75.180000000000007"/>
    <m/>
    <n v="456.35"/>
  </r>
  <r>
    <n v="8"/>
    <x v="8"/>
    <x v="1"/>
    <n v="62941"/>
    <s v="POGONZA ANDREA GISELLE"/>
    <s v="27-32522930-1"/>
    <d v="2016-09-06T00:00:0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2"/>
    <n v="1"/>
    <n v="15235.19"/>
    <n v="3176.76"/>
    <m/>
    <n v="2141.6"/>
    <n v="14200.03"/>
    <n v="434.42"/>
    <m/>
    <m/>
    <m/>
    <m/>
    <m/>
    <m/>
    <m/>
    <n v="152.35"/>
    <m/>
    <m/>
    <m/>
    <m/>
    <m/>
    <m/>
    <n v="347.53"/>
    <m/>
    <m/>
    <m/>
    <m/>
    <m/>
    <m/>
    <m/>
    <n v="152.35"/>
    <m/>
    <n v="1086.6500000000001"/>
  </r>
  <r>
    <n v="8"/>
    <x v="8"/>
    <x v="0"/>
    <n v="173662"/>
    <s v="POLVERINI JULIETA"/>
    <s v="27-31251285-3"/>
    <d v="2016-09-06T00:00:00"/>
    <n v="31251285"/>
    <s v="POLVERINI"/>
    <s v="JULIETA"/>
    <s v="F"/>
    <m/>
    <d v="2016-05-27T00:00:00"/>
    <d v="2016-08-07T00:00:00"/>
    <m/>
    <s v="GASTRONOMICOS-Hoteles 4 y 5 Estrellas - 362/2003"/>
    <s v="Categoria 6"/>
    <x v="5"/>
    <s v="Mozos / camareros - GL"/>
    <s v="Centro"/>
    <s v="Camarero/a"/>
    <n v="125905"/>
    <s v="OS ARBITROS DEPORTIVOS DE LA REPUBLICA ARGENTINA"/>
    <s v="Capital Federal"/>
    <m/>
    <n v="1104"/>
    <s v="MATANZA EDIFICIO 2"/>
    <n v="1225"/>
    <m/>
    <m/>
    <s v="CAPITAL FEDERAL"/>
    <s v="Buenos Aires"/>
    <m/>
    <s v="U.O.Centro"/>
    <m/>
    <n v="2"/>
    <n v="1"/>
    <m/>
    <n v="6.42"/>
    <m/>
    <n v="321.24"/>
    <n v="314.82"/>
    <m/>
    <n v="6.42"/>
    <m/>
    <m/>
    <m/>
    <m/>
    <m/>
    <m/>
    <m/>
    <m/>
    <m/>
    <m/>
    <m/>
    <m/>
    <m/>
    <n v="6.42"/>
    <m/>
    <m/>
    <n v="-6.42"/>
    <m/>
    <m/>
    <m/>
    <m/>
    <m/>
    <m/>
    <n v="6.42"/>
  </r>
  <r>
    <n v="8"/>
    <x v="8"/>
    <x v="0"/>
    <n v="176386"/>
    <s v="PORTILLO MACIEL JUAN RAMON"/>
    <s v="20-36896140-0"/>
    <d v="2016-09-06T00:00:00"/>
    <n v="36896140"/>
    <s v="PORTILLO MACIEL"/>
    <s v="JUAN RAMON"/>
    <s v="M"/>
    <m/>
    <d v="2016-07-2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n v="1104"/>
    <s v="QUINTINO BOCAYUVA"/>
    <n v="1225"/>
    <m/>
    <m/>
    <s v="CAPITAL FEDERAL"/>
    <s v="Buenos Aires"/>
    <m/>
    <s v="U.O.Centro"/>
    <m/>
    <n v="4"/>
    <n v="1"/>
    <n v="6676.32"/>
    <n v="1339.66"/>
    <m/>
    <n v="219.6"/>
    <n v="5556.26"/>
    <m/>
    <n v="137.91999999999999"/>
    <m/>
    <m/>
    <m/>
    <m/>
    <m/>
    <m/>
    <n v="66.760000000000005"/>
    <m/>
    <m/>
    <m/>
    <m/>
    <m/>
    <m/>
    <n v="137.91999999999999"/>
    <m/>
    <m/>
    <n v="-4.3899999999999997"/>
    <m/>
    <m/>
    <m/>
    <m/>
    <n v="66.760000000000005"/>
    <m/>
    <n v="404.97"/>
  </r>
  <r>
    <n v="8"/>
    <x v="8"/>
    <x v="0"/>
    <n v="172087"/>
    <s v="POSTERNAK ERIKA ELENA"/>
    <s v="27-38699581-3"/>
    <d v="2016-09-06T00:00:00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INGENIERO HUERGO"/>
    <n v="1225"/>
    <m/>
    <m/>
    <s v="CAPITAL FEDERAL"/>
    <s v="Buenos Aires"/>
    <m/>
    <s v="U.O.Centro"/>
    <m/>
    <n v="4"/>
    <n v="1"/>
    <n v="4581.6899999999996"/>
    <n v="928.14"/>
    <m/>
    <n v="588.94000000000005"/>
    <n v="4242.49"/>
    <m/>
    <n v="103.41"/>
    <m/>
    <m/>
    <m/>
    <m/>
    <m/>
    <m/>
    <n v="45.82"/>
    <m/>
    <m/>
    <m/>
    <m/>
    <m/>
    <m/>
    <n v="103.41"/>
    <m/>
    <m/>
    <n v="-11.78"/>
    <m/>
    <m/>
    <m/>
    <m/>
    <n v="45.82"/>
    <m/>
    <n v="286.68"/>
  </r>
  <r>
    <n v="8"/>
    <x v="8"/>
    <x v="1"/>
    <n v="177463"/>
    <s v="PUIG MARINA"/>
    <s v="27-34842290-7"/>
    <d v="2016-08-30T00:00:00"/>
    <n v="34842290"/>
    <s v="PUIG"/>
    <s v="MARINA"/>
    <s v="F"/>
    <m/>
    <d v="2016-08-2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AMBROSETTI"/>
    <n v="764"/>
    <m/>
    <m/>
    <s v="CAPITAL FEDERAL"/>
    <s v="Capital Federal"/>
    <m/>
    <s v="U.O.Centro"/>
    <m/>
    <n v="1"/>
    <n v="1"/>
    <n v="723.87"/>
    <n v="144.79"/>
    <m/>
    <m/>
    <n v="579.08000000000004"/>
    <m/>
    <n v="14.48"/>
    <m/>
    <m/>
    <m/>
    <m/>
    <m/>
    <m/>
    <n v="7.24"/>
    <m/>
    <m/>
    <m/>
    <m/>
    <m/>
    <m/>
    <n v="14.48"/>
    <m/>
    <m/>
    <m/>
    <m/>
    <m/>
    <m/>
    <m/>
    <n v="7.24"/>
    <m/>
    <n v="43.44"/>
  </r>
  <r>
    <n v="8"/>
    <x v="8"/>
    <x v="0"/>
    <n v="173705"/>
    <s v="RAGGIO MARIA ARIADNA GISELLE"/>
    <s v="27-27861441-2"/>
    <d v="2016-09-06T00:00:00"/>
    <n v="27861441"/>
    <s v="RAGGIO"/>
    <s v="MARIA ARIADNA GISELLE"/>
    <s v="F"/>
    <m/>
    <d v="2016-06-01T00:00:00"/>
    <d v="2016-06-16T00:00:00"/>
    <n v="42537"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COLPAYO"/>
    <n v="1005"/>
    <n v="3"/>
    <m/>
    <s v="CAPITAL FEDERAL"/>
    <s v="Capital Federal"/>
    <m/>
    <s v="U.O.Centro"/>
    <m/>
    <n v="1"/>
    <n v="1"/>
    <m/>
    <n v="1.07"/>
    <m/>
    <n v="53.54"/>
    <n v="52.47"/>
    <m/>
    <n v="1.07"/>
    <m/>
    <m/>
    <m/>
    <m/>
    <m/>
    <m/>
    <m/>
    <m/>
    <m/>
    <m/>
    <m/>
    <m/>
    <m/>
    <n v="1.07"/>
    <m/>
    <m/>
    <m/>
    <m/>
    <m/>
    <m/>
    <m/>
    <m/>
    <m/>
    <n v="2.14"/>
  </r>
  <r>
    <n v="8"/>
    <x v="8"/>
    <x v="1"/>
    <n v="168959"/>
    <s v="RAMIREZ ANDREA FABIANA"/>
    <s v="27-22241765-7"/>
    <d v="2016-08-30T00:00:00"/>
    <n v="22241765"/>
    <s v="RAMIREZ"/>
    <s v="ANDREA FABIANA"/>
    <s v="F"/>
    <m/>
    <d v="2016-02-25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YERBAL"/>
    <n v="764"/>
    <m/>
    <m/>
    <s v="CAPITAL FEDERAL"/>
    <s v="Capital Federal"/>
    <m/>
    <s v="U.O.Centro Paga Inplant"/>
    <m/>
    <n v="2"/>
    <n v="1"/>
    <n v="8257.39"/>
    <n v="1708.67"/>
    <m/>
    <n v="2860.18"/>
    <n v="9408.9"/>
    <m/>
    <n v="222.35"/>
    <m/>
    <m/>
    <m/>
    <m/>
    <m/>
    <m/>
    <n v="82.57"/>
    <m/>
    <m/>
    <m/>
    <m/>
    <m/>
    <m/>
    <n v="222.35"/>
    <m/>
    <m/>
    <m/>
    <m/>
    <m/>
    <m/>
    <m/>
    <n v="82.57"/>
    <m/>
    <n v="609.84"/>
  </r>
  <r>
    <n v="8"/>
    <x v="8"/>
    <x v="0"/>
    <n v="170302"/>
    <s v="RAMIREZ GABRIEL LEONARDO"/>
    <s v="20-37596484-9"/>
    <d v="2016-09-06T00:00:00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Barilari"/>
    <n v="1225"/>
    <m/>
    <m/>
    <s v="CAPITAL FEDERAL"/>
    <s v="Buenos Aires"/>
    <m/>
    <s v="U.O.Centro"/>
    <m/>
    <n v="5"/>
    <n v="1"/>
    <n v="8806.99"/>
    <n v="1781.78"/>
    <m/>
    <n v="1017.26"/>
    <n v="8042.47"/>
    <m/>
    <n v="196.49"/>
    <m/>
    <m/>
    <m/>
    <m/>
    <m/>
    <m/>
    <n v="88.08"/>
    <m/>
    <m/>
    <m/>
    <m/>
    <m/>
    <m/>
    <n v="196.49"/>
    <m/>
    <m/>
    <n v="-20.350000000000001"/>
    <m/>
    <m/>
    <m/>
    <m/>
    <n v="88.08"/>
    <m/>
    <n v="548.79"/>
  </r>
  <r>
    <n v="8"/>
    <x v="8"/>
    <x v="1"/>
    <n v="171689"/>
    <s v="RAMOS LEONEL ALBERTO"/>
    <s v="23-36484857-9"/>
    <d v="2016-08-30T00:00:00"/>
    <n v="36484857"/>
    <s v="RAMOS"/>
    <s v="LEONEL ALBERTO"/>
    <s v="M"/>
    <m/>
    <d v="2016-04-13T00:00:00"/>
    <m/>
    <m/>
    <s v="GASTRONOMICOS-Hoteles 4 y 5 Estrellas - 362/2003"/>
    <s v="Categoria 2"/>
    <x v="3"/>
    <s v="Unidad Principal"/>
    <s v="Centro"/>
    <s v="Tareas Generales"/>
    <n v="108803"/>
    <s v="O.S.P.Gastronomico"/>
    <s v="Capital Federal"/>
    <m/>
    <n v="1002"/>
    <s v="LORENZINI"/>
    <n v="764"/>
    <m/>
    <m/>
    <s v="CAPITAL FEDERAL"/>
    <s v="Capital Federal"/>
    <m/>
    <s v="U.O.Centro Paga Inplant"/>
    <m/>
    <n v="2"/>
    <n v="1"/>
    <n v="4926.49"/>
    <n v="1024.1400000000001"/>
    <m/>
    <n v="1942.85"/>
    <n v="5845.2"/>
    <m/>
    <n v="137.38999999999999"/>
    <m/>
    <m/>
    <m/>
    <m/>
    <m/>
    <m/>
    <n v="49.26"/>
    <m/>
    <m/>
    <m/>
    <m/>
    <m/>
    <m/>
    <n v="137.38999999999999"/>
    <m/>
    <m/>
    <m/>
    <m/>
    <m/>
    <m/>
    <m/>
    <n v="49.26"/>
    <m/>
    <n v="373.3"/>
  </r>
  <r>
    <n v="8"/>
    <x v="8"/>
    <x v="0"/>
    <n v="177473"/>
    <s v="REBORA MILTON YAIR"/>
    <s v="20-34738030-0"/>
    <d v="2016-09-06T00:00:00"/>
    <n v="34738030"/>
    <s v="REBORA"/>
    <s v="MILTON YAIR"/>
    <s v="M"/>
    <m/>
    <d v="2016-08-18T00:00:00"/>
    <d v="2016-08-18T00:00:00"/>
    <m/>
    <s v="GASTRONOMICOS-Hoteles 4 y 5 Estrellas - 362/2003"/>
    <s v="Categoria 6"/>
    <x v="5"/>
    <s v="Extra Dotación Mozos / Camareros - GL"/>
    <s v="Centro"/>
    <s v="Camarero/a"/>
    <n v="126908"/>
    <s v="OS DE LOS MEDICOS DE LA CIUDAD DE BUENOS AIRES"/>
    <s v="Capital Federal"/>
    <m/>
    <n v="1104"/>
    <s v="SANABRIA"/>
    <n v="1225"/>
    <m/>
    <m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m/>
    <n v="137.46"/>
  </r>
  <r>
    <n v="8"/>
    <x v="8"/>
    <x v="0"/>
    <n v="156044"/>
    <s v="RETAMAR PRISCILA"/>
    <s v="27-38149024-1"/>
    <d v="2016-09-06T00:00:00"/>
    <n v="38149024"/>
    <s v="RETAMAR"/>
    <s v="PRISCILA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n v="836"/>
    <n v="1225"/>
    <m/>
    <m/>
    <s v="CAPITAL FEDERAL"/>
    <s v="Buenos Aires"/>
    <m/>
    <s v="U.O.Centro"/>
    <m/>
    <n v="1"/>
    <n v="1"/>
    <n v="3207.19"/>
    <n v="641.44000000000005"/>
    <m/>
    <m/>
    <n v="2565.75"/>
    <m/>
    <n v="64.14"/>
    <m/>
    <m/>
    <m/>
    <m/>
    <m/>
    <m/>
    <n v="32.07"/>
    <m/>
    <m/>
    <m/>
    <m/>
    <m/>
    <m/>
    <n v="64.14"/>
    <m/>
    <m/>
    <m/>
    <m/>
    <m/>
    <m/>
    <m/>
    <n v="32.07"/>
    <m/>
    <n v="192.42"/>
  </r>
  <r>
    <n v="8"/>
    <x v="8"/>
    <x v="0"/>
    <n v="177862"/>
    <s v="REYNOSO RODRIGO SEBASTIAN"/>
    <s v="24-39341073-2"/>
    <d v="2016-09-06T00:00:00"/>
    <n v="39341073"/>
    <s v="REYNOSO"/>
    <s v="RODRIGO SEBASTIAN"/>
    <s v="M"/>
    <m/>
    <d v="2016-08-23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NOMEOLVIDES"/>
    <n v="1225"/>
    <m/>
    <m/>
    <s v="CAPITAL FEDERAL"/>
    <s v="Buenos Aires"/>
    <m/>
    <s v="U.O.Centro"/>
    <m/>
    <n v="1"/>
    <n v="1"/>
    <n v="2340.46"/>
    <n v="468.08"/>
    <m/>
    <m/>
    <n v="1872.38"/>
    <m/>
    <n v="46.81"/>
    <m/>
    <m/>
    <m/>
    <m/>
    <m/>
    <m/>
    <n v="23.4"/>
    <m/>
    <m/>
    <m/>
    <m/>
    <m/>
    <m/>
    <n v="46.81"/>
    <m/>
    <m/>
    <m/>
    <m/>
    <m/>
    <m/>
    <m/>
    <n v="23.4"/>
    <m/>
    <n v="140.41999999999999"/>
  </r>
  <r>
    <n v="8"/>
    <x v="8"/>
    <x v="0"/>
    <n v="162333"/>
    <s v="RIOS MARIA ROSA"/>
    <s v="27-26405230-6"/>
    <d v="2016-09-06T00:00:00"/>
    <n v="26405230"/>
    <s v="RIOS"/>
    <s v="MARIA ROSA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POLLEDO"/>
    <n v="1225"/>
    <m/>
    <m/>
    <s v="CAPITAL FEDERAL"/>
    <s v="Buenos Aires"/>
    <m/>
    <s v="U.O.Centro"/>
    <m/>
    <n v="6"/>
    <n v="1"/>
    <n v="8222.3700000000008"/>
    <n v="1670.18"/>
    <m/>
    <n v="1284.96"/>
    <n v="7837.15"/>
    <m/>
    <n v="190.14"/>
    <m/>
    <m/>
    <m/>
    <m/>
    <m/>
    <m/>
    <n v="82.23"/>
    <m/>
    <m/>
    <m/>
    <m/>
    <m/>
    <m/>
    <n v="190.14"/>
    <m/>
    <m/>
    <n v="-24.63"/>
    <m/>
    <m/>
    <m/>
    <m/>
    <n v="82.23"/>
    <m/>
    <n v="520.11"/>
  </r>
  <r>
    <n v="8"/>
    <x v="8"/>
    <x v="0"/>
    <n v="172295"/>
    <s v="RIOS TEODORO HERMES"/>
    <s v="20-25239719-2"/>
    <d v="2016-09-06T00:00:00"/>
    <n v="25239719"/>
    <s v="RIOS"/>
    <s v="TEODORO HERMES"/>
    <s v="M"/>
    <m/>
    <d v="2016-07-05T00:00:00"/>
    <d v="2016-07-23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VENEZUELA"/>
    <n v="1225"/>
    <m/>
    <m/>
    <s v="CAPITAL FEDERAL"/>
    <s v="Buenos Aires"/>
    <m/>
    <s v="U.O.Centro"/>
    <m/>
    <n v="2"/>
    <n v="1"/>
    <m/>
    <n v="32.54"/>
    <m/>
    <n v="1626.97"/>
    <n v="1594.43"/>
    <m/>
    <n v="32.54"/>
    <m/>
    <m/>
    <m/>
    <m/>
    <m/>
    <m/>
    <m/>
    <m/>
    <m/>
    <m/>
    <m/>
    <m/>
    <m/>
    <n v="32.54"/>
    <m/>
    <m/>
    <n v="-32.54"/>
    <m/>
    <m/>
    <m/>
    <m/>
    <m/>
    <m/>
    <n v="32.54"/>
  </r>
  <r>
    <n v="8"/>
    <x v="8"/>
    <x v="0"/>
    <n v="177479"/>
    <s v="RIVERO CLAUDIA INES"/>
    <s v="27-28453388-2"/>
    <d v="2016-09-06T00:00:00"/>
    <n v="28453388"/>
    <s v="RIVERO"/>
    <s v="CLAUDIA INES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SALTA"/>
    <n v="1005"/>
    <n v="1"/>
    <m/>
    <s v="CAPITAL FEDERAL"/>
    <s v="Capital Federal"/>
    <m/>
    <s v="U.O.Centro"/>
    <m/>
    <n v="1"/>
    <n v="1"/>
    <n v="509"/>
    <n v="101.8"/>
    <m/>
    <m/>
    <n v="407.2"/>
    <m/>
    <n v="10.18"/>
    <m/>
    <m/>
    <m/>
    <m/>
    <m/>
    <m/>
    <n v="5.09"/>
    <m/>
    <m/>
    <m/>
    <m/>
    <m/>
    <m/>
    <n v="10.18"/>
    <m/>
    <m/>
    <m/>
    <m/>
    <m/>
    <m/>
    <m/>
    <n v="5.09"/>
    <m/>
    <n v="30.54"/>
  </r>
  <r>
    <n v="8"/>
    <x v="8"/>
    <x v="0"/>
    <n v="173596"/>
    <s v="RIVERO GABRIELA DAYANA"/>
    <s v="27-40019421-7"/>
    <d v="2016-08-22T00:00:00"/>
    <n v="40019421"/>
    <s v="RIVERO"/>
    <s v="GABRIELA DAYANA"/>
    <s v="F"/>
    <m/>
    <d v="2016-05-27T00:00:00"/>
    <d v="2016-06-01T00:00:00"/>
    <n v="42517"/>
    <s v="GASTRONOMICOS-Hoteles 4 y 5 Estrellas - 362/2003"/>
    <s v="Categoria 6"/>
    <x v="4"/>
    <s v="Unidad Base-GL"/>
    <s v="Centro"/>
    <s v="Camarero/a"/>
    <n v="108803"/>
    <s v="O.S.P.Gastronomico"/>
    <s v="Capital Federal"/>
    <m/>
    <n v="1004"/>
    <s v="MANUELA PEDRAZA"/>
    <n v="474"/>
    <m/>
    <m/>
    <s v="CAPITAL FEDERAL"/>
    <s v="Buenos Aires"/>
    <m/>
    <s v="U.O.Centro"/>
    <m/>
    <n v="1"/>
    <n v="1"/>
    <m/>
    <n v="3.2"/>
    <m/>
    <n v="160.13"/>
    <n v="156.93"/>
    <m/>
    <n v="3.2"/>
    <m/>
    <m/>
    <m/>
    <m/>
    <m/>
    <m/>
    <m/>
    <m/>
    <m/>
    <m/>
    <m/>
    <m/>
    <m/>
    <n v="3.2"/>
    <m/>
    <m/>
    <m/>
    <m/>
    <m/>
    <m/>
    <m/>
    <m/>
    <m/>
    <n v="6.4"/>
  </r>
  <r>
    <n v="8"/>
    <x v="8"/>
    <x v="0"/>
    <n v="177551"/>
    <s v="RIVERO GIMENEZ RICARDO SEBASTIAN"/>
    <s v="20-49077113-2"/>
    <d v="2016-09-06T00:00:00"/>
    <n v="49077113"/>
    <s v="RIVERO GIMENEZ"/>
    <s v="RICARDO SEBASTIAN"/>
    <s v="M"/>
    <m/>
    <d v="2016-08-24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n v="1022"/>
    <s v="15 A"/>
    <n v="181"/>
    <m/>
    <m/>
    <s v="CAPITAL FEDERAL"/>
    <s v="Capital Federal"/>
    <m/>
    <s v="U.O.Centro"/>
    <m/>
    <n v="1"/>
    <n v="1"/>
    <n v="2903.58"/>
    <n v="580.72"/>
    <m/>
    <m/>
    <n v="2322.86"/>
    <m/>
    <n v="58.07"/>
    <m/>
    <m/>
    <m/>
    <m/>
    <m/>
    <m/>
    <n v="29.04"/>
    <m/>
    <m/>
    <m/>
    <m/>
    <m/>
    <m/>
    <n v="58.07"/>
    <m/>
    <m/>
    <m/>
    <m/>
    <m/>
    <m/>
    <m/>
    <n v="29.04"/>
    <m/>
    <n v="174.22"/>
  </r>
  <r>
    <n v="8"/>
    <x v="8"/>
    <x v="0"/>
    <n v="162826"/>
    <s v="RODRIGUEZ CLAUDIO ALEJANDRO"/>
    <s v="20-28807969-3"/>
    <d v="2016-08-30T00:00:00"/>
    <n v="28807969"/>
    <s v="RODRIGUEZ"/>
    <s v="CLAUDIO ALEJANDRO"/>
    <s v="M"/>
    <m/>
    <d v="2015-12-03T00:00:00"/>
    <d v="2016-06-13T00:00:00"/>
    <n v="42534"/>
    <s v="GASTRONOMICOS-Hoteles 4 y 5 Estrellas - 362/2003"/>
    <s v="Categoria 1"/>
    <x v="3"/>
    <s v="Unidad Principal"/>
    <s v="Centro"/>
    <s v="Tareas Generales"/>
    <n v="127406"/>
    <s v="O.S.Obreros y empleados tintoreros, sombrerero y lavanderos"/>
    <s v="Capital Federal"/>
    <m/>
    <n v="1002"/>
    <s v="JOSE IGNACIO RUCCI"/>
    <n v="764"/>
    <m/>
    <m/>
    <s v="CAPITAL FEDERAL"/>
    <s v="Capital Federal"/>
    <m/>
    <s v="U.O.Centro Paga Inplant"/>
    <m/>
    <n v="1"/>
    <n v="1"/>
    <m/>
    <n v="9.11"/>
    <m/>
    <n v="455.67"/>
    <n v="446.56"/>
    <m/>
    <n v="9.11"/>
    <m/>
    <m/>
    <m/>
    <m/>
    <m/>
    <m/>
    <m/>
    <m/>
    <m/>
    <m/>
    <m/>
    <m/>
    <m/>
    <n v="9.11"/>
    <m/>
    <m/>
    <m/>
    <m/>
    <m/>
    <m/>
    <m/>
    <m/>
    <m/>
    <n v="18.22"/>
  </r>
  <r>
    <n v="8"/>
    <x v="8"/>
    <x v="0"/>
    <n v="173299"/>
    <s v="RODRIGUEZ EMANUEL AGUSTIN"/>
    <s v="20-39165126-5"/>
    <d v="2016-09-06T00:00:00"/>
    <n v="39165126"/>
    <s v="RODRIGUEZ"/>
    <s v="EMANUEL AGUSTIN"/>
    <s v="M"/>
    <m/>
    <d v="2016-05-1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LFONSINA STORNI"/>
    <n v="1005"/>
    <m/>
    <m/>
    <s v="CAPITAL FEDERAL"/>
    <s v="Capital Federal"/>
    <m/>
    <s v="U.O.Centro"/>
    <m/>
    <n v="7"/>
    <n v="1"/>
    <n v="4708.1899999999996"/>
    <n v="940.23"/>
    <m/>
    <n v="374.78"/>
    <n v="4142.74"/>
    <m/>
    <n v="101.66"/>
    <m/>
    <m/>
    <m/>
    <m/>
    <m/>
    <m/>
    <n v="38.17"/>
    <m/>
    <m/>
    <m/>
    <m/>
    <m/>
    <m/>
    <n v="101.66"/>
    <m/>
    <m/>
    <m/>
    <m/>
    <m/>
    <m/>
    <m/>
    <n v="38.17"/>
    <m/>
    <n v="279.66000000000003"/>
  </r>
  <r>
    <n v="8"/>
    <x v="8"/>
    <x v="0"/>
    <n v="168582"/>
    <s v="RODRIGUEZ MILENA ESTEFANIA"/>
    <s v="27-36872590-6"/>
    <d v="2016-09-06T00:00:00"/>
    <n v="36872590"/>
    <s v="RODRIGUEZ"/>
    <s v="MILENA ESTEFANIA"/>
    <s v="F"/>
    <m/>
    <d v="2016-07-24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LAS HERAS"/>
    <n v="474"/>
    <m/>
    <m/>
    <s v="CAPITAL FEDERAL"/>
    <s v="Buenos Aires"/>
    <m/>
    <s v="U.O.Centro"/>
    <m/>
    <n v="2"/>
    <n v="1"/>
    <n v="539.58000000000004"/>
    <n v="110.8"/>
    <m/>
    <n v="143.87"/>
    <n v="572.65"/>
    <m/>
    <n v="13.67"/>
    <m/>
    <m/>
    <m/>
    <m/>
    <m/>
    <m/>
    <n v="5.4"/>
    <m/>
    <m/>
    <m/>
    <m/>
    <m/>
    <m/>
    <n v="13.67"/>
    <m/>
    <m/>
    <m/>
    <m/>
    <m/>
    <m/>
    <m/>
    <n v="5.4"/>
    <m/>
    <n v="38.14"/>
  </r>
  <r>
    <n v="8"/>
    <x v="8"/>
    <x v="0"/>
    <n v="170996"/>
    <s v="RODRIGUEZ RODRIGUEZ ENZO ALINZON"/>
    <s v="20-95508201-0"/>
    <d v="2016-09-06T00:00:00"/>
    <n v="95508201"/>
    <s v="RODRIGUEZ RODRIGUEZ"/>
    <s v="ENZO ALINZON"/>
    <s v="M"/>
    <m/>
    <d v="2016-03-31T00:00:00"/>
    <d v="2016-08-09T00:00:00"/>
    <m/>
    <s v="GASTRONOMICOS-Hoteles 4 y 5 Estrellas - 362/2003"/>
    <s v="Categoría 4"/>
    <x v="16"/>
    <s v="Back Office"/>
    <s v="Back Office"/>
    <s v="Tareas Generales"/>
    <n v="108803"/>
    <s v="O.S.P.Gastronomico"/>
    <s v="Buenos Aires - Almte. Brown"/>
    <m/>
    <n v="1019"/>
    <s v="JUAN FRANCISCO SEGUI"/>
    <n v="513"/>
    <n v="14"/>
    <s v="B"/>
    <s v="CAPITAL FEDERAL"/>
    <s v="Buenos Aires"/>
    <m/>
    <m/>
    <m/>
    <n v="4"/>
    <n v="1"/>
    <n v="3993.51"/>
    <n v="903.37"/>
    <m/>
    <n v="46441.59"/>
    <n v="49531.73"/>
    <m/>
    <n v="184.52"/>
    <m/>
    <m/>
    <m/>
    <m/>
    <m/>
    <m/>
    <n v="39.94"/>
    <m/>
    <m/>
    <m/>
    <m/>
    <m/>
    <m/>
    <n v="184.52"/>
    <m/>
    <m/>
    <m/>
    <m/>
    <m/>
    <m/>
    <m/>
    <n v="39.94"/>
    <m/>
    <n v="448.92"/>
  </r>
  <r>
    <n v="8"/>
    <x v="8"/>
    <x v="0"/>
    <n v="175077"/>
    <s v="ROJAS EMILIANO MIGUEL"/>
    <s v="20-37422393-4"/>
    <d v="2016-09-06T00:00:00"/>
    <n v="37422393"/>
    <s v="ROJAS"/>
    <s v="EMILIANO MIGUEL"/>
    <s v="M"/>
    <m/>
    <d v="2016-07-04T00:00:00"/>
    <d v="2016-07-23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n v="1104"/>
    <s v="FALUCHO"/>
    <n v="1225"/>
    <m/>
    <m/>
    <s v="CAPITAL FEDERAL"/>
    <s v="Buenos Aires"/>
    <m/>
    <s v="U.O.Centro"/>
    <m/>
    <n v="2"/>
    <n v="1"/>
    <m/>
    <n v="34.25"/>
    <m/>
    <n v="1712.6"/>
    <n v="1678.35"/>
    <m/>
    <n v="34.25"/>
    <m/>
    <m/>
    <m/>
    <m/>
    <m/>
    <m/>
    <m/>
    <m/>
    <m/>
    <m/>
    <m/>
    <m/>
    <m/>
    <n v="34.25"/>
    <m/>
    <m/>
    <n v="-34.25"/>
    <m/>
    <m/>
    <m/>
    <m/>
    <m/>
    <m/>
    <n v="34.25"/>
  </r>
  <r>
    <n v="8"/>
    <x v="8"/>
    <x v="0"/>
    <n v="174247"/>
    <s v="ROJAS PETROVICH RICHARD YURY"/>
    <s v="20-94524581-7"/>
    <d v="2016-09-06T00:00:00"/>
    <n v="94524581"/>
    <s v="ROJAS PETROVICH"/>
    <s v="RICHARD YURY"/>
    <s v="M"/>
    <m/>
    <d v="2016-06-14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EMILIO LAMARCA"/>
    <n v="1005"/>
    <m/>
    <m/>
    <s v="CAPITAL FEDERAL"/>
    <s v="Capital Federal"/>
    <m/>
    <s v="U.O.Centro"/>
    <m/>
    <n v="1"/>
    <n v="1"/>
    <m/>
    <n v="1.07"/>
    <m/>
    <n v="53.54"/>
    <n v="52.47"/>
    <m/>
    <n v="1.07"/>
    <m/>
    <m/>
    <m/>
    <m/>
    <m/>
    <m/>
    <m/>
    <m/>
    <m/>
    <m/>
    <m/>
    <m/>
    <m/>
    <n v="1.07"/>
    <m/>
    <m/>
    <m/>
    <m/>
    <m/>
    <m/>
    <m/>
    <m/>
    <m/>
    <n v="2.14"/>
  </r>
  <r>
    <n v="8"/>
    <x v="8"/>
    <x v="0"/>
    <n v="175474"/>
    <s v="ROJAS TRIANA ANDRES VICENTE"/>
    <s v="20-95123600-5"/>
    <d v="2016-09-06T00:00:00"/>
    <n v="95123600"/>
    <s v="ROJAS TRIANA"/>
    <s v="ANDRES VICENTE"/>
    <s v="M"/>
    <m/>
    <d v="2016-07-11T00:00:00"/>
    <m/>
    <m/>
    <s v="GASTRONOMICOS-Hoteles 4 y 5 Estrellas - 362/2003"/>
    <s v="Categoria 3"/>
    <x v="15"/>
    <s v="Ayudante de Cocina"/>
    <s v="Centro"/>
    <s v="Ayudante de Cocina"/>
    <n v="108803"/>
    <s v="O.S.P.Gastronomico"/>
    <s v="Capital Federal"/>
    <m/>
    <n v="1440"/>
    <s v="MALABIA"/>
    <n v="265"/>
    <n v="6"/>
    <n v="48"/>
    <s v="CAPITAL FEDERAL"/>
    <s v="Capital Federal"/>
    <m/>
    <s v="U.O.Centro"/>
    <m/>
    <n v="1"/>
    <n v="1"/>
    <m/>
    <n v="2.27"/>
    <m/>
    <n v="113.57"/>
    <n v="111.3"/>
    <m/>
    <n v="2.27"/>
    <m/>
    <m/>
    <m/>
    <m/>
    <m/>
    <m/>
    <m/>
    <m/>
    <m/>
    <m/>
    <m/>
    <m/>
    <m/>
    <n v="2.27"/>
    <m/>
    <m/>
    <m/>
    <m/>
    <m/>
    <m/>
    <m/>
    <m/>
    <m/>
    <n v="4.54"/>
  </r>
  <r>
    <n v="8"/>
    <x v="8"/>
    <x v="0"/>
    <n v="177443"/>
    <s v="ROMERO CRISTIAN ADRIAN"/>
    <s v="20-35118709-4"/>
    <d v="2016-09-06T00:00:00"/>
    <n v="35118709"/>
    <s v="ROMERO"/>
    <s v="CRISTIAN ADRIAN"/>
    <s v="M"/>
    <m/>
    <d v="2016-08-17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GRAL URQUIZA"/>
    <n v="1225"/>
    <n v="2"/>
    <n v="6"/>
    <s v="CAPITAL FEDERAL"/>
    <s v="Buenos Aires"/>
    <m/>
    <s v="U.O.Centro"/>
    <m/>
    <n v="1"/>
    <n v="1"/>
    <n v="2255.41"/>
    <n v="451.08"/>
    <m/>
    <m/>
    <n v="1804.33"/>
    <m/>
    <n v="45.11"/>
    <m/>
    <m/>
    <m/>
    <m/>
    <m/>
    <m/>
    <n v="22.55"/>
    <m/>
    <m/>
    <m/>
    <m/>
    <m/>
    <m/>
    <n v="45.11"/>
    <m/>
    <m/>
    <m/>
    <m/>
    <m/>
    <m/>
    <m/>
    <n v="22.55"/>
    <m/>
    <n v="135.32"/>
  </r>
  <r>
    <n v="8"/>
    <x v="8"/>
    <x v="0"/>
    <n v="169235"/>
    <s v="ROMERO RODAS YENIFER ESTEFANI"/>
    <s v="27-94615471-2"/>
    <d v="2016-08-22T00:00:00"/>
    <n v="94615471"/>
    <s v="ROMERO RODAS"/>
    <s v="YENIFER ESTEFANI"/>
    <s v="F"/>
    <m/>
    <d v="2016-06-09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HORTIGUERA"/>
    <n v="474"/>
    <n v="1"/>
    <n v="1"/>
    <s v="CAPITAL FEDERAL"/>
    <s v="Buenos Aires"/>
    <m/>
    <s v="U.O.Centro"/>
    <m/>
    <n v="1"/>
    <n v="1"/>
    <m/>
    <n v="8.6300000000000008"/>
    <m/>
    <n v="431.6"/>
    <n v="422.97"/>
    <m/>
    <n v="8.6300000000000008"/>
    <m/>
    <m/>
    <m/>
    <m/>
    <m/>
    <m/>
    <m/>
    <m/>
    <m/>
    <m/>
    <m/>
    <m/>
    <m/>
    <n v="8.6300000000000008"/>
    <m/>
    <m/>
    <m/>
    <m/>
    <m/>
    <m/>
    <m/>
    <m/>
    <m/>
    <n v="17.260000000000002"/>
  </r>
  <r>
    <n v="8"/>
    <x v="8"/>
    <x v="0"/>
    <n v="170549"/>
    <s v="ROSALES MATIAS SEBASTIAN"/>
    <s v="20-38950370-4"/>
    <d v="2016-09-06T00:00:00"/>
    <n v="38950370"/>
    <s v="ROSALES"/>
    <s v="MATIAS SEBASTIAN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8"/>
    <n v="1"/>
    <n v="15569.36"/>
    <n v="3154.59"/>
    <m/>
    <n v="2036.79"/>
    <n v="14451.56"/>
    <m/>
    <n v="352.12"/>
    <m/>
    <m/>
    <m/>
    <m/>
    <m/>
    <m/>
    <n v="155.69"/>
    <m/>
    <m/>
    <m/>
    <m/>
    <m/>
    <m/>
    <n v="352.12"/>
    <m/>
    <m/>
    <m/>
    <m/>
    <m/>
    <m/>
    <m/>
    <n v="155.69"/>
    <m/>
    <n v="1015.62"/>
  </r>
  <r>
    <n v="8"/>
    <x v="8"/>
    <x v="0"/>
    <n v="171271"/>
    <s v="RUIS SAMANTA SOLEDAD"/>
    <s v="27-32637966-8"/>
    <d v="2016-09-06T00:00:00"/>
    <n v="32637966"/>
    <s v="RUIS"/>
    <s v="SAMANTA SOLEDAD"/>
    <s v="F"/>
    <m/>
    <d v="2016-04-02T00:00:00"/>
    <d v="2016-06-25T00:00:00"/>
    <n v="42546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SAN JOSE"/>
    <n v="1225"/>
    <m/>
    <m/>
    <s v="CAPITAL FEDERAL"/>
    <s v="Buenos Aires"/>
    <m/>
    <s v="U.O.Centro"/>
    <m/>
    <n v="2"/>
    <n v="1"/>
    <m/>
    <n v="13.18"/>
    <m/>
    <n v="658.96"/>
    <n v="645.78"/>
    <m/>
    <n v="13.18"/>
    <m/>
    <m/>
    <m/>
    <m/>
    <m/>
    <m/>
    <m/>
    <m/>
    <m/>
    <m/>
    <m/>
    <m/>
    <m/>
    <n v="13.18"/>
    <m/>
    <m/>
    <n v="-13.18"/>
    <m/>
    <m/>
    <m/>
    <m/>
    <m/>
    <m/>
    <n v="13.18"/>
  </r>
  <r>
    <n v="8"/>
    <x v="8"/>
    <x v="0"/>
    <n v="173747"/>
    <s v="RUIZ JUAN MARIO ESEQUIEL"/>
    <s v="20-36944344-6"/>
    <d v="2016-09-06T00:00:00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ERMA"/>
    <n v="1225"/>
    <n v="3"/>
    <s v="A"/>
    <s v="CAPITAL FEDERAL"/>
    <s v="Buenos Aires"/>
    <m/>
    <s v="U.O.Centro"/>
    <m/>
    <n v="4"/>
    <n v="1"/>
    <n v="9021.6"/>
    <n v="1813.11"/>
    <m/>
    <n v="439.2"/>
    <n v="7647.69"/>
    <m/>
    <n v="189.21"/>
    <m/>
    <m/>
    <m/>
    <m/>
    <m/>
    <m/>
    <n v="90.22"/>
    <m/>
    <m/>
    <m/>
    <m/>
    <m/>
    <m/>
    <n v="189.21"/>
    <m/>
    <m/>
    <n v="-8.7799999999999994"/>
    <m/>
    <m/>
    <m/>
    <m/>
    <n v="90.22"/>
    <m/>
    <n v="550.08000000000004"/>
  </r>
  <r>
    <n v="8"/>
    <x v="8"/>
    <x v="0"/>
    <n v="177727"/>
    <s v="RUIZ DIAZ LUCIA"/>
    <s v="27-39707176-1"/>
    <d v="2016-09-06T00:00:00"/>
    <n v="39707176"/>
    <s v="RUIZ DIAZ"/>
    <s v="LUCIA"/>
    <s v="F"/>
    <m/>
    <d v="2016-08-26T00:00:00"/>
    <m/>
    <m/>
    <s v="GASTRONOMICOS-Hoteles 4 y 5 Estrellas - 362/2003"/>
    <s v="Categoria 6"/>
    <x v="17"/>
    <s v="Unidad Base-GL"/>
    <s v="San Isidro"/>
    <s v="Camarero/a"/>
    <n v="108803"/>
    <s v="O.S.P.Gastronomico"/>
    <s v="Buenos Aires - Tigre"/>
    <m/>
    <n v="1648"/>
    <s v="PERU"/>
    <n v="240"/>
    <m/>
    <m/>
    <s v="TIGRE"/>
    <s v="Buenos Aires"/>
    <m/>
    <s v="U.O.San Isidro"/>
    <m/>
    <n v="1"/>
    <n v="1"/>
    <n v="401.12"/>
    <n v="80.209999999999994"/>
    <m/>
    <m/>
    <n v="320.91000000000003"/>
    <m/>
    <n v="8.02"/>
    <m/>
    <m/>
    <m/>
    <m/>
    <m/>
    <m/>
    <n v="4.01"/>
    <m/>
    <m/>
    <m/>
    <m/>
    <m/>
    <m/>
    <n v="8.02"/>
    <m/>
    <m/>
    <m/>
    <m/>
    <m/>
    <m/>
    <m/>
    <n v="4.01"/>
    <m/>
    <n v="24.06"/>
  </r>
  <r>
    <n v="8"/>
    <x v="8"/>
    <x v="0"/>
    <n v="172196"/>
    <s v="SAGARIA NORBERTO OSVALDO"/>
    <s v="20-24921184-3"/>
    <d v="2016-08-22T00:00:00"/>
    <n v="24921184"/>
    <s v="SAGARIA"/>
    <s v="NORBERTO OSVALDO"/>
    <s v="M"/>
    <m/>
    <d v="2016-04-25T00:00:00"/>
    <d v="2016-07-21T00:00:00"/>
    <n v="42572"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n v="1009"/>
    <s v="SAN LUIS"/>
    <n v="507"/>
    <m/>
    <m/>
    <s v="CAPITAL FEDERAL"/>
    <s v="Capital Federal"/>
    <m/>
    <s v="U.O.Centro Paga Inplant"/>
    <m/>
    <n v="1"/>
    <n v="1"/>
    <m/>
    <n v="41"/>
    <m/>
    <n v="2050.1999999999998"/>
    <n v="2009.2"/>
    <m/>
    <n v="41"/>
    <m/>
    <m/>
    <m/>
    <m/>
    <m/>
    <m/>
    <m/>
    <m/>
    <m/>
    <m/>
    <m/>
    <m/>
    <m/>
    <n v="41"/>
    <m/>
    <m/>
    <m/>
    <m/>
    <m/>
    <m/>
    <m/>
    <m/>
    <m/>
    <n v="82"/>
  </r>
  <r>
    <n v="8"/>
    <x v="8"/>
    <x v="0"/>
    <n v="170780"/>
    <s v="SANCHEZ JAVIER EDUARDO"/>
    <s v="20-29388721-8"/>
    <d v="2016-09-06T00:00:0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n v="1022"/>
    <s v="MONROE"/>
    <n v="181"/>
    <m/>
    <m/>
    <s v="CAPITAL FEDERAL"/>
    <s v="Capital Federal"/>
    <m/>
    <s v="U.O.Centro"/>
    <m/>
    <n v="2"/>
    <n v="1"/>
    <n v="2102.0700000000002"/>
    <n v="423.31"/>
    <m/>
    <n v="144.93"/>
    <n v="1823.69"/>
    <m/>
    <n v="44.94"/>
    <m/>
    <m/>
    <m/>
    <m/>
    <m/>
    <m/>
    <n v="21.02"/>
    <m/>
    <m/>
    <m/>
    <m/>
    <m/>
    <m/>
    <n v="44.94"/>
    <m/>
    <m/>
    <m/>
    <m/>
    <m/>
    <m/>
    <m/>
    <n v="21.02"/>
    <m/>
    <n v="131.91999999999999"/>
  </r>
  <r>
    <n v="8"/>
    <x v="8"/>
    <x v="0"/>
    <n v="156459"/>
    <s v="SANCHEZ MABEL ROSANA"/>
    <s v="27-23606497-8"/>
    <d v="2016-09-06T00:00:00"/>
    <n v="23606497"/>
    <s v="SANCHEZ"/>
    <s v="MABEL ROSANA"/>
    <s v="F"/>
    <m/>
    <d v="2015-08-22T00:00:00"/>
    <d v="2016-07-31T00:00:00"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AV CORRIENTES"/>
    <n v="1005"/>
    <m/>
    <m/>
    <s v="CAPITAL FEDERAL"/>
    <s v="Capital Federal"/>
    <m/>
    <s v="U.O.Centro"/>
    <m/>
    <n v="4"/>
    <n v="1"/>
    <n v="3101.13"/>
    <n v="604.64"/>
    <m/>
    <n v="1124.3399999999999"/>
    <n v="3620.83"/>
    <m/>
    <n v="84.5"/>
    <m/>
    <m/>
    <m/>
    <m/>
    <m/>
    <m/>
    <n v="-7.04"/>
    <m/>
    <m/>
    <m/>
    <m/>
    <m/>
    <m/>
    <n v="84.5"/>
    <m/>
    <m/>
    <m/>
    <m/>
    <m/>
    <m/>
    <m/>
    <n v="-7.04"/>
    <m/>
    <n v="154.91999999999999"/>
  </r>
  <r>
    <n v="8"/>
    <x v="8"/>
    <x v="0"/>
    <n v="114486"/>
    <s v="SANSONE SANDRA MONICA"/>
    <s v="27-20370805-5"/>
    <d v="2016-08-30T00:00:00"/>
    <n v="20370805"/>
    <s v="SANSONE"/>
    <s v="SANDRA MONICA"/>
    <s v="F"/>
    <m/>
    <d v="2013-09-11T00:00:00"/>
    <d v="2013-12-31T00:00:00"/>
    <n v="41662"/>
    <s v="GASTRONOMICOS-Hoteles 4 y 5 Estrellas - 362/2003"/>
    <s v="Categoría 4"/>
    <x v="3"/>
    <s v="Unidad Principal"/>
    <s v="Centro"/>
    <s v="Mucama"/>
    <n v="112202"/>
    <s v="OS DE LOS SUPERVISORES DE LA INDUSTRIA METALMECANICA DE LA REPUBLICA ARGENTINA"/>
    <s v="Capital Federal"/>
    <m/>
    <n v="1002"/>
    <s v="MOZART"/>
    <n v="764"/>
    <n v="11"/>
    <n v="1"/>
    <s v="CAPITAL FEDERAL"/>
    <s v="Capital Federal"/>
    <m/>
    <s v="U.O.Centro"/>
    <m/>
    <n v="1"/>
    <n v="1"/>
    <m/>
    <n v="1.73"/>
    <m/>
    <n v="86.48"/>
    <n v="84.75"/>
    <m/>
    <n v="1.73"/>
    <m/>
    <m/>
    <m/>
    <m/>
    <m/>
    <m/>
    <m/>
    <m/>
    <m/>
    <m/>
    <m/>
    <m/>
    <m/>
    <n v="1.73"/>
    <m/>
    <m/>
    <m/>
    <m/>
    <m/>
    <m/>
    <m/>
    <m/>
    <m/>
    <n v="3.46"/>
  </r>
  <r>
    <n v="8"/>
    <x v="8"/>
    <x v="0"/>
    <n v="164903"/>
    <s v="SANTO LEANDRO"/>
    <s v="20-39458602-2"/>
    <d v="2016-09-06T00:00:00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MERICA"/>
    <n v="1225"/>
    <m/>
    <m/>
    <s v="CAPITAL FEDERAL"/>
    <s v="Buenos Aires"/>
    <m/>
    <s v="U.O.Centro"/>
    <m/>
    <n v="4"/>
    <n v="1"/>
    <n v="3207.18"/>
    <n v="642.52"/>
    <m/>
    <n v="53.54"/>
    <n v="2618.1999999999998"/>
    <m/>
    <n v="65.209999999999994"/>
    <m/>
    <m/>
    <m/>
    <m/>
    <m/>
    <m/>
    <n v="32.08"/>
    <m/>
    <m/>
    <m/>
    <m/>
    <m/>
    <m/>
    <n v="65.209999999999994"/>
    <m/>
    <m/>
    <n v="-1.07"/>
    <m/>
    <m/>
    <m/>
    <m/>
    <n v="32.08"/>
    <m/>
    <n v="193.51"/>
  </r>
  <r>
    <n v="8"/>
    <x v="8"/>
    <x v="0"/>
    <n v="173418"/>
    <s v="SASTRE FEDERICO DAMIAN"/>
    <s v="20-38996895-2"/>
    <d v="2016-09-06T00:00:00"/>
    <n v="38996895"/>
    <s v="SASTRE"/>
    <s v="FEDERICO DAMIAN"/>
    <s v="M"/>
    <m/>
    <d v="2016-05-23T00:00:00"/>
    <d v="2016-06-28T00:00:00"/>
    <n v="42549"/>
    <s v="GASTRONOMICOS-Hoteles 4 y 5 Estrellas - 362/2003"/>
    <s v="Categoria 1"/>
    <x v="5"/>
    <s v="Montaje - GL"/>
    <s v="Centro"/>
    <s v="Auxiliar de Montaje"/>
    <n v="108803"/>
    <s v="O.S.P.Gastronomico"/>
    <s v="Capital Federal"/>
    <m/>
    <n v="1104"/>
    <s v="LADINES"/>
    <n v="1225"/>
    <m/>
    <m/>
    <s v="CAPITAL FEDERAL"/>
    <s v="Buenos Aires"/>
    <m/>
    <s v="U.O.Centro"/>
    <m/>
    <n v="2"/>
    <n v="1"/>
    <m/>
    <n v="1.76"/>
    <m/>
    <n v="87.84"/>
    <n v="86.08"/>
    <m/>
    <n v="1.76"/>
    <m/>
    <m/>
    <m/>
    <m/>
    <m/>
    <m/>
    <m/>
    <m/>
    <m/>
    <m/>
    <m/>
    <m/>
    <m/>
    <n v="1.76"/>
    <m/>
    <m/>
    <n v="-1.76"/>
    <m/>
    <m/>
    <m/>
    <m/>
    <m/>
    <m/>
    <n v="1.76"/>
  </r>
  <r>
    <n v="8"/>
    <x v="8"/>
    <x v="0"/>
    <n v="173972"/>
    <s v="SASTRE RODRIGUEZ JOAN SEBASTIAN"/>
    <s v="20-95557661-7"/>
    <d v="2016-08-22T00:00:00"/>
    <n v="95557661"/>
    <s v="SASTRE RODRIGUEZ"/>
    <s v="JOAN SEBASTIAN"/>
    <s v="M"/>
    <m/>
    <d v="2016-06-1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129"/>
    <s v="LAVALLE"/>
    <n v="1891"/>
    <m/>
    <m/>
    <s v="CAPITAL FEDERAL"/>
    <s v="Capital Federal"/>
    <m/>
    <s v="U.O.Centro"/>
    <m/>
    <n v="1"/>
    <n v="1"/>
    <m/>
    <n v="2.2000000000000002"/>
    <m/>
    <n v="109.8"/>
    <n v="107.6"/>
    <m/>
    <n v="2.2000000000000002"/>
    <m/>
    <m/>
    <m/>
    <m/>
    <m/>
    <m/>
    <m/>
    <m/>
    <m/>
    <m/>
    <m/>
    <m/>
    <m/>
    <n v="2.2000000000000002"/>
    <m/>
    <m/>
    <m/>
    <m/>
    <m/>
    <m/>
    <m/>
    <m/>
    <m/>
    <n v="4.4000000000000004"/>
  </r>
  <r>
    <n v="8"/>
    <x v="8"/>
    <x v="0"/>
    <n v="163422"/>
    <s v="SAUCEDO BETIANA MAGALI"/>
    <s v="23-38354831-4"/>
    <d v="2016-09-06T00:00:0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ONSTANCIO C VIGIL"/>
    <n v="1225"/>
    <m/>
    <m/>
    <s v="CAPITAL FEDERAL"/>
    <s v="Buenos Aires"/>
    <m/>
    <s v="U.O.Centro"/>
    <m/>
    <n v="4"/>
    <n v="1"/>
    <n v="5039.87"/>
    <n v="1011.2"/>
    <m/>
    <n v="160.62"/>
    <n v="4189.29"/>
    <m/>
    <n v="104.01"/>
    <m/>
    <m/>
    <m/>
    <m/>
    <m/>
    <m/>
    <n v="50.4"/>
    <m/>
    <m/>
    <m/>
    <m/>
    <m/>
    <m/>
    <n v="104.01"/>
    <m/>
    <m/>
    <n v="-3.21"/>
    <m/>
    <m/>
    <m/>
    <m/>
    <n v="50.4"/>
    <m/>
    <n v="305.61"/>
  </r>
  <r>
    <n v="8"/>
    <x v="8"/>
    <x v="0"/>
    <n v="157784"/>
    <s v="SAUCEDO MARCELA"/>
    <s v="27-33197318-7"/>
    <d v="2016-09-06T00:00:0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2"/>
    <n v="1"/>
    <n v="14439.24"/>
    <n v="3039.12"/>
    <m/>
    <n v="3162.88"/>
    <n v="14563"/>
    <n v="440.05"/>
    <m/>
    <m/>
    <m/>
    <m/>
    <m/>
    <m/>
    <m/>
    <n v="144.38999999999999"/>
    <m/>
    <m/>
    <m/>
    <m/>
    <m/>
    <m/>
    <n v="352.04"/>
    <m/>
    <m/>
    <m/>
    <m/>
    <m/>
    <m/>
    <m/>
    <n v="144.38999999999999"/>
    <m/>
    <n v="1080.8699999999999"/>
  </r>
  <r>
    <n v="8"/>
    <x v="8"/>
    <x v="0"/>
    <n v="174055"/>
    <s v="SCHNIDRIG ANA LAURA"/>
    <s v="27-25098943-7"/>
    <d v="2016-09-06T00:00:00"/>
    <n v="25098943"/>
    <s v="SCHNIDRIG"/>
    <s v="ANA LAURA"/>
    <s v="F"/>
    <m/>
    <d v="2016-06-06T00:00:00"/>
    <d v="2016-07-23T00:00:00"/>
    <n v="42574"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USTRIA"/>
    <n v="1005"/>
    <n v="3"/>
    <n v="11"/>
    <s v="CAPITAL FEDERAL"/>
    <s v="Capital Federal"/>
    <m/>
    <s v="U.O.Centro"/>
    <m/>
    <n v="1"/>
    <n v="1"/>
    <m/>
    <n v="39.35"/>
    <m/>
    <n v="1967.6"/>
    <n v="1928.25"/>
    <m/>
    <n v="39.35"/>
    <m/>
    <m/>
    <m/>
    <m/>
    <m/>
    <m/>
    <m/>
    <m/>
    <m/>
    <m/>
    <m/>
    <m/>
    <m/>
    <n v="39.35"/>
    <m/>
    <m/>
    <m/>
    <m/>
    <m/>
    <m/>
    <m/>
    <m/>
    <m/>
    <n v="78.7"/>
  </r>
  <r>
    <n v="8"/>
    <x v="8"/>
    <x v="0"/>
    <n v="177140"/>
    <s v="SEGOVIA IGNACIO IVAN"/>
    <s v="20-33688878-7"/>
    <d v="2016-09-06T00:00:00"/>
    <n v="33688878"/>
    <s v="SEGOVIA"/>
    <s v="IGNACIO IVAN"/>
    <s v="M"/>
    <m/>
    <d v="2016-08-1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ONTES DE OCA"/>
    <n v="1225"/>
    <m/>
    <m/>
    <s v="CAPITAL FEDERAL"/>
    <s v="Buenos Aires"/>
    <m/>
    <s v="U.O.Centro"/>
    <m/>
    <n v="3"/>
    <n v="1"/>
    <n v="7082.56"/>
    <n v="1416.53"/>
    <m/>
    <m/>
    <n v="5666.03"/>
    <m/>
    <n v="141.65"/>
    <m/>
    <m/>
    <m/>
    <m/>
    <m/>
    <m/>
    <n v="70.83"/>
    <m/>
    <m/>
    <m/>
    <m/>
    <m/>
    <m/>
    <n v="141.65"/>
    <m/>
    <m/>
    <m/>
    <m/>
    <m/>
    <m/>
    <m/>
    <n v="70.83"/>
    <m/>
    <n v="424.96"/>
  </r>
  <r>
    <n v="8"/>
    <x v="8"/>
    <x v="0"/>
    <n v="172826"/>
    <s v="SENA GABRIEL FABIAN"/>
    <s v="20-34705676-7"/>
    <d v="2016-09-06T00:00:00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2"/>
    <n v="1"/>
    <n v="14891.5"/>
    <n v="3018.84"/>
    <m/>
    <n v="2025.76"/>
    <n v="13898.42"/>
    <m/>
    <n v="338.35"/>
    <m/>
    <m/>
    <m/>
    <m/>
    <m/>
    <m/>
    <n v="148.91999999999999"/>
    <m/>
    <m/>
    <m/>
    <m/>
    <m/>
    <m/>
    <n v="338.35"/>
    <m/>
    <m/>
    <m/>
    <m/>
    <m/>
    <m/>
    <m/>
    <n v="148.91999999999999"/>
    <m/>
    <n v="974.54"/>
  </r>
  <r>
    <n v="8"/>
    <x v="8"/>
    <x v="0"/>
    <n v="175084"/>
    <s v="SILVA ANGEL MARCOS"/>
    <s v="20-26283168-0"/>
    <d v="2016-09-06T00:00:00"/>
    <n v="26283168"/>
    <s v="SILVA"/>
    <s v="ANGEL MARCOS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DR. JOSE KELLERTAS"/>
    <n v="1225"/>
    <m/>
    <m/>
    <s v="CAPITAL FEDERAL"/>
    <s v="Buenos Aires"/>
    <m/>
    <s v="U.O.Centro"/>
    <m/>
    <n v="3"/>
    <n v="1"/>
    <n v="5007.25"/>
    <n v="1017.93"/>
    <m/>
    <n v="823.7"/>
    <n v="4813.0200000000004"/>
    <m/>
    <n v="116.62"/>
    <m/>
    <m/>
    <m/>
    <m/>
    <m/>
    <m/>
    <n v="50.07"/>
    <m/>
    <m/>
    <m/>
    <m/>
    <m/>
    <m/>
    <n v="116.62"/>
    <m/>
    <m/>
    <n v="-16.47"/>
    <m/>
    <m/>
    <m/>
    <m/>
    <n v="50.07"/>
    <m/>
    <n v="316.91000000000003"/>
  </r>
  <r>
    <n v="8"/>
    <x v="8"/>
    <x v="0"/>
    <n v="169877"/>
    <s v="SILVA MATIAS OSCAR"/>
    <s v="20-30651917-5"/>
    <d v="2016-09-06T00:00:00"/>
    <n v="30651917"/>
    <s v="SILVA"/>
    <s v="MATIAS OSCAR"/>
    <s v="M"/>
    <m/>
    <d v="2016-03-06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IGUALDAD"/>
    <n v="1005"/>
    <m/>
    <m/>
    <s v="CAPITAL FEDERAL"/>
    <s v="Capital Federal"/>
    <m/>
    <s v="U.O.Centro"/>
    <m/>
    <n v="2"/>
    <n v="1"/>
    <m/>
    <n v="5.59"/>
    <m/>
    <n v="279.60000000000002"/>
    <n v="274.01"/>
    <m/>
    <n v="5.59"/>
    <m/>
    <m/>
    <m/>
    <m/>
    <m/>
    <m/>
    <m/>
    <m/>
    <m/>
    <m/>
    <m/>
    <m/>
    <m/>
    <n v="5.59"/>
    <m/>
    <m/>
    <m/>
    <m/>
    <m/>
    <m/>
    <m/>
    <m/>
    <m/>
    <n v="11.18"/>
  </r>
  <r>
    <n v="8"/>
    <x v="8"/>
    <x v="0"/>
    <n v="171605"/>
    <s v="SILVERO OSVALDO MANUEL"/>
    <s v="20-29271878-1"/>
    <d v="2016-09-06T00:00:00"/>
    <n v="29271878"/>
    <s v="SILVERO"/>
    <s v="OSVALDO MANUEL"/>
    <s v="M"/>
    <m/>
    <d v="2016-04-09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RGENTO CABRAL"/>
    <n v="1005"/>
    <m/>
    <m/>
    <s v="CAPITAL FEDERAL"/>
    <s v="Capital Federal"/>
    <m/>
    <s v="U.O.Centro"/>
    <m/>
    <n v="3"/>
    <n v="1"/>
    <m/>
    <n v="16.72"/>
    <m/>
    <n v="836.33"/>
    <n v="819.61"/>
    <m/>
    <n v="16.72"/>
    <m/>
    <m/>
    <m/>
    <m/>
    <m/>
    <m/>
    <m/>
    <m/>
    <m/>
    <m/>
    <m/>
    <m/>
    <m/>
    <n v="16.72"/>
    <m/>
    <m/>
    <m/>
    <m/>
    <m/>
    <m/>
    <m/>
    <m/>
    <m/>
    <n v="33.44"/>
  </r>
  <r>
    <n v="8"/>
    <x v="8"/>
    <x v="0"/>
    <n v="162176"/>
    <s v="SOMMA GABRIELA ALEJANDRA"/>
    <s v="27-31822042-0"/>
    <d v="2016-09-06T00:00:0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ABUCO"/>
    <n v="1225"/>
    <m/>
    <m/>
    <s v="CAPITAL FEDERAL"/>
    <s v="Buenos Aires"/>
    <m/>
    <s v="U.O.Centro"/>
    <m/>
    <n v="4"/>
    <n v="1"/>
    <n v="9163.3799999999992"/>
    <n v="1877.64"/>
    <m/>
    <n v="2248.6799999999998"/>
    <n v="9534.42"/>
    <m/>
    <n v="228.24"/>
    <m/>
    <m/>
    <m/>
    <m/>
    <m/>
    <m/>
    <n v="91.63"/>
    <m/>
    <m/>
    <m/>
    <m/>
    <m/>
    <m/>
    <n v="228.24"/>
    <m/>
    <m/>
    <n v="-44.97"/>
    <m/>
    <m/>
    <m/>
    <m/>
    <n v="91.63"/>
    <m/>
    <n v="594.77"/>
  </r>
  <r>
    <n v="8"/>
    <x v="8"/>
    <x v="0"/>
    <n v="176592"/>
    <s v="SOSA LEANDRO DAVID"/>
    <s v="20-34984061-9"/>
    <d v="2016-09-06T00:00:00"/>
    <n v="34984061"/>
    <s v="SOSA"/>
    <s v="LEANDRO DAVID"/>
    <s v="M"/>
    <m/>
    <d v="2016-08-0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MATHEU"/>
    <n v="1225"/>
    <n v="5"/>
    <m/>
    <s v="CAPITAL FEDERAL"/>
    <s v="Buenos Aires"/>
    <m/>
    <s v="U.O.Quilmes"/>
    <m/>
    <n v="3"/>
    <n v="1"/>
    <n v="5830.79"/>
    <n v="1166.18"/>
    <m/>
    <m/>
    <n v="4664.6099999999997"/>
    <m/>
    <n v="116.61"/>
    <m/>
    <m/>
    <m/>
    <m/>
    <m/>
    <m/>
    <n v="58.32"/>
    <m/>
    <m/>
    <m/>
    <m/>
    <m/>
    <m/>
    <n v="116.61"/>
    <m/>
    <m/>
    <m/>
    <m/>
    <m/>
    <m/>
    <m/>
    <n v="58.32"/>
    <m/>
    <n v="349.86"/>
  </r>
  <r>
    <n v="8"/>
    <x v="8"/>
    <x v="0"/>
    <n v="154462"/>
    <s v="SOTELO DAMARIS ROXANA"/>
    <s v="27-38100104-6"/>
    <d v="2016-08-30T00:00:00"/>
    <n v="38100104"/>
    <s v="SOTELO"/>
    <s v="DAMARIS ROXANA"/>
    <s v="F"/>
    <m/>
    <d v="2015-07-16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JOSE HERNANDEZ"/>
    <n v="764"/>
    <m/>
    <m/>
    <s v="CAPITAL FEDERAL"/>
    <s v="Capital Federal"/>
    <m/>
    <s v="U.O.Centro Paga Inplant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x v="8"/>
    <x v="0"/>
    <n v="155979"/>
    <s v="SOULE ROMINA SOLEDAD"/>
    <s v="23-34390010-4"/>
    <d v="2016-09-06T00:00:00"/>
    <n v="34390010"/>
    <s v="SOULE"/>
    <s v="ROMINA SOLEDAD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CHACO"/>
    <n v="1225"/>
    <n v="1"/>
    <s v="A"/>
    <s v="CAPITAL FEDERAL"/>
    <s v="Buenos Aires"/>
    <m/>
    <s v="U.O.Centro"/>
    <m/>
    <n v="3"/>
    <n v="1"/>
    <n v="3207.19"/>
    <n v="654.96"/>
    <m/>
    <n v="675.94"/>
    <n v="3228.17"/>
    <m/>
    <n v="77.66"/>
    <m/>
    <m/>
    <m/>
    <m/>
    <m/>
    <m/>
    <n v="32.07"/>
    <m/>
    <m/>
    <m/>
    <m/>
    <m/>
    <m/>
    <n v="77.66"/>
    <m/>
    <m/>
    <m/>
    <m/>
    <m/>
    <m/>
    <m/>
    <n v="32.07"/>
    <m/>
    <n v="219.46"/>
  </r>
  <r>
    <n v="8"/>
    <x v="8"/>
    <x v="0"/>
    <n v="162209"/>
    <s v="STOCKL BRENDA JENNIFER"/>
    <s v="27-37769971-3"/>
    <d v="2016-09-06T00:00:0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LORENZENI Y SARMIENTO"/>
    <n v="1225"/>
    <s v="PB"/>
    <n v="3"/>
    <s v="CAPITAL FEDERAL"/>
    <s v="Buenos Aires"/>
    <m/>
    <s v="U.O.Centro"/>
    <m/>
    <n v="4"/>
    <n v="1"/>
    <n v="12828.73"/>
    <n v="2610.71"/>
    <m/>
    <n v="2248.6799999999998"/>
    <n v="12466.7"/>
    <m/>
    <n v="301.54000000000002"/>
    <m/>
    <m/>
    <m/>
    <m/>
    <m/>
    <m/>
    <n v="128.29"/>
    <m/>
    <m/>
    <m/>
    <m/>
    <m/>
    <m/>
    <n v="301.54000000000002"/>
    <m/>
    <m/>
    <n v="-44.97"/>
    <m/>
    <m/>
    <m/>
    <m/>
    <n v="128.29"/>
    <m/>
    <n v="814.69"/>
  </r>
  <r>
    <n v="8"/>
    <x v="8"/>
    <x v="0"/>
    <n v="162177"/>
    <s v="SZYCHOWSKI WALTER TADEO"/>
    <s v="23-20698069-9"/>
    <d v="2016-09-06T00:00:0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GDALENA"/>
    <n v="1225"/>
    <s v="PB"/>
    <m/>
    <s v="CAPITAL FEDERAL"/>
    <s v="Buenos Aires"/>
    <m/>
    <s v="U.O.Centro"/>
    <m/>
    <n v="4"/>
    <n v="1"/>
    <n v="2749.02"/>
    <n v="557.29999999999995"/>
    <m/>
    <n v="374.78"/>
    <n v="2566.5"/>
    <m/>
    <n v="62.48"/>
    <m/>
    <m/>
    <m/>
    <m/>
    <m/>
    <m/>
    <n v="27.49"/>
    <m/>
    <m/>
    <m/>
    <m/>
    <m/>
    <m/>
    <n v="62.48"/>
    <m/>
    <m/>
    <n v="-7.5"/>
    <m/>
    <m/>
    <m/>
    <m/>
    <n v="27.49"/>
    <m/>
    <n v="172.44"/>
  </r>
  <r>
    <n v="8"/>
    <x v="8"/>
    <x v="1"/>
    <n v="177494"/>
    <s v="TABORDA JUAN PABLO"/>
    <s v="20-29711251-2"/>
    <d v="2016-08-30T00:00:00"/>
    <n v="29711251"/>
    <s v="TABORDA"/>
    <s v="JUAN PABL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n v="1002"/>
    <s v="CASTAÑARES"/>
    <n v="764"/>
    <n v="8"/>
    <n v="5"/>
    <s v="CAPITAL FEDERAL"/>
    <s v="Capital Federal"/>
    <m/>
    <s v="U.O.Centro"/>
    <m/>
    <n v="1"/>
    <n v="1"/>
    <n v="1426.9"/>
    <n v="285.39"/>
    <m/>
    <m/>
    <n v="1141.51"/>
    <m/>
    <n v="28.54"/>
    <m/>
    <m/>
    <m/>
    <m/>
    <m/>
    <m/>
    <n v="14.27"/>
    <m/>
    <m/>
    <m/>
    <m/>
    <m/>
    <m/>
    <n v="28.54"/>
    <m/>
    <m/>
    <m/>
    <m/>
    <m/>
    <m/>
    <m/>
    <n v="14.27"/>
    <m/>
    <n v="85.62"/>
  </r>
  <r>
    <n v="8"/>
    <x v="8"/>
    <x v="0"/>
    <n v="172802"/>
    <s v="TANGREDI ESTEBAN ENRIQUE"/>
    <s v="23-36948164-9"/>
    <d v="2016-08-22T00:00:00"/>
    <n v="36948164"/>
    <s v="TANGREDI"/>
    <s v="ESTEBAN ENRIQUE"/>
    <s v="M"/>
    <m/>
    <d v="2016-05-18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HIDALGO"/>
    <n v="1232"/>
    <n v="3"/>
    <s v="D"/>
    <s v="CAPITAL FEDERAL"/>
    <s v="Buenos Aires"/>
    <m/>
    <s v="U.O.Centro"/>
    <s v="Cocina"/>
    <n v="1"/>
    <n v="1"/>
    <m/>
    <n v="1.82"/>
    <m/>
    <n v="91.16"/>
    <n v="89.34"/>
    <m/>
    <n v="1.82"/>
    <m/>
    <m/>
    <m/>
    <m/>
    <m/>
    <m/>
    <m/>
    <m/>
    <m/>
    <m/>
    <m/>
    <m/>
    <m/>
    <n v="1.82"/>
    <m/>
    <m/>
    <m/>
    <m/>
    <m/>
    <m/>
    <m/>
    <m/>
    <m/>
    <n v="3.64"/>
  </r>
  <r>
    <n v="8"/>
    <x v="8"/>
    <x v="0"/>
    <n v="177470"/>
    <s v="TISERA LUCIA"/>
    <s v="27-37952085-0"/>
    <d v="2016-09-06T00:00:00"/>
    <n v="37952085"/>
    <s v="TISERA"/>
    <s v="LUCIA"/>
    <s v="F"/>
    <m/>
    <d v="2016-08-18T00:00:00"/>
    <d v="2016-08-18T00:00:00"/>
    <m/>
    <s v="GASTRONOMICOS-Hoteles 4 y 5 Estrellas - 362/2003"/>
    <s v="Categoria 6"/>
    <x v="5"/>
    <s v="Extra Dotación Mozos / Camareros - GL"/>
    <s v="Centro"/>
    <s v="Camarero/a"/>
    <n v="119906"/>
    <s v="OS DE SERENOS DE BUQUES"/>
    <s v="Capital Federal"/>
    <m/>
    <n v="1104"/>
    <s v="PEDRO GOYENA"/>
    <n v="1225"/>
    <m/>
    <m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m/>
    <n v="137.46"/>
  </r>
  <r>
    <n v="8"/>
    <x v="8"/>
    <x v="0"/>
    <n v="169811"/>
    <s v="TOLABA ESTELA MARTINA"/>
    <s v="27-25992551-2"/>
    <d v="2016-09-06T00:00:00"/>
    <n v="25992551"/>
    <s v="TOLABA"/>
    <s v="ESTELA MARTINA"/>
    <s v="F"/>
    <m/>
    <d v="2016-03-03T00:00:00"/>
    <d v="2016-07-25T00:00:00"/>
    <n v="42576"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s v="CULPINA"/>
    <n v="1225"/>
    <m/>
    <m/>
    <s v="CAPITAL FEDERAL"/>
    <s v="Buenos Aires"/>
    <m/>
    <s v="U.O.Centro"/>
    <m/>
    <n v="2"/>
    <n v="1"/>
    <m/>
    <n v="28.01"/>
    <m/>
    <n v="1400.29"/>
    <n v="1372.28"/>
    <m/>
    <n v="28.01"/>
    <m/>
    <m/>
    <m/>
    <m/>
    <m/>
    <m/>
    <m/>
    <m/>
    <m/>
    <m/>
    <m/>
    <m/>
    <m/>
    <n v="28.01"/>
    <m/>
    <m/>
    <n v="-28.01"/>
    <m/>
    <m/>
    <m/>
    <m/>
    <m/>
    <m/>
    <n v="28.01"/>
  </r>
  <r>
    <n v="8"/>
    <x v="8"/>
    <x v="0"/>
    <n v="170180"/>
    <s v="TORRES FERNANDO"/>
    <s v="23-36164521-9"/>
    <d v="2016-09-06T00:00:0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ICARDO ROJAS"/>
    <n v="265"/>
    <m/>
    <m/>
    <s v="CAPITAL FEDERAL"/>
    <s v="Capital Federal"/>
    <m/>
    <s v="U.O.Centro"/>
    <s v="Ayudantes"/>
    <n v="3"/>
    <n v="1"/>
    <n v="6009.2"/>
    <n v="1267.26"/>
    <m/>
    <n v="3272.04"/>
    <n v="8013.98"/>
    <m/>
    <n v="185.62"/>
    <m/>
    <m/>
    <m/>
    <m/>
    <m/>
    <m/>
    <n v="60.09"/>
    <m/>
    <m/>
    <m/>
    <m/>
    <m/>
    <m/>
    <n v="185.62"/>
    <m/>
    <m/>
    <m/>
    <m/>
    <m/>
    <m/>
    <m/>
    <n v="60.09"/>
    <m/>
    <n v="491.42"/>
  </r>
  <r>
    <n v="8"/>
    <x v="8"/>
    <x v="1"/>
    <n v="165162"/>
    <s v="TORRES VERONICA ALEJANDRA"/>
    <s v="23-25413259-4"/>
    <d v="2016-08-30T00:00:00"/>
    <n v="25413259"/>
    <s v="TORRES"/>
    <s v="VERONICA ALEJANDRA"/>
    <s v="F"/>
    <m/>
    <d v="2016-02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n v="1002"/>
    <s v="Avenida General José María Zapiola 522"/>
    <n v="764"/>
    <m/>
    <m/>
    <s v="CAPITAL FEDERAL"/>
    <s v="Capital Federal"/>
    <m/>
    <s v="U.O.Centro Paga Inplant"/>
    <m/>
    <n v="2"/>
    <n v="1"/>
    <n v="7142.64"/>
    <n v="1453.86"/>
    <m/>
    <n v="1266.3900000000001"/>
    <n v="6955.17"/>
    <m/>
    <n v="168.18"/>
    <m/>
    <m/>
    <m/>
    <m/>
    <m/>
    <m/>
    <n v="71.430000000000007"/>
    <m/>
    <m/>
    <m/>
    <m/>
    <m/>
    <m/>
    <n v="168.18"/>
    <m/>
    <m/>
    <m/>
    <m/>
    <m/>
    <m/>
    <m/>
    <n v="71.430000000000007"/>
    <m/>
    <n v="479.22"/>
  </r>
  <r>
    <n v="8"/>
    <x v="8"/>
    <x v="0"/>
    <n v="170203"/>
    <s v="TOTARO ALEJANDRO EZEQUIEL"/>
    <s v="20-34309566-0"/>
    <d v="2016-09-06T00:00:0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MATANZA"/>
    <n v="1225"/>
    <m/>
    <m/>
    <s v="CAPITAL FEDERAL"/>
    <s v="Buenos Aires"/>
    <m/>
    <s v="U.O.Centro"/>
    <m/>
    <n v="4"/>
    <n v="1"/>
    <n v="7377.47"/>
    <n v="1493.72"/>
    <m/>
    <n v="911.6"/>
    <n v="6795.35"/>
    <m/>
    <n v="165.78"/>
    <m/>
    <m/>
    <m/>
    <m/>
    <m/>
    <m/>
    <n v="73.78"/>
    <m/>
    <m/>
    <m/>
    <m/>
    <m/>
    <m/>
    <n v="165.78"/>
    <m/>
    <m/>
    <n v="-18.23"/>
    <m/>
    <m/>
    <m/>
    <m/>
    <n v="73.78"/>
    <m/>
    <n v="460.89"/>
  </r>
  <r>
    <n v="8"/>
    <x v="8"/>
    <x v="0"/>
    <n v="177439"/>
    <s v="TRINIDAD LAURA ANTONELLA"/>
    <s v="27-35958277-9"/>
    <d v="2016-09-06T00:00:00"/>
    <n v="35958277"/>
    <s v="TRINIDAD"/>
    <s v="LAURA ANTONELL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EDRO CHUTRO"/>
    <n v="1005"/>
    <n v="4"/>
    <m/>
    <s v="CAPITAL FEDERAL"/>
    <s v="Capital Federal"/>
    <m/>
    <s v="U.O.Centro"/>
    <m/>
    <n v="2"/>
    <n v="1"/>
    <n v="2748.94"/>
    <n v="549.79"/>
    <m/>
    <m/>
    <n v="2199.15"/>
    <m/>
    <n v="54.98"/>
    <m/>
    <m/>
    <m/>
    <m/>
    <m/>
    <m/>
    <n v="27.49"/>
    <m/>
    <m/>
    <m/>
    <m/>
    <m/>
    <m/>
    <n v="54.98"/>
    <m/>
    <m/>
    <m/>
    <m/>
    <m/>
    <m/>
    <m/>
    <n v="27.49"/>
    <m/>
    <n v="164.94"/>
  </r>
  <r>
    <n v="8"/>
    <x v="8"/>
    <x v="0"/>
    <n v="176589"/>
    <s v="UMERES GUSTAVO ALBERTO"/>
    <s v="20-27282604-9"/>
    <d v="2016-09-06T00:00:00"/>
    <n v="27282604"/>
    <s v="UMERES"/>
    <s v="GUSTAVO ALBERTO"/>
    <s v="M"/>
    <m/>
    <d v="2016-08-02T00:00:00"/>
    <m/>
    <m/>
    <s v="GASTRONOMICOS-Hoteles 4 y 5 Estrellas - 362/2003"/>
    <s v="Categoría 4"/>
    <x v="5"/>
    <s v="Mucamas - GL"/>
    <s v="Centro"/>
    <s v="Mucama"/>
    <n v="119500"/>
    <s v="OS DEL PERSONAL DE LA SANIDAD ARGENTINA"/>
    <s v="Capital Federal"/>
    <m/>
    <n v="1104"/>
    <s v="DEAN FUNES"/>
    <n v="1225"/>
    <s v="PB"/>
    <n v="3"/>
    <s v="CAPITAL FEDERAL"/>
    <s v="Buenos Aires"/>
    <m/>
    <s v="U.O.Centro"/>
    <m/>
    <n v="3"/>
    <n v="1"/>
    <n v="11463.95"/>
    <n v="2292.8000000000002"/>
    <m/>
    <m/>
    <n v="9171.15"/>
    <m/>
    <n v="229.28"/>
    <m/>
    <m/>
    <m/>
    <m/>
    <m/>
    <m/>
    <n v="114.64"/>
    <m/>
    <m/>
    <m/>
    <m/>
    <m/>
    <m/>
    <n v="229.28"/>
    <m/>
    <m/>
    <m/>
    <m/>
    <m/>
    <m/>
    <m/>
    <n v="114.64"/>
    <m/>
    <n v="687.84"/>
  </r>
  <r>
    <n v="8"/>
    <x v="8"/>
    <x v="0"/>
    <n v="173377"/>
    <s v="URETA MAURO GERMAN"/>
    <s v="20-36075890-8"/>
    <d v="2016-09-06T00:00:00"/>
    <n v="36075890"/>
    <s v="URETA"/>
    <s v="MAURO GERMAN"/>
    <s v="M"/>
    <m/>
    <d v="2016-05-22T00:00:00"/>
    <d v="2016-07-05T00:00:00"/>
    <n v="42556"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Avenida Santa Fe"/>
    <n v="1225"/>
    <m/>
    <m/>
    <s v="CAPITAL FEDERAL"/>
    <s v="Buenos Aires"/>
    <m/>
    <s v="U.O.Centro"/>
    <m/>
    <n v="2"/>
    <n v="1"/>
    <m/>
    <n v="6.42"/>
    <m/>
    <n v="321.24"/>
    <n v="314.82"/>
    <m/>
    <n v="6.42"/>
    <m/>
    <m/>
    <m/>
    <m/>
    <m/>
    <m/>
    <m/>
    <m/>
    <m/>
    <m/>
    <m/>
    <m/>
    <m/>
    <n v="6.42"/>
    <m/>
    <m/>
    <n v="-6.42"/>
    <m/>
    <m/>
    <m/>
    <m/>
    <m/>
    <m/>
    <n v="6.42"/>
  </r>
  <r>
    <n v="8"/>
    <x v="8"/>
    <x v="0"/>
    <n v="173656"/>
    <s v="VALENZUELA LETICIA MERCEDES"/>
    <s v="27-30230511-6"/>
    <d v="2016-09-06T00:00:00"/>
    <n v="30230511"/>
    <s v="VALENZUELA"/>
    <s v="LETICIA MERCEDES"/>
    <s v="F"/>
    <m/>
    <d v="2016-05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IO GALLEGOS"/>
    <n v="1225"/>
    <m/>
    <s v="D"/>
    <s v="CAPITAL FEDERAL"/>
    <s v="Buenos Aires"/>
    <m/>
    <s v="U.O.Quilmes"/>
    <m/>
    <n v="4"/>
    <n v="1"/>
    <n v="3207.18"/>
    <n v="653.23"/>
    <m/>
    <n v="588.94000000000005"/>
    <n v="3142.89"/>
    <m/>
    <n v="75.92"/>
    <m/>
    <m/>
    <m/>
    <m/>
    <m/>
    <m/>
    <n v="32.08"/>
    <m/>
    <m/>
    <m/>
    <m/>
    <m/>
    <m/>
    <n v="75.92"/>
    <m/>
    <m/>
    <n v="-11.78"/>
    <m/>
    <m/>
    <m/>
    <m/>
    <n v="32.08"/>
    <m/>
    <n v="204.22"/>
  </r>
  <r>
    <n v="8"/>
    <x v="8"/>
    <x v="1"/>
    <n v="170492"/>
    <s v="VALIENTE MARIA NAZARENA"/>
    <s v="27-23700239-9"/>
    <d v="2016-09-06T00:00:0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2"/>
    <n v="1"/>
    <n v="625.97"/>
    <n v="148.47999999999999"/>
    <m/>
    <n v="1163.8800000000001"/>
    <n v="1641.37"/>
    <m/>
    <n v="35.799999999999997"/>
    <m/>
    <m/>
    <m/>
    <m/>
    <m/>
    <m/>
    <n v="6.26"/>
    <m/>
    <m/>
    <m/>
    <m/>
    <m/>
    <m/>
    <n v="35.799999999999997"/>
    <m/>
    <m/>
    <m/>
    <m/>
    <m/>
    <m/>
    <m/>
    <n v="6.26"/>
    <m/>
    <n v="84.12"/>
  </r>
  <r>
    <n v="8"/>
    <x v="8"/>
    <x v="0"/>
    <n v="140020"/>
    <s v="VALLEJOS CINTIA SOLEDAD"/>
    <s v="27-41537496-3"/>
    <d v="2016-09-06T00:00:00"/>
    <n v="41537496"/>
    <s v="VALLEJOS"/>
    <s v="CINTIA SOLEDAD"/>
    <s v="F"/>
    <m/>
    <d v="2016-08-17T00:00:00"/>
    <d v="2016-08-17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ARIAS"/>
    <n v="1225"/>
    <m/>
    <m/>
    <s v="CAPITAL FEDERAL"/>
    <s v="Buenos Aires"/>
    <m/>
    <s v="U.O.Centro"/>
    <m/>
    <n v="3"/>
    <n v="1"/>
    <n v="1435.76"/>
    <n v="282.99"/>
    <m/>
    <n v="51.38"/>
    <n v="1204.1500000000001"/>
    <m/>
    <n v="29.75"/>
    <m/>
    <m/>
    <m/>
    <m/>
    <m/>
    <m/>
    <n v="9.16"/>
    <m/>
    <m/>
    <m/>
    <m/>
    <m/>
    <m/>
    <n v="29.75"/>
    <m/>
    <m/>
    <m/>
    <m/>
    <m/>
    <m/>
    <m/>
    <n v="9.16"/>
    <m/>
    <n v="77.819999999999993"/>
  </r>
  <r>
    <n v="8"/>
    <x v="8"/>
    <x v="0"/>
    <n v="163376"/>
    <s v="VARGAS BENITEZ KARINA LUJAN"/>
    <s v="27-37354725-0"/>
    <d v="2016-09-06T00:00:0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REPUBLICA DE CUBA"/>
    <n v="1225"/>
    <m/>
    <m/>
    <s v="CAPITAL FEDERAL"/>
    <s v="Buenos Aires"/>
    <m/>
    <s v="U.O.Quilmes"/>
    <m/>
    <n v="4"/>
    <n v="1"/>
    <n v="5956.19"/>
    <n v="1200.9000000000001"/>
    <m/>
    <n v="481.86"/>
    <n v="5237.1499999999996"/>
    <m/>
    <n v="128.76"/>
    <m/>
    <m/>
    <m/>
    <m/>
    <m/>
    <m/>
    <n v="59.57"/>
    <m/>
    <m/>
    <m/>
    <m/>
    <m/>
    <m/>
    <n v="128.76"/>
    <m/>
    <m/>
    <n v="-9.64"/>
    <m/>
    <m/>
    <m/>
    <m/>
    <n v="59.57"/>
    <m/>
    <n v="367.02"/>
  </r>
  <r>
    <n v="8"/>
    <x v="8"/>
    <x v="0"/>
    <n v="177469"/>
    <s v="VAZQUEZ KARINA BEATRIZ"/>
    <s v="27-29039265-4"/>
    <d v="2016-09-06T00:00:00"/>
    <n v="29039265"/>
    <s v="VAZQUEZ"/>
    <s v="KARINA BEATRIZ"/>
    <s v="F"/>
    <m/>
    <d v="2016-08-18T00:00:00"/>
    <d v="2016-08-18T00:00:00"/>
    <m/>
    <s v="GASTRONOMICOS-Hoteles 4 y 5 Estrellas - 362/2003"/>
    <s v="Categoria 6"/>
    <x v="5"/>
    <s v="Extra Dotación Mozos / Camareros - GL"/>
    <s v="Centro"/>
    <s v="Camarero/a"/>
    <n v="113809"/>
    <s v="OS DE COMISARIOS NAVALES"/>
    <s v="Capital Federal"/>
    <m/>
    <n v="1104"/>
    <s v="9 DE JULIO"/>
    <n v="1225"/>
    <n v="1"/>
    <m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m/>
    <n v="137.46"/>
  </r>
  <r>
    <n v="8"/>
    <x v="8"/>
    <x v="0"/>
    <n v="140009"/>
    <s v="VEGA JUAN JOSE"/>
    <s v="20-34339212-6"/>
    <d v="2016-09-06T00:00:00"/>
    <n v="34339212"/>
    <s v="VEGA"/>
    <s v="JUAN JOSE"/>
    <s v="M"/>
    <m/>
    <d v="2016-08-2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n v="1104"/>
    <s v="PRUDAN"/>
    <n v="1225"/>
    <n v="5"/>
    <n v="5"/>
    <s v="CAPITAL FEDERAL"/>
    <s v="Buenos Aires"/>
    <m/>
    <s v="U.O.Centro"/>
    <m/>
    <n v="3"/>
    <n v="1"/>
    <n v="9749.58"/>
    <n v="2112.83"/>
    <m/>
    <n v="4567.68"/>
    <n v="12204.43"/>
    <n v="357.93"/>
    <m/>
    <m/>
    <m/>
    <m/>
    <m/>
    <m/>
    <m/>
    <n v="97.49"/>
    <m/>
    <m/>
    <m/>
    <m/>
    <m/>
    <m/>
    <n v="286.33999999999997"/>
    <m/>
    <m/>
    <m/>
    <m/>
    <m/>
    <m/>
    <m/>
    <n v="97.49"/>
    <m/>
    <n v="839.25"/>
  </r>
  <r>
    <n v="8"/>
    <x v="8"/>
    <x v="0"/>
    <n v="176107"/>
    <s v="VEGA MARIANO EMANUEL"/>
    <s v="20-36845666-8"/>
    <d v="2016-09-06T00:00:00"/>
    <n v="36845666"/>
    <s v="VEGA"/>
    <s v="MARIANO EMANUEL"/>
    <s v="M"/>
    <m/>
    <d v="2016-07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n v="1104"/>
    <s v="PADRE CARLOS MUGICA"/>
    <n v="1225"/>
    <m/>
    <m/>
    <s v="CAPITAL FEDERAL"/>
    <s v="Buenos Aires"/>
    <m/>
    <s v="U.O.Centro"/>
    <m/>
    <n v="4"/>
    <n v="1"/>
    <n v="13506.14"/>
    <n v="2708.87"/>
    <m/>
    <n v="382.56"/>
    <n v="11179.83"/>
    <m/>
    <n v="277.77999999999997"/>
    <m/>
    <m/>
    <m/>
    <m/>
    <m/>
    <m/>
    <n v="135.06"/>
    <m/>
    <m/>
    <m/>
    <m/>
    <m/>
    <m/>
    <n v="277.77999999999997"/>
    <m/>
    <m/>
    <n v="-7.65"/>
    <m/>
    <m/>
    <m/>
    <m/>
    <n v="135.06"/>
    <m/>
    <n v="818.03"/>
  </r>
  <r>
    <n v="8"/>
    <x v="8"/>
    <x v="0"/>
    <n v="174627"/>
    <s v="VEGA RAMONA CAROLINA"/>
    <s v="27-92893847-1"/>
    <d v="2016-09-06T00:00:00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n v="1104"/>
    <s v="MARGARITA WEILD"/>
    <n v="1225"/>
    <n v="7"/>
    <s v="A"/>
    <s v="CAPITAL FEDERAL"/>
    <s v="Buenos Aires"/>
    <m/>
    <s v="U.O.Centro"/>
    <m/>
    <n v="5"/>
    <n v="1"/>
    <n v="11151.89"/>
    <n v="2247.08"/>
    <m/>
    <n v="835.67"/>
    <n v="9740.48"/>
    <m/>
    <n v="239.75"/>
    <m/>
    <m/>
    <m/>
    <m/>
    <m/>
    <m/>
    <n v="111.52"/>
    <m/>
    <m/>
    <m/>
    <m/>
    <m/>
    <m/>
    <n v="239.75"/>
    <m/>
    <m/>
    <n v="-16.71"/>
    <m/>
    <m/>
    <m/>
    <m/>
    <n v="111.52"/>
    <m/>
    <n v="685.83"/>
  </r>
  <r>
    <n v="8"/>
    <x v="8"/>
    <x v="0"/>
    <n v="143424"/>
    <s v="VELASQUEZ NESTOR IGNACIO"/>
    <s v="20-30830390-0"/>
    <d v="2016-09-06T00:00:0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n v="1440"/>
    <s v="ROMANELLA"/>
    <n v="265"/>
    <m/>
    <m/>
    <s v="CAPITAL FEDERAL"/>
    <s v="Capital Federal"/>
    <m/>
    <s v="U.O.Centro"/>
    <s v="Ayudantes"/>
    <n v="3"/>
    <n v="1"/>
    <n v="9931.9"/>
    <n v="2123.0700000000002"/>
    <m/>
    <n v="3480.66"/>
    <n v="11289.49"/>
    <n v="335.32"/>
    <m/>
    <m/>
    <m/>
    <m/>
    <m/>
    <m/>
    <m/>
    <n v="99.32"/>
    <m/>
    <m/>
    <m/>
    <m/>
    <m/>
    <m/>
    <n v="268.25"/>
    <m/>
    <m/>
    <m/>
    <m/>
    <m/>
    <m/>
    <m/>
    <n v="99.32"/>
    <m/>
    <n v="802.21"/>
  </r>
  <r>
    <n v="8"/>
    <x v="8"/>
    <x v="1"/>
    <n v="170478"/>
    <s v="VELAZQUEZ FERNANDO ARIEL"/>
    <s v="20-18830125-9"/>
    <d v="2016-09-06T00:00:00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n v="1129"/>
    <s v="SARMIENTO"/>
    <n v="1891"/>
    <m/>
    <m/>
    <s v="CAPITAL FEDERAL"/>
    <s v="Capital Federal"/>
    <m/>
    <s v="U.O.Centro"/>
    <s v="Alvear Palace"/>
    <n v="2"/>
    <n v="1"/>
    <n v="3338.45"/>
    <n v="704.68"/>
    <m/>
    <n v="1850.13"/>
    <n v="4483.8999999999996"/>
    <m/>
    <n v="103.77"/>
    <m/>
    <m/>
    <m/>
    <m/>
    <m/>
    <m/>
    <n v="33.380000000000003"/>
    <m/>
    <m/>
    <m/>
    <m/>
    <m/>
    <m/>
    <n v="103.77"/>
    <m/>
    <m/>
    <m/>
    <m/>
    <m/>
    <m/>
    <m/>
    <n v="33.380000000000003"/>
    <m/>
    <n v="274.3"/>
  </r>
  <r>
    <n v="8"/>
    <x v="8"/>
    <x v="0"/>
    <n v="169885"/>
    <s v="VELAZQUEZ NOELIA"/>
    <s v="27-28814358-2"/>
    <d v="2016-09-06T00:00:00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2"/>
    <n v="1"/>
    <n v="10081.719999999999"/>
    <n v="2065.7600000000002"/>
    <m/>
    <n v="2471"/>
    <n v="10486.96"/>
    <m/>
    <n v="251.05"/>
    <m/>
    <m/>
    <m/>
    <m/>
    <m/>
    <m/>
    <n v="100.82"/>
    <m/>
    <m/>
    <m/>
    <m/>
    <m/>
    <m/>
    <n v="249.07"/>
    <m/>
    <m/>
    <m/>
    <m/>
    <m/>
    <m/>
    <m/>
    <n v="100.82"/>
    <m/>
    <n v="701.76"/>
  </r>
  <r>
    <n v="8"/>
    <x v="8"/>
    <x v="0"/>
    <n v="176965"/>
    <s v="VERA ANDRES IGNACIO"/>
    <s v="20-33620630-9"/>
    <d v="2016-09-06T00:00:00"/>
    <n v="33620630"/>
    <s v="VERA"/>
    <s v="ANDRES IGNACIO"/>
    <s v="M"/>
    <m/>
    <d v="2016-08-2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JOSE MARMOL"/>
    <n v="1005"/>
    <m/>
    <m/>
    <s v="CAPITAL FEDERAL"/>
    <s v="Capital Federal"/>
    <m/>
    <s v="U.O.Centro"/>
    <m/>
    <n v="2"/>
    <n v="1"/>
    <n v="926.47"/>
    <n v="185.28"/>
    <m/>
    <m/>
    <n v="741.19"/>
    <m/>
    <n v="18.53"/>
    <m/>
    <m/>
    <m/>
    <m/>
    <m/>
    <m/>
    <n v="9.26"/>
    <m/>
    <m/>
    <m/>
    <m/>
    <m/>
    <m/>
    <n v="18.53"/>
    <m/>
    <m/>
    <m/>
    <m/>
    <m/>
    <m/>
    <m/>
    <n v="9.26"/>
    <m/>
    <n v="55.58"/>
  </r>
  <r>
    <n v="8"/>
    <x v="8"/>
    <x v="0"/>
    <n v="172595"/>
    <s v="VERA GUILLERMO EDUARDO"/>
    <s v="23-28162145-9"/>
    <d v="2016-09-06T00:00:00"/>
    <n v="28162145"/>
    <s v="VERA"/>
    <s v="GUILLERMO EDUARDO"/>
    <s v="M"/>
    <m/>
    <d v="2016-05-05T00:00:00"/>
    <m/>
    <m/>
    <s v="GASTRONOMICOS-Hoteles 4 y 5 Estrellas - 362/2003"/>
    <s v="Categoria 3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3"/>
    <n v="1"/>
    <n v="13504.3"/>
    <n v="2826.2"/>
    <m/>
    <n v="2313.1799999999998"/>
    <n v="12991.28"/>
    <n v="395.43"/>
    <m/>
    <m/>
    <m/>
    <m/>
    <m/>
    <m/>
    <m/>
    <n v="135.04"/>
    <m/>
    <m/>
    <m/>
    <m/>
    <m/>
    <m/>
    <n v="316.35000000000002"/>
    <m/>
    <m/>
    <m/>
    <m/>
    <m/>
    <m/>
    <m/>
    <n v="135.04"/>
    <m/>
    <n v="981.86"/>
  </r>
  <r>
    <n v="8"/>
    <x v="8"/>
    <x v="0"/>
    <n v="171020"/>
    <s v="VIEITES MAYRA ISIS"/>
    <s v="27-26427471-6"/>
    <d v="2016-09-06T00:00:00"/>
    <n v="26427471"/>
    <s v="VIEITES"/>
    <s v="MAYRA ISIS"/>
    <s v="F"/>
    <m/>
    <d v="2016-03-31T00:00:00"/>
    <m/>
    <m/>
    <s v="GASTRONOMICOS-Hoteles 4 y 5 Estrellas - 362/2003"/>
    <s v="Categoria 6"/>
    <x v="1"/>
    <s v="BANQUETES"/>
    <s v="Centro"/>
    <s v="Tareas Generales"/>
    <n v="108803"/>
    <s v="O.S.P.Gastronomico"/>
    <s v="Capital Federal"/>
    <m/>
    <n v="1005"/>
    <s v="SAN IRINEO"/>
    <n v="1005"/>
    <n v="5"/>
    <n v="16"/>
    <s v="CAPITAL FEDERAL"/>
    <s v="Capital Federal"/>
    <m/>
    <s v="U.O.Centro"/>
    <m/>
    <n v="1"/>
    <n v="1"/>
    <m/>
    <n v="9.9"/>
    <m/>
    <n v="495.24"/>
    <n v="485.34"/>
    <m/>
    <n v="9.9"/>
    <m/>
    <m/>
    <m/>
    <m/>
    <m/>
    <m/>
    <m/>
    <m/>
    <m/>
    <m/>
    <m/>
    <m/>
    <m/>
    <n v="9.9"/>
    <m/>
    <m/>
    <m/>
    <m/>
    <m/>
    <m/>
    <m/>
    <m/>
    <m/>
    <n v="19.8"/>
  </r>
  <r>
    <n v="8"/>
    <x v="8"/>
    <x v="0"/>
    <n v="174054"/>
    <s v="VILLAFAÑE CRISTIAN FABRICIO"/>
    <s v="20-36622446-8"/>
    <d v="2016-08-22T00:00:00"/>
    <n v="36622446"/>
    <s v="VILLAFAÑE"/>
    <s v="CRISTIAN FABRICIO"/>
    <s v="M"/>
    <m/>
    <d v="2016-07-14T00:00:00"/>
    <d v="2016-07-14T00:00:00"/>
    <m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n v="1009"/>
    <s v="GOLETA ESPORA"/>
    <n v="507"/>
    <m/>
    <m/>
    <s v="CAPITAL FEDERAL"/>
    <s v="Capital Federal"/>
    <m/>
    <s v="U.O.Centro"/>
    <m/>
    <n v="2"/>
    <n v="1"/>
    <m/>
    <n v="9.89"/>
    <m/>
    <n v="494.8"/>
    <n v="484.91"/>
    <m/>
    <n v="9.89"/>
    <m/>
    <m/>
    <m/>
    <m/>
    <m/>
    <m/>
    <m/>
    <m/>
    <m/>
    <m/>
    <m/>
    <m/>
    <m/>
    <n v="9.89"/>
    <m/>
    <m/>
    <m/>
    <m/>
    <m/>
    <m/>
    <m/>
    <m/>
    <m/>
    <n v="19.78"/>
  </r>
  <r>
    <n v="8"/>
    <x v="8"/>
    <x v="0"/>
    <n v="177169"/>
    <s v="VILLAGRA JUAN JOSE"/>
    <s v="20-36149364-9"/>
    <d v="2016-09-06T00:00:00"/>
    <n v="36149364"/>
    <s v="VILLAGRA"/>
    <s v="JUAN JOSE"/>
    <s v="M"/>
    <m/>
    <d v="2016-08-12T00:00:00"/>
    <d v="2016-08-17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n v="1104"/>
    <n v="1154"/>
    <n v="1225"/>
    <m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8"/>
    <x v="8"/>
    <x v="0"/>
    <n v="170044"/>
    <s v="VILLANUEVA STELLA MARIS"/>
    <s v="27-24358222-4"/>
    <d v="2016-09-06T00:00:00"/>
    <n v="24358222"/>
    <s v="VILLANUEVA"/>
    <s v="STELLA MARIS"/>
    <s v="F"/>
    <m/>
    <d v="2016-06-23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n v="1004"/>
    <s v="BOLIVAR"/>
    <n v="474"/>
    <m/>
    <m/>
    <s v="CAPITAL FEDERAL"/>
    <s v="Buenos Aires"/>
    <m/>
    <s v="U.O.Centro"/>
    <m/>
    <n v="4"/>
    <n v="1"/>
    <n v="10731.99"/>
    <n v="2195.4699999999998"/>
    <m/>
    <n v="2453.42"/>
    <n v="10989.94"/>
    <m/>
    <n v="263.70999999999998"/>
    <m/>
    <m/>
    <m/>
    <m/>
    <m/>
    <m/>
    <n v="107.32"/>
    <m/>
    <m/>
    <m/>
    <m/>
    <m/>
    <m/>
    <n v="263.70999999999998"/>
    <m/>
    <m/>
    <m/>
    <m/>
    <m/>
    <m/>
    <m/>
    <n v="107.32"/>
    <m/>
    <n v="742.06"/>
  </r>
  <r>
    <n v="8"/>
    <x v="8"/>
    <x v="1"/>
    <n v="165035"/>
    <s v="VILLAROEL BARRIOS WILMER OLIVER"/>
    <s v="20-95503977-8"/>
    <d v="2016-08-30T00:00:00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n v="1002"/>
    <s v="COMBATE DE LOS POZOS"/>
    <n v="764"/>
    <m/>
    <m/>
    <s v="CAPITAL FEDERAL"/>
    <s v="Capital Federal"/>
    <m/>
    <s v="U.O.Centro Paga Inplant"/>
    <m/>
    <n v="2"/>
    <n v="1"/>
    <n v="425.8"/>
    <n v="94.03"/>
    <m/>
    <n v="269.74"/>
    <n v="601.51"/>
    <n v="17.39"/>
    <m/>
    <m/>
    <m/>
    <m/>
    <m/>
    <m/>
    <m/>
    <n v="4.26"/>
    <m/>
    <m/>
    <m/>
    <m/>
    <m/>
    <m/>
    <n v="13.91"/>
    <m/>
    <m/>
    <m/>
    <m/>
    <m/>
    <m/>
    <m/>
    <n v="4.26"/>
    <m/>
    <n v="39.82"/>
  </r>
  <r>
    <n v="8"/>
    <x v="8"/>
    <x v="1"/>
    <n v="130773"/>
    <s v="WTOREK WALTER EZEQUIEL"/>
    <s v="20-30454246-3"/>
    <d v="2016-09-06T00:00:0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2"/>
    <n v="1"/>
    <n v="20048.650000000001"/>
    <n v="4239.8100000000004"/>
    <m/>
    <n v="5193.38"/>
    <n v="21002.22"/>
    <n v="631.04999999999995"/>
    <m/>
    <m/>
    <m/>
    <m/>
    <m/>
    <m/>
    <m/>
    <n v="200.49"/>
    <m/>
    <m/>
    <m/>
    <m/>
    <m/>
    <m/>
    <n v="504.84"/>
    <m/>
    <m/>
    <m/>
    <m/>
    <m/>
    <m/>
    <m/>
    <n v="200.49"/>
    <m/>
    <n v="1536.87"/>
  </r>
  <r>
    <n v="8"/>
    <x v="8"/>
    <x v="0"/>
    <n v="171787"/>
    <s v="ZACARIAS MAXIMILIANO FABIAN"/>
    <s v="20-35974702-1"/>
    <d v="2016-09-06T00:00:00"/>
    <n v="35974702"/>
    <s v="ZACARIAS"/>
    <s v="MAXIMILIANO FABIAN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RINGLES"/>
    <n v="1005"/>
    <m/>
    <m/>
    <s v="CAPITAL FEDERAL"/>
    <s v="Capital Federal"/>
    <m/>
    <s v="U.O.Centro"/>
    <m/>
    <n v="3"/>
    <n v="1"/>
    <n v="1934.33"/>
    <n v="388.3"/>
    <m/>
    <n v="71.39"/>
    <n v="1617.42"/>
    <m/>
    <n v="40.119999999999997"/>
    <m/>
    <m/>
    <m/>
    <m/>
    <m/>
    <m/>
    <n v="19.34"/>
    <m/>
    <m/>
    <m/>
    <m/>
    <m/>
    <m/>
    <n v="40.119999999999997"/>
    <m/>
    <m/>
    <m/>
    <m/>
    <m/>
    <m/>
    <m/>
    <n v="19.34"/>
    <m/>
    <n v="118.92"/>
  </r>
  <r>
    <n v="8"/>
    <x v="8"/>
    <x v="1"/>
    <n v="156235"/>
    <s v="ZENTENO CRISTIAN OSCAR"/>
    <s v="20-37675043-5"/>
    <d v="2016-09-06T00:00:00"/>
    <n v="37675043"/>
    <s v="ZENTENO"/>
    <s v="CRISTIAN OSCAR"/>
    <s v="M"/>
    <m/>
    <d v="2016-08-19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CAMPICHUELO"/>
    <n v="764"/>
    <m/>
    <m/>
    <s v="CAPITAL FEDERAL"/>
    <s v="Capital Federal"/>
    <m/>
    <s v="U.O.Centro"/>
    <m/>
    <n v="3"/>
    <n v="1"/>
    <n v="6682.39"/>
    <n v="1373.07"/>
    <m/>
    <n v="1828.9"/>
    <n v="7138.22"/>
    <m/>
    <n v="170.23"/>
    <m/>
    <m/>
    <m/>
    <m/>
    <m/>
    <m/>
    <n v="66.83"/>
    <m/>
    <m/>
    <m/>
    <m/>
    <m/>
    <m/>
    <n v="170.23"/>
    <m/>
    <m/>
    <m/>
    <m/>
    <m/>
    <m/>
    <m/>
    <n v="66.83"/>
    <m/>
    <n v="474.12"/>
  </r>
  <r>
    <n v="8"/>
    <x v="8"/>
    <x v="1"/>
    <n v="177440"/>
    <s v="ZEPPA FRANCISCO"/>
    <s v="20-38892842-6"/>
    <d v="2016-09-06T00:00:00"/>
    <n v="38892842"/>
    <s v="ZEPPA"/>
    <s v="FRANCISCO"/>
    <s v="M"/>
    <m/>
    <d v="2016-08-22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n v="1002"/>
    <s v="ECHEANDIA"/>
    <n v="764"/>
    <n v="1"/>
    <n v="3"/>
    <s v="CAPITAL FEDERAL"/>
    <s v="Capital Federal"/>
    <m/>
    <s v="U.O.Centro"/>
    <m/>
    <n v="3"/>
    <n v="1"/>
    <n v="3275.28"/>
    <n v="655.05999999999995"/>
    <m/>
    <m/>
    <n v="2620.2199999999998"/>
    <m/>
    <n v="65.5"/>
    <m/>
    <m/>
    <m/>
    <m/>
    <m/>
    <m/>
    <n v="32.76"/>
    <m/>
    <m/>
    <m/>
    <m/>
    <m/>
    <m/>
    <n v="65.5"/>
    <m/>
    <m/>
    <m/>
    <m/>
    <m/>
    <m/>
    <m/>
    <n v="32.76"/>
    <m/>
    <n v="196.52"/>
  </r>
  <r>
    <n v="8"/>
    <x v="8"/>
    <x v="0"/>
    <n v="172976"/>
    <s v="ZOZAYA GABRIELA ALICIA"/>
    <s v="27-36457426-1"/>
    <n v="42619"/>
    <n v="36457426"/>
    <s v="ZOZAYA"/>
    <s v="GABRIELA ALICIA"/>
    <s v="F"/>
    <m/>
    <d v="2016-05-1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ABO VERDE"/>
    <n v="1005"/>
    <m/>
    <m/>
    <s v="CAPITAL FEDERAL"/>
    <s v="Capital Federal"/>
    <m/>
    <s v="U.O.Centro"/>
    <m/>
    <n v="4"/>
    <n v="1"/>
    <n v="1893.86"/>
    <n v="376.25"/>
    <m/>
    <n v="133.85"/>
    <n v="1651.46"/>
    <m/>
    <n v="40.56"/>
    <m/>
    <m/>
    <m/>
    <m/>
    <m/>
    <m/>
    <n v="13.74"/>
    <m/>
    <m/>
    <m/>
    <m/>
    <m/>
    <m/>
    <n v="40.56"/>
    <m/>
    <m/>
    <m/>
    <m/>
    <m/>
    <m/>
    <m/>
    <n v="13.74"/>
    <m/>
    <n v="108.6"/>
  </r>
  <r>
    <n v="8"/>
    <x v="8"/>
    <x v="0"/>
    <n v="164888"/>
    <s v="ZURCO IRINA BELEN"/>
    <s v="27-35930307-1"/>
    <n v="42619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n v="1104"/>
    <s v="MARCHENA"/>
    <n v="1225"/>
    <m/>
    <m/>
    <s v="CAPITAL FEDERAL"/>
    <s v="Buenos Aires"/>
    <m/>
    <s v="U.O.Centro"/>
    <m/>
    <n v="4"/>
    <n v="1"/>
    <n v="5039.8599999999997"/>
    <n v="1022.98"/>
    <m/>
    <n v="749.56"/>
    <n v="4766.4399999999996"/>
    <m/>
    <n v="115.79"/>
    <m/>
    <m/>
    <m/>
    <m/>
    <m/>
    <m/>
    <n v="50.4"/>
    <m/>
    <m/>
    <m/>
    <m/>
    <m/>
    <m/>
    <n v="115.79"/>
    <m/>
    <m/>
    <n v="-14.99"/>
    <m/>
    <m/>
    <m/>
    <m/>
    <n v="50.4"/>
    <m/>
    <n v="317.39"/>
  </r>
  <r>
    <n v="9"/>
    <x v="9"/>
    <x v="0"/>
    <n v="177728"/>
    <s v="ABUSLAIMAN YESICA BELEN"/>
    <s v="27-34693898-1"/>
    <n v="42649"/>
    <n v="34693898"/>
    <s v="ABUSLAIMAN"/>
    <s v="YESICA BELEN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COMBATE DE SAN LORENZO"/>
    <n v="240"/>
    <m/>
    <m/>
    <s v="TIGRE"/>
    <s v="Buenos Aires"/>
    <m/>
    <s v="U.O.San Isidro"/>
    <m/>
    <n v="1"/>
    <n v="1"/>
    <n v="955.6"/>
    <n v="191.13"/>
    <m/>
    <m/>
    <n v="764.47"/>
    <m/>
    <n v="19.11"/>
    <m/>
    <m/>
    <m/>
    <m/>
    <m/>
    <m/>
    <n v="9.56"/>
    <m/>
    <m/>
    <m/>
    <m/>
    <m/>
    <m/>
    <n v="19.11"/>
    <m/>
    <m/>
    <m/>
    <m/>
    <m/>
    <m/>
    <m/>
    <n v="9.56"/>
    <n v="300"/>
    <n v="357.34"/>
  </r>
  <r>
    <n v="9"/>
    <x v="9"/>
    <x v="0"/>
    <n v="176112"/>
    <s v="ACEVEDO FLAVIA ANALIA"/>
    <s v="27-28987335-5"/>
    <n v="42649"/>
    <n v="28987335"/>
    <s v="ACEVEDO"/>
    <s v="FLAVIA ANALIA"/>
    <s v="F"/>
    <m/>
    <d v="2016-07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NGALLO"/>
    <n v="1225"/>
    <m/>
    <m/>
    <s v="CAPITAL FEDERAL"/>
    <s v="Buenos Aires"/>
    <m/>
    <s v="U.O.Centro"/>
    <m/>
    <n v="3"/>
    <n v="1"/>
    <n v="10014.5"/>
    <n v="3002.92"/>
    <m/>
    <n v="1000"/>
    <n v="8011.58"/>
    <m/>
    <n v="200.3"/>
    <m/>
    <m/>
    <m/>
    <m/>
    <m/>
    <m/>
    <n v="100.14"/>
    <m/>
    <m/>
    <m/>
    <m/>
    <n v="1000"/>
    <m/>
    <n v="200.3"/>
    <m/>
    <m/>
    <m/>
    <m/>
    <m/>
    <m/>
    <m/>
    <n v="100.14"/>
    <n v="300"/>
    <n v="1900.88"/>
  </r>
  <r>
    <n v="9"/>
    <x v="9"/>
    <x v="1"/>
    <n v="170882"/>
    <s v="ACOSTA ADRIAN JOSE"/>
    <s v="23-30887276-9"/>
    <n v="42642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s v="C1002ABO"/>
    <s v="GRAL MOLINA"/>
    <n v="764"/>
    <m/>
    <m/>
    <s v="CAPITAL FEDERAL"/>
    <s v="Capital Federal"/>
    <m/>
    <s v="U.O.Centro Paga Inplant"/>
    <m/>
    <n v="2"/>
    <n v="1"/>
    <n v="13213.87"/>
    <n v="2642.78"/>
    <m/>
    <m/>
    <n v="10571.09"/>
    <m/>
    <n v="264.27999999999997"/>
    <m/>
    <m/>
    <m/>
    <m/>
    <m/>
    <m/>
    <n v="132.13999999999999"/>
    <m/>
    <m/>
    <m/>
    <m/>
    <m/>
    <m/>
    <n v="264.27999999999997"/>
    <m/>
    <m/>
    <m/>
    <m/>
    <m/>
    <m/>
    <m/>
    <n v="132.13999999999999"/>
    <n v="300"/>
    <n v="1092.8399999999999"/>
  </r>
  <r>
    <n v="9"/>
    <x v="9"/>
    <x v="0"/>
    <n v="118846"/>
    <s v="ACOSTA SUSANA BEATRIZ"/>
    <s v="27-32902543-3"/>
    <n v="42649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s v="C1008AAT"/>
    <s v="JUEZ TEDIN"/>
    <n v="948"/>
    <m/>
    <m/>
    <s v="CAPITAL FEDERAL"/>
    <s v="Capital Federal"/>
    <m/>
    <s v="U.O.Centro"/>
    <m/>
    <n v="2"/>
    <n v="1"/>
    <n v="4792.42"/>
    <n v="962.79"/>
    <m/>
    <n v="216.18"/>
    <n v="4045.81"/>
    <m/>
    <n v="100.17"/>
    <m/>
    <m/>
    <m/>
    <m/>
    <m/>
    <m/>
    <n v="47.92"/>
    <m/>
    <m/>
    <m/>
    <m/>
    <m/>
    <m/>
    <n v="95.85"/>
    <m/>
    <m/>
    <m/>
    <m/>
    <m/>
    <m/>
    <m/>
    <n v="47.92"/>
    <n v="300"/>
    <n v="591.86"/>
  </r>
  <r>
    <n v="9"/>
    <x v="9"/>
    <x v="1"/>
    <n v="70996"/>
    <s v="ACUÑA ELBA SANDRA"/>
    <s v="27-28976424-6"/>
    <n v="42642"/>
    <n v="28976424"/>
    <s v="ACUÑA"/>
    <s v="ELBA SANDRA"/>
    <s v="F"/>
    <m/>
    <d v="2016-08-29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NECOCHEA"/>
    <n v="764"/>
    <m/>
    <m/>
    <s v="CAPITAL FEDERAL"/>
    <s v="Capital Federal"/>
    <m/>
    <s v="U.O.Centro"/>
    <m/>
    <n v="1"/>
    <n v="1"/>
    <n v="9445.42"/>
    <n v="1889.08"/>
    <m/>
    <m/>
    <n v="7556.34"/>
    <m/>
    <n v="188.91"/>
    <m/>
    <m/>
    <m/>
    <m/>
    <m/>
    <m/>
    <n v="94.45"/>
    <m/>
    <m/>
    <m/>
    <m/>
    <m/>
    <m/>
    <n v="188.91"/>
    <m/>
    <m/>
    <m/>
    <m/>
    <m/>
    <m/>
    <m/>
    <n v="94.45"/>
    <n v="300"/>
    <n v="866.72"/>
  </r>
  <r>
    <n v="9"/>
    <x v="9"/>
    <x v="0"/>
    <n v="168236"/>
    <s v="ALFONZO SEBASTIAN ALEJANDRO"/>
    <s v="20-34553164-6"/>
    <n v="42649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AVENIDA PUEYRREDON"/>
    <n v="1225"/>
    <m/>
    <m/>
    <s v="CAPITAL FEDERAL"/>
    <s v="Buenos Aires"/>
    <m/>
    <s v="U.O.Centro"/>
    <m/>
    <n v="2"/>
    <n v="1"/>
    <n v="8901.76"/>
    <n v="1780.38"/>
    <m/>
    <m/>
    <n v="7121.38"/>
    <m/>
    <n v="178.04"/>
    <m/>
    <m/>
    <m/>
    <m/>
    <m/>
    <m/>
    <n v="89.02"/>
    <m/>
    <m/>
    <m/>
    <m/>
    <m/>
    <m/>
    <n v="178.04"/>
    <m/>
    <m/>
    <m/>
    <m/>
    <m/>
    <m/>
    <m/>
    <n v="89.02"/>
    <n v="300"/>
    <n v="834.12"/>
  </r>
  <r>
    <n v="9"/>
    <x v="9"/>
    <x v="0"/>
    <n v="160165"/>
    <s v="ALONZO JAVIER ANTONIO"/>
    <s v="20-25146812-6"/>
    <n v="42649"/>
    <n v="25146812"/>
    <s v="ALONZO"/>
    <s v="JAVIER ANTONIO"/>
    <s v="M"/>
    <m/>
    <d v="2015-12-1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ALLAO"/>
    <n v="1005"/>
    <m/>
    <m/>
    <s v="CAPITAL FEDERAL"/>
    <s v="Capital Federal"/>
    <m/>
    <s v="U.O.Centro"/>
    <m/>
    <n v="2"/>
    <n v="1"/>
    <n v="789.75"/>
    <n v="157.94"/>
    <m/>
    <m/>
    <n v="631.80999999999995"/>
    <m/>
    <n v="15.79"/>
    <m/>
    <m/>
    <m/>
    <m/>
    <m/>
    <m/>
    <n v="7.9"/>
    <m/>
    <m/>
    <m/>
    <m/>
    <m/>
    <m/>
    <n v="15.79"/>
    <m/>
    <m/>
    <m/>
    <m/>
    <m/>
    <m/>
    <m/>
    <n v="7.9"/>
    <n v="300"/>
    <n v="347.38"/>
  </r>
  <r>
    <n v="9"/>
    <x v="9"/>
    <x v="0"/>
    <n v="163395"/>
    <s v="ALTAMIRANO EUGENIA DELIA"/>
    <s v="27-33347518-4"/>
    <n v="42649"/>
    <n v="33347518"/>
    <s v="ALTAMIRANO"/>
    <s v="EUGENIA DELIA"/>
    <s v="F"/>
    <m/>
    <d v="2015-12-04T00:00:00"/>
    <d v="2016-09-19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ONTEGUDO"/>
    <n v="1225"/>
    <m/>
    <m/>
    <s v="CAPITAL FEDERAL"/>
    <s v="Buenos Aires"/>
    <m/>
    <s v="U.O.Pacheco"/>
    <m/>
    <n v="2"/>
    <n v="1"/>
    <n v="2749.02"/>
    <n v="549.79999999999995"/>
    <m/>
    <m/>
    <n v="2199.2199999999998"/>
    <m/>
    <n v="54.98"/>
    <m/>
    <m/>
    <m/>
    <m/>
    <m/>
    <m/>
    <n v="27.49"/>
    <m/>
    <m/>
    <m/>
    <m/>
    <m/>
    <m/>
    <n v="54.98"/>
    <m/>
    <m/>
    <m/>
    <m/>
    <m/>
    <m/>
    <m/>
    <n v="27.49"/>
    <n v="300"/>
    <n v="464.94"/>
  </r>
  <r>
    <n v="9"/>
    <x v="9"/>
    <x v="0"/>
    <n v="156038"/>
    <s v="AMARILLA GLADIS NORMA"/>
    <s v="27-31471414-3"/>
    <n v="42649"/>
    <n v="31471414"/>
    <s v="AMARILLA"/>
    <s v="GLADIS NORM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JAVIER"/>
    <n v="1225"/>
    <m/>
    <m/>
    <s v="CAPITAL FEDERAL"/>
    <s v="Buenos Aires"/>
    <m/>
    <s v="U.O.Centro"/>
    <m/>
    <n v="2"/>
    <n v="1"/>
    <n v="5498.03"/>
    <n v="1099.6199999999999"/>
    <m/>
    <m/>
    <n v="4398.41"/>
    <m/>
    <n v="109.96"/>
    <m/>
    <m/>
    <m/>
    <m/>
    <m/>
    <m/>
    <n v="54.98"/>
    <m/>
    <m/>
    <m/>
    <m/>
    <m/>
    <m/>
    <n v="109.96"/>
    <m/>
    <m/>
    <m/>
    <m/>
    <m/>
    <m/>
    <m/>
    <n v="54.98"/>
    <n v="300"/>
    <n v="629.88"/>
  </r>
  <r>
    <n v="9"/>
    <x v="9"/>
    <x v="0"/>
    <n v="172090"/>
    <s v="ANGULO QUINTERO JUAN FRANCISCO"/>
    <s v="20-95530684-9"/>
    <n v="42649"/>
    <n v="95530684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LTA"/>
    <n v="1225"/>
    <m/>
    <m/>
    <s v="CAPITAL FEDERAL"/>
    <s v="Buenos Aires"/>
    <m/>
    <s v="U.O.Centro"/>
    <m/>
    <n v="2"/>
    <n v="1"/>
    <n v="6414.37"/>
    <n v="1282.8699999999999"/>
    <m/>
    <m/>
    <n v="5131.5"/>
    <m/>
    <n v="128.29"/>
    <m/>
    <m/>
    <m/>
    <m/>
    <m/>
    <m/>
    <n v="64.14"/>
    <m/>
    <m/>
    <m/>
    <m/>
    <m/>
    <m/>
    <n v="128.29"/>
    <m/>
    <m/>
    <m/>
    <m/>
    <m/>
    <m/>
    <m/>
    <n v="64.14"/>
    <n v="300"/>
    <n v="684.86"/>
  </r>
  <r>
    <n v="9"/>
    <x v="9"/>
    <x v="0"/>
    <n v="173246"/>
    <s v="ARBOLELLA LAUTARO URIEL GABRIEL"/>
    <s v="27-33782994-0"/>
    <n v="42649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ALGUERO"/>
    <n v="1225"/>
    <n v="2"/>
    <s v="B"/>
    <s v="CAPITAL FEDERAL"/>
    <s v="Buenos Aires"/>
    <m/>
    <s v="U.O.Centro"/>
    <m/>
    <n v="2"/>
    <n v="1"/>
    <n v="9361.85"/>
    <n v="1872.38"/>
    <m/>
    <m/>
    <n v="7489.47"/>
    <m/>
    <n v="187.23"/>
    <m/>
    <m/>
    <m/>
    <m/>
    <m/>
    <m/>
    <n v="93.62"/>
    <m/>
    <m/>
    <m/>
    <m/>
    <m/>
    <m/>
    <n v="187.23"/>
    <m/>
    <m/>
    <m/>
    <m/>
    <m/>
    <m/>
    <m/>
    <n v="93.62"/>
    <n v="300"/>
    <n v="861.7"/>
  </r>
  <r>
    <n v="9"/>
    <x v="9"/>
    <x v="0"/>
    <n v="139740"/>
    <s v="AREVALO PABLO DAVID"/>
    <s v="20-37897359-8"/>
    <n v="42649"/>
    <n v="37897359"/>
    <s v="AREVALO"/>
    <s v="PABLO DAVID"/>
    <s v="M"/>
    <m/>
    <d v="2016-09-13T00:00:00"/>
    <m/>
    <m/>
    <s v="GASTRONOMICOS-Hoteles 4 y 5 Estrellas - 362/2003"/>
    <s v="Categoria 6"/>
    <x v="15"/>
    <s v="Camareros"/>
    <s v="Centro"/>
    <s v="Camarero/a"/>
    <n v="108803"/>
    <s v="O.S.P.Gastronomico"/>
    <s v="Capital Federal"/>
    <m/>
    <s v="C1070AAE"/>
    <s v="LUJAN"/>
    <n v="265"/>
    <m/>
    <m/>
    <s v="CAPITAL FEDERAL"/>
    <s v="Capital Federal"/>
    <m/>
    <s v="U.O.Centro"/>
    <m/>
    <n v="5"/>
    <n v="1"/>
    <n v="12323.55"/>
    <n v="2464.69"/>
    <m/>
    <m/>
    <n v="9858.86"/>
    <m/>
    <n v="246.46"/>
    <m/>
    <m/>
    <m/>
    <m/>
    <m/>
    <m/>
    <n v="123.23"/>
    <m/>
    <m/>
    <m/>
    <m/>
    <m/>
    <m/>
    <n v="246.46"/>
    <m/>
    <m/>
    <m/>
    <m/>
    <m/>
    <m/>
    <m/>
    <n v="123.23"/>
    <n v="300"/>
    <n v="1039.3800000000001"/>
  </r>
  <r>
    <n v="9"/>
    <x v="9"/>
    <x v="0"/>
    <n v="177462"/>
    <s v="ASPRES IGNACIO DAVID"/>
    <s v="23-39159959-9"/>
    <n v="42649"/>
    <n v="39159959"/>
    <s v="ASPRES"/>
    <s v="IGNACI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VICTORICA"/>
    <n v="1225"/>
    <m/>
    <m/>
    <s v="CAPITAL FEDERAL"/>
    <s v="Buenos Aires"/>
    <m/>
    <s v="U.O.Centro"/>
    <m/>
    <n v="2"/>
    <n v="1"/>
    <n v="4581.6899999999996"/>
    <n v="916.33"/>
    <m/>
    <m/>
    <n v="3665.36"/>
    <m/>
    <n v="91.63"/>
    <m/>
    <m/>
    <m/>
    <m/>
    <m/>
    <m/>
    <n v="45.82"/>
    <m/>
    <m/>
    <m/>
    <m/>
    <m/>
    <m/>
    <n v="91.63"/>
    <m/>
    <m/>
    <m/>
    <m/>
    <m/>
    <m/>
    <m/>
    <n v="45.82"/>
    <n v="300"/>
    <n v="574.9"/>
  </r>
  <r>
    <n v="9"/>
    <x v="9"/>
    <x v="0"/>
    <n v="173402"/>
    <s v="AUHAD MARIA DELFINA"/>
    <s v="27-33808278-4"/>
    <n v="42649"/>
    <n v="33808278"/>
    <s v="AUHAD"/>
    <s v="MARIA DELFINA"/>
    <s v="F"/>
    <m/>
    <d v="2016-05-21T00:00:00"/>
    <m/>
    <m/>
    <s v="GASTRONOMICOS-Hoteles 4 y 5 Estrellas - 362/2003"/>
    <s v="Categoria 3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2"/>
    <n v="1"/>
    <n v="11748.57"/>
    <n v="2349.7199999999998"/>
    <m/>
    <m/>
    <n v="9398.85"/>
    <m/>
    <n v="234.97"/>
    <m/>
    <m/>
    <m/>
    <m/>
    <m/>
    <m/>
    <n v="117.49"/>
    <m/>
    <m/>
    <m/>
    <m/>
    <m/>
    <m/>
    <n v="234.97"/>
    <m/>
    <m/>
    <m/>
    <m/>
    <m/>
    <m/>
    <m/>
    <n v="117.49"/>
    <n v="300"/>
    <n v="1004.92"/>
  </r>
  <r>
    <n v="9"/>
    <x v="9"/>
    <x v="0"/>
    <n v="175079"/>
    <s v="AYMERIC CRISTIAN DAMIAN"/>
    <s v="20-35863307-3"/>
    <n v="42649"/>
    <n v="35863307"/>
    <s v="AYMERIC"/>
    <s v="CRISTIAN DAMIAN"/>
    <s v="M"/>
    <m/>
    <d v="2016-07-03T00:00:00"/>
    <d v="2016-09-20T00:00:00"/>
    <n v="42642"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GAONA"/>
    <n v="1225"/>
    <m/>
    <m/>
    <s v="CAPITAL FEDERAL"/>
    <s v="Buenos Aires"/>
    <m/>
    <s v="U.O.Centro"/>
    <m/>
    <n v="2"/>
    <n v="1"/>
    <n v="2886.73"/>
    <n v="577.34"/>
    <m/>
    <m/>
    <n v="2309.39"/>
    <m/>
    <n v="57.73"/>
    <m/>
    <m/>
    <m/>
    <m/>
    <m/>
    <m/>
    <n v="28.87"/>
    <m/>
    <m/>
    <m/>
    <m/>
    <m/>
    <m/>
    <n v="57.73"/>
    <m/>
    <m/>
    <m/>
    <m/>
    <m/>
    <m/>
    <m/>
    <n v="28.87"/>
    <n v="300"/>
    <n v="473.2"/>
  </r>
  <r>
    <n v="9"/>
    <x v="9"/>
    <x v="0"/>
    <n v="177860"/>
    <s v="BAREIRO OLGA ESTER"/>
    <s v="27-26866306-7"/>
    <n v="42634"/>
    <n v="26866306"/>
    <s v="BAREIRO"/>
    <s v="OLGA ESTER"/>
    <s v="F"/>
    <m/>
    <d v="2016-08-26T00:00:00"/>
    <d v="2016-09-14T00:00:00"/>
    <n v="42627"/>
    <s v="GASTRONOMICOS-Hoteles 4 y 5 Estrellas - 362/2003"/>
    <s v="Categoría 4"/>
    <x v="5"/>
    <s v="Mucamas - GL"/>
    <s v="Centro"/>
    <s v="Mucama"/>
    <n v="121002"/>
    <s v="O.S.P.Ind.Textil"/>
    <s v="Capital Federal"/>
    <m/>
    <s v="C1104AKC"/>
    <s v="BERNARDINO RIVADAVIA"/>
    <n v="1225"/>
    <n v="3"/>
    <m/>
    <s v="CAPITAL FEDERAL"/>
    <s v="Buenos Aires"/>
    <m/>
    <s v="U.O.Centro"/>
    <m/>
    <n v="1"/>
    <n v="1"/>
    <n v="3755.43"/>
    <n v="751.08"/>
    <m/>
    <m/>
    <n v="3004.35"/>
    <m/>
    <n v="75.11"/>
    <m/>
    <m/>
    <m/>
    <m/>
    <m/>
    <m/>
    <n v="37.549999999999997"/>
    <m/>
    <m/>
    <m/>
    <m/>
    <m/>
    <m/>
    <n v="75.11"/>
    <m/>
    <m/>
    <m/>
    <m/>
    <m/>
    <m/>
    <m/>
    <n v="37.549999999999997"/>
    <n v="300"/>
    <n v="525.32000000000005"/>
  </r>
  <r>
    <n v="9"/>
    <x v="9"/>
    <x v="1"/>
    <n v="176956"/>
    <s v="BARRETO FABIAN ORLANDO"/>
    <s v="20-35367966-0"/>
    <n v="42642"/>
    <n v="35367966"/>
    <s v="BARRETO"/>
    <s v="FABIAN ORLANDO"/>
    <s v="M"/>
    <m/>
    <d v="2016-08-26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SANTO DOMINGO"/>
    <n v="764"/>
    <n v="1"/>
    <m/>
    <s v="CAPITAL FEDERAL"/>
    <s v="Capital Federal"/>
    <m/>
    <s v="U.O.Centro"/>
    <m/>
    <n v="1"/>
    <n v="1"/>
    <n v="1128.71"/>
    <n v="225.74"/>
    <m/>
    <m/>
    <n v="902.97"/>
    <m/>
    <n v="22.57"/>
    <m/>
    <m/>
    <m/>
    <m/>
    <m/>
    <m/>
    <n v="11.29"/>
    <m/>
    <m/>
    <m/>
    <m/>
    <m/>
    <m/>
    <n v="22.57"/>
    <m/>
    <m/>
    <m/>
    <m/>
    <m/>
    <m/>
    <m/>
    <n v="11.29"/>
    <n v="300"/>
    <n v="367.72"/>
  </r>
  <r>
    <n v="9"/>
    <x v="9"/>
    <x v="0"/>
    <n v="150709"/>
    <s v="BARRIOS NAHUEL ALEJANDRO"/>
    <s v="20-39155005-1"/>
    <n v="42649"/>
    <n v="39155005"/>
    <s v="BARRIOS"/>
    <s v="NAHUEL ALEJANDRO"/>
    <s v="M"/>
    <m/>
    <d v="2016-02-13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s v="C1004AAJ"/>
    <s v="CALA"/>
    <n v="474"/>
    <m/>
    <m/>
    <s v="CAPITAL FEDERAL"/>
    <s v="Buenos Aires"/>
    <m/>
    <s v="U.O.Centro"/>
    <m/>
    <n v="1"/>
    <n v="1"/>
    <n v="8247.9"/>
    <n v="1649.59"/>
    <m/>
    <m/>
    <n v="6598.31"/>
    <m/>
    <n v="164.96"/>
    <m/>
    <m/>
    <m/>
    <m/>
    <m/>
    <m/>
    <n v="82.48"/>
    <m/>
    <m/>
    <m/>
    <m/>
    <m/>
    <m/>
    <n v="164.96"/>
    <m/>
    <m/>
    <m/>
    <m/>
    <m/>
    <m/>
    <m/>
    <n v="82.48"/>
    <n v="300"/>
    <n v="794.88"/>
  </r>
  <r>
    <n v="9"/>
    <x v="9"/>
    <x v="0"/>
    <n v="179334"/>
    <s v="BENITEZ LAURA GRACIELA"/>
    <s v="27-27592476-3"/>
    <n v="42649"/>
    <n v="27592476"/>
    <s v="BENITEZ"/>
    <s v="LAURA GRACIELA"/>
    <s v="F"/>
    <m/>
    <d v="2016-09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PINTOS"/>
    <n v="1225"/>
    <n v="1"/>
    <m/>
    <s v="CAPITAL FEDERAL"/>
    <s v="Buenos Aires"/>
    <m/>
    <s v="U.O.Centro"/>
    <m/>
    <n v="1"/>
    <n v="1"/>
    <n v="1251.8"/>
    <n v="250.36"/>
    <m/>
    <m/>
    <n v="1001.44"/>
    <m/>
    <n v="25.04"/>
    <m/>
    <m/>
    <m/>
    <m/>
    <m/>
    <m/>
    <n v="12.52"/>
    <m/>
    <m/>
    <m/>
    <m/>
    <m/>
    <m/>
    <n v="25.04"/>
    <m/>
    <m/>
    <m/>
    <m/>
    <m/>
    <m/>
    <m/>
    <n v="12.52"/>
    <n v="300"/>
    <n v="375.12"/>
  </r>
  <r>
    <n v="9"/>
    <x v="9"/>
    <x v="0"/>
    <n v="173416"/>
    <s v="BERGARA LUIS ERNESTO"/>
    <s v="20-39492544-7"/>
    <n v="42649"/>
    <n v="39492544"/>
    <s v="BERGARA"/>
    <s v="LUIS ERNESTO"/>
    <s v="M"/>
    <m/>
    <d v="2016-09-27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UAREZ"/>
    <n v="1225"/>
    <n v="1"/>
    <n v="1"/>
    <s v="CAPITAL FEDERAL"/>
    <s v="Buenos Aires"/>
    <m/>
    <s v="U.O.Centro"/>
    <m/>
    <n v="1"/>
    <n v="1"/>
    <n v="2340.46"/>
    <n v="468.08"/>
    <m/>
    <m/>
    <n v="1872.38"/>
    <m/>
    <n v="46.81"/>
    <m/>
    <m/>
    <m/>
    <m/>
    <m/>
    <m/>
    <n v="23.4"/>
    <m/>
    <m/>
    <m/>
    <m/>
    <m/>
    <m/>
    <n v="46.81"/>
    <m/>
    <m/>
    <m/>
    <m/>
    <m/>
    <m/>
    <m/>
    <n v="23.4"/>
    <n v="300"/>
    <n v="440.42"/>
  </r>
  <r>
    <n v="9"/>
    <x v="9"/>
    <x v="0"/>
    <n v="169887"/>
    <s v="BOTICELLI LIDIA CAROLINA"/>
    <s v="27-25698889-0"/>
    <n v="42649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7644.3"/>
    <n v="1528.86"/>
    <m/>
    <m/>
    <n v="6115.44"/>
    <m/>
    <n v="152.88999999999999"/>
    <m/>
    <m/>
    <m/>
    <m/>
    <m/>
    <m/>
    <n v="76.44"/>
    <m/>
    <m/>
    <m/>
    <m/>
    <m/>
    <m/>
    <n v="152.88999999999999"/>
    <m/>
    <m/>
    <m/>
    <m/>
    <m/>
    <m/>
    <m/>
    <n v="76.44"/>
    <n v="300"/>
    <n v="758.66"/>
  </r>
  <r>
    <n v="9"/>
    <x v="9"/>
    <x v="0"/>
    <n v="175662"/>
    <s v="BRANDAN MARIA CECILIA DE LOS ANGELES"/>
    <s v="27-32663858-2"/>
    <n v="42649"/>
    <n v="32663858"/>
    <s v="BRANDAN"/>
    <s v="MARIA CECILIA DE LOS ANGELES"/>
    <s v="F"/>
    <m/>
    <d v="2016-07-15T00:00:00"/>
    <m/>
    <n v="42649"/>
    <s v="GASTRONOMICOS-Hoteles 4 y 5 Estrellas - 362/2003"/>
    <s v="Categoria 2"/>
    <x v="5"/>
    <s v="Medio Oficial de lavanderia - GL"/>
    <s v="Centro"/>
    <s v="Medio Oficial de lavandería"/>
    <n v="120900"/>
    <s v="OS  DEL PERSONAL DE TELEVISION"/>
    <s v="Capital Federal"/>
    <m/>
    <s v="C1104AKC"/>
    <s v="RECARTE"/>
    <n v="1225"/>
    <m/>
    <m/>
    <s v="CAPITAL FEDERAL"/>
    <s v="Buenos Aires"/>
    <m/>
    <s v="U.O.Centro"/>
    <m/>
    <n v="2"/>
    <n v="1"/>
    <n v="6928.16"/>
    <n v="1385.62"/>
    <m/>
    <m/>
    <n v="5542.54"/>
    <m/>
    <n v="138.56"/>
    <m/>
    <m/>
    <m/>
    <m/>
    <m/>
    <m/>
    <n v="69.28"/>
    <m/>
    <m/>
    <m/>
    <m/>
    <m/>
    <m/>
    <n v="138.56"/>
    <m/>
    <m/>
    <m/>
    <m/>
    <m/>
    <m/>
    <m/>
    <n v="69.28"/>
    <n v="300"/>
    <n v="715.68"/>
  </r>
  <r>
    <n v="9"/>
    <x v="9"/>
    <x v="0"/>
    <n v="178113"/>
    <s v="BRETS MARISOL ALEJANDRA"/>
    <s v="27-32612495-3"/>
    <n v="42649"/>
    <n v="32612495"/>
    <s v="BRETS"/>
    <s v="MARISOL ALEJANDRA"/>
    <s v="F"/>
    <m/>
    <d v="2016-09-02T00:00:00"/>
    <m/>
    <m/>
    <s v="GASTRONOMICOS-Hoteles 4 y 5 Estrellas - 362/2003"/>
    <s v="Camarera/o"/>
    <x v="17"/>
    <s v="Unidad Base-GL"/>
    <s v="San Isidro"/>
    <s v="Camarero/a"/>
    <n v="123305"/>
    <s v="OS  DEL PERSONAL DE SOCIEDADES DE AUTORES Y AFINES"/>
    <s v="Buenos Aires - Gran Buenos Aires"/>
    <m/>
    <n v="1648"/>
    <s v="ESTRADA"/>
    <n v="240"/>
    <m/>
    <m/>
    <s v="TIGRE"/>
    <s v="Buenos Aires"/>
    <m/>
    <s v="U.O.San Isidro"/>
    <m/>
    <n v="1"/>
    <n v="1"/>
    <n v="1207.07"/>
    <n v="241.41"/>
    <m/>
    <m/>
    <n v="965.66"/>
    <m/>
    <n v="24.14"/>
    <m/>
    <m/>
    <m/>
    <m/>
    <m/>
    <m/>
    <n v="12.07"/>
    <m/>
    <m/>
    <m/>
    <m/>
    <m/>
    <m/>
    <n v="24.14"/>
    <m/>
    <m/>
    <m/>
    <m/>
    <m/>
    <m/>
    <m/>
    <n v="12.07"/>
    <n v="300"/>
    <n v="372.42"/>
  </r>
  <r>
    <n v="9"/>
    <x v="9"/>
    <x v="0"/>
    <n v="175678"/>
    <s v="BUONTEMPO LEANDRO"/>
    <s v="20-32563434-1"/>
    <n v="42646"/>
    <n v="32563434"/>
    <s v="BUONTEMPO"/>
    <s v="LEANDRO"/>
    <s v="M"/>
    <m/>
    <d v="2016-07-14T00:00:00"/>
    <d v="2016-09-15T00:00:00"/>
    <n v="42628"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LISANDRO DE LA TORRE"/>
    <n v="841"/>
    <m/>
    <m/>
    <s v="CAPITAL FEDERAL"/>
    <s v="Buenos Aires"/>
    <m/>
    <s v="U.O.Centro"/>
    <m/>
    <n v="1"/>
    <n v="1"/>
    <n v="12481.67"/>
    <n v="2496.33"/>
    <m/>
    <m/>
    <n v="9985.34"/>
    <m/>
    <n v="249.63"/>
    <m/>
    <m/>
    <m/>
    <m/>
    <m/>
    <m/>
    <n v="124.82"/>
    <m/>
    <m/>
    <m/>
    <m/>
    <m/>
    <m/>
    <n v="249.63"/>
    <m/>
    <m/>
    <m/>
    <m/>
    <m/>
    <m/>
    <m/>
    <n v="124.82"/>
    <n v="300"/>
    <n v="1048.9000000000001"/>
  </r>
  <r>
    <n v="9"/>
    <x v="9"/>
    <x v="0"/>
    <n v="142078"/>
    <s v="BUSTOS NORMA EDITH"/>
    <s v="27-34073776-3"/>
    <n v="42649"/>
    <n v="34073776"/>
    <s v="BUSTOS"/>
    <s v="NORMA EDITH"/>
    <s v="F"/>
    <m/>
    <d v="2016-08-26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GANDOLFO"/>
    <n v="240"/>
    <m/>
    <m/>
    <s v="TIGRE"/>
    <s v="Buenos Aires"/>
    <m/>
    <s v="U.O.San Isidro"/>
    <m/>
    <n v="1"/>
    <n v="1"/>
    <n v="10239.49"/>
    <n v="2047.88"/>
    <m/>
    <m/>
    <n v="8191.61"/>
    <m/>
    <n v="204.79"/>
    <m/>
    <m/>
    <m/>
    <m/>
    <m/>
    <m/>
    <n v="102.39"/>
    <m/>
    <m/>
    <m/>
    <m/>
    <m/>
    <m/>
    <n v="204.79"/>
    <m/>
    <m/>
    <m/>
    <m/>
    <m/>
    <m/>
    <m/>
    <n v="102.39"/>
    <n v="300"/>
    <n v="914.36"/>
  </r>
  <r>
    <n v="9"/>
    <x v="9"/>
    <x v="0"/>
    <n v="177330"/>
    <s v="CABALLERO VICTOR MANUEL"/>
    <s v="20-33180549-2"/>
    <n v="42649"/>
    <n v="33180549"/>
    <s v="CABALLERO"/>
    <s v="VICTOR MANUEL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SARGENTO CABRAL"/>
    <n v="1225"/>
    <m/>
    <m/>
    <s v="CAPITAL FEDERAL"/>
    <s v="Buenos Aires"/>
    <m/>
    <s v="U.O.Centro"/>
    <m/>
    <n v="2"/>
    <n v="1"/>
    <n v="13096.85"/>
    <n v="2619.36"/>
    <m/>
    <m/>
    <n v="10477.49"/>
    <m/>
    <n v="261.93"/>
    <m/>
    <m/>
    <m/>
    <m/>
    <m/>
    <m/>
    <n v="130.97"/>
    <m/>
    <m/>
    <m/>
    <m/>
    <m/>
    <m/>
    <n v="261.93"/>
    <m/>
    <m/>
    <m/>
    <m/>
    <m/>
    <m/>
    <m/>
    <n v="130.97"/>
    <n v="300"/>
    <n v="1085.8"/>
  </r>
  <r>
    <n v="9"/>
    <x v="9"/>
    <x v="0"/>
    <n v="171783"/>
    <s v="CACERES ANGEL ESTEBAN"/>
    <s v="20-38536806-3"/>
    <n v="42649"/>
    <n v="38536806"/>
    <s v="CACERES"/>
    <s v="ANGEL ESTEBAN"/>
    <s v="M"/>
    <m/>
    <d v="2016-04-14T00:00:00"/>
    <m/>
    <m/>
    <s v="GASTRONOMICOS-Hoteles 4 y 5 Estrellas - 362/2003"/>
    <s v="Categoria 3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2"/>
    <n v="1"/>
    <n v="13502.12"/>
    <n v="2700.42"/>
    <m/>
    <m/>
    <n v="10801.7"/>
    <m/>
    <n v="270.04000000000002"/>
    <m/>
    <m/>
    <m/>
    <m/>
    <m/>
    <m/>
    <n v="135.02000000000001"/>
    <m/>
    <m/>
    <m/>
    <m/>
    <m/>
    <m/>
    <n v="270.04000000000002"/>
    <m/>
    <m/>
    <m/>
    <m/>
    <m/>
    <m/>
    <m/>
    <n v="135.02000000000001"/>
    <n v="300"/>
    <n v="1110.1199999999999"/>
  </r>
  <r>
    <n v="9"/>
    <x v="9"/>
    <x v="0"/>
    <n v="161580"/>
    <s v="CAEIRO MAURO ALBERTO"/>
    <s v="20-30431921-7"/>
    <n v="42649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 SANTA FE"/>
    <n v="1225"/>
    <m/>
    <m/>
    <s v="CAPITAL FEDERAL"/>
    <s v="Buenos Aires"/>
    <m/>
    <s v="U.O.Centro"/>
    <m/>
    <n v="2"/>
    <n v="1"/>
    <n v="16952.25"/>
    <n v="3390.44"/>
    <m/>
    <m/>
    <n v="13561.81"/>
    <m/>
    <n v="339.04"/>
    <m/>
    <m/>
    <m/>
    <m/>
    <m/>
    <m/>
    <n v="169.52"/>
    <m/>
    <m/>
    <m/>
    <m/>
    <m/>
    <m/>
    <n v="339.04"/>
    <m/>
    <m/>
    <m/>
    <m/>
    <m/>
    <m/>
    <m/>
    <n v="169.52"/>
    <n v="300"/>
    <n v="1317.12"/>
  </r>
  <r>
    <n v="9"/>
    <x v="9"/>
    <x v="0"/>
    <n v="177803"/>
    <s v="CALDERON FLORES HELLIER GULLIT"/>
    <s v="20-95475210-1"/>
    <n v="42649"/>
    <n v="95475210"/>
    <s v="CALDERON FLORES"/>
    <s v="HELLIER GULLIT"/>
    <s v="M"/>
    <m/>
    <d v="2016-09-30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AV. SAN JUAN"/>
    <n v="181"/>
    <n v="14"/>
    <s v="F"/>
    <s v="CAPITAL FEDERAL"/>
    <s v="Capital Federal"/>
    <m/>
    <s v="U.O.Centro"/>
    <m/>
    <n v="3"/>
    <n v="1"/>
    <n v="1276.27"/>
    <n v="255.25"/>
    <m/>
    <m/>
    <n v="1021.02"/>
    <m/>
    <n v="25.52"/>
    <m/>
    <m/>
    <m/>
    <m/>
    <m/>
    <m/>
    <n v="12.77"/>
    <m/>
    <m/>
    <m/>
    <m/>
    <m/>
    <m/>
    <n v="25.52"/>
    <n v="3.1"/>
    <n v="250"/>
    <m/>
    <m/>
    <m/>
    <m/>
    <m/>
    <n v="9.67"/>
    <n v="300"/>
    <n v="626.58000000000004"/>
  </r>
  <r>
    <n v="9"/>
    <x v="9"/>
    <x v="1"/>
    <n v="177815"/>
    <s v="CARDOZO RAMON ALBERTO"/>
    <s v="20-31955015-2"/>
    <n v="42642"/>
    <n v="31955015"/>
    <s v="CARDOZO"/>
    <s v="RAMON ALBERTO"/>
    <s v="M"/>
    <m/>
    <d v="2016-08-29T00:00:00"/>
    <m/>
    <m/>
    <s v="GASTRONOMICOS-Hoteles 4 y 5 Estrellas - 362/2003"/>
    <s v="Categoría 4"/>
    <x v="3"/>
    <s v="Unidad Principal"/>
    <s v="Centro"/>
    <s v="Mucama"/>
    <n v="2808"/>
    <s v="O.S.Camara Emp.Agencias Remises PBA"/>
    <s v="Capital Federal"/>
    <m/>
    <s v="C1002ABO"/>
    <s v="ALBERTI"/>
    <n v="764"/>
    <m/>
    <m/>
    <s v="CAPITAL FEDERAL"/>
    <s v="Capital Federal"/>
    <m/>
    <s v="U.O.Centro"/>
    <m/>
    <n v="1"/>
    <n v="1"/>
    <n v="11961.03"/>
    <n v="2392.1999999999998"/>
    <m/>
    <m/>
    <n v="9568.83"/>
    <m/>
    <n v="239.22"/>
    <m/>
    <m/>
    <m/>
    <m/>
    <m/>
    <m/>
    <n v="119.61"/>
    <m/>
    <m/>
    <m/>
    <m/>
    <m/>
    <m/>
    <n v="239.22"/>
    <m/>
    <m/>
    <m/>
    <m/>
    <m/>
    <m/>
    <m/>
    <n v="119.61"/>
    <n v="300"/>
    <n v="1017.66"/>
  </r>
  <r>
    <n v="9"/>
    <x v="9"/>
    <x v="0"/>
    <n v="175900"/>
    <s v="CARRION CECILIA FLORENCIA"/>
    <s v="27-40916782-4"/>
    <n v="42649"/>
    <n v="40916782"/>
    <s v="CARRION"/>
    <s v="CECILIA FLORENCIA"/>
    <s v="F"/>
    <m/>
    <d v="2016-07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CONDARCO"/>
    <n v="474"/>
    <m/>
    <m/>
    <s v="CAPITAL FEDERAL"/>
    <s v="Buenos Aires"/>
    <m/>
    <s v="U.O.Avellaneda"/>
    <m/>
    <n v="1"/>
    <n v="1"/>
    <n v="5068.97"/>
    <n v="1013.8"/>
    <m/>
    <m/>
    <n v="4055.17"/>
    <m/>
    <n v="101.38"/>
    <m/>
    <m/>
    <m/>
    <m/>
    <m/>
    <m/>
    <n v="50.69"/>
    <m/>
    <m/>
    <m/>
    <m/>
    <m/>
    <m/>
    <n v="101.38"/>
    <m/>
    <m/>
    <m/>
    <m/>
    <m/>
    <m/>
    <m/>
    <n v="50.69"/>
    <n v="300"/>
    <n v="604.14"/>
  </r>
  <r>
    <n v="9"/>
    <x v="9"/>
    <x v="1"/>
    <n v="148864"/>
    <s v="CASTILLO VERONICA ISABEL"/>
    <s v="27-24767374-7"/>
    <n v="42649"/>
    <n v="24767374"/>
    <s v="CASTILLO"/>
    <s v="VERONICA ISABEL"/>
    <s v="F"/>
    <m/>
    <d v="2016-09-22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LOS ANDES"/>
    <n v="1584"/>
    <m/>
    <m/>
    <s v="CAPITAL FEDERAL"/>
    <s v="Capital Federal"/>
    <m/>
    <s v="U.O.Centro"/>
    <s v="Alvear Palace"/>
    <n v="1"/>
    <n v="1"/>
    <n v="563.37"/>
    <n v="112.67"/>
    <m/>
    <m/>
    <n v="450.7"/>
    <m/>
    <n v="11.27"/>
    <m/>
    <m/>
    <m/>
    <m/>
    <m/>
    <m/>
    <n v="5.63"/>
    <m/>
    <m/>
    <m/>
    <m/>
    <m/>
    <m/>
    <n v="11.27"/>
    <m/>
    <m/>
    <m/>
    <m/>
    <m/>
    <m/>
    <m/>
    <n v="5.63"/>
    <n v="300"/>
    <n v="333.8"/>
  </r>
  <r>
    <n v="9"/>
    <x v="9"/>
    <x v="0"/>
    <n v="144180"/>
    <s v="CATALAN CRISTINA DEL CARMEN"/>
    <s v="27-31138041-4"/>
    <n v="42649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19715"/>
    <n v="3943"/>
    <m/>
    <m/>
    <n v="15772"/>
    <m/>
    <n v="394.3"/>
    <m/>
    <m/>
    <m/>
    <m/>
    <m/>
    <m/>
    <n v="197.15"/>
    <m/>
    <m/>
    <m/>
    <m/>
    <m/>
    <m/>
    <n v="394.3"/>
    <m/>
    <m/>
    <m/>
    <m/>
    <m/>
    <m/>
    <m/>
    <n v="197.15"/>
    <n v="300"/>
    <n v="1482.9"/>
  </r>
  <r>
    <n v="9"/>
    <x v="9"/>
    <x v="0"/>
    <n v="158525"/>
    <s v="CELIBERTI YESICA ROMINA"/>
    <s v="27-35202883-0"/>
    <n v="42649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17836.71"/>
    <n v="3656.53"/>
    <m/>
    <m/>
    <n v="14180.18"/>
    <n v="445.92"/>
    <m/>
    <m/>
    <m/>
    <m/>
    <m/>
    <m/>
    <m/>
    <n v="178.37"/>
    <m/>
    <m/>
    <m/>
    <m/>
    <m/>
    <m/>
    <n v="356.73"/>
    <m/>
    <m/>
    <m/>
    <m/>
    <m/>
    <m/>
    <m/>
    <n v="178.37"/>
    <n v="300"/>
    <n v="1459.39"/>
  </r>
  <r>
    <n v="9"/>
    <x v="9"/>
    <x v="0"/>
    <n v="175082"/>
    <s v="CENTENO VARA SERGIO MEYER"/>
    <s v="20-94675854-0"/>
    <n v="42649"/>
    <n v="94675854"/>
    <s v="CENTENO VARA"/>
    <s v="SERGIO MEYER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ARTOLOME MITRE"/>
    <n v="1225"/>
    <n v="2"/>
    <s v="B"/>
    <s v="CAPITAL FEDERAL"/>
    <s v="Buenos Aires"/>
    <m/>
    <s v="U.O.Centro"/>
    <m/>
    <n v="2"/>
    <n v="1"/>
    <n v="8762.68"/>
    <n v="1752.54"/>
    <m/>
    <m/>
    <n v="7010.14"/>
    <m/>
    <n v="175.25"/>
    <m/>
    <m/>
    <m/>
    <m/>
    <m/>
    <m/>
    <n v="87.63"/>
    <m/>
    <m/>
    <m/>
    <m/>
    <m/>
    <m/>
    <n v="175.25"/>
    <m/>
    <m/>
    <m/>
    <m/>
    <m/>
    <m/>
    <m/>
    <n v="87.63"/>
    <n v="300"/>
    <n v="825.76"/>
  </r>
  <r>
    <n v="9"/>
    <x v="9"/>
    <x v="0"/>
    <n v="178112"/>
    <s v="CENTURION ERICA BEATRIZ"/>
    <s v="27-36702849-7"/>
    <n v="42649"/>
    <n v="36702849"/>
    <s v="CENTURION"/>
    <s v="ERICA BEATRIZ"/>
    <s v="F"/>
    <m/>
    <d v="2016-09-0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Gandolfo y pasaje reconquista"/>
    <n v="240"/>
    <m/>
    <m/>
    <s v="TIGRE"/>
    <s v="Buenos Aires"/>
    <m/>
    <s v="U.O.San Isidro"/>
    <m/>
    <n v="1"/>
    <n v="1"/>
    <n v="1307.6500000000001"/>
    <n v="261.52999999999997"/>
    <m/>
    <m/>
    <n v="1046.1199999999999"/>
    <m/>
    <n v="26.15"/>
    <m/>
    <m/>
    <m/>
    <m/>
    <m/>
    <m/>
    <n v="13.08"/>
    <m/>
    <m/>
    <m/>
    <m/>
    <m/>
    <m/>
    <n v="26.15"/>
    <m/>
    <m/>
    <m/>
    <m/>
    <m/>
    <m/>
    <m/>
    <n v="13.08"/>
    <n v="300"/>
    <n v="378.46"/>
  </r>
  <r>
    <n v="9"/>
    <x v="9"/>
    <x v="1"/>
    <n v="177553"/>
    <s v="CENTURION LAURA BELEN"/>
    <s v="27-94421695-8"/>
    <n v="42642"/>
    <n v="94421695"/>
    <s v="CENTURION"/>
    <s v="LAURA BELEN"/>
    <s v="F"/>
    <m/>
    <d v="2016-08-24T00:00:00"/>
    <d v="2016-09-12T00:00:00"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SAN LUIS"/>
    <n v="764"/>
    <m/>
    <m/>
    <s v="CAPITAL FEDERAL"/>
    <s v="Capital Federal"/>
    <m/>
    <s v="U.O.Centro"/>
    <m/>
    <n v="2"/>
    <n v="1"/>
    <n v="7135.95"/>
    <n v="1427.19"/>
    <m/>
    <m/>
    <n v="5708.76"/>
    <m/>
    <n v="142.72"/>
    <m/>
    <m/>
    <m/>
    <m/>
    <m/>
    <m/>
    <n v="71.36"/>
    <m/>
    <m/>
    <m/>
    <m/>
    <m/>
    <m/>
    <n v="142.72"/>
    <m/>
    <m/>
    <m/>
    <m/>
    <m/>
    <m/>
    <m/>
    <n v="71.36"/>
    <n v="300"/>
    <n v="728.16"/>
  </r>
  <r>
    <n v="9"/>
    <x v="9"/>
    <x v="0"/>
    <n v="175141"/>
    <s v="CENTURION AQUINO CRISTINA LEONOR"/>
    <s v="27-95065474-6"/>
    <n v="42646"/>
    <n v="95065474"/>
    <s v="CENTURION AQUINO"/>
    <s v="CRISTINA LEONOR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AV REGIMIENTO PATRICIOS"/>
    <n v="1334"/>
    <n v="3"/>
    <s v="C"/>
    <s v="CAPITAL FEDERAL"/>
    <s v="Capital Federal"/>
    <m/>
    <s v="U.O.Centro"/>
    <m/>
    <n v="1"/>
    <n v="1"/>
    <n v="18135.75"/>
    <n v="3627.15"/>
    <m/>
    <m/>
    <n v="14508.6"/>
    <m/>
    <n v="362.72"/>
    <m/>
    <m/>
    <m/>
    <m/>
    <m/>
    <m/>
    <n v="181.36"/>
    <m/>
    <m/>
    <m/>
    <m/>
    <m/>
    <m/>
    <n v="362.72"/>
    <m/>
    <m/>
    <m/>
    <m/>
    <m/>
    <m/>
    <m/>
    <n v="181.36"/>
    <n v="300"/>
    <n v="1388.16"/>
  </r>
  <r>
    <n v="9"/>
    <x v="9"/>
    <x v="0"/>
    <n v="170318"/>
    <s v="CERNEAZ JOANA"/>
    <s v="27-35043953-1"/>
    <n v="42649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. MEDRANO"/>
    <n v="1225"/>
    <s v="PB"/>
    <m/>
    <s v="CAPITAL FEDERAL"/>
    <s v="Buenos Aires"/>
    <m/>
    <s v="U.O.Centro"/>
    <m/>
    <n v="2"/>
    <n v="1"/>
    <n v="16035.93"/>
    <n v="3207.19"/>
    <m/>
    <m/>
    <n v="12828.74"/>
    <m/>
    <n v="320.72000000000003"/>
    <m/>
    <m/>
    <m/>
    <m/>
    <m/>
    <m/>
    <n v="160.36000000000001"/>
    <m/>
    <m/>
    <m/>
    <m/>
    <m/>
    <m/>
    <n v="320.72000000000003"/>
    <m/>
    <m/>
    <m/>
    <m/>
    <m/>
    <m/>
    <m/>
    <n v="160.36000000000001"/>
    <n v="300"/>
    <n v="1262.1600000000001"/>
  </r>
  <r>
    <n v="9"/>
    <x v="9"/>
    <x v="0"/>
    <n v="171029"/>
    <s v="CERRANO PATRICIA VIVIANA"/>
    <s v="23-31509842-4"/>
    <n v="42649"/>
    <n v="31509842"/>
    <s v="CERRANO"/>
    <s v="PATRICIA VIVIANA"/>
    <s v="F"/>
    <m/>
    <d v="2016-07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PASAJE BOLAÑOS"/>
    <n v="474"/>
    <m/>
    <m/>
    <s v="CAPITAL FEDERAL"/>
    <s v="Buenos Aires"/>
    <m/>
    <s v="U.O.Centro"/>
    <m/>
    <n v="1"/>
    <n v="1"/>
    <n v="12390.82"/>
    <n v="2478.16"/>
    <m/>
    <m/>
    <n v="9912.66"/>
    <m/>
    <n v="247.82"/>
    <m/>
    <m/>
    <m/>
    <m/>
    <m/>
    <m/>
    <n v="123.91"/>
    <m/>
    <m/>
    <m/>
    <m/>
    <m/>
    <m/>
    <n v="247.82"/>
    <m/>
    <m/>
    <m/>
    <m/>
    <m/>
    <m/>
    <m/>
    <n v="123.91"/>
    <n v="300"/>
    <n v="1043.46"/>
  </r>
  <r>
    <n v="9"/>
    <x v="9"/>
    <x v="0"/>
    <n v="161041"/>
    <s v="CESANI LEONARDO ROBERTO"/>
    <s v="20-36155165-7"/>
    <n v="42649"/>
    <n v="36155165"/>
    <s v="CESANI"/>
    <s v="LEONARDO ROBERTO"/>
    <s v="M"/>
    <m/>
    <d v="2016-03-30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STAÑARES"/>
    <n v="1232"/>
    <m/>
    <m/>
    <s v="CAPITAL FEDERAL"/>
    <s v="Buenos Aires"/>
    <m/>
    <s v="U.O.Centro"/>
    <s v="Cocina"/>
    <n v="1"/>
    <n v="1"/>
    <n v="3135.05"/>
    <n v="627.01"/>
    <m/>
    <m/>
    <n v="2508.04"/>
    <m/>
    <n v="62.7"/>
    <m/>
    <m/>
    <m/>
    <m/>
    <m/>
    <m/>
    <n v="31.35"/>
    <m/>
    <m/>
    <m/>
    <m/>
    <m/>
    <m/>
    <n v="62.7"/>
    <m/>
    <m/>
    <m/>
    <m/>
    <m/>
    <m/>
    <m/>
    <n v="31.35"/>
    <n v="300"/>
    <n v="488.1"/>
  </r>
  <r>
    <n v="9"/>
    <x v="9"/>
    <x v="1"/>
    <n v="112977"/>
    <s v="CHACON NADIA DE LOS ANGELES"/>
    <s v="27-34151854-2"/>
    <n v="42649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11749.17"/>
    <n v="2408.59"/>
    <m/>
    <m/>
    <n v="9340.58"/>
    <n v="293.73"/>
    <m/>
    <m/>
    <m/>
    <m/>
    <m/>
    <m/>
    <m/>
    <n v="117.49"/>
    <m/>
    <m/>
    <m/>
    <m/>
    <m/>
    <m/>
    <n v="234.98"/>
    <m/>
    <m/>
    <m/>
    <m/>
    <m/>
    <m/>
    <m/>
    <n v="117.49"/>
    <n v="300"/>
    <n v="1063.69"/>
  </r>
  <r>
    <n v="9"/>
    <x v="9"/>
    <x v="0"/>
    <n v="177051"/>
    <s v="CICCHINI JULIAN"/>
    <s v="20-39764422-8"/>
    <n v="42649"/>
    <n v="39764422"/>
    <s v="CICCHINI"/>
    <s v="JULIAN"/>
    <s v="M"/>
    <m/>
    <d v="2016-09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QUITO"/>
    <n v="1225"/>
    <n v="5"/>
    <m/>
    <s v="CAPITAL FEDERAL"/>
    <s v="Buenos Aires"/>
    <m/>
    <s v="U.O.Centro"/>
    <m/>
    <n v="2"/>
    <n v="1"/>
    <n v="9773.41"/>
    <n v="1954.69"/>
    <m/>
    <m/>
    <n v="7818.72"/>
    <m/>
    <n v="195.47"/>
    <m/>
    <m/>
    <m/>
    <m/>
    <m/>
    <m/>
    <n v="97.74"/>
    <m/>
    <m/>
    <m/>
    <m/>
    <m/>
    <m/>
    <n v="195.47"/>
    <m/>
    <m/>
    <m/>
    <m/>
    <m/>
    <m/>
    <m/>
    <n v="97.74"/>
    <n v="300"/>
    <n v="886.42"/>
  </r>
  <r>
    <n v="9"/>
    <x v="9"/>
    <x v="0"/>
    <n v="172187"/>
    <s v="CONDORI DANIEL"/>
    <s v="20-35216365-2"/>
    <n v="42646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9093.91"/>
    <n v="1818.79"/>
    <m/>
    <m/>
    <n v="7275.12"/>
    <m/>
    <n v="181.88"/>
    <m/>
    <m/>
    <m/>
    <m/>
    <m/>
    <m/>
    <n v="90.94"/>
    <m/>
    <m/>
    <m/>
    <m/>
    <m/>
    <m/>
    <n v="181.88"/>
    <m/>
    <m/>
    <m/>
    <m/>
    <m/>
    <m/>
    <m/>
    <n v="90.94"/>
    <n v="300"/>
    <n v="845.64"/>
  </r>
  <r>
    <n v="9"/>
    <x v="9"/>
    <x v="0"/>
    <n v="177863"/>
    <s v="CORONEL VANESA VERONICA"/>
    <s v="27-30878233-1"/>
    <n v="42649"/>
    <n v="30878233"/>
    <s v="CORONEL"/>
    <s v="VANESA VERONIC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N IGNACIO"/>
    <n v="1225"/>
    <m/>
    <m/>
    <s v="CAPITAL FEDERAL"/>
    <s v="Buenos Aires"/>
    <m/>
    <s v="U.O.Centro"/>
    <m/>
    <n v="2"/>
    <n v="1"/>
    <n v="8762.68"/>
    <n v="1752.54"/>
    <m/>
    <m/>
    <n v="7010.14"/>
    <m/>
    <n v="175.25"/>
    <m/>
    <m/>
    <m/>
    <m/>
    <m/>
    <m/>
    <n v="87.63"/>
    <m/>
    <m/>
    <m/>
    <m/>
    <m/>
    <m/>
    <n v="175.25"/>
    <m/>
    <m/>
    <m/>
    <m/>
    <m/>
    <m/>
    <m/>
    <n v="87.63"/>
    <n v="300"/>
    <n v="825.76"/>
  </r>
  <r>
    <n v="9"/>
    <x v="9"/>
    <x v="0"/>
    <n v="172454"/>
    <s v="CORVALAN ANDREA"/>
    <s v="27-39467778-2"/>
    <n v="42649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NDEPENDENCIA"/>
    <n v="1225"/>
    <n v="9"/>
    <n v="1"/>
    <s v="CAPITAL FEDERAL"/>
    <s v="Buenos Aires"/>
    <m/>
    <s v="U.O.Centro"/>
    <m/>
    <n v="2"/>
    <n v="1"/>
    <n v="11892.21"/>
    <n v="2378.4299999999998"/>
    <m/>
    <m/>
    <n v="9513.7800000000007"/>
    <m/>
    <n v="237.84"/>
    <m/>
    <m/>
    <m/>
    <m/>
    <m/>
    <m/>
    <n v="118.92"/>
    <m/>
    <m/>
    <m/>
    <m/>
    <m/>
    <m/>
    <n v="237.84"/>
    <m/>
    <m/>
    <m/>
    <m/>
    <m/>
    <m/>
    <m/>
    <n v="118.92"/>
    <n v="300"/>
    <n v="1013.52"/>
  </r>
  <r>
    <n v="9"/>
    <x v="9"/>
    <x v="0"/>
    <n v="170608"/>
    <s v="COTSIFIS LEONARDO CRISTIAN"/>
    <s v="20-28488021-9"/>
    <n v="42649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s v="C1091AAX"/>
    <s v="HIPOLITO YRIGOYEN"/>
    <n v="809"/>
    <m/>
    <m/>
    <s v="CAPITAL FEDERAL"/>
    <s v="Capital Federal"/>
    <m/>
    <s v="U.O.Centro"/>
    <m/>
    <n v="2"/>
    <n v="1"/>
    <n v="17230.71"/>
    <n v="3446.13"/>
    <m/>
    <m/>
    <n v="13784.58"/>
    <m/>
    <n v="344.61"/>
    <m/>
    <m/>
    <m/>
    <m/>
    <m/>
    <m/>
    <n v="172.3"/>
    <m/>
    <m/>
    <m/>
    <m/>
    <m/>
    <m/>
    <n v="344.61"/>
    <m/>
    <m/>
    <m/>
    <m/>
    <m/>
    <m/>
    <m/>
    <n v="172.3"/>
    <n v="300"/>
    <n v="1333.82"/>
  </r>
  <r>
    <n v="9"/>
    <x v="9"/>
    <x v="0"/>
    <n v="169495"/>
    <s v="CRUZ ARIEL"/>
    <s v="20-23765623-8"/>
    <n v="42649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1"/>
    <n v="1"/>
    <n v="15675.27"/>
    <n v="3135.06"/>
    <m/>
    <m/>
    <n v="12540.21"/>
    <m/>
    <n v="313.51"/>
    <m/>
    <m/>
    <m/>
    <m/>
    <m/>
    <m/>
    <n v="156.75"/>
    <m/>
    <m/>
    <m/>
    <m/>
    <m/>
    <m/>
    <n v="313.51"/>
    <m/>
    <m/>
    <m/>
    <m/>
    <m/>
    <m/>
    <m/>
    <n v="156.75"/>
    <n v="300"/>
    <n v="1240.52"/>
  </r>
  <r>
    <n v="9"/>
    <x v="9"/>
    <x v="0"/>
    <n v="178958"/>
    <s v="CUIZA LOPEZ NORMA"/>
    <s v="23-23125230-4"/>
    <n v="42649"/>
    <n v="23125230"/>
    <s v="CUIZA LOPEZ"/>
    <s v="NORMA"/>
    <s v="F"/>
    <m/>
    <d v="2016-09-20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JUAN DIAZ DE SOLIS"/>
    <n v="474"/>
    <m/>
    <m/>
    <s v="CAPITAL FEDERAL"/>
    <s v="Buenos Aires"/>
    <m/>
    <s v="U.O.Centro"/>
    <m/>
    <n v="2"/>
    <n v="1"/>
    <n v="4943.33"/>
    <n v="988.65"/>
    <m/>
    <m/>
    <n v="3954.68"/>
    <m/>
    <n v="98.86"/>
    <m/>
    <m/>
    <m/>
    <m/>
    <m/>
    <m/>
    <n v="49.43"/>
    <m/>
    <m/>
    <m/>
    <m/>
    <m/>
    <m/>
    <n v="98.86"/>
    <n v="43.8"/>
    <n v="250"/>
    <m/>
    <m/>
    <m/>
    <m/>
    <m/>
    <n v="5.63"/>
    <n v="300"/>
    <n v="846.58"/>
  </r>
  <r>
    <n v="9"/>
    <x v="9"/>
    <x v="1"/>
    <n v="173595"/>
    <s v="D´AGOSTINO MARCO ALEN"/>
    <s v="20-40547087-0"/>
    <n v="42642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ALLE 17"/>
    <n v="764"/>
    <m/>
    <m/>
    <s v="CAPITAL FEDERAL"/>
    <s v="Capital Federal"/>
    <m/>
    <s v="U.O.Centro Paga Inplant"/>
    <m/>
    <n v="2"/>
    <n v="1"/>
    <n v="11753.91"/>
    <n v="2350.77"/>
    <m/>
    <m/>
    <n v="9403.14"/>
    <m/>
    <n v="235.08"/>
    <m/>
    <m/>
    <m/>
    <m/>
    <m/>
    <m/>
    <n v="117.54"/>
    <m/>
    <m/>
    <m/>
    <m/>
    <m/>
    <m/>
    <n v="235.08"/>
    <m/>
    <m/>
    <m/>
    <m/>
    <m/>
    <m/>
    <m/>
    <n v="117.54"/>
    <n v="300"/>
    <n v="1005.24"/>
  </r>
  <r>
    <n v="9"/>
    <x v="9"/>
    <x v="0"/>
    <n v="175625"/>
    <s v="DANCOURT BERNUY TERRY ANDRES"/>
    <s v="20-94317177-8"/>
    <n v="42649"/>
    <n v="94317177"/>
    <s v="DANCOURT BERNUY"/>
    <s v="TERRY ANDRES"/>
    <s v="M"/>
    <m/>
    <d v="2016-09-26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UAN DE GARAY"/>
    <n v="1225"/>
    <n v="2"/>
    <s v="F"/>
    <s v="CAPITAL FEDERAL"/>
    <s v="Buenos Aires"/>
    <m/>
    <s v="U.O.Centro"/>
    <m/>
    <n v="1"/>
    <n v="1"/>
    <n v="1637.1"/>
    <n v="327.41000000000003"/>
    <m/>
    <m/>
    <n v="1309.69"/>
    <m/>
    <n v="32.74"/>
    <m/>
    <m/>
    <m/>
    <m/>
    <m/>
    <m/>
    <n v="16.37"/>
    <m/>
    <m/>
    <m/>
    <m/>
    <m/>
    <m/>
    <n v="32.74"/>
    <m/>
    <m/>
    <m/>
    <m/>
    <m/>
    <m/>
    <m/>
    <n v="16.37"/>
    <n v="300"/>
    <n v="398.22"/>
  </r>
  <r>
    <n v="9"/>
    <x v="9"/>
    <x v="1"/>
    <n v="175739"/>
    <s v="DE BARY LUCIO"/>
    <s v="23-38498237-9"/>
    <n v="42649"/>
    <n v="38498237"/>
    <s v="DE BARY"/>
    <s v="LUCIO"/>
    <s v="M"/>
    <m/>
    <d v="2016-07-16T00:00:00"/>
    <m/>
    <m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s v="C1085ABP"/>
    <s v="SANTIAGO DEL ESTERO"/>
    <n v="1298"/>
    <m/>
    <m/>
    <s v="CAPITAL FEDERAL"/>
    <s v="Capital Federal"/>
    <m/>
    <s v="U.O.Centro"/>
    <m/>
    <n v="1"/>
    <n v="1"/>
    <n v="5496.33"/>
    <n v="1099.27"/>
    <m/>
    <m/>
    <n v="4397.0600000000004"/>
    <m/>
    <n v="109.93"/>
    <m/>
    <m/>
    <m/>
    <m/>
    <m/>
    <m/>
    <n v="54.96"/>
    <m/>
    <m/>
    <m/>
    <m/>
    <m/>
    <m/>
    <n v="109.93"/>
    <m/>
    <m/>
    <m/>
    <m/>
    <m/>
    <m/>
    <m/>
    <n v="54.96"/>
    <n v="300"/>
    <n v="629.78"/>
  </r>
  <r>
    <n v="9"/>
    <x v="9"/>
    <x v="0"/>
    <n v="178414"/>
    <s v="DEL PRADO LUCAS GONZALO"/>
    <s v="20-39833880-5"/>
    <n v="42649"/>
    <n v="39833880"/>
    <s v="DEL PRADO"/>
    <s v="LUCAS GONZALO"/>
    <s v="M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Santo Domingo"/>
    <n v="240"/>
    <m/>
    <m/>
    <s v="TIGRE"/>
    <s v="Buenos Aires"/>
    <m/>
    <s v="U.O.San Isidro"/>
    <m/>
    <n v="1"/>
    <n v="1"/>
    <n v="251.48"/>
    <n v="50.28"/>
    <m/>
    <m/>
    <n v="201.2"/>
    <m/>
    <n v="5.03"/>
    <m/>
    <m/>
    <m/>
    <m/>
    <m/>
    <m/>
    <n v="2.5099999999999998"/>
    <m/>
    <m/>
    <m/>
    <m/>
    <m/>
    <m/>
    <n v="5.03"/>
    <m/>
    <m/>
    <m/>
    <m/>
    <m/>
    <m/>
    <m/>
    <n v="2.5099999999999998"/>
    <n v="300"/>
    <n v="315.08"/>
  </r>
  <r>
    <n v="9"/>
    <x v="9"/>
    <x v="0"/>
    <n v="174566"/>
    <s v="DESAQUILAN AXEL NICOLAS"/>
    <s v="20-39665785-7"/>
    <n v="42649"/>
    <n v="39665785"/>
    <s v="DESAQUILAN"/>
    <s v="AXEL NICOLAS"/>
    <s v="M"/>
    <m/>
    <d v="2016-06-16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MONTEVERDE"/>
    <n v="1005"/>
    <m/>
    <m/>
    <s v="CAPITAL FEDERAL"/>
    <s v="Capital Federal"/>
    <m/>
    <s v="U.O.Centro"/>
    <m/>
    <n v="2"/>
    <n v="1"/>
    <n v="11687.35"/>
    <n v="2337.4699999999998"/>
    <m/>
    <m/>
    <n v="9349.8799999999992"/>
    <m/>
    <n v="233.75"/>
    <m/>
    <m/>
    <m/>
    <m/>
    <m/>
    <m/>
    <n v="116.87"/>
    <m/>
    <m/>
    <m/>
    <m/>
    <m/>
    <m/>
    <n v="233.75"/>
    <m/>
    <m/>
    <m/>
    <m/>
    <m/>
    <m/>
    <m/>
    <n v="116.87"/>
    <n v="300"/>
    <n v="1001.24"/>
  </r>
  <r>
    <n v="9"/>
    <x v="9"/>
    <x v="0"/>
    <n v="170691"/>
    <s v="DIAZ INGRID MANUELA"/>
    <s v="27-93051595-2"/>
    <n v="42649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ISANEWTON"/>
    <n v="1225"/>
    <m/>
    <m/>
    <s v="CAPITAL FEDERAL"/>
    <s v="Buenos Aires"/>
    <m/>
    <s v="U.O.Centro"/>
    <m/>
    <n v="2"/>
    <n v="1"/>
    <n v="9822.65"/>
    <n v="1964.52"/>
    <m/>
    <m/>
    <n v="7858.13"/>
    <m/>
    <n v="196.45"/>
    <m/>
    <m/>
    <m/>
    <m/>
    <m/>
    <m/>
    <n v="98.22"/>
    <m/>
    <m/>
    <m/>
    <m/>
    <m/>
    <m/>
    <n v="196.45"/>
    <m/>
    <m/>
    <m/>
    <m/>
    <m/>
    <m/>
    <m/>
    <n v="98.22"/>
    <n v="300"/>
    <n v="889.34"/>
  </r>
  <r>
    <n v="9"/>
    <x v="9"/>
    <x v="0"/>
    <n v="169910"/>
    <s v="DIAZ NANCY"/>
    <s v="27-21949289-3"/>
    <n v="42649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1"/>
    <n v="1"/>
    <n v="20274.099999999999"/>
    <n v="4054.81"/>
    <m/>
    <m/>
    <n v="16219.29"/>
    <m/>
    <n v="405.48"/>
    <m/>
    <m/>
    <m/>
    <m/>
    <m/>
    <m/>
    <n v="202.74"/>
    <m/>
    <m/>
    <m/>
    <m/>
    <m/>
    <m/>
    <n v="405.48"/>
    <m/>
    <m/>
    <m/>
    <m/>
    <m/>
    <m/>
    <m/>
    <n v="202.74"/>
    <n v="300"/>
    <n v="1516.44"/>
  </r>
  <r>
    <n v="9"/>
    <x v="9"/>
    <x v="0"/>
    <n v="162205"/>
    <s v="DOMINGUEZ CABRERA CESAR FERNANDO"/>
    <s v="23-95304555-9"/>
    <n v="42649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 CORRIENTES"/>
    <n v="1225"/>
    <n v="3"/>
    <s v="D"/>
    <s v="CAPITAL FEDERAL"/>
    <s v="Buenos Aires"/>
    <m/>
    <s v="U.O.Centro"/>
    <m/>
    <n v="2"/>
    <n v="1"/>
    <n v="10142"/>
    <n v="2028.4"/>
    <m/>
    <m/>
    <n v="8113.6"/>
    <m/>
    <n v="202.84"/>
    <m/>
    <m/>
    <m/>
    <m/>
    <m/>
    <m/>
    <n v="101.42"/>
    <m/>
    <m/>
    <m/>
    <m/>
    <m/>
    <m/>
    <n v="202.84"/>
    <m/>
    <m/>
    <m/>
    <m/>
    <m/>
    <m/>
    <m/>
    <n v="101.42"/>
    <n v="300"/>
    <n v="908.52"/>
  </r>
  <r>
    <n v="9"/>
    <x v="9"/>
    <x v="0"/>
    <n v="166685"/>
    <s v="DUARTE PICO EVA CLARINA"/>
    <s v="27-94661310-5"/>
    <n v="42646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9733.2"/>
    <n v="3946.64"/>
    <m/>
    <m/>
    <n v="15786.56"/>
    <m/>
    <n v="394.66"/>
    <m/>
    <m/>
    <m/>
    <m/>
    <m/>
    <m/>
    <n v="197.33"/>
    <m/>
    <m/>
    <m/>
    <m/>
    <m/>
    <m/>
    <n v="394.66"/>
    <m/>
    <m/>
    <m/>
    <m/>
    <m/>
    <m/>
    <m/>
    <n v="197.33"/>
    <n v="300"/>
    <n v="1483.98"/>
  </r>
  <r>
    <n v="9"/>
    <x v="9"/>
    <x v="0"/>
    <n v="178413"/>
    <s v="ESCOBAR VANESA ALEJANDRA"/>
    <s v="27-30516297-9"/>
    <n v="42649"/>
    <n v="30516297"/>
    <s v="ESCOBAR"/>
    <s v="VANESA ALEJANDR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CAMINO REAL MORON"/>
    <n v="240"/>
    <m/>
    <m/>
    <s v="TIGRE"/>
    <s v="Buenos Aires"/>
    <m/>
    <s v="U.O.San Isidro"/>
    <m/>
    <n v="1"/>
    <n v="1"/>
    <n v="251.48"/>
    <n v="50.28"/>
    <m/>
    <m/>
    <n v="201.2"/>
    <m/>
    <n v="5.03"/>
    <m/>
    <m/>
    <m/>
    <m/>
    <m/>
    <m/>
    <n v="2.5099999999999998"/>
    <m/>
    <m/>
    <m/>
    <m/>
    <m/>
    <m/>
    <n v="5.03"/>
    <m/>
    <m/>
    <m/>
    <m/>
    <m/>
    <m/>
    <m/>
    <n v="2.5099999999999998"/>
    <n v="300"/>
    <n v="315.08"/>
  </r>
  <r>
    <n v="9"/>
    <x v="9"/>
    <x v="0"/>
    <n v="138787"/>
    <s v="FERNANDEZ CLAUDIA"/>
    <s v="27-23472256-0"/>
    <n v="42649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13715.62"/>
    <n v="2743.13"/>
    <m/>
    <m/>
    <n v="10972.49"/>
    <m/>
    <n v="274.31"/>
    <m/>
    <m/>
    <m/>
    <m/>
    <m/>
    <m/>
    <n v="137.16"/>
    <m/>
    <m/>
    <m/>
    <m/>
    <m/>
    <m/>
    <n v="274.31"/>
    <m/>
    <m/>
    <m/>
    <m/>
    <m/>
    <m/>
    <m/>
    <n v="137.16"/>
    <n v="300"/>
    <n v="1122.94"/>
  </r>
  <r>
    <n v="9"/>
    <x v="9"/>
    <x v="1"/>
    <n v="156623"/>
    <s v="FERNANDEZ JULIO CESAR"/>
    <s v="20-26020864-1"/>
    <n v="42649"/>
    <n v="26020864"/>
    <s v="FERNANDEZ"/>
    <s v="JULIO CESAR"/>
    <s v="M"/>
    <m/>
    <d v="2015-08-14T00:00:00"/>
    <d v="2016-09-13T00:00:00"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GODOY CRUZ"/>
    <n v="535"/>
    <m/>
    <m/>
    <s v="CAPITAL FEDERAL"/>
    <s v="Capital Federal"/>
    <m/>
    <s v="U.O.Centro Paga Inplant"/>
    <m/>
    <n v="1"/>
    <n v="1"/>
    <n v="6720.83"/>
    <n v="1377.76"/>
    <m/>
    <m/>
    <n v="5343.07"/>
    <n v="168.02"/>
    <m/>
    <m/>
    <m/>
    <m/>
    <m/>
    <m/>
    <m/>
    <n v="67.209999999999994"/>
    <m/>
    <m/>
    <m/>
    <m/>
    <m/>
    <m/>
    <n v="134.41999999999999"/>
    <m/>
    <m/>
    <m/>
    <m/>
    <m/>
    <m/>
    <m/>
    <n v="67.209999999999994"/>
    <n v="300"/>
    <n v="736.86"/>
  </r>
  <r>
    <n v="9"/>
    <x v="9"/>
    <x v="0"/>
    <n v="178412"/>
    <s v="FERNANDEZ MAYRA MELISA"/>
    <s v="27-36600791-7"/>
    <n v="42649"/>
    <n v="36600791"/>
    <s v="FERNANDEZ"/>
    <s v="MAYRA MELIS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Formosa"/>
    <n v="240"/>
    <m/>
    <m/>
    <s v="TIGRE"/>
    <s v="Buenos Aires"/>
    <m/>
    <s v="U.O.San Isidro"/>
    <m/>
    <n v="1"/>
    <n v="1"/>
    <n v="251.48"/>
    <n v="50.28"/>
    <m/>
    <m/>
    <n v="201.2"/>
    <m/>
    <n v="5.03"/>
    <m/>
    <m/>
    <m/>
    <m/>
    <m/>
    <m/>
    <n v="2.5099999999999998"/>
    <m/>
    <m/>
    <m/>
    <m/>
    <m/>
    <m/>
    <n v="5.03"/>
    <m/>
    <m/>
    <m/>
    <m/>
    <m/>
    <m/>
    <m/>
    <n v="2.5099999999999998"/>
    <n v="300"/>
    <n v="315.08"/>
  </r>
  <r>
    <n v="9"/>
    <x v="9"/>
    <x v="0"/>
    <n v="170547"/>
    <s v="Ferreyra Angel Matias"/>
    <s v="20-27942786-7"/>
    <n v="42642"/>
    <n v="27942786"/>
    <s v="Ferreyra"/>
    <s v="Angel Matias"/>
    <s v="F"/>
    <m/>
    <d v="2016-03-22T00:00:00"/>
    <d v="2016-08-19T00:00:00"/>
    <n v="42601"/>
    <s v="GASTRONOMICOS-Hoteles 4 y 5 Estrellas - 362/2003"/>
    <s v="Categoría 4"/>
    <x v="3"/>
    <s v="Unidad Principal"/>
    <s v="Centro"/>
    <s v="Tareas Generales"/>
    <n v="111704"/>
    <s v="OS  DE ENCARGADOS APUNTADORES MARITIMOS"/>
    <s v="Capital Federal"/>
    <m/>
    <s v="C1002ABO"/>
    <s v="Mateo Churich"/>
    <n v="764"/>
    <m/>
    <m/>
    <s v="CAPITAL FEDERAL"/>
    <s v="Capital Federal"/>
    <m/>
    <s v="U.O.Centro Paga Inplant"/>
    <m/>
    <n v="1"/>
    <n v="1"/>
    <n v="537.44000000000005"/>
    <n v="107.48"/>
    <m/>
    <m/>
    <n v="429.96"/>
    <m/>
    <n v="10.75"/>
    <m/>
    <m/>
    <m/>
    <m/>
    <m/>
    <m/>
    <n v="5.37"/>
    <m/>
    <m/>
    <m/>
    <m/>
    <m/>
    <m/>
    <n v="10.75"/>
    <m/>
    <m/>
    <m/>
    <m/>
    <m/>
    <m/>
    <m/>
    <n v="5.37"/>
    <m/>
    <n v="32.24"/>
  </r>
  <r>
    <n v="9"/>
    <x v="9"/>
    <x v="0"/>
    <n v="177331"/>
    <s v="FIGUEREDO MILCIDADES JOSE"/>
    <s v="20-29951754-4"/>
    <n v="42649"/>
    <n v="29951754"/>
    <s v="FIGUEREDO"/>
    <s v="MILCIDADES JOSE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OSE A.CASACUBERTA"/>
    <n v="1225"/>
    <m/>
    <m/>
    <s v="CAPITAL FEDERAL"/>
    <s v="Buenos Aires"/>
    <m/>
    <s v="U.O.Centro"/>
    <m/>
    <n v="3"/>
    <n v="1"/>
    <n v="8594.83"/>
    <n v="1718.95"/>
    <m/>
    <m/>
    <n v="6875.88"/>
    <m/>
    <n v="171.9"/>
    <m/>
    <m/>
    <m/>
    <m/>
    <m/>
    <m/>
    <n v="85.94"/>
    <m/>
    <m/>
    <m/>
    <m/>
    <m/>
    <m/>
    <n v="171.9"/>
    <m/>
    <m/>
    <m/>
    <m/>
    <m/>
    <m/>
    <m/>
    <n v="85.94"/>
    <n v="300"/>
    <n v="815.68"/>
  </r>
  <r>
    <n v="9"/>
    <x v="9"/>
    <x v="0"/>
    <n v="173372"/>
    <s v="FILATOVA INNA"/>
    <s v="27-18845947-7"/>
    <n v="42649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UALEGUAY"/>
    <n v="1225"/>
    <m/>
    <m/>
    <s v="CAPITAL FEDERAL"/>
    <s v="Buenos Aires"/>
    <m/>
    <s v="U.O.Centro"/>
    <m/>
    <n v="2"/>
    <n v="1"/>
    <n v="5039.87"/>
    <n v="1007.97"/>
    <m/>
    <m/>
    <n v="4031.9"/>
    <m/>
    <n v="100.79"/>
    <m/>
    <m/>
    <m/>
    <m/>
    <m/>
    <m/>
    <n v="50.4"/>
    <m/>
    <m/>
    <m/>
    <m/>
    <m/>
    <m/>
    <n v="100.79"/>
    <m/>
    <m/>
    <m/>
    <m/>
    <m/>
    <m/>
    <m/>
    <n v="50.4"/>
    <n v="300"/>
    <n v="602.38"/>
  </r>
  <r>
    <n v="9"/>
    <x v="9"/>
    <x v="0"/>
    <n v="178410"/>
    <s v="FINAMORE PAULA GABRIELA"/>
    <s v="27-30335164-2"/>
    <n v="42649"/>
    <n v="30335164"/>
    <s v="FINAMORE"/>
    <s v="PAULA GABRIEL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VUELTA DE OBLIGADO"/>
    <n v="240"/>
    <m/>
    <m/>
    <s v="TIGRE"/>
    <s v="Buenos Aires"/>
    <m/>
    <s v="U.O.San Isidro"/>
    <m/>
    <n v="1"/>
    <n v="1"/>
    <n v="251.48"/>
    <n v="50.28"/>
    <m/>
    <m/>
    <n v="201.2"/>
    <m/>
    <n v="5.03"/>
    <m/>
    <m/>
    <m/>
    <m/>
    <m/>
    <m/>
    <n v="2.5099999999999998"/>
    <m/>
    <m/>
    <m/>
    <m/>
    <m/>
    <m/>
    <n v="5.03"/>
    <m/>
    <m/>
    <m/>
    <m/>
    <m/>
    <m/>
    <m/>
    <n v="2.5099999999999998"/>
    <n v="300"/>
    <n v="315.08"/>
  </r>
  <r>
    <n v="9"/>
    <x v="9"/>
    <x v="0"/>
    <n v="177706"/>
    <s v="FLEITA DARIO ALEJANDRO"/>
    <s v="20-40005759-2"/>
    <n v="42649"/>
    <n v="40005759"/>
    <s v="FLEITA"/>
    <s v="DARIO ALEJANDRO"/>
    <s v="M"/>
    <m/>
    <d v="2016-09-27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CORTEJARENA"/>
    <n v="1225"/>
    <m/>
    <m/>
    <s v="CAPITAL FEDERAL"/>
    <s v="Buenos Aires"/>
    <m/>
    <s v="U.O.Centro"/>
    <m/>
    <n v="2"/>
    <n v="1"/>
    <n v="1491.47"/>
    <n v="298.29000000000002"/>
    <m/>
    <m/>
    <n v="1193.18"/>
    <m/>
    <n v="29.83"/>
    <m/>
    <m/>
    <m/>
    <m/>
    <m/>
    <m/>
    <n v="14.91"/>
    <m/>
    <m/>
    <m/>
    <m/>
    <m/>
    <m/>
    <n v="29.83"/>
    <m/>
    <m/>
    <m/>
    <m/>
    <m/>
    <m/>
    <m/>
    <n v="14.91"/>
    <n v="300"/>
    <n v="389.48"/>
  </r>
  <r>
    <n v="9"/>
    <x v="9"/>
    <x v="0"/>
    <n v="176113"/>
    <s v="FLEITAS DIEGO ALEJANDRO"/>
    <s v="20-30160228-7"/>
    <n v="42649"/>
    <n v="30160228"/>
    <s v="FLEITAS"/>
    <s v="DIEGO ALEJANDRO"/>
    <s v="M"/>
    <m/>
    <d v="2016-07-1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OULERVARD"/>
    <n v="1225"/>
    <m/>
    <n v="1"/>
    <s v="CAPITAL FEDERAL"/>
    <s v="Buenos Aires"/>
    <m/>
    <s v="U.O.Centro"/>
    <m/>
    <n v="2"/>
    <n v="1"/>
    <n v="10014.5"/>
    <n v="2002.92"/>
    <m/>
    <m/>
    <n v="8011.58"/>
    <m/>
    <n v="200.3"/>
    <m/>
    <m/>
    <m/>
    <m/>
    <m/>
    <m/>
    <n v="100.14"/>
    <m/>
    <m/>
    <m/>
    <m/>
    <m/>
    <m/>
    <n v="200.3"/>
    <m/>
    <m/>
    <m/>
    <m/>
    <m/>
    <m/>
    <m/>
    <n v="100.14"/>
    <n v="300"/>
    <n v="900.88"/>
  </r>
  <r>
    <n v="9"/>
    <x v="9"/>
    <x v="0"/>
    <n v="178110"/>
    <s v="GALBAN MARIA LAURA"/>
    <s v="27-35083833-9"/>
    <n v="42649"/>
    <n v="35083833"/>
    <s v="GALBAN"/>
    <s v="MARIA LAURA"/>
    <s v="F"/>
    <m/>
    <d v="2016-09-0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pocitos"/>
    <n v="240"/>
    <m/>
    <m/>
    <s v="TIGRE"/>
    <s v="Buenos Aires"/>
    <m/>
    <s v="U.O.San Isidro"/>
    <m/>
    <n v="1"/>
    <n v="1"/>
    <n v="1307.6500000000001"/>
    <n v="261.52999999999997"/>
    <m/>
    <m/>
    <n v="1046.1199999999999"/>
    <m/>
    <n v="26.15"/>
    <m/>
    <m/>
    <m/>
    <m/>
    <m/>
    <m/>
    <n v="13.08"/>
    <m/>
    <m/>
    <m/>
    <m/>
    <m/>
    <m/>
    <n v="26.15"/>
    <m/>
    <m/>
    <m/>
    <m/>
    <m/>
    <m/>
    <m/>
    <n v="13.08"/>
    <n v="300"/>
    <n v="378.46"/>
  </r>
  <r>
    <n v="9"/>
    <x v="9"/>
    <x v="0"/>
    <n v="177973"/>
    <s v="GALLARDO BRENDA NOELIA"/>
    <s v="27-34574227-7"/>
    <n v="42649"/>
    <n v="34574227"/>
    <s v="GALLARDO"/>
    <s v="BRENDA NOELIA"/>
    <s v="F"/>
    <m/>
    <d v="2016-08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UECIA"/>
    <n v="1225"/>
    <m/>
    <m/>
    <s v="CAPITAL FEDERAL"/>
    <s v="Buenos Aires"/>
    <m/>
    <s v="U.O.Centro"/>
    <m/>
    <n v="2"/>
    <n v="1"/>
    <n v="938.87"/>
    <n v="187.79"/>
    <m/>
    <m/>
    <n v="751.08"/>
    <m/>
    <n v="18.78"/>
    <m/>
    <m/>
    <m/>
    <m/>
    <m/>
    <m/>
    <n v="9.39"/>
    <m/>
    <m/>
    <m/>
    <m/>
    <m/>
    <m/>
    <n v="18.78"/>
    <m/>
    <m/>
    <m/>
    <m/>
    <m/>
    <m/>
    <m/>
    <n v="9.39"/>
    <n v="300"/>
    <n v="356.34"/>
  </r>
  <r>
    <n v="9"/>
    <x v="9"/>
    <x v="0"/>
    <n v="172186"/>
    <s v="GALLARDO MELINA ELIZABETH"/>
    <s v="27-38587519-9"/>
    <n v="42649"/>
    <n v="38587519"/>
    <s v="GALLARDO"/>
    <s v="MELINA ELIZABETH"/>
    <s v="F"/>
    <m/>
    <d v="2016-04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EL CHIRIACHE"/>
    <n v="474"/>
    <m/>
    <m/>
    <s v="CAPITAL FEDERAL"/>
    <s v="Buenos Aires"/>
    <m/>
    <s v="U.O.Centro"/>
    <m/>
    <n v="1"/>
    <n v="1"/>
    <n v="9011.5"/>
    <n v="1847.38"/>
    <m/>
    <m/>
    <n v="7164.12"/>
    <n v="225.29"/>
    <m/>
    <m/>
    <m/>
    <m/>
    <m/>
    <m/>
    <m/>
    <n v="90.12"/>
    <m/>
    <m/>
    <m/>
    <m/>
    <m/>
    <m/>
    <n v="180.23"/>
    <m/>
    <m/>
    <m/>
    <m/>
    <m/>
    <m/>
    <m/>
    <n v="90.12"/>
    <n v="300"/>
    <n v="885.76"/>
  </r>
  <r>
    <n v="9"/>
    <x v="9"/>
    <x v="1"/>
    <n v="174569"/>
    <s v="GALLO LUCAS VICTOR"/>
    <s v="20-28851462-4"/>
    <n v="42642"/>
    <n v="28851462"/>
    <s v="GALLO"/>
    <s v="LUCAS VICTOR"/>
    <s v="M"/>
    <m/>
    <d v="2016-06-18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ESMERALDA"/>
    <n v="764"/>
    <n v="4"/>
    <s v="B"/>
    <s v="CAPITAL FEDERAL"/>
    <s v="Capital Federal"/>
    <m/>
    <s v="U.O.Centro"/>
    <m/>
    <n v="2"/>
    <n v="1"/>
    <n v="5376.48"/>
    <n v="1075.32"/>
    <m/>
    <m/>
    <n v="4301.16"/>
    <m/>
    <n v="107.53"/>
    <m/>
    <m/>
    <m/>
    <m/>
    <m/>
    <m/>
    <n v="53.77"/>
    <m/>
    <m/>
    <m/>
    <m/>
    <m/>
    <m/>
    <n v="107.53"/>
    <m/>
    <m/>
    <m/>
    <m/>
    <m/>
    <m/>
    <m/>
    <n v="53.77"/>
    <n v="300"/>
    <n v="622.6"/>
  </r>
  <r>
    <n v="9"/>
    <x v="9"/>
    <x v="1"/>
    <n v="65418"/>
    <s v="GARAY ANGEL FAUSTINO"/>
    <s v="20-27725694-1"/>
    <n v="42649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1"/>
    <n v="1"/>
    <n v="18792.21"/>
    <n v="3852.41"/>
    <m/>
    <m/>
    <n v="14939.8"/>
    <n v="469.81"/>
    <m/>
    <m/>
    <m/>
    <m/>
    <m/>
    <m/>
    <m/>
    <n v="187.92"/>
    <m/>
    <m/>
    <m/>
    <m/>
    <m/>
    <m/>
    <n v="375.84"/>
    <m/>
    <m/>
    <m/>
    <m/>
    <m/>
    <m/>
    <m/>
    <n v="187.92"/>
    <n v="300"/>
    <n v="1521.49"/>
  </r>
  <r>
    <n v="9"/>
    <x v="9"/>
    <x v="0"/>
    <n v="177859"/>
    <s v="GARAY NARA MARIANA"/>
    <s v="27-34750126-9"/>
    <n v="42649"/>
    <n v="34750126"/>
    <s v="GARAY"/>
    <s v="NARA MARIAN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n v="10"/>
    <n v="1225"/>
    <m/>
    <m/>
    <s v="CAPITAL FEDERAL"/>
    <s v="Buenos Aires"/>
    <m/>
    <s v="U.O.Centro"/>
    <m/>
    <n v="2"/>
    <n v="1"/>
    <n v="8762.68"/>
    <n v="1752.54"/>
    <m/>
    <m/>
    <n v="7010.14"/>
    <m/>
    <n v="175.25"/>
    <m/>
    <m/>
    <m/>
    <m/>
    <m/>
    <m/>
    <n v="87.63"/>
    <m/>
    <m/>
    <m/>
    <m/>
    <m/>
    <m/>
    <n v="175.25"/>
    <m/>
    <m/>
    <m/>
    <m/>
    <m/>
    <m/>
    <m/>
    <n v="87.63"/>
    <n v="300"/>
    <n v="825.76"/>
  </r>
  <r>
    <n v="9"/>
    <x v="9"/>
    <x v="0"/>
    <n v="174037"/>
    <s v="GARCIA CZUJKO ANDREA LAURA"/>
    <s v="27-93769203-5"/>
    <n v="42649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2"/>
    <n v="1"/>
    <n v="10375.61"/>
    <n v="2075.13"/>
    <m/>
    <m/>
    <n v="8300.48"/>
    <m/>
    <n v="207.52"/>
    <m/>
    <m/>
    <m/>
    <m/>
    <m/>
    <m/>
    <n v="103.75"/>
    <m/>
    <m/>
    <m/>
    <m/>
    <m/>
    <m/>
    <n v="207.52"/>
    <m/>
    <m/>
    <m/>
    <m/>
    <m/>
    <m/>
    <m/>
    <n v="103.75"/>
    <n v="300"/>
    <n v="922.54"/>
  </r>
  <r>
    <n v="9"/>
    <x v="9"/>
    <x v="0"/>
    <n v="178303"/>
    <s v="GASTELU SANTIAGO IVAN NICOLAS"/>
    <s v="20-37667275-2"/>
    <n v="42646"/>
    <n v="37667275"/>
    <s v="GASTELU"/>
    <s v="SANTIAGO IVAN NICOLAS"/>
    <s v="M"/>
    <m/>
    <d v="2016-09-13T00:00:00"/>
    <m/>
    <m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TALCAHUANO"/>
    <n v="841"/>
    <n v="7"/>
    <s v="N"/>
    <s v="CAPITAL FEDERAL"/>
    <s v="Buenos Aires"/>
    <m/>
    <s v="U.O.Centro"/>
    <m/>
    <n v="1"/>
    <n v="1"/>
    <n v="6500.87"/>
    <n v="1300.19"/>
    <m/>
    <m/>
    <n v="5200.68"/>
    <m/>
    <n v="130.02000000000001"/>
    <m/>
    <m/>
    <m/>
    <m/>
    <m/>
    <m/>
    <n v="65.010000000000005"/>
    <m/>
    <m/>
    <m/>
    <m/>
    <m/>
    <m/>
    <n v="130.02000000000001"/>
    <m/>
    <m/>
    <m/>
    <m/>
    <m/>
    <m/>
    <m/>
    <n v="65.010000000000005"/>
    <n v="300"/>
    <n v="690.06"/>
  </r>
  <r>
    <n v="9"/>
    <x v="9"/>
    <x v="0"/>
    <n v="171840"/>
    <s v="GERON PABLO"/>
    <s v="20-34949635-7"/>
    <n v="42649"/>
    <n v="34949635"/>
    <s v="GERON"/>
    <s v="PABLO"/>
    <s v="M"/>
    <m/>
    <d v="2016-05-16T00:00:00"/>
    <m/>
    <m/>
    <s v="GASTRONOMICOS-Hoteles 4 y 5 Estrellas - 362/2003"/>
    <s v="Categoria 1"/>
    <x v="1"/>
    <s v="ARMADO"/>
    <s v="Centro"/>
    <s v="Tareas Generales"/>
    <n v="108803"/>
    <s v="O.S.P.Gastronomico"/>
    <s v="Capital Federal"/>
    <m/>
    <n v="1005"/>
    <s v="EL ARREO"/>
    <n v="1005"/>
    <m/>
    <m/>
    <s v="CAPITAL FEDERAL"/>
    <s v="Capital Federal"/>
    <m/>
    <s v="U.O.Centro"/>
    <m/>
    <n v="2"/>
    <n v="1"/>
    <n v="8436.2099999999991"/>
    <n v="1687.26"/>
    <m/>
    <m/>
    <n v="6748.95"/>
    <m/>
    <n v="168.73"/>
    <m/>
    <m/>
    <m/>
    <m/>
    <m/>
    <m/>
    <n v="84.36"/>
    <m/>
    <m/>
    <m/>
    <m/>
    <m/>
    <m/>
    <n v="168.73"/>
    <m/>
    <m/>
    <m/>
    <m/>
    <m/>
    <m/>
    <m/>
    <n v="84.36"/>
    <n v="300"/>
    <n v="806.18"/>
  </r>
  <r>
    <n v="9"/>
    <x v="9"/>
    <x v="0"/>
    <n v="175142"/>
    <s v="GODOY MARIA VALERIA"/>
    <s v="27-34006381-9"/>
    <n v="42646"/>
    <n v="34006381"/>
    <s v="GODOY"/>
    <s v="MARIA VALERIA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BARTOLOME MITRE"/>
    <n v="1334"/>
    <s v="9º"/>
    <s v="E"/>
    <s v="CAPITAL FEDERAL"/>
    <s v="Capital Federal"/>
    <m/>
    <s v="U.O.Centro"/>
    <m/>
    <n v="1"/>
    <n v="1"/>
    <n v="17290.04"/>
    <n v="3458"/>
    <m/>
    <m/>
    <n v="13832.04"/>
    <m/>
    <n v="345.8"/>
    <m/>
    <m/>
    <m/>
    <m/>
    <m/>
    <m/>
    <n v="172.9"/>
    <m/>
    <m/>
    <m/>
    <m/>
    <m/>
    <m/>
    <n v="345.8"/>
    <m/>
    <m/>
    <m/>
    <m/>
    <m/>
    <m/>
    <m/>
    <n v="172.9"/>
    <n v="300"/>
    <n v="1337.4"/>
  </r>
  <r>
    <n v="9"/>
    <x v="9"/>
    <x v="0"/>
    <n v="177475"/>
    <s v="GOMEZ LUCAS MARTIN"/>
    <s v="20-25647658-5"/>
    <n v="42649"/>
    <n v="25647658"/>
    <s v="GOMEZ"/>
    <s v="LUCAS MARTIN"/>
    <s v="M"/>
    <m/>
    <d v="2016-08-20T00:00:00"/>
    <m/>
    <m/>
    <s v="GASTRONOMICOS-Hoteles 4 y 5 Estrellas - 362/2003"/>
    <s v="Categoria 6"/>
    <x v="1"/>
    <s v="Banquetes Extra Eventual - GL"/>
    <s v="Centro"/>
    <s v="Tareas Generales"/>
    <n v="100601"/>
    <s v="OS  DEL PERSONAL DE AERONAVEGACION DE ENTES PRIVADOS"/>
    <s v="Capital Federal"/>
    <m/>
    <n v="1005"/>
    <s v="OLAZABAL"/>
    <n v="1005"/>
    <n v="2"/>
    <s v="C"/>
    <s v="CAPITAL FEDERAL"/>
    <s v="Capital Federal"/>
    <m/>
    <s v="U.O.Centro"/>
    <m/>
    <n v="4"/>
    <n v="1"/>
    <n v="7690.14"/>
    <n v="1538.01"/>
    <m/>
    <m/>
    <n v="6152.13"/>
    <m/>
    <n v="153.80000000000001"/>
    <m/>
    <m/>
    <m/>
    <m/>
    <m/>
    <m/>
    <n v="76.900000000000006"/>
    <m/>
    <m/>
    <m/>
    <m/>
    <m/>
    <m/>
    <n v="153.80000000000001"/>
    <m/>
    <m/>
    <m/>
    <m/>
    <m/>
    <m/>
    <m/>
    <n v="76.900000000000006"/>
    <n v="300"/>
    <n v="761.4"/>
  </r>
  <r>
    <n v="9"/>
    <x v="9"/>
    <x v="1"/>
    <n v="164986"/>
    <s v="GOMEZ MIGUEL ANGEL"/>
    <s v="20-40687394-4"/>
    <n v="42649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n v="9"/>
    <n v="507"/>
    <m/>
    <m/>
    <s v="CAPITAL FEDERAL"/>
    <s v="Capital Federal"/>
    <m/>
    <s v="U.O.Centro"/>
    <m/>
    <n v="1"/>
    <n v="1"/>
    <n v="13800"/>
    <n v="2829"/>
    <m/>
    <m/>
    <n v="10971"/>
    <n v="345"/>
    <m/>
    <m/>
    <m/>
    <m/>
    <m/>
    <m/>
    <m/>
    <n v="138"/>
    <m/>
    <m/>
    <m/>
    <m/>
    <m/>
    <m/>
    <n v="276"/>
    <m/>
    <m/>
    <m/>
    <m/>
    <m/>
    <m/>
    <m/>
    <n v="138"/>
    <n v="300"/>
    <n v="1197"/>
  </r>
  <r>
    <n v="9"/>
    <x v="9"/>
    <x v="0"/>
    <n v="177437"/>
    <s v="GONZALEZ ANDREA CELESTE"/>
    <s v="23-94771102-4"/>
    <n v="42649"/>
    <n v="94771102"/>
    <s v="GONZALEZ"/>
    <s v="ANDREA CELESTE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OLIS"/>
    <n v="1225"/>
    <n v="3"/>
    <m/>
    <s v="CAPITAL FEDERAL"/>
    <s v="Buenos Aires"/>
    <m/>
    <s v="U.O.Centro"/>
    <m/>
    <n v="3"/>
    <n v="1"/>
    <n v="2290.84"/>
    <n v="458.16"/>
    <m/>
    <m/>
    <n v="1832.68"/>
    <m/>
    <n v="45.82"/>
    <m/>
    <m/>
    <m/>
    <m/>
    <m/>
    <m/>
    <n v="22.9"/>
    <m/>
    <m/>
    <m/>
    <m/>
    <m/>
    <m/>
    <n v="45.82"/>
    <m/>
    <m/>
    <m/>
    <m/>
    <m/>
    <m/>
    <m/>
    <n v="22.9"/>
    <n v="300"/>
    <n v="437.44"/>
  </r>
  <r>
    <n v="9"/>
    <x v="9"/>
    <x v="1"/>
    <n v="173612"/>
    <s v="GONZALEZ CRISTINA ALEJANDRA GRACIELA"/>
    <s v="27-17598323-1"/>
    <n v="42649"/>
    <n v="17598323"/>
    <s v="GONZALEZ"/>
    <s v="CRISTINA ALEJANDRA GRACIELA"/>
    <s v="F"/>
    <m/>
    <d v="2016-05-28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ALVARADO"/>
    <n v="1891"/>
    <m/>
    <m/>
    <s v="CAPITAL FEDERAL"/>
    <s v="Capital Federal"/>
    <m/>
    <s v="U.O.Centro"/>
    <s v="Alvear Palace"/>
    <n v="1"/>
    <n v="1"/>
    <n v="4173.0600000000004"/>
    <n v="834.61"/>
    <m/>
    <m/>
    <n v="3338.45"/>
    <m/>
    <n v="83.46"/>
    <m/>
    <m/>
    <m/>
    <m/>
    <m/>
    <m/>
    <n v="41.73"/>
    <m/>
    <m/>
    <m/>
    <m/>
    <m/>
    <m/>
    <n v="83.46"/>
    <m/>
    <m/>
    <m/>
    <m/>
    <m/>
    <m/>
    <m/>
    <n v="41.73"/>
    <n v="300"/>
    <n v="550.38"/>
  </r>
  <r>
    <n v="9"/>
    <x v="9"/>
    <x v="0"/>
    <n v="48107"/>
    <s v="GONZALEZ KARINA ELIZABETH"/>
    <s v="27-23467821-9"/>
    <n v="42649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1"/>
    <n v="1"/>
    <n v="17144.52"/>
    <n v="3428.92"/>
    <m/>
    <m/>
    <n v="13715.6"/>
    <m/>
    <n v="342.89"/>
    <m/>
    <m/>
    <m/>
    <m/>
    <m/>
    <m/>
    <n v="171.45"/>
    <m/>
    <m/>
    <m/>
    <m/>
    <m/>
    <m/>
    <n v="342.89"/>
    <m/>
    <m/>
    <m/>
    <m/>
    <m/>
    <m/>
    <m/>
    <n v="171.45"/>
    <n v="300"/>
    <n v="1328.68"/>
  </r>
  <r>
    <n v="9"/>
    <x v="9"/>
    <x v="1"/>
    <n v="164224"/>
    <s v="GONZALEZ SALOME NATALIA"/>
    <s v="27-35111714-7"/>
    <n v="42649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2543.11"/>
    <n v="508.61"/>
    <m/>
    <m/>
    <n v="2034.5"/>
    <m/>
    <n v="50.86"/>
    <m/>
    <m/>
    <m/>
    <m/>
    <m/>
    <m/>
    <n v="25.43"/>
    <m/>
    <m/>
    <m/>
    <m/>
    <m/>
    <m/>
    <n v="50.86"/>
    <m/>
    <m/>
    <m/>
    <m/>
    <m/>
    <m/>
    <m/>
    <n v="25.43"/>
    <n v="300"/>
    <n v="452.58"/>
  </r>
  <r>
    <n v="9"/>
    <x v="9"/>
    <x v="1"/>
    <n v="136459"/>
    <s v="GONZALEZ VICTOR HUGO"/>
    <s v="20-37376573-3"/>
    <n v="42649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PERDRIEL"/>
    <n v="507"/>
    <m/>
    <m/>
    <s v="CAPITAL FEDERAL"/>
    <s v="Capital Federal"/>
    <m/>
    <s v="U.O.Centro Paga Inplant"/>
    <m/>
    <n v="1"/>
    <n v="1"/>
    <n v="17197.490000000002"/>
    <n v="3439.48"/>
    <m/>
    <m/>
    <n v="13758.01"/>
    <m/>
    <n v="343.95"/>
    <m/>
    <m/>
    <m/>
    <m/>
    <m/>
    <m/>
    <n v="171.97"/>
    <m/>
    <m/>
    <m/>
    <m/>
    <m/>
    <m/>
    <n v="343.95"/>
    <m/>
    <m/>
    <m/>
    <m/>
    <m/>
    <m/>
    <m/>
    <n v="171.97"/>
    <n v="300"/>
    <n v="1331.84"/>
  </r>
  <r>
    <n v="9"/>
    <x v="9"/>
    <x v="1"/>
    <n v="160168"/>
    <s v="GOROSITO ORNELLA CECILIA"/>
    <s v="27-32738641-2"/>
    <n v="42642"/>
    <n v="32738641"/>
    <s v="GOROSITO"/>
    <s v="ORNELLA CECILIA"/>
    <s v="F"/>
    <m/>
    <d v="2016-01-05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J V GONZALEZ"/>
    <n v="764"/>
    <m/>
    <m/>
    <s v="CAPITAL FEDERAL"/>
    <s v="Capital Federal"/>
    <m/>
    <s v="U.O.Centro Paga Inplant"/>
    <m/>
    <n v="2"/>
    <n v="1"/>
    <n v="2330.85"/>
    <n v="466.15"/>
    <m/>
    <m/>
    <n v="1864.7"/>
    <m/>
    <n v="46.61"/>
    <m/>
    <m/>
    <m/>
    <m/>
    <m/>
    <m/>
    <n v="23.31"/>
    <m/>
    <m/>
    <m/>
    <m/>
    <m/>
    <m/>
    <n v="46.61"/>
    <m/>
    <m/>
    <m/>
    <m/>
    <m/>
    <m/>
    <m/>
    <n v="23.31"/>
    <n v="300"/>
    <n v="439.84"/>
  </r>
  <r>
    <n v="9"/>
    <x v="9"/>
    <x v="1"/>
    <n v="77136"/>
    <s v="HAURET BELTRAN"/>
    <s v="20-31675095-9"/>
    <n v="42649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s v="C1009ABK"/>
    <s v="BILLINGHURST"/>
    <n v="507"/>
    <n v="2"/>
    <s v="C"/>
    <s v="CAPITAL FEDERAL"/>
    <s v="Capital Federal"/>
    <m/>
    <s v="U.O.Centro Paga Inplant"/>
    <s v="RECEPCIONISTA"/>
    <n v="1"/>
    <n v="1"/>
    <n v="18498.18"/>
    <n v="3699.64"/>
    <m/>
    <m/>
    <n v="14798.54"/>
    <m/>
    <n v="369.96"/>
    <m/>
    <m/>
    <m/>
    <m/>
    <m/>
    <m/>
    <n v="184.98"/>
    <m/>
    <m/>
    <m/>
    <m/>
    <m/>
    <m/>
    <n v="369.96"/>
    <m/>
    <m/>
    <m/>
    <m/>
    <m/>
    <m/>
    <m/>
    <n v="184.98"/>
    <n v="300"/>
    <n v="1409.88"/>
  </r>
  <r>
    <n v="9"/>
    <x v="9"/>
    <x v="0"/>
    <n v="170479"/>
    <s v="HERMOSILLA LUIS CARLOS"/>
    <s v="20-93896751-3"/>
    <n v="42634"/>
    <n v="93896751"/>
    <s v="HERMOSILLA"/>
    <s v="LUIS CARLOS"/>
    <s v="M"/>
    <m/>
    <d v="2016-03-19T00:00:00"/>
    <d v="2016-09-13T00:00:00"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ESTEBAN BONORINO"/>
    <n v="1225"/>
    <s v="2C"/>
    <m/>
    <s v="CAPITAL FEDERAL"/>
    <s v="Buenos Aires"/>
    <m/>
    <s v="U.O.Centro"/>
    <m/>
    <n v="1"/>
    <n v="1"/>
    <n v="3007.21"/>
    <n v="601.44000000000005"/>
    <m/>
    <m/>
    <n v="2405.77"/>
    <m/>
    <n v="60.14"/>
    <m/>
    <m/>
    <m/>
    <m/>
    <m/>
    <m/>
    <n v="30.07"/>
    <m/>
    <m/>
    <m/>
    <m/>
    <m/>
    <m/>
    <n v="60.14"/>
    <m/>
    <m/>
    <m/>
    <m/>
    <m/>
    <m/>
    <m/>
    <n v="30.07"/>
    <n v="300"/>
    <n v="480.42"/>
  </r>
  <r>
    <n v="9"/>
    <x v="9"/>
    <x v="0"/>
    <n v="177496"/>
    <s v="HINOJOSA CLAURE MAURICIO GABRIEL"/>
    <s v="20-38620142-1"/>
    <n v="42649"/>
    <n v="38620142"/>
    <s v="HINOJOSA CLAURE"/>
    <s v="MAURICIO GABRIEL"/>
    <s v="M"/>
    <m/>
    <d v="2016-09-04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RIVERA INDARTE"/>
    <n v="1225"/>
    <m/>
    <m/>
    <s v="CAPITAL FEDERAL"/>
    <s v="Buenos Aires"/>
    <m/>
    <s v="U.O.Centro"/>
    <m/>
    <n v="2"/>
    <n v="1"/>
    <n v="10525.22"/>
    <n v="2105.04"/>
    <m/>
    <m/>
    <n v="8420.18"/>
    <m/>
    <n v="210.51"/>
    <m/>
    <m/>
    <m/>
    <m/>
    <m/>
    <m/>
    <n v="105.25"/>
    <m/>
    <m/>
    <m/>
    <m/>
    <m/>
    <m/>
    <n v="210.51"/>
    <m/>
    <m/>
    <m/>
    <m/>
    <m/>
    <m/>
    <m/>
    <n v="105.25"/>
    <n v="300"/>
    <n v="931.52"/>
  </r>
  <r>
    <n v="9"/>
    <x v="9"/>
    <x v="0"/>
    <n v="177719"/>
    <s v="IACUZZI DANIELA INES"/>
    <s v="27-30100376-0"/>
    <n v="42649"/>
    <n v="30100376"/>
    <s v="IACUZZI"/>
    <s v="DANIELA INES"/>
    <s v="F"/>
    <m/>
    <d v="2016-08-26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PERDRIEL"/>
    <n v="240"/>
    <m/>
    <m/>
    <s v="TIGRE"/>
    <s v="Buenos Aires"/>
    <m/>
    <s v="U.O.San Isidro"/>
    <m/>
    <n v="1"/>
    <n v="1"/>
    <n v="3784.17"/>
    <n v="756.84"/>
    <m/>
    <m/>
    <n v="3027.33"/>
    <m/>
    <n v="75.680000000000007"/>
    <m/>
    <m/>
    <m/>
    <m/>
    <m/>
    <m/>
    <n v="37.840000000000003"/>
    <m/>
    <m/>
    <m/>
    <m/>
    <m/>
    <m/>
    <n v="75.680000000000007"/>
    <m/>
    <m/>
    <m/>
    <m/>
    <m/>
    <m/>
    <m/>
    <n v="37.840000000000003"/>
    <n v="300"/>
    <n v="527.04"/>
  </r>
  <r>
    <n v="9"/>
    <x v="9"/>
    <x v="1"/>
    <n v="171895"/>
    <s v="IBARRA LUISINA YASMIN"/>
    <s v="27-37039024-5"/>
    <n v="42642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PLUMERIZZO"/>
    <n v="764"/>
    <m/>
    <m/>
    <s v="CAPITAL FEDERAL"/>
    <s v="Capital Federal"/>
    <m/>
    <s v="U.O.Centro Paga Inplant"/>
    <m/>
    <n v="2"/>
    <n v="1"/>
    <n v="14630.26"/>
    <n v="2926.06"/>
    <m/>
    <m/>
    <n v="11704.2"/>
    <m/>
    <n v="292.60000000000002"/>
    <m/>
    <m/>
    <m/>
    <m/>
    <m/>
    <m/>
    <n v="146.31"/>
    <m/>
    <m/>
    <m/>
    <m/>
    <m/>
    <m/>
    <n v="292.60000000000002"/>
    <m/>
    <m/>
    <m/>
    <m/>
    <m/>
    <m/>
    <m/>
    <n v="146.31"/>
    <n v="300"/>
    <n v="1177.82"/>
  </r>
  <r>
    <n v="9"/>
    <x v="9"/>
    <x v="0"/>
    <n v="178270"/>
    <s v="JABIF MATEO"/>
    <s v="20-39352832-0"/>
    <n v="42649"/>
    <n v="39352832"/>
    <s v="JABIF"/>
    <s v="MATEO"/>
    <s v="M"/>
    <m/>
    <d v="2016-09-0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ODRIGUEZ PEÑA"/>
    <n v="1225"/>
    <n v="2"/>
    <s v="B"/>
    <s v="CAPITAL FEDERAL"/>
    <s v="Buenos Aires"/>
    <m/>
    <s v="U.O.Centro"/>
    <m/>
    <n v="2"/>
    <n v="1"/>
    <n v="2157.44"/>
    <n v="431.51"/>
    <m/>
    <m/>
    <n v="1725.93"/>
    <m/>
    <n v="43.15"/>
    <m/>
    <m/>
    <m/>
    <m/>
    <m/>
    <m/>
    <n v="21.58"/>
    <m/>
    <m/>
    <m/>
    <m/>
    <m/>
    <m/>
    <n v="43.15"/>
    <m/>
    <m/>
    <m/>
    <m/>
    <m/>
    <m/>
    <m/>
    <n v="21.58"/>
    <n v="300"/>
    <n v="429.46"/>
  </r>
  <r>
    <n v="9"/>
    <x v="9"/>
    <x v="0"/>
    <n v="168403"/>
    <s v="JUAREZ LILIANA MARCELA"/>
    <s v="27-23887293-1"/>
    <n v="42646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s v="C1007AAA"/>
    <s v="LA RIOJA"/>
    <n v="841"/>
    <m/>
    <m/>
    <s v="CAPITAL FEDERAL"/>
    <s v="Buenos Aires"/>
    <m/>
    <s v="U.O.Centro"/>
    <m/>
    <n v="1"/>
    <n v="1"/>
    <n v="17337.02"/>
    <n v="3467.4"/>
    <m/>
    <m/>
    <n v="13869.62"/>
    <m/>
    <n v="346.74"/>
    <m/>
    <m/>
    <m/>
    <m/>
    <m/>
    <m/>
    <n v="173.37"/>
    <m/>
    <m/>
    <m/>
    <m/>
    <m/>
    <m/>
    <n v="346.74"/>
    <m/>
    <m/>
    <m/>
    <m/>
    <m/>
    <m/>
    <m/>
    <n v="173.37"/>
    <n v="300"/>
    <n v="1340.22"/>
  </r>
  <r>
    <n v="9"/>
    <x v="9"/>
    <x v="0"/>
    <n v="162207"/>
    <s v="KOLTOWSKI ALICIA ANDREA"/>
    <s v="27-24905826-8"/>
    <n v="42649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ENIDA MONTEVERDE"/>
    <n v="1225"/>
    <m/>
    <m/>
    <s v="CAPITAL FEDERAL"/>
    <s v="Buenos Aires"/>
    <m/>
    <s v="U.O.Centro"/>
    <m/>
    <n v="1"/>
    <n v="1"/>
    <n v="1374.5"/>
    <n v="274.92"/>
    <m/>
    <m/>
    <n v="1099.58"/>
    <m/>
    <n v="27.49"/>
    <m/>
    <m/>
    <m/>
    <m/>
    <m/>
    <m/>
    <n v="13.75"/>
    <m/>
    <m/>
    <m/>
    <m/>
    <m/>
    <m/>
    <n v="27.49"/>
    <m/>
    <m/>
    <m/>
    <m/>
    <m/>
    <m/>
    <m/>
    <n v="13.75"/>
    <n v="300"/>
    <n v="382.48"/>
  </r>
  <r>
    <n v="9"/>
    <x v="9"/>
    <x v="0"/>
    <n v="172052"/>
    <s v="KUMANI CINTHIA"/>
    <s v="27-36821956-3"/>
    <n v="42649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LUIS"/>
    <n v="1225"/>
    <m/>
    <m/>
    <s v="CAPITAL FEDERAL"/>
    <s v="Buenos Aires"/>
    <m/>
    <s v="U.O.Centro"/>
    <m/>
    <n v="2"/>
    <n v="1"/>
    <n v="12828.73"/>
    <n v="2565.77"/>
    <m/>
    <m/>
    <n v="10262.959999999999"/>
    <m/>
    <n v="256.58"/>
    <m/>
    <m/>
    <m/>
    <m/>
    <m/>
    <m/>
    <n v="128.29"/>
    <m/>
    <m/>
    <m/>
    <m/>
    <m/>
    <m/>
    <n v="256.58"/>
    <m/>
    <m/>
    <m/>
    <m/>
    <m/>
    <m/>
    <m/>
    <n v="128.29"/>
    <n v="300"/>
    <n v="1069.74"/>
  </r>
  <r>
    <n v="9"/>
    <x v="9"/>
    <x v="0"/>
    <n v="177722"/>
    <s v="LADERO VIVAS MARIA ANGELES"/>
    <s v="27-34889963-0"/>
    <n v="42649"/>
    <n v="34889963"/>
    <s v="LADERO VIVAS"/>
    <s v="MARIA ANGELES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GENERAL SAVIO"/>
    <n v="240"/>
    <n v="1"/>
    <m/>
    <s v="TIGRE"/>
    <s v="Buenos Aires"/>
    <m/>
    <s v="U.O.San Isidro"/>
    <m/>
    <n v="1"/>
    <n v="1"/>
    <n v="5140.1099999999997"/>
    <n v="1028.01"/>
    <m/>
    <m/>
    <n v="4112.1000000000004"/>
    <m/>
    <n v="102.8"/>
    <m/>
    <m/>
    <m/>
    <m/>
    <m/>
    <m/>
    <n v="51.4"/>
    <m/>
    <m/>
    <m/>
    <m/>
    <m/>
    <m/>
    <n v="102.8"/>
    <m/>
    <m/>
    <m/>
    <m/>
    <m/>
    <m/>
    <m/>
    <n v="51.4"/>
    <n v="300"/>
    <n v="608.4"/>
  </r>
  <r>
    <n v="9"/>
    <x v="9"/>
    <x v="0"/>
    <n v="175088"/>
    <s v="LIET LEANDRO EMANUEL"/>
    <s v="20-37280869-2"/>
    <n v="42649"/>
    <n v="37280869"/>
    <s v="LIET"/>
    <s v="LEANDRO EMANUEL"/>
    <s v="M"/>
    <m/>
    <d v="2016-07-01T00:00:00"/>
    <d v="2016-09-16T00:00:00"/>
    <n v="42628"/>
    <s v="GASTRONOMICOS-Hoteles 4 y 5 Estrellas - 362/2003"/>
    <s v="Categoría 4"/>
    <x v="5"/>
    <s v="Mucamas - GL"/>
    <s v="Centro"/>
    <s v="Mucama"/>
    <n v="125905"/>
    <s v="OS  ARBITROS DEPORTIVOS DE LA REPUBLICA ARGENTINA"/>
    <s v="Capital Federal"/>
    <m/>
    <s v="C1104AKC"/>
    <n v="158"/>
    <n v="1225"/>
    <m/>
    <m/>
    <s v="CAPITAL FEDERAL"/>
    <s v="Buenos Aires"/>
    <m/>
    <s v="U.O.Centro"/>
    <m/>
    <n v="2"/>
    <n v="1"/>
    <n v="2503.62"/>
    <n v="500.73"/>
    <m/>
    <m/>
    <n v="2002.89"/>
    <m/>
    <n v="50.07"/>
    <m/>
    <m/>
    <m/>
    <m/>
    <m/>
    <m/>
    <n v="25.04"/>
    <m/>
    <m/>
    <m/>
    <m/>
    <m/>
    <m/>
    <n v="50.07"/>
    <m/>
    <m/>
    <m/>
    <m/>
    <m/>
    <m/>
    <m/>
    <n v="25.04"/>
    <n v="300"/>
    <n v="450.22"/>
  </r>
  <r>
    <n v="9"/>
    <x v="9"/>
    <x v="0"/>
    <n v="170301"/>
    <s v="LIRA ELIANA EDITH"/>
    <s v="27-27473307-7"/>
    <n v="42649"/>
    <n v="27473307"/>
    <s v="LIRA"/>
    <s v="ELIANA EDITH"/>
    <s v="F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RONEL MAGAN"/>
    <n v="1225"/>
    <m/>
    <m/>
    <s v="CAPITAL FEDERAL"/>
    <s v="Buenos Aires"/>
    <m/>
    <s v="U.O.Centro"/>
    <m/>
    <n v="3"/>
    <n v="1"/>
    <n v="2996.34"/>
    <n v="596.79999999999995"/>
    <m/>
    <m/>
    <n v="2399.54"/>
    <m/>
    <n v="59.93"/>
    <m/>
    <m/>
    <m/>
    <m/>
    <m/>
    <m/>
    <n v="27.49"/>
    <m/>
    <m/>
    <m/>
    <m/>
    <m/>
    <m/>
    <n v="59.93"/>
    <m/>
    <m/>
    <m/>
    <m/>
    <m/>
    <m/>
    <m/>
    <n v="27.49"/>
    <n v="250"/>
    <n v="424.84"/>
  </r>
  <r>
    <n v="9"/>
    <x v="9"/>
    <x v="1"/>
    <n v="170264"/>
    <s v="LIZARRAGA ARIEL HERNAN"/>
    <s v="20-30593212-5"/>
    <n v="42649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martinto"/>
    <n v="1891"/>
    <m/>
    <m/>
    <s v="CAPITAL FEDERAL"/>
    <s v="Capital Federal"/>
    <m/>
    <s v="U.O.Centro"/>
    <s v="Alvear Palace"/>
    <n v="1"/>
    <n v="1"/>
    <n v="4047.88"/>
    <n v="809.59"/>
    <m/>
    <m/>
    <n v="3238.29"/>
    <m/>
    <n v="80.959999999999994"/>
    <m/>
    <m/>
    <m/>
    <m/>
    <m/>
    <m/>
    <n v="40.479999999999997"/>
    <m/>
    <m/>
    <m/>
    <m/>
    <m/>
    <m/>
    <n v="80.959999999999994"/>
    <m/>
    <m/>
    <m/>
    <m/>
    <m/>
    <m/>
    <m/>
    <n v="40.479999999999997"/>
    <n v="300"/>
    <n v="542.88"/>
  </r>
  <r>
    <n v="9"/>
    <x v="9"/>
    <x v="0"/>
    <n v="166016"/>
    <s v="LOPEZ BILLERI MARIA ANTONELLA"/>
    <s v="27-36157606-9"/>
    <n v="42649"/>
    <n v="36157606"/>
    <s v="LOPEZ BILLERI"/>
    <s v="MARIA ANTONELLA"/>
    <s v="F"/>
    <m/>
    <d v="2016-01-10T00:00:00"/>
    <d v="2016-09-30T00:00:00"/>
    <m/>
    <s v="GASTRONOMICOS-Hoteles 4 y 5 Estrellas - 362/2003"/>
    <s v="Categoria 6"/>
    <x v="16"/>
    <s v="Back Office"/>
    <s v="Back Office"/>
    <s v="Camarero/a"/>
    <n v="108803"/>
    <s v="O.S.P.Gastronomico"/>
    <s v="Buenos Aires - Almte. Brown"/>
    <m/>
    <s v="C1019ABK"/>
    <s v="IRIGOYEN"/>
    <n v="513"/>
    <m/>
    <m/>
    <s v="CAPITAL FEDERAL"/>
    <s v="Buenos Aires"/>
    <m/>
    <m/>
    <m/>
    <n v="3"/>
    <n v="1"/>
    <n v="9562.1"/>
    <n v="1951.49"/>
    <m/>
    <n v="25810.67"/>
    <n v="33421.279999999999"/>
    <m/>
    <n v="230.32"/>
    <m/>
    <m/>
    <m/>
    <m/>
    <m/>
    <m/>
    <n v="95.62"/>
    <m/>
    <m/>
    <m/>
    <m/>
    <m/>
    <m/>
    <n v="191.24"/>
    <m/>
    <m/>
    <m/>
    <m/>
    <m/>
    <m/>
    <m/>
    <n v="95.62"/>
    <n v="300"/>
    <n v="912.8"/>
  </r>
  <r>
    <n v="9"/>
    <x v="9"/>
    <x v="0"/>
    <n v="169947"/>
    <s v="LOPEZ ROMERO NESTOR DAMIAN"/>
    <s v="20-94770741-9"/>
    <n v="42649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RIO IGUAZU"/>
    <n v="1225"/>
    <m/>
    <m/>
    <s v="CAPITAL FEDERAL"/>
    <s v="Buenos Aires"/>
    <m/>
    <s v="U.O.Centro"/>
    <m/>
    <n v="2"/>
    <n v="1"/>
    <n v="8082.85"/>
    <n v="1616.56"/>
    <m/>
    <m/>
    <n v="6466.29"/>
    <m/>
    <n v="161.66"/>
    <m/>
    <m/>
    <m/>
    <m/>
    <m/>
    <m/>
    <n v="80.83"/>
    <m/>
    <m/>
    <m/>
    <m/>
    <m/>
    <m/>
    <n v="161.66"/>
    <m/>
    <m/>
    <m/>
    <m/>
    <m/>
    <m/>
    <m/>
    <n v="80.83"/>
    <n v="300"/>
    <n v="784.98"/>
  </r>
  <r>
    <n v="9"/>
    <x v="9"/>
    <x v="0"/>
    <n v="178415"/>
    <s v="LUJAN LUCIANA"/>
    <s v="27-38154473-2"/>
    <n v="42649"/>
    <n v="38154473"/>
    <s v="LUJAN"/>
    <s v="LUCIAN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ALVARADO"/>
    <n v="240"/>
    <m/>
    <m/>
    <s v="TIGRE"/>
    <s v="Buenos Aires"/>
    <m/>
    <s v="U.O.San Isidro"/>
    <m/>
    <n v="1"/>
    <n v="1"/>
    <n v="251.48"/>
    <n v="50.28"/>
    <m/>
    <m/>
    <n v="201.2"/>
    <m/>
    <n v="5.03"/>
    <m/>
    <m/>
    <m/>
    <m/>
    <m/>
    <m/>
    <n v="2.5099999999999998"/>
    <m/>
    <m/>
    <m/>
    <m/>
    <m/>
    <m/>
    <n v="5.03"/>
    <m/>
    <m/>
    <m/>
    <m/>
    <m/>
    <m/>
    <m/>
    <n v="2.5099999999999998"/>
    <n v="300"/>
    <n v="315.08"/>
  </r>
  <r>
    <n v="9"/>
    <x v="9"/>
    <x v="0"/>
    <n v="177167"/>
    <s v="LUNA ELIANA DENISE"/>
    <s v="27-37280303-2"/>
    <n v="42649"/>
    <n v="37280303"/>
    <s v="LUNA"/>
    <s v="ELIANA DENISE"/>
    <s v="F"/>
    <m/>
    <d v="2016-08-13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SANTIAGO DE CHILE"/>
    <n v="1225"/>
    <m/>
    <m/>
    <s v="CAPITAL FEDERAL"/>
    <s v="Buenos Aires"/>
    <m/>
    <s v="U.O.Centro"/>
    <m/>
    <n v="2"/>
    <n v="1"/>
    <n v="7789.03"/>
    <n v="1557.81"/>
    <m/>
    <m/>
    <n v="6231.22"/>
    <m/>
    <n v="155.78"/>
    <m/>
    <m/>
    <m/>
    <m/>
    <m/>
    <m/>
    <n v="77.89"/>
    <m/>
    <m/>
    <m/>
    <m/>
    <m/>
    <m/>
    <n v="155.78"/>
    <m/>
    <m/>
    <m/>
    <m/>
    <m/>
    <m/>
    <m/>
    <n v="77.89"/>
    <n v="300"/>
    <n v="767.34"/>
  </r>
  <r>
    <n v="9"/>
    <x v="9"/>
    <x v="1"/>
    <n v="147835"/>
    <s v="LUQUE JAVIER ANTONIO"/>
    <s v="20-37023577-6"/>
    <n v="42649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s v="C1009ABK"/>
    <s v="LILA"/>
    <n v="507"/>
    <m/>
    <m/>
    <s v="CAPITAL FEDERAL"/>
    <s v="Capital Federal"/>
    <m/>
    <s v="U.O.Centro Paga Inplant"/>
    <m/>
    <n v="1"/>
    <n v="1"/>
    <n v="9673.5"/>
    <n v="1934.72"/>
    <m/>
    <m/>
    <n v="7738.78"/>
    <m/>
    <n v="193.47"/>
    <m/>
    <m/>
    <m/>
    <m/>
    <m/>
    <m/>
    <n v="96.74"/>
    <m/>
    <m/>
    <m/>
    <m/>
    <m/>
    <m/>
    <n v="193.47"/>
    <m/>
    <m/>
    <m/>
    <m/>
    <m/>
    <m/>
    <m/>
    <n v="96.74"/>
    <n v="300"/>
    <n v="880.42"/>
  </r>
  <r>
    <n v="9"/>
    <x v="9"/>
    <x v="1"/>
    <n v="177466"/>
    <s v="LUQUI LUCIO NICOLAS"/>
    <s v="23-38176357-9"/>
    <n v="42642"/>
    <n v="38176357"/>
    <s v="LUQUI"/>
    <s v="LUCIO NICOLAS"/>
    <s v="M"/>
    <m/>
    <d v="2016-08-21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LAMBARE"/>
    <n v="764"/>
    <m/>
    <m/>
    <s v="CAPITAL FEDERAL"/>
    <s v="Capital Federal"/>
    <m/>
    <s v="U.O.Centro"/>
    <m/>
    <n v="1"/>
    <n v="1"/>
    <n v="83.49"/>
    <n v="16.68"/>
    <m/>
    <m/>
    <n v="66.81"/>
    <m/>
    <n v="1.67"/>
    <m/>
    <m/>
    <m/>
    <m/>
    <m/>
    <m/>
    <n v="0.83"/>
    <m/>
    <m/>
    <m/>
    <m/>
    <m/>
    <m/>
    <n v="1.67"/>
    <m/>
    <m/>
    <m/>
    <m/>
    <m/>
    <m/>
    <m/>
    <n v="0.83"/>
    <m/>
    <n v="5"/>
  </r>
  <r>
    <n v="9"/>
    <x v="9"/>
    <x v="1"/>
    <n v="172051"/>
    <s v="MACIEL DIEGO MAXIMILIANO"/>
    <s v="20-37179030-7"/>
    <n v="42649"/>
    <n v="37179030"/>
    <s v="MACIEL"/>
    <s v="DIEGO MAXIMILIANO"/>
    <s v="M"/>
    <m/>
    <d v="2016-04-2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CARLOS PELLEGRINI"/>
    <n v="507"/>
    <m/>
    <m/>
    <s v="CAPITAL FEDERAL"/>
    <s v="Capital Federal"/>
    <m/>
    <s v="U.O.Centro Paga Inplant"/>
    <m/>
    <n v="1"/>
    <n v="1"/>
    <n v="10685.1"/>
    <n v="2137.0100000000002"/>
    <m/>
    <m/>
    <n v="8548.09"/>
    <m/>
    <n v="213.7"/>
    <m/>
    <m/>
    <m/>
    <m/>
    <m/>
    <m/>
    <n v="106.85"/>
    <m/>
    <m/>
    <m/>
    <m/>
    <m/>
    <m/>
    <n v="213.7"/>
    <m/>
    <m/>
    <m/>
    <m/>
    <m/>
    <m/>
    <m/>
    <n v="106.85"/>
    <n v="300"/>
    <n v="941.1"/>
  </r>
  <r>
    <n v="9"/>
    <x v="9"/>
    <x v="0"/>
    <n v="178164"/>
    <s v="MAIDANA JUAN MANUEL"/>
    <s v="20-40075659-8"/>
    <n v="42649"/>
    <n v="40075659"/>
    <s v="MAIDANA"/>
    <s v="JUAN MANUEL"/>
    <s v="M"/>
    <m/>
    <d v="2016-08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RIO DIAMANTE"/>
    <n v="1225"/>
    <m/>
    <m/>
    <s v="CAPITAL FEDERAL"/>
    <s v="Buenos Aires"/>
    <m/>
    <s v="U.O.Centro"/>
    <m/>
    <n v="2"/>
    <n v="1"/>
    <n v="625.91"/>
    <n v="125.19"/>
    <m/>
    <m/>
    <n v="500.72"/>
    <m/>
    <n v="12.52"/>
    <m/>
    <m/>
    <m/>
    <m/>
    <m/>
    <m/>
    <n v="6.26"/>
    <m/>
    <m/>
    <m/>
    <m/>
    <m/>
    <m/>
    <n v="12.52"/>
    <m/>
    <m/>
    <m/>
    <m/>
    <m/>
    <m/>
    <m/>
    <n v="6.26"/>
    <n v="300"/>
    <n v="337.56"/>
  </r>
  <r>
    <n v="9"/>
    <x v="9"/>
    <x v="0"/>
    <n v="177958"/>
    <s v="MAIDANA LILIANA JAQUELINE"/>
    <s v="27-38494986-5"/>
    <n v="42649"/>
    <n v="38494986"/>
    <s v="MAIDANA"/>
    <s v="LILIANA JAQUELINE"/>
    <s v="F"/>
    <m/>
    <d v="2016-09-01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AVENIDA VILLANUEVA"/>
    <n v="240"/>
    <m/>
    <m/>
    <s v="TIGRE"/>
    <s v="Buenos Aires"/>
    <m/>
    <s v="U.O.San Isidro"/>
    <m/>
    <n v="1"/>
    <n v="1"/>
    <n v="9393.6299999999992"/>
    <n v="1878.73"/>
    <m/>
    <m/>
    <n v="7514.9"/>
    <m/>
    <n v="187.87"/>
    <m/>
    <m/>
    <m/>
    <m/>
    <m/>
    <m/>
    <n v="93.94"/>
    <m/>
    <m/>
    <m/>
    <m/>
    <m/>
    <m/>
    <n v="187.87"/>
    <m/>
    <m/>
    <m/>
    <m/>
    <m/>
    <m/>
    <m/>
    <n v="93.94"/>
    <n v="300"/>
    <n v="863.62"/>
  </r>
  <r>
    <n v="9"/>
    <x v="9"/>
    <x v="0"/>
    <n v="170140"/>
    <s v="MAIDANA OSCAR RODOLFO"/>
    <s v="20-12573728-6"/>
    <n v="42649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s v="C1104AKC"/>
    <s v="MARCO SASTRE"/>
    <n v="1225"/>
    <m/>
    <m/>
    <s v="CAPITAL FEDERAL"/>
    <s v="Buenos Aires"/>
    <m/>
    <s v="U.O.Centro"/>
    <m/>
    <n v="2"/>
    <n v="1"/>
    <n v="19952.599999999999"/>
    <n v="4990.53"/>
    <m/>
    <n v="1000"/>
    <n v="15962.07"/>
    <m/>
    <n v="399.05"/>
    <m/>
    <m/>
    <m/>
    <m/>
    <m/>
    <m/>
    <n v="199.53"/>
    <m/>
    <m/>
    <m/>
    <m/>
    <n v="1000"/>
    <m/>
    <n v="399.05"/>
    <m/>
    <m/>
    <m/>
    <m/>
    <m/>
    <m/>
    <m/>
    <n v="199.53"/>
    <n v="300"/>
    <n v="2497.16"/>
  </r>
  <r>
    <n v="9"/>
    <x v="9"/>
    <x v="0"/>
    <n v="163375"/>
    <s v="MANGIN CARINA ANAHI"/>
    <s v="27-31623620-6"/>
    <n v="42649"/>
    <n v="31623620"/>
    <s v="MANGIN"/>
    <s v="CARINA ANAHI"/>
    <s v="F"/>
    <m/>
    <d v="2015-11-26T00:00:00"/>
    <d v="2016-06-16T00:00:00"/>
    <n v="42537"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ONTEVIDEO"/>
    <n v="1225"/>
    <m/>
    <s v="PB"/>
    <s v="CAPITAL FEDERAL"/>
    <s v="Buenos Aires"/>
    <m/>
    <s v="U.O.Centro"/>
    <s v="Catering"/>
    <n v="1"/>
    <n v="1"/>
    <m/>
    <m/>
    <m/>
    <n v="535.36"/>
    <n v="535.36"/>
    <m/>
    <m/>
    <m/>
    <m/>
    <m/>
    <m/>
    <m/>
    <m/>
    <m/>
    <m/>
    <m/>
    <m/>
    <m/>
    <m/>
    <m/>
    <m/>
    <m/>
    <m/>
    <m/>
    <m/>
    <m/>
    <m/>
    <m/>
    <m/>
    <m/>
    <m/>
  </r>
  <r>
    <n v="9"/>
    <x v="9"/>
    <x v="0"/>
    <n v="177725"/>
    <s v="MARCASOLI JOAQUIN GASPAR"/>
    <s v="20-40060166-7"/>
    <n v="42649"/>
    <n v="40060166"/>
    <s v="MARCASOLI"/>
    <s v="JOAQUIN GASPAR"/>
    <s v="M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TENIENTE GENERAL LONARDI"/>
    <n v="240"/>
    <m/>
    <m/>
    <s v="TIGRE"/>
    <s v="Buenos Aires"/>
    <m/>
    <s v="U.O.San Isidro"/>
    <m/>
    <n v="1"/>
    <n v="1"/>
    <n v="10964.19"/>
    <n v="2192.84"/>
    <m/>
    <m/>
    <n v="8771.35"/>
    <m/>
    <n v="219.28"/>
    <m/>
    <m/>
    <m/>
    <m/>
    <m/>
    <m/>
    <n v="109.64"/>
    <m/>
    <m/>
    <m/>
    <m/>
    <m/>
    <m/>
    <n v="219.28"/>
    <m/>
    <m/>
    <m/>
    <m/>
    <m/>
    <m/>
    <m/>
    <n v="109.64"/>
    <n v="300"/>
    <n v="957.84"/>
  </r>
  <r>
    <n v="9"/>
    <x v="9"/>
    <x v="0"/>
    <n v="152233"/>
    <s v="MARGHETICH SERGIO VIRGILIO"/>
    <s v="20-21090363-2"/>
    <n v="42649"/>
    <n v="21090363"/>
    <s v="MARGHETICH"/>
    <s v="SERGIO VIRGILIO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TAMARCA"/>
    <n v="1225"/>
    <m/>
    <m/>
    <s v="CAPITAL FEDERAL"/>
    <s v="Buenos Aires"/>
    <m/>
    <s v="U.O.Centro"/>
    <m/>
    <n v="3"/>
    <n v="1"/>
    <n v="16705.63"/>
    <n v="3341.14"/>
    <m/>
    <m/>
    <n v="13364.49"/>
    <m/>
    <n v="334.12"/>
    <m/>
    <m/>
    <m/>
    <m/>
    <m/>
    <m/>
    <n v="167.05"/>
    <m/>
    <m/>
    <m/>
    <m/>
    <m/>
    <m/>
    <n v="334.12"/>
    <n v="15.48"/>
    <n v="250"/>
    <m/>
    <m/>
    <m/>
    <m/>
    <m/>
    <n v="151.57"/>
    <n v="300"/>
    <n v="1552.34"/>
  </r>
  <r>
    <n v="9"/>
    <x v="9"/>
    <x v="1"/>
    <n v="122290"/>
    <s v="MARTINEZ EZEQUIEL FACUNDO"/>
    <s v="20-28328215-6"/>
    <n v="42649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0607.6"/>
    <n v="2174.5700000000002"/>
    <m/>
    <m/>
    <n v="8433.0300000000007"/>
    <n v="265.19"/>
    <m/>
    <m/>
    <m/>
    <m/>
    <m/>
    <m/>
    <m/>
    <n v="106.08"/>
    <m/>
    <m/>
    <m/>
    <m/>
    <m/>
    <m/>
    <n v="212.15"/>
    <m/>
    <m/>
    <m/>
    <m/>
    <m/>
    <m/>
    <m/>
    <n v="106.08"/>
    <n v="300"/>
    <n v="989.5"/>
  </r>
  <r>
    <n v="9"/>
    <x v="9"/>
    <x v="1"/>
    <n v="171586"/>
    <s v="MARTINEZ JONATHAN EZEQUIEL"/>
    <s v="20-31158376-0"/>
    <n v="42649"/>
    <n v="31158376"/>
    <s v="MARTINEZ"/>
    <s v="JONATHAN EZEQU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LAVALLOL"/>
    <n v="1891"/>
    <n v="1"/>
    <s v="D"/>
    <s v="CAPITAL FEDERAL"/>
    <s v="Capital Federal"/>
    <m/>
    <s v="U.O.Centro"/>
    <s v="Alvear Palace"/>
    <n v="1"/>
    <n v="1"/>
    <n v="542.5"/>
    <n v="108.52"/>
    <m/>
    <m/>
    <n v="433.98"/>
    <m/>
    <n v="10.85"/>
    <m/>
    <m/>
    <m/>
    <m/>
    <m/>
    <m/>
    <n v="5.43"/>
    <m/>
    <m/>
    <m/>
    <m/>
    <m/>
    <m/>
    <n v="10.85"/>
    <m/>
    <m/>
    <m/>
    <m/>
    <m/>
    <m/>
    <m/>
    <n v="5.43"/>
    <n v="300"/>
    <n v="332.56"/>
  </r>
  <r>
    <n v="9"/>
    <x v="9"/>
    <x v="1"/>
    <n v="152931"/>
    <s v="MARTINEZ KAREN"/>
    <s v="27-37827128-8"/>
    <n v="42649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1"/>
    <n v="1"/>
    <n v="12206.27"/>
    <n v="2502.29"/>
    <m/>
    <m/>
    <n v="9703.98"/>
    <n v="305.16000000000003"/>
    <m/>
    <m/>
    <m/>
    <m/>
    <m/>
    <m/>
    <m/>
    <n v="122.06"/>
    <m/>
    <m/>
    <m/>
    <m/>
    <m/>
    <m/>
    <n v="244.13"/>
    <m/>
    <m/>
    <m/>
    <m/>
    <m/>
    <m/>
    <m/>
    <n v="122.06"/>
    <n v="300"/>
    <n v="1093.4100000000001"/>
  </r>
  <r>
    <n v="9"/>
    <x v="9"/>
    <x v="0"/>
    <n v="169944"/>
    <s v="MARTINEZ MIGUEL ANGEL"/>
    <s v="20-35371989-1"/>
    <n v="42649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ZA 5  CASA 38"/>
    <n v="1225"/>
    <m/>
    <m/>
    <s v="CAPITAL FEDERAL"/>
    <s v="Buenos Aires"/>
    <m/>
    <s v="U.O.Centro"/>
    <m/>
    <n v="2"/>
    <n v="1"/>
    <n v="17291.400000000001"/>
    <n v="3458.29"/>
    <m/>
    <m/>
    <n v="13833.11"/>
    <m/>
    <n v="345.83"/>
    <m/>
    <m/>
    <m/>
    <m/>
    <m/>
    <m/>
    <n v="172.92"/>
    <m/>
    <m/>
    <m/>
    <m/>
    <m/>
    <m/>
    <n v="345.83"/>
    <m/>
    <m/>
    <m/>
    <m/>
    <m/>
    <m/>
    <m/>
    <n v="172.92"/>
    <n v="300"/>
    <n v="1337.5"/>
  </r>
  <r>
    <n v="9"/>
    <x v="9"/>
    <x v="0"/>
    <n v="177465"/>
    <s v="MARTINEZ SEOANE MAGALI"/>
    <s v="27-25440969-9"/>
    <n v="42649"/>
    <n v="25440969"/>
    <s v="MARTINEZ SEOANE"/>
    <s v="MAGALI"/>
    <s v="F"/>
    <m/>
    <d v="2016-08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 INDEPENDENCIA"/>
    <n v="181"/>
    <s v="PB"/>
    <n v="7"/>
    <s v="CAPITAL FEDERAL"/>
    <s v="Capital Federal"/>
    <m/>
    <s v="U.O.Centro"/>
    <m/>
    <n v="2"/>
    <n v="1"/>
    <n v="7248.73"/>
    <n v="1485.98"/>
    <m/>
    <m/>
    <n v="5762.75"/>
    <n v="181.22"/>
    <m/>
    <m/>
    <m/>
    <m/>
    <m/>
    <m/>
    <m/>
    <n v="72.48"/>
    <m/>
    <m/>
    <m/>
    <m/>
    <m/>
    <m/>
    <n v="144.97999999999999"/>
    <m/>
    <m/>
    <m/>
    <m/>
    <m/>
    <m/>
    <m/>
    <n v="72.48"/>
    <n v="300"/>
    <n v="771.16"/>
  </r>
  <r>
    <n v="9"/>
    <x v="9"/>
    <x v="0"/>
    <n v="161583"/>
    <s v="MEDINA EMILSE RAQUEL"/>
    <s v="27-36216142-3"/>
    <n v="42634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ELO T DE ALVEAR"/>
    <n v="1225"/>
    <m/>
    <m/>
    <s v="CAPITAL FEDERAL"/>
    <s v="Buenos Aires"/>
    <m/>
    <s v="U.O.Quilmes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9"/>
    <x v="9"/>
    <x v="1"/>
    <n v="168289"/>
    <s v="MEDINA JESICA FABIANA"/>
    <s v="23-36214863-4"/>
    <n v="42642"/>
    <n v="36214863"/>
    <s v="MEDINA"/>
    <s v="JESICA FABIANA"/>
    <s v="F"/>
    <m/>
    <d v="2016-02-16T00:00:00"/>
    <d v="2016-09-12T00:00:00"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MORANCHEL"/>
    <n v="764"/>
    <m/>
    <m/>
    <s v="CAPITAL FEDERAL"/>
    <s v="Capital Federal"/>
    <m/>
    <s v="U.O.Centro Paga Inplant"/>
    <m/>
    <n v="1"/>
    <n v="1"/>
    <n v="667.17"/>
    <n v="133.44"/>
    <m/>
    <m/>
    <n v="533.73"/>
    <m/>
    <n v="13.34"/>
    <m/>
    <m/>
    <m/>
    <m/>
    <m/>
    <m/>
    <n v="6.67"/>
    <m/>
    <m/>
    <m/>
    <m/>
    <m/>
    <m/>
    <n v="13.34"/>
    <m/>
    <m/>
    <m/>
    <m/>
    <m/>
    <m/>
    <m/>
    <n v="6.67"/>
    <m/>
    <n v="40.020000000000003"/>
  </r>
  <r>
    <n v="9"/>
    <x v="9"/>
    <x v="1"/>
    <n v="173714"/>
    <s v="MERCADO WALTER SAUL"/>
    <s v="24-32060645-0"/>
    <n v="42642"/>
    <n v="32060645"/>
    <s v="MERCADO"/>
    <s v="WALTER SAUL"/>
    <s v="M"/>
    <m/>
    <d v="2016-06-0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LAUDIO DE ALAS"/>
    <n v="764"/>
    <m/>
    <m/>
    <s v="CAPITAL FEDERAL"/>
    <s v="Capital Federal"/>
    <m/>
    <s v="U.O.Centro"/>
    <m/>
    <n v="2"/>
    <n v="1"/>
    <n v="14400.06"/>
    <n v="2880.02"/>
    <m/>
    <m/>
    <n v="11520.04"/>
    <m/>
    <n v="288.01"/>
    <m/>
    <m/>
    <m/>
    <m/>
    <m/>
    <m/>
    <n v="144"/>
    <m/>
    <m/>
    <m/>
    <m/>
    <m/>
    <m/>
    <n v="288.01"/>
    <m/>
    <m/>
    <m/>
    <m/>
    <m/>
    <m/>
    <m/>
    <n v="144"/>
    <n v="300"/>
    <n v="1164.02"/>
  </r>
  <r>
    <n v="9"/>
    <x v="9"/>
    <x v="1"/>
    <n v="172224"/>
    <s v="MEZA MAXIMILIANO OMAR"/>
    <s v="20-37205496-5"/>
    <n v="42642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MALVINAS ARGENTINAS"/>
    <n v="764"/>
    <m/>
    <m/>
    <s v="CAPITAL FEDERAL"/>
    <s v="Capital Federal"/>
    <m/>
    <s v="U.O.Centro Paga Inplant"/>
    <m/>
    <n v="2"/>
    <n v="1"/>
    <n v="1959.35"/>
    <n v="391.86"/>
    <m/>
    <m/>
    <n v="1567.49"/>
    <m/>
    <n v="39.18"/>
    <m/>
    <m/>
    <m/>
    <m/>
    <m/>
    <m/>
    <n v="19.600000000000001"/>
    <m/>
    <m/>
    <m/>
    <m/>
    <m/>
    <m/>
    <n v="39.18"/>
    <m/>
    <m/>
    <m/>
    <m/>
    <m/>
    <m/>
    <m/>
    <n v="19.600000000000001"/>
    <n v="300"/>
    <n v="417.56"/>
  </r>
  <r>
    <n v="9"/>
    <x v="9"/>
    <x v="0"/>
    <n v="163371"/>
    <s v="MEZA PIZARRO CHRISTIAN MERVEN"/>
    <s v="20-92327011-7"/>
    <n v="42649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s v="C1104AKC"/>
    <s v="MANUEL OCAMPO"/>
    <n v="1225"/>
    <m/>
    <m/>
    <s v="CAPITAL FEDERAL"/>
    <s v="Buenos Aires"/>
    <m/>
    <s v="U.O.Centro"/>
    <m/>
    <n v="2"/>
    <n v="1"/>
    <n v="14042.78"/>
    <n v="2808.54"/>
    <m/>
    <m/>
    <n v="11234.24"/>
    <m/>
    <n v="280.86"/>
    <m/>
    <m/>
    <m/>
    <m/>
    <m/>
    <m/>
    <n v="140.41999999999999"/>
    <m/>
    <m/>
    <m/>
    <m/>
    <m/>
    <m/>
    <n v="280.86"/>
    <m/>
    <m/>
    <m/>
    <m/>
    <m/>
    <m/>
    <m/>
    <n v="140.41999999999999"/>
    <n v="300"/>
    <n v="1142.56"/>
  </r>
  <r>
    <n v="9"/>
    <x v="9"/>
    <x v="0"/>
    <n v="177866"/>
    <s v="MIÑO ADRIAN GUSTAVO"/>
    <s v="20-37179628-3"/>
    <n v="42649"/>
    <n v="37179628"/>
    <s v="MIÑO"/>
    <s v="ADRIAN GUSTAVO"/>
    <s v="M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118 a"/>
    <n v="1225"/>
    <m/>
    <m/>
    <s v="CAPITAL FEDERAL"/>
    <s v="Buenos Aires"/>
    <m/>
    <s v="U.O.Centro"/>
    <m/>
    <n v="2"/>
    <n v="1"/>
    <n v="3129.52"/>
    <n v="625.9"/>
    <m/>
    <m/>
    <n v="2503.62"/>
    <m/>
    <n v="62.59"/>
    <m/>
    <m/>
    <m/>
    <m/>
    <m/>
    <m/>
    <n v="31.3"/>
    <m/>
    <m/>
    <m/>
    <m/>
    <m/>
    <m/>
    <n v="62.59"/>
    <m/>
    <m/>
    <m/>
    <m/>
    <m/>
    <m/>
    <m/>
    <n v="31.3"/>
    <n v="300"/>
    <n v="487.78"/>
  </r>
  <r>
    <n v="9"/>
    <x v="9"/>
    <x v="0"/>
    <n v="178956"/>
    <s v="MINOTTI RAMIRO LEONEL"/>
    <s v="20-33980481-9"/>
    <n v="42649"/>
    <n v="33980481"/>
    <s v="MINOTTI"/>
    <s v="RAMIRO LEONEL"/>
    <s v="M"/>
    <m/>
    <d v="2016-09-16T00:00:00"/>
    <m/>
    <n v="42640"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IOBAMBA"/>
    <n v="1225"/>
    <n v="2"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9"/>
    <x v="9"/>
    <x v="0"/>
    <n v="177489"/>
    <s v="MISITI ANGELES LUCIA"/>
    <s v="27-33554155-9"/>
    <n v="42649"/>
    <n v="33554155"/>
    <s v="MISITI"/>
    <s v="ANGELES LUCI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HOMERO"/>
    <n v="1005"/>
    <m/>
    <m/>
    <s v="CAPITAL FEDERAL"/>
    <s v="Capital Federal"/>
    <m/>
    <s v="U.O.Centro"/>
    <m/>
    <n v="2"/>
    <n v="1"/>
    <n v="2087.0100000000002"/>
    <n v="417.4"/>
    <m/>
    <m/>
    <n v="1669.61"/>
    <m/>
    <n v="41.74"/>
    <m/>
    <m/>
    <m/>
    <m/>
    <m/>
    <m/>
    <n v="20.87"/>
    <m/>
    <m/>
    <m/>
    <m/>
    <m/>
    <m/>
    <n v="41.74"/>
    <m/>
    <m/>
    <m/>
    <m/>
    <m/>
    <m/>
    <m/>
    <n v="20.87"/>
    <n v="300"/>
    <n v="425.22"/>
  </r>
  <r>
    <n v="9"/>
    <x v="9"/>
    <x v="0"/>
    <n v="178893"/>
    <s v="MONROY TERESA BEATRIZ"/>
    <s v="27-31014501-2"/>
    <n v="42646"/>
    <n v="31014501"/>
    <s v="MONROY"/>
    <s v="TERESA BEATRIZ"/>
    <s v="F"/>
    <m/>
    <d v="2016-09-16T00:00:00"/>
    <m/>
    <m/>
    <s v="GASTRONOMICOS-Hoteles 4 y 5 Estrellas - 362/2003"/>
    <s v="Categoria 6"/>
    <x v="10"/>
    <s v="SOFITEL HOUSEKEEPING"/>
    <s v="Centro"/>
    <s v="Gobernanta"/>
    <n v="103105"/>
    <s v="O.S.P.Ind.del Calzado"/>
    <s v="Capital Federal"/>
    <m/>
    <s v="C1007AAA"/>
    <s v="ALBARIÑOS"/>
    <n v="841"/>
    <m/>
    <m/>
    <s v="CAPITAL FEDERAL"/>
    <s v="Buenos Aires"/>
    <m/>
    <s v="U.O.Centro"/>
    <m/>
    <n v="1"/>
    <n v="1"/>
    <n v="6515.92"/>
    <n v="1303.19"/>
    <m/>
    <m/>
    <n v="5212.7299999999996"/>
    <m/>
    <n v="130.32"/>
    <m/>
    <m/>
    <m/>
    <m/>
    <m/>
    <m/>
    <n v="65.16"/>
    <m/>
    <m/>
    <m/>
    <m/>
    <m/>
    <m/>
    <n v="130.32"/>
    <m/>
    <m/>
    <m/>
    <m/>
    <m/>
    <m/>
    <m/>
    <n v="65.16"/>
    <n v="300"/>
    <n v="690.96"/>
  </r>
  <r>
    <n v="9"/>
    <x v="9"/>
    <x v="0"/>
    <n v="170446"/>
    <s v="MONTES LORENA ANDREA"/>
    <s v="27-30914440-1"/>
    <n v="42649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UAREZ"/>
    <n v="1225"/>
    <s v="PB"/>
    <m/>
    <s v="CAPITAL FEDERAL"/>
    <s v="Buenos Aires"/>
    <m/>
    <s v="U.O.Centro"/>
    <m/>
    <n v="2"/>
    <n v="1"/>
    <n v="11266.33"/>
    <n v="2253.27"/>
    <m/>
    <m/>
    <n v="9013.06"/>
    <m/>
    <n v="225.33"/>
    <m/>
    <m/>
    <m/>
    <m/>
    <m/>
    <m/>
    <n v="112.66"/>
    <m/>
    <m/>
    <m/>
    <m/>
    <m/>
    <m/>
    <n v="225.33"/>
    <m/>
    <m/>
    <m/>
    <m/>
    <m/>
    <m/>
    <m/>
    <n v="112.66"/>
    <n v="300"/>
    <n v="975.98"/>
  </r>
  <r>
    <n v="9"/>
    <x v="9"/>
    <x v="0"/>
    <n v="171266"/>
    <s v="MUJICA CLAUDIO"/>
    <s v="23-35353560-9"/>
    <n v="42649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MONTEVERDE"/>
    <n v="1225"/>
    <m/>
    <m/>
    <s v="CAPITAL FEDERAL"/>
    <s v="Buenos Aires"/>
    <m/>
    <s v="U.O.Centro"/>
    <m/>
    <n v="2"/>
    <n v="1"/>
    <n v="7789.06"/>
    <n v="1557.84"/>
    <m/>
    <m/>
    <n v="6231.22"/>
    <m/>
    <n v="155.78"/>
    <m/>
    <m/>
    <m/>
    <m/>
    <m/>
    <m/>
    <n v="77.900000000000006"/>
    <m/>
    <m/>
    <m/>
    <m/>
    <m/>
    <m/>
    <n v="155.78"/>
    <m/>
    <m/>
    <m/>
    <m/>
    <m/>
    <m/>
    <m/>
    <n v="77.900000000000006"/>
    <n v="300"/>
    <n v="767.36"/>
  </r>
  <r>
    <n v="9"/>
    <x v="9"/>
    <x v="1"/>
    <n v="152586"/>
    <s v="MUSTAFA SILVIO ROBERTO"/>
    <s v="23-31539279-9"/>
    <n v="42649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s v="C1009ABK"/>
    <s v="ANCASTE"/>
    <n v="507"/>
    <m/>
    <m/>
    <s v="CAPITAL FEDERAL"/>
    <s v="Capital Federal"/>
    <m/>
    <s v="U.O.Centro Paga Inplant"/>
    <m/>
    <n v="1"/>
    <n v="1"/>
    <n v="10755.05"/>
    <n v="2524.3000000000002"/>
    <m/>
    <m/>
    <n v="8230.75"/>
    <n v="268.88"/>
    <m/>
    <m/>
    <m/>
    <m/>
    <m/>
    <m/>
    <m/>
    <n v="107.55"/>
    <m/>
    <m/>
    <m/>
    <m/>
    <m/>
    <m/>
    <n v="215.1"/>
    <m/>
    <m/>
    <m/>
    <m/>
    <m/>
    <m/>
    <m/>
    <n v="107.55"/>
    <n v="300"/>
    <n v="999.08"/>
  </r>
  <r>
    <n v="9"/>
    <x v="9"/>
    <x v="0"/>
    <n v="173661"/>
    <s v="OCANTO CHRISTIAN NAHUEL"/>
    <s v="20-36894544-8"/>
    <n v="42649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ULIAN AGUIRRE"/>
    <n v="1225"/>
    <m/>
    <m/>
    <s v="CAPITAL FEDERAL"/>
    <s v="Buenos Aires"/>
    <m/>
    <s v="U.O.Centro"/>
    <m/>
    <n v="2"/>
    <n v="1"/>
    <n v="2864.93"/>
    <n v="572.97"/>
    <m/>
    <m/>
    <n v="2291.96"/>
    <m/>
    <n v="57.3"/>
    <m/>
    <m/>
    <m/>
    <m/>
    <m/>
    <m/>
    <n v="28.65"/>
    <m/>
    <m/>
    <m/>
    <m/>
    <m/>
    <m/>
    <n v="57.3"/>
    <m/>
    <m/>
    <m/>
    <m/>
    <m/>
    <m/>
    <m/>
    <n v="28.65"/>
    <n v="300"/>
    <n v="471.9"/>
  </r>
  <r>
    <n v="9"/>
    <x v="9"/>
    <x v="0"/>
    <n v="162167"/>
    <s v="OCANTOS MARIA FERNANDA"/>
    <s v="20-26587101-2"/>
    <n v="42649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LVEAR"/>
    <n v="1225"/>
    <m/>
    <m/>
    <s v="CAPITAL FEDERAL"/>
    <s v="Buenos Aires"/>
    <m/>
    <s v="U.O.San Justo"/>
    <m/>
    <n v="2"/>
    <n v="1"/>
    <n v="7788.89"/>
    <n v="1557.79"/>
    <m/>
    <m/>
    <n v="6231.1"/>
    <m/>
    <n v="155.78"/>
    <m/>
    <m/>
    <m/>
    <m/>
    <m/>
    <m/>
    <n v="77.89"/>
    <m/>
    <m/>
    <m/>
    <m/>
    <m/>
    <m/>
    <n v="155.78"/>
    <m/>
    <m/>
    <m/>
    <m/>
    <m/>
    <m/>
    <m/>
    <n v="77.89"/>
    <n v="300"/>
    <n v="767.34"/>
  </r>
  <r>
    <n v="9"/>
    <x v="9"/>
    <x v="0"/>
    <n v="156371"/>
    <s v="OJEDA HECTOR ALBERTO"/>
    <s v="20-27373033-9"/>
    <n v="42649"/>
    <n v="27373033"/>
    <s v="OJEDA"/>
    <s v="HECTOR ALBERTO"/>
    <s v="M"/>
    <m/>
    <d v="2016-09-23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FINLANDIA"/>
    <n v="1232"/>
    <m/>
    <m/>
    <s v="CAPITAL FEDERAL"/>
    <s v="Buenos Aires"/>
    <m/>
    <s v="U.O.Centro"/>
    <s v="Cocina"/>
    <n v="3"/>
    <n v="1"/>
    <n v="6445.16"/>
    <n v="1289.06"/>
    <m/>
    <m/>
    <n v="5156.1000000000004"/>
    <m/>
    <n v="128.91"/>
    <m/>
    <m/>
    <m/>
    <m/>
    <m/>
    <m/>
    <n v="64.459999999999994"/>
    <m/>
    <m/>
    <m/>
    <m/>
    <m/>
    <m/>
    <n v="128.91"/>
    <m/>
    <m/>
    <m/>
    <m/>
    <m/>
    <m/>
    <m/>
    <n v="64.459999999999994"/>
    <n v="300"/>
    <n v="686.74"/>
  </r>
  <r>
    <n v="9"/>
    <x v="9"/>
    <x v="0"/>
    <n v="171274"/>
    <s v="OJEDA LORENA SUSANA"/>
    <s v="27-34340810-8"/>
    <n v="42649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LTA"/>
    <n v="1225"/>
    <m/>
    <m/>
    <s v="CAPITAL FEDERAL"/>
    <s v="Buenos Aires"/>
    <m/>
    <s v="U.O.Centro"/>
    <m/>
    <n v="2"/>
    <n v="1"/>
    <n v="8136.78"/>
    <n v="1627.35"/>
    <m/>
    <m/>
    <n v="6509.43"/>
    <m/>
    <n v="162.72999999999999"/>
    <m/>
    <m/>
    <m/>
    <m/>
    <m/>
    <m/>
    <n v="81.37"/>
    <m/>
    <m/>
    <m/>
    <m/>
    <m/>
    <m/>
    <n v="162.72999999999999"/>
    <m/>
    <m/>
    <m/>
    <m/>
    <m/>
    <m/>
    <m/>
    <n v="81.37"/>
    <n v="300"/>
    <n v="788.2"/>
  </r>
  <r>
    <n v="9"/>
    <x v="9"/>
    <x v="0"/>
    <n v="138789"/>
    <s v="OLIVA LILIANA ALEJANDRA"/>
    <s v="27-25730976-8"/>
    <n v="42649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1"/>
    <n v="1"/>
    <n v="12858.38"/>
    <n v="2571.67"/>
    <m/>
    <m/>
    <n v="10286.709999999999"/>
    <m/>
    <n v="257.17"/>
    <m/>
    <m/>
    <m/>
    <m/>
    <m/>
    <m/>
    <n v="128.58000000000001"/>
    <m/>
    <m/>
    <m/>
    <m/>
    <m/>
    <m/>
    <n v="257.17"/>
    <m/>
    <m/>
    <m/>
    <m/>
    <m/>
    <m/>
    <m/>
    <n v="128.58000000000001"/>
    <n v="300"/>
    <n v="1071.5"/>
  </r>
  <r>
    <n v="9"/>
    <x v="9"/>
    <x v="0"/>
    <n v="135237"/>
    <s v="ORELLANO JUANA MARIA"/>
    <s v="27-27696157-3"/>
    <n v="42649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16287.29"/>
    <n v="3338.89"/>
    <m/>
    <m/>
    <n v="12948.4"/>
    <n v="407.18"/>
    <m/>
    <m/>
    <m/>
    <m/>
    <m/>
    <m/>
    <m/>
    <n v="162.87"/>
    <m/>
    <m/>
    <m/>
    <m/>
    <m/>
    <m/>
    <n v="325.75"/>
    <m/>
    <m/>
    <m/>
    <m/>
    <m/>
    <m/>
    <m/>
    <n v="162.87"/>
    <n v="300"/>
    <n v="1358.67"/>
  </r>
  <r>
    <n v="9"/>
    <x v="9"/>
    <x v="0"/>
    <n v="172199"/>
    <s v="ORTIZ ANDRES NICOLAS"/>
    <s v="20-32769991-2"/>
    <n v="42649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LAVEL"/>
    <n v="1225"/>
    <m/>
    <m/>
    <s v="CAPITAL FEDERAL"/>
    <s v="Buenos Aires"/>
    <m/>
    <s v="U.O.Centro"/>
    <m/>
    <n v="2"/>
    <n v="1"/>
    <n v="14661.42"/>
    <n v="2932.27"/>
    <m/>
    <m/>
    <n v="11729.15"/>
    <m/>
    <n v="293.23"/>
    <m/>
    <m/>
    <m/>
    <m/>
    <m/>
    <m/>
    <n v="146.61000000000001"/>
    <m/>
    <m/>
    <m/>
    <m/>
    <m/>
    <m/>
    <n v="293.23"/>
    <m/>
    <m/>
    <m/>
    <m/>
    <m/>
    <m/>
    <m/>
    <n v="146.61000000000001"/>
    <n v="300"/>
    <n v="1179.68"/>
  </r>
  <r>
    <n v="9"/>
    <x v="9"/>
    <x v="1"/>
    <n v="169840"/>
    <s v="ORTIZ CARLOS ERNESTO"/>
    <s v="20-35113842-5"/>
    <n v="42649"/>
    <n v="35113842"/>
    <s v="ORTIZ"/>
    <s v="CARLOS ERNESTO"/>
    <s v="M"/>
    <m/>
    <d v="2016-03-13T00:00:00"/>
    <m/>
    <m/>
    <s v="GASTRONOMICOS-Hoteles 4 y 5 Estrellas - 362/2003"/>
    <s v="Categoria 1"/>
    <x v="12"/>
    <s v="Unidad Principal"/>
    <s v="Centro"/>
    <s v="Tareas Generales"/>
    <n v="100908"/>
    <s v="OS  DE EMPLEADOS DE AGENCIAS DE INFORMES (O.S.E.D.I.)"/>
    <s v="Capital Federal"/>
    <m/>
    <n v="1440"/>
    <s v="EMILIO BERISSO"/>
    <n v="1584"/>
    <m/>
    <m/>
    <s v="CAPITAL FEDERAL"/>
    <s v="Capital Federal"/>
    <m/>
    <s v="U.O.Centro"/>
    <s v="Alvear Palace"/>
    <n v="2"/>
    <n v="1"/>
    <n v="1871.03"/>
    <n v="363.43"/>
    <m/>
    <m/>
    <n v="1507.6"/>
    <m/>
    <n v="37.42"/>
    <m/>
    <m/>
    <m/>
    <m/>
    <m/>
    <m/>
    <n v="7.93"/>
    <m/>
    <m/>
    <m/>
    <m/>
    <m/>
    <m/>
    <n v="37.42"/>
    <m/>
    <m/>
    <m/>
    <m/>
    <m/>
    <m/>
    <m/>
    <n v="7.93"/>
    <n v="250"/>
    <n v="340.7"/>
  </r>
  <r>
    <n v="9"/>
    <x v="9"/>
    <x v="0"/>
    <n v="170439"/>
    <s v="PAEZ DAIANA BEATRIZ"/>
    <s v="27-38350463-0"/>
    <n v="42649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RDENAS"/>
    <n v="1225"/>
    <m/>
    <m/>
    <s v="CAPITAL FEDERAL"/>
    <s v="Buenos Aires"/>
    <m/>
    <s v="U.O.Avellaneda"/>
    <m/>
    <n v="4"/>
    <n v="1"/>
    <n v="11579.28"/>
    <n v="4315.83"/>
    <m/>
    <n v="2000"/>
    <n v="9263.4500000000007"/>
    <m/>
    <n v="231.58"/>
    <m/>
    <m/>
    <m/>
    <m/>
    <m/>
    <m/>
    <n v="115.79"/>
    <m/>
    <m/>
    <m/>
    <m/>
    <n v="2000"/>
    <m/>
    <n v="231.58"/>
    <m/>
    <m/>
    <m/>
    <m/>
    <m/>
    <m/>
    <m/>
    <n v="115.79"/>
    <n v="300"/>
    <n v="2994.74"/>
  </r>
  <r>
    <n v="9"/>
    <x v="9"/>
    <x v="1"/>
    <n v="164223"/>
    <s v="PAIS PABLO MARIANO"/>
    <s v="20-23510883-7"/>
    <n v="42642"/>
    <n v="23510883"/>
    <s v="PAIS"/>
    <s v="PABLO MARIANO"/>
    <s v="M"/>
    <m/>
    <d v="2016-09-16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MARGARIÑOS CERVANTES"/>
    <n v="764"/>
    <n v="3"/>
    <s v="C"/>
    <s v="CAPITAL FEDERAL"/>
    <s v="Capital Federal"/>
    <m/>
    <s v="U.O.Centro"/>
    <m/>
    <n v="1"/>
    <n v="1"/>
    <n v="1275.92"/>
    <n v="255.19"/>
    <m/>
    <m/>
    <n v="1020.73"/>
    <m/>
    <n v="25.52"/>
    <m/>
    <m/>
    <m/>
    <m/>
    <m/>
    <m/>
    <n v="12.76"/>
    <m/>
    <m/>
    <m/>
    <m/>
    <m/>
    <m/>
    <n v="25.52"/>
    <m/>
    <m/>
    <m/>
    <m/>
    <m/>
    <m/>
    <m/>
    <n v="12.76"/>
    <n v="300"/>
    <n v="376.56"/>
  </r>
  <r>
    <n v="9"/>
    <x v="9"/>
    <x v="1"/>
    <n v="177492"/>
    <s v="PALOMINO LEONARDO"/>
    <s v="20-30666816-2"/>
    <n v="42642"/>
    <n v="30666816"/>
    <s v="PALOMINO"/>
    <s v="LEONARD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TERRANOVA"/>
    <n v="764"/>
    <m/>
    <m/>
    <s v="CAPITAL FEDERAL"/>
    <s v="Capital Federal"/>
    <m/>
    <s v="U.O.Centro"/>
    <m/>
    <n v="2"/>
    <n v="1"/>
    <n v="10429.25"/>
    <n v="2085.85"/>
    <m/>
    <m/>
    <n v="8343.4"/>
    <m/>
    <n v="208.58"/>
    <m/>
    <m/>
    <m/>
    <m/>
    <m/>
    <m/>
    <n v="104.3"/>
    <m/>
    <m/>
    <m/>
    <m/>
    <m/>
    <m/>
    <n v="208.58"/>
    <m/>
    <m/>
    <m/>
    <m/>
    <m/>
    <m/>
    <m/>
    <n v="104.3"/>
    <n v="300"/>
    <n v="925.76"/>
  </r>
  <r>
    <n v="9"/>
    <x v="9"/>
    <x v="0"/>
    <n v="161159"/>
    <s v="PARISI GABRIEL DARIO"/>
    <s v="20-34384166-4"/>
    <n v="42649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TABORDA"/>
    <n v="1225"/>
    <m/>
    <m/>
    <s v="CAPITAL FEDERAL"/>
    <s v="Buenos Aires"/>
    <m/>
    <s v="U.O.Centro"/>
    <m/>
    <n v="2"/>
    <n v="1"/>
    <n v="10014.48"/>
    <n v="2002.92"/>
    <m/>
    <m/>
    <n v="8011.56"/>
    <m/>
    <n v="200.29"/>
    <m/>
    <m/>
    <m/>
    <m/>
    <m/>
    <m/>
    <n v="100.15"/>
    <m/>
    <m/>
    <m/>
    <m/>
    <m/>
    <m/>
    <n v="200.29"/>
    <m/>
    <m/>
    <m/>
    <m/>
    <m/>
    <m/>
    <m/>
    <n v="100.15"/>
    <n v="300"/>
    <n v="900.88"/>
  </r>
  <r>
    <n v="9"/>
    <x v="9"/>
    <x v="0"/>
    <n v="178269"/>
    <s v="PAZ JORGE FABIAN"/>
    <s v="20-21775564-7"/>
    <n v="42649"/>
    <n v="21775564"/>
    <s v="PAZ"/>
    <s v="JORGE FABIAN"/>
    <s v="M"/>
    <m/>
    <d v="2016-09-12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J.L SUAREZ"/>
    <n v="1225"/>
    <n v="1"/>
    <s v="A"/>
    <s v="CAPITAL FEDERAL"/>
    <s v="Buenos Aires"/>
    <m/>
    <s v="U.O.Centro"/>
    <m/>
    <n v="2"/>
    <n v="1"/>
    <n v="5773.46"/>
    <n v="1154.68"/>
    <m/>
    <m/>
    <n v="4618.78"/>
    <m/>
    <n v="115.47"/>
    <m/>
    <m/>
    <m/>
    <m/>
    <m/>
    <m/>
    <n v="57.73"/>
    <m/>
    <m/>
    <m/>
    <m/>
    <m/>
    <m/>
    <n v="115.47"/>
    <m/>
    <m/>
    <m/>
    <m/>
    <m/>
    <m/>
    <m/>
    <n v="57.73"/>
    <n v="300"/>
    <n v="646.4"/>
  </r>
  <r>
    <n v="9"/>
    <x v="9"/>
    <x v="0"/>
    <n v="164321"/>
    <s v="PAZ WALTER RICARDO"/>
    <s v="20-28305441-2"/>
    <n v="42649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3202.96"/>
    <n v="3204.89"/>
    <m/>
    <m/>
    <n v="9998.07"/>
    <m/>
    <n v="264.06"/>
    <m/>
    <m/>
    <m/>
    <m/>
    <m/>
    <m/>
    <n v="132.03"/>
    <m/>
    <m/>
    <m/>
    <m/>
    <m/>
    <m/>
    <n v="264.06"/>
    <m/>
    <m/>
    <m/>
    <m/>
    <m/>
    <m/>
    <m/>
    <n v="132.03"/>
    <n v="300"/>
    <n v="1092.18"/>
  </r>
  <r>
    <n v="9"/>
    <x v="9"/>
    <x v="0"/>
    <n v="173370"/>
    <s v="PEDICINO ROMACHUK YESICA NOEMI"/>
    <s v="27-30911440-5"/>
    <n v="42649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1ºDE MAYO"/>
    <n v="1225"/>
    <m/>
    <m/>
    <s v="CAPITAL FEDERAL"/>
    <s v="Buenos Aires"/>
    <m/>
    <s v="U.O.Centro"/>
    <m/>
    <n v="2"/>
    <n v="1"/>
    <n v="6676.33"/>
    <n v="1335.28"/>
    <m/>
    <m/>
    <n v="5341.05"/>
    <m/>
    <n v="133.53"/>
    <m/>
    <m/>
    <m/>
    <m/>
    <m/>
    <m/>
    <n v="66.77"/>
    <m/>
    <m/>
    <m/>
    <m/>
    <m/>
    <m/>
    <n v="133.53"/>
    <m/>
    <m/>
    <m/>
    <m/>
    <m/>
    <m/>
    <m/>
    <n v="66.77"/>
    <n v="300"/>
    <n v="700.6"/>
  </r>
  <r>
    <n v="9"/>
    <x v="9"/>
    <x v="0"/>
    <n v="168239"/>
    <s v="PERALTA RICARDO FRANCISCO"/>
    <s v="20-35719331-2"/>
    <n v="42649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BOUCHARD"/>
    <n v="1225"/>
    <m/>
    <m/>
    <s v="CAPITAL FEDERAL"/>
    <s v="Buenos Aires"/>
    <m/>
    <s v="U.O.Centro"/>
    <m/>
    <n v="2"/>
    <n v="1"/>
    <n v="8901.76"/>
    <n v="1780.37"/>
    <m/>
    <m/>
    <n v="7121.39"/>
    <m/>
    <n v="178.03"/>
    <m/>
    <m/>
    <m/>
    <m/>
    <m/>
    <m/>
    <n v="89.02"/>
    <m/>
    <m/>
    <m/>
    <m/>
    <m/>
    <m/>
    <n v="178.03"/>
    <m/>
    <m/>
    <m/>
    <m/>
    <m/>
    <m/>
    <m/>
    <n v="89.02"/>
    <n v="300"/>
    <n v="834.1"/>
  </r>
  <r>
    <n v="9"/>
    <x v="9"/>
    <x v="0"/>
    <n v="155712"/>
    <s v="PERALTA DE KEMMETER PABLO ADRIAN"/>
    <s v="20-38404684-4"/>
    <n v="42649"/>
    <n v="38404684"/>
    <s v="PERALTA DE KEMMETER"/>
    <s v="PABLO ADRIAN"/>
    <s v="M"/>
    <m/>
    <d v="2016-08-16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BUENOS AIRES"/>
    <n v="1225"/>
    <m/>
    <m/>
    <s v="CAPITAL FEDERAL"/>
    <s v="Buenos Aires"/>
    <m/>
    <s v="U.O.Centro"/>
    <m/>
    <n v="3"/>
    <n v="1"/>
    <n v="12725.49"/>
    <n v="2545.09"/>
    <m/>
    <m/>
    <n v="10180.4"/>
    <m/>
    <n v="254.51"/>
    <m/>
    <m/>
    <m/>
    <m/>
    <m/>
    <m/>
    <n v="127.26"/>
    <m/>
    <m/>
    <m/>
    <m/>
    <m/>
    <m/>
    <n v="254.51"/>
    <m/>
    <m/>
    <m/>
    <m/>
    <m/>
    <m/>
    <m/>
    <n v="127.26"/>
    <n v="300"/>
    <n v="1063.54"/>
  </r>
  <r>
    <n v="9"/>
    <x v="9"/>
    <x v="1"/>
    <n v="65369"/>
    <s v="PEREZ RUBEN HORACIO"/>
    <s v="20-28042935-0"/>
    <n v="42649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2848.28"/>
    <n v="569.66"/>
    <m/>
    <m/>
    <n v="2278.62"/>
    <m/>
    <n v="56.97"/>
    <m/>
    <m/>
    <m/>
    <m/>
    <m/>
    <m/>
    <n v="28.48"/>
    <m/>
    <m/>
    <m/>
    <m/>
    <m/>
    <m/>
    <n v="56.97"/>
    <m/>
    <m/>
    <m/>
    <m/>
    <m/>
    <m/>
    <m/>
    <n v="28.48"/>
    <n v="300"/>
    <n v="470.9"/>
  </r>
  <r>
    <n v="9"/>
    <x v="9"/>
    <x v="0"/>
    <n v="173560"/>
    <s v="PEREZ VILLANI LUCIA"/>
    <s v="27-34755207-6"/>
    <n v="42649"/>
    <n v="34755207"/>
    <s v="PEREZ VILLANI"/>
    <s v="LUCIA"/>
    <s v="F"/>
    <m/>
    <d v="2016-09-03T00:00:00"/>
    <m/>
    <m/>
    <s v="GASTRONOMICOS-Hoteles 4 y 5 Estrellas - 362/2003"/>
    <s v="Categoria 6"/>
    <x v="1"/>
    <s v="Banquetes Extra Eventual - GL"/>
    <s v="Centro"/>
    <s v="Camarero/a"/>
    <n v="108803"/>
    <s v="O.S.P.Gastronomico"/>
    <s v="Capital Federal"/>
    <m/>
    <n v="1005"/>
    <s v="MITRE"/>
    <n v="1005"/>
    <n v="21"/>
    <m/>
    <s v="CAPITAL FEDERAL"/>
    <s v="Capital Federal"/>
    <m/>
    <s v="U.O.Centro"/>
    <m/>
    <n v="4"/>
    <n v="1"/>
    <n v="2596.19"/>
    <n v="519.22"/>
    <m/>
    <m/>
    <n v="2076.9699999999998"/>
    <m/>
    <n v="51.92"/>
    <m/>
    <m/>
    <m/>
    <m/>
    <m/>
    <m/>
    <n v="25.96"/>
    <m/>
    <m/>
    <m/>
    <m/>
    <m/>
    <m/>
    <n v="51.92"/>
    <m/>
    <m/>
    <m/>
    <m/>
    <m/>
    <m/>
    <m/>
    <n v="25.96"/>
    <n v="300"/>
    <n v="455.76"/>
  </r>
  <r>
    <n v="9"/>
    <x v="9"/>
    <x v="0"/>
    <n v="161870"/>
    <s v="PETRONE VICENTE"/>
    <s v="20-27146024-5"/>
    <n v="42649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MOL"/>
    <n v="1225"/>
    <m/>
    <m/>
    <s v="CAPITAL FEDERAL"/>
    <s v="Buenos Aires"/>
    <m/>
    <s v="U.O.Quilmes"/>
    <m/>
    <n v="2"/>
    <n v="1"/>
    <n v="7330.7"/>
    <n v="1466.16"/>
    <m/>
    <m/>
    <n v="5864.54"/>
    <m/>
    <n v="146.62"/>
    <m/>
    <m/>
    <m/>
    <m/>
    <m/>
    <m/>
    <n v="73.31"/>
    <m/>
    <m/>
    <m/>
    <m/>
    <m/>
    <m/>
    <n v="146.62"/>
    <m/>
    <m/>
    <m/>
    <m/>
    <m/>
    <m/>
    <m/>
    <n v="73.31"/>
    <n v="300"/>
    <n v="739.86"/>
  </r>
  <r>
    <n v="9"/>
    <x v="9"/>
    <x v="0"/>
    <n v="173659"/>
    <s v="PIGNI EMANUEL"/>
    <s v="23-36874910-9"/>
    <n v="42649"/>
    <n v="36874910"/>
    <s v="PIGNI"/>
    <s v="EMANUEL"/>
    <s v="M"/>
    <m/>
    <d v="2016-08-0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ANZANA 2 EDIFICIO B 7"/>
    <n v="1225"/>
    <s v="PB"/>
    <s v="D"/>
    <s v="CAPITAL FEDERAL"/>
    <s v="Buenos Aires"/>
    <m/>
    <s v="U.O.Centro"/>
    <m/>
    <n v="3"/>
    <n v="1"/>
    <n v="11898.22"/>
    <n v="2382.75"/>
    <m/>
    <n v="108.32"/>
    <n v="9623.7900000000009"/>
    <m/>
    <n v="237.96"/>
    <m/>
    <m/>
    <m/>
    <m/>
    <m/>
    <m/>
    <n v="122.09"/>
    <m/>
    <m/>
    <m/>
    <m/>
    <m/>
    <m/>
    <n v="237.96"/>
    <n v="9.32"/>
    <m/>
    <m/>
    <m/>
    <m/>
    <m/>
    <m/>
    <n v="112.77"/>
    <n v="300"/>
    <n v="1020.1"/>
  </r>
  <r>
    <n v="9"/>
    <x v="9"/>
    <x v="1"/>
    <n v="62941"/>
    <s v="POGONZA ANDREA GISELLE"/>
    <s v="27-32522930-1"/>
    <n v="42649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1"/>
    <n v="1"/>
    <n v="14737.98"/>
    <n v="3021.29"/>
    <m/>
    <m/>
    <n v="11716.69"/>
    <n v="368.45"/>
    <m/>
    <m/>
    <m/>
    <m/>
    <m/>
    <m/>
    <m/>
    <n v="147.38"/>
    <m/>
    <m/>
    <m/>
    <m/>
    <m/>
    <m/>
    <n v="294.76"/>
    <m/>
    <m/>
    <m/>
    <m/>
    <m/>
    <m/>
    <m/>
    <n v="147.38"/>
    <n v="300"/>
    <n v="1257.97"/>
  </r>
  <r>
    <n v="9"/>
    <x v="9"/>
    <x v="0"/>
    <n v="176386"/>
    <s v="PORTILLO MACIEL JUAN RAMON"/>
    <s v="20-36896140-0"/>
    <n v="42649"/>
    <n v="36896140"/>
    <s v="PORTILLO MACIEL"/>
    <s v="JUAN RAMON"/>
    <s v="M"/>
    <m/>
    <d v="2016-07-2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QUINTINO BOCAYUVA"/>
    <n v="1225"/>
    <m/>
    <m/>
    <s v="CAPITAL FEDERAL"/>
    <s v="Buenos Aires"/>
    <m/>
    <s v="U.O.Centro"/>
    <m/>
    <n v="2"/>
    <n v="1"/>
    <n v="7232.68"/>
    <n v="1446.55"/>
    <m/>
    <m/>
    <n v="5786.13"/>
    <m/>
    <n v="144.66"/>
    <m/>
    <m/>
    <m/>
    <m/>
    <m/>
    <m/>
    <n v="72.33"/>
    <m/>
    <m/>
    <m/>
    <m/>
    <m/>
    <m/>
    <n v="144.66"/>
    <m/>
    <m/>
    <m/>
    <m/>
    <m/>
    <m/>
    <m/>
    <n v="72.33"/>
    <n v="300"/>
    <n v="733.98"/>
  </r>
  <r>
    <n v="9"/>
    <x v="9"/>
    <x v="0"/>
    <n v="172087"/>
    <s v="POSTERNAK ERIKA ELENA"/>
    <s v="27-38699581-3"/>
    <n v="42649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INGENIERO HUERGO"/>
    <n v="1225"/>
    <m/>
    <m/>
    <s v="CAPITAL FEDERAL"/>
    <s v="Buenos Aires"/>
    <m/>
    <s v="U.O.Centro"/>
    <m/>
    <n v="2"/>
    <n v="1"/>
    <n v="7788.88"/>
    <n v="1557.78"/>
    <m/>
    <m/>
    <n v="6231.1"/>
    <m/>
    <n v="155.77000000000001"/>
    <m/>
    <m/>
    <m/>
    <m/>
    <m/>
    <m/>
    <n v="77.89"/>
    <m/>
    <m/>
    <m/>
    <m/>
    <m/>
    <m/>
    <n v="155.77000000000001"/>
    <m/>
    <m/>
    <m/>
    <m/>
    <m/>
    <m/>
    <m/>
    <n v="77.89"/>
    <n v="300"/>
    <n v="767.32"/>
  </r>
  <r>
    <n v="9"/>
    <x v="9"/>
    <x v="1"/>
    <n v="177463"/>
    <s v="PUIG MARINA"/>
    <s v="27-34842290-7"/>
    <n v="42642"/>
    <n v="34842290"/>
    <s v="PUIG"/>
    <s v="MARINA"/>
    <s v="F"/>
    <m/>
    <d v="2016-08-2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AMBROSETTI"/>
    <n v="764"/>
    <m/>
    <m/>
    <s v="CAPITAL FEDERAL"/>
    <s v="Capital Federal"/>
    <m/>
    <s v="U.O.Centro"/>
    <m/>
    <n v="1"/>
    <n v="1"/>
    <n v="109.18"/>
    <n v="21.84"/>
    <m/>
    <m/>
    <n v="87.34"/>
    <m/>
    <n v="2.1800000000000002"/>
    <m/>
    <m/>
    <m/>
    <m/>
    <m/>
    <m/>
    <n v="1.0900000000000001"/>
    <m/>
    <m/>
    <m/>
    <m/>
    <m/>
    <m/>
    <n v="2.1800000000000002"/>
    <m/>
    <m/>
    <m/>
    <m/>
    <m/>
    <m/>
    <m/>
    <n v="1.0900000000000001"/>
    <m/>
    <n v="6.54"/>
  </r>
  <r>
    <n v="9"/>
    <x v="9"/>
    <x v="0"/>
    <n v="168959"/>
    <s v="RAMIREZ ANDREA FABIANA"/>
    <s v="27-22241765-7"/>
    <n v="42649"/>
    <n v="22241765"/>
    <s v="RAMIREZ"/>
    <s v="ANDREA FABIANA"/>
    <s v="F"/>
    <m/>
    <d v="2016-02-25T00:00:00"/>
    <d v="2016-09-12T00:00:00"/>
    <m/>
    <s v="GASTRONOMICOS-Hoteles 4 y 5 Estrellas - 362/2003"/>
    <s v="Categoría 4"/>
    <x v="16"/>
    <s v="Back Office"/>
    <s v="Back Office"/>
    <s v="Tareas Generales"/>
    <n v="108803"/>
    <s v="O.S.P.Gastronomico"/>
    <s v="Buenos Aires - Almte. Brown"/>
    <m/>
    <s v="C1019ABK"/>
    <s v="YERBAL"/>
    <n v="513"/>
    <m/>
    <m/>
    <s v="CAPITAL FEDERAL"/>
    <s v="Buenos Aires"/>
    <m/>
    <m/>
    <m/>
    <n v="3"/>
    <n v="1"/>
    <n v="2754.37"/>
    <n v="550.91"/>
    <m/>
    <n v="33666.04"/>
    <n v="35869.5"/>
    <m/>
    <n v="55.09"/>
    <m/>
    <m/>
    <m/>
    <m/>
    <m/>
    <m/>
    <n v="27.55"/>
    <m/>
    <m/>
    <m/>
    <m/>
    <m/>
    <m/>
    <n v="55.09"/>
    <m/>
    <m/>
    <m/>
    <m/>
    <m/>
    <m/>
    <m/>
    <n v="27.55"/>
    <n v="300"/>
    <n v="465.28"/>
  </r>
  <r>
    <n v="9"/>
    <x v="9"/>
    <x v="0"/>
    <n v="170302"/>
    <s v="RAMIREZ GABRIEL LEONARDO"/>
    <s v="20-37596484-9"/>
    <n v="42649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Barilari"/>
    <n v="1225"/>
    <m/>
    <m/>
    <s v="CAPITAL FEDERAL"/>
    <s v="Buenos Aires"/>
    <m/>
    <s v="U.O.Centro"/>
    <m/>
    <n v="2"/>
    <n v="1"/>
    <n v="14661.4"/>
    <n v="2932.28"/>
    <m/>
    <m/>
    <n v="11729.12"/>
    <m/>
    <n v="293.22000000000003"/>
    <m/>
    <m/>
    <m/>
    <m/>
    <m/>
    <m/>
    <n v="146.62"/>
    <m/>
    <m/>
    <m/>
    <m/>
    <m/>
    <m/>
    <n v="293.22000000000003"/>
    <m/>
    <m/>
    <m/>
    <m/>
    <m/>
    <m/>
    <m/>
    <n v="146.62"/>
    <n v="300"/>
    <n v="1179.68"/>
  </r>
  <r>
    <n v="9"/>
    <x v="9"/>
    <x v="1"/>
    <n v="171689"/>
    <s v="RAMOS LEONEL ALBERTO"/>
    <s v="23-36484857-9"/>
    <n v="42642"/>
    <n v="36484857"/>
    <s v="RAMOS"/>
    <s v="LEONEL ALBERTO"/>
    <s v="M"/>
    <m/>
    <d v="2016-04-13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LORENZINI"/>
    <n v="764"/>
    <m/>
    <m/>
    <s v="CAPITAL FEDERAL"/>
    <s v="Capital Federal"/>
    <m/>
    <s v="U.O.Centro Paga Inplant"/>
    <m/>
    <n v="2"/>
    <n v="1"/>
    <n v="13129.78"/>
    <n v="2625.95"/>
    <m/>
    <m/>
    <n v="10503.83"/>
    <m/>
    <n v="262.60000000000002"/>
    <m/>
    <m/>
    <m/>
    <m/>
    <m/>
    <m/>
    <n v="131.29"/>
    <m/>
    <m/>
    <m/>
    <m/>
    <m/>
    <m/>
    <n v="262.60000000000002"/>
    <m/>
    <m/>
    <m/>
    <m/>
    <m/>
    <m/>
    <m/>
    <n v="131.29"/>
    <n v="300"/>
    <n v="1087.78"/>
  </r>
  <r>
    <n v="9"/>
    <x v="9"/>
    <x v="0"/>
    <n v="156044"/>
    <s v="RETAMAR PRISCILA"/>
    <s v="27-38149024-1"/>
    <n v="42634"/>
    <n v="38149024"/>
    <s v="RETAMAR"/>
    <s v="PRISCILA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n v="836"/>
    <n v="1225"/>
    <m/>
    <m/>
    <s v="CAPITAL FEDERAL"/>
    <s v="Buenos Aires"/>
    <m/>
    <s v="U.O.Centro"/>
    <m/>
    <n v="1"/>
    <n v="1"/>
    <n v="458.16"/>
    <n v="91.62"/>
    <m/>
    <m/>
    <n v="366.54"/>
    <m/>
    <n v="9.16"/>
    <m/>
    <m/>
    <m/>
    <m/>
    <m/>
    <m/>
    <n v="4.58"/>
    <m/>
    <m/>
    <m/>
    <m/>
    <m/>
    <m/>
    <n v="9.16"/>
    <m/>
    <m/>
    <m/>
    <m/>
    <m/>
    <m/>
    <m/>
    <n v="4.58"/>
    <n v="300"/>
    <n v="327.48"/>
  </r>
  <r>
    <n v="9"/>
    <x v="9"/>
    <x v="0"/>
    <n v="177862"/>
    <s v="REYNOSO RODRIGO SEBASTIAN"/>
    <s v="24-39341073-2"/>
    <n v="42649"/>
    <n v="39341073"/>
    <s v="REYNOSO"/>
    <s v="RODRIGO SEBASTIAN"/>
    <s v="M"/>
    <m/>
    <d v="2016-08-23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NOMEOLVIDES"/>
    <n v="1225"/>
    <m/>
    <m/>
    <s v="CAPITAL FEDERAL"/>
    <s v="Buenos Aires"/>
    <m/>
    <s v="U.O.Centro"/>
    <m/>
    <n v="2"/>
    <n v="1"/>
    <n v="14042.77"/>
    <n v="2808.55"/>
    <m/>
    <m/>
    <n v="11234.22"/>
    <m/>
    <n v="280.85000000000002"/>
    <m/>
    <m/>
    <m/>
    <m/>
    <m/>
    <m/>
    <n v="140.43"/>
    <m/>
    <m/>
    <m/>
    <m/>
    <m/>
    <m/>
    <n v="280.85000000000002"/>
    <m/>
    <m/>
    <m/>
    <m/>
    <m/>
    <m/>
    <m/>
    <n v="140.43"/>
    <n v="300"/>
    <n v="1142.56"/>
  </r>
  <r>
    <n v="9"/>
    <x v="9"/>
    <x v="0"/>
    <n v="162333"/>
    <s v="RIOS MARIA ROSA"/>
    <s v="27-26405230-6"/>
    <n v="42649"/>
    <n v="26405230"/>
    <s v="RIOS"/>
    <s v="MARIA ROSA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POLLEDO"/>
    <n v="1225"/>
    <m/>
    <m/>
    <s v="CAPITAL FEDERAL"/>
    <s v="Buenos Aires"/>
    <m/>
    <s v="U.O.Centro"/>
    <m/>
    <n v="2"/>
    <n v="1"/>
    <n v="4581.6899999999996"/>
    <n v="916.34"/>
    <m/>
    <m/>
    <n v="3665.35"/>
    <m/>
    <n v="91.63"/>
    <m/>
    <m/>
    <m/>
    <m/>
    <m/>
    <m/>
    <n v="45.82"/>
    <m/>
    <m/>
    <m/>
    <m/>
    <m/>
    <m/>
    <n v="91.63"/>
    <m/>
    <m/>
    <m/>
    <m/>
    <m/>
    <m/>
    <m/>
    <n v="45.82"/>
    <n v="300"/>
    <n v="574.9"/>
  </r>
  <r>
    <n v="9"/>
    <x v="9"/>
    <x v="0"/>
    <n v="178696"/>
    <s v="RIVAS CARLOS DANIEL"/>
    <s v="23-37140654-9"/>
    <n v="42649"/>
    <n v="37140654"/>
    <s v="RIVAS"/>
    <s v="CARLOS DANIEL"/>
    <s v="M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BOGOTA"/>
    <n v="240"/>
    <m/>
    <m/>
    <s v="TIGRE"/>
    <s v="Buenos Aires"/>
    <m/>
    <s v="U.O.San Isidro"/>
    <m/>
    <n v="1"/>
    <n v="1"/>
    <n v="251.48"/>
    <n v="50.28"/>
    <m/>
    <m/>
    <n v="201.2"/>
    <m/>
    <n v="5.03"/>
    <m/>
    <m/>
    <m/>
    <m/>
    <m/>
    <m/>
    <n v="2.5099999999999998"/>
    <m/>
    <m/>
    <m/>
    <m/>
    <m/>
    <m/>
    <n v="5.03"/>
    <m/>
    <m/>
    <m/>
    <m/>
    <m/>
    <m/>
    <m/>
    <n v="2.5099999999999998"/>
    <n v="300"/>
    <n v="315.08"/>
  </r>
  <r>
    <n v="9"/>
    <x v="9"/>
    <x v="0"/>
    <n v="177551"/>
    <s v="RIVERO GIMENEZ RICARDO SEBASTIAN"/>
    <s v="20-49077113-2"/>
    <n v="42649"/>
    <n v="49077113"/>
    <s v="RIVERO GIMENEZ"/>
    <s v="RICARDO SEBASTIAN"/>
    <s v="M"/>
    <m/>
    <d v="2016-09-01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15 A"/>
    <n v="181"/>
    <m/>
    <m/>
    <s v="CAPITAL FEDERAL"/>
    <s v="Capital Federal"/>
    <m/>
    <s v="U.O.Centro"/>
    <m/>
    <n v="3"/>
    <n v="1"/>
    <n v="9908.4500000000007"/>
    <n v="1981.7"/>
    <m/>
    <m/>
    <n v="7926.75"/>
    <m/>
    <n v="198.17"/>
    <m/>
    <m/>
    <m/>
    <m/>
    <m/>
    <m/>
    <n v="99.09"/>
    <m/>
    <m/>
    <m/>
    <m/>
    <m/>
    <m/>
    <n v="198.17"/>
    <m/>
    <m/>
    <m/>
    <m/>
    <m/>
    <m/>
    <m/>
    <n v="99.09"/>
    <n v="300"/>
    <n v="894.52"/>
  </r>
  <r>
    <n v="9"/>
    <x v="9"/>
    <x v="0"/>
    <n v="179514"/>
    <s v="RODRIGUEZ MORENO CAMILO JOSE"/>
    <s v="20-42012761-9"/>
    <n v="42649"/>
    <n v="42012761"/>
    <s v="RODRIGUEZ MORENO"/>
    <s v="CAMILO JOSE"/>
    <s v="M"/>
    <m/>
    <d v="2016-09-28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BRANDSEN"/>
    <n v="1225"/>
    <m/>
    <m/>
    <s v="CAPITAL FEDERAL"/>
    <s v="Buenos Aires"/>
    <m/>
    <s v="U.O.Centro"/>
    <m/>
    <n v="1"/>
    <n v="1"/>
    <n v="1503.6"/>
    <n v="300.73"/>
    <m/>
    <m/>
    <n v="1202.8699999999999"/>
    <m/>
    <n v="30.07"/>
    <m/>
    <m/>
    <m/>
    <m/>
    <m/>
    <m/>
    <n v="15.04"/>
    <m/>
    <m/>
    <m/>
    <m/>
    <m/>
    <m/>
    <n v="30.07"/>
    <m/>
    <m/>
    <m/>
    <m/>
    <m/>
    <m/>
    <m/>
    <n v="15.04"/>
    <n v="300"/>
    <n v="390.22"/>
  </r>
  <r>
    <n v="9"/>
    <x v="9"/>
    <x v="0"/>
    <n v="170996"/>
    <s v="RODRIGUEZ RODRIGUEZ ENZO ALINZON"/>
    <s v="20-95508201-0"/>
    <n v="42642"/>
    <n v="95508201"/>
    <s v="RODRIGUEZ RODRIGUEZ"/>
    <s v="ENZO ALINZON"/>
    <s v="M"/>
    <m/>
    <d v="2016-03-31T00:00:00"/>
    <d v="2016-08-09T00:00:00"/>
    <n v="42591"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JUAN FRANCISCO SEGUI"/>
    <n v="764"/>
    <n v="14"/>
    <s v="B"/>
    <s v="CAPITAL FEDERAL"/>
    <s v="Capital Federal"/>
    <m/>
    <s v="U.O.Centro"/>
    <m/>
    <n v="1"/>
    <n v="1"/>
    <n v="438.6"/>
    <n v="87.73"/>
    <m/>
    <m/>
    <n v="350.87"/>
    <m/>
    <n v="8.77"/>
    <m/>
    <m/>
    <m/>
    <m/>
    <m/>
    <m/>
    <n v="4.3899999999999997"/>
    <m/>
    <m/>
    <m/>
    <m/>
    <m/>
    <m/>
    <n v="8.77"/>
    <m/>
    <m/>
    <m/>
    <m/>
    <m/>
    <m/>
    <m/>
    <n v="4.3899999999999997"/>
    <m/>
    <n v="26.32"/>
  </r>
  <r>
    <n v="9"/>
    <x v="9"/>
    <x v="0"/>
    <n v="177952"/>
    <s v="ROJAS ARGENTINA CLARIBEL"/>
    <s v="23-35731940-4"/>
    <n v="42649"/>
    <n v="35731940"/>
    <s v="ROJAS"/>
    <s v="ARGENTINA CLARIBEL"/>
    <s v="F"/>
    <m/>
    <d v="2016-09-01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PUEYRREDON"/>
    <n v="240"/>
    <m/>
    <m/>
    <s v="TIGRE"/>
    <s v="Buenos Aires"/>
    <m/>
    <s v="U.O.San Isidro"/>
    <m/>
    <n v="1"/>
    <n v="1"/>
    <n v="2003.39"/>
    <n v="400.67"/>
    <m/>
    <m/>
    <n v="1602.72"/>
    <m/>
    <n v="40.07"/>
    <m/>
    <m/>
    <m/>
    <m/>
    <m/>
    <m/>
    <n v="20.03"/>
    <m/>
    <m/>
    <m/>
    <m/>
    <m/>
    <m/>
    <n v="40.07"/>
    <m/>
    <m/>
    <m/>
    <m/>
    <m/>
    <m/>
    <m/>
    <n v="20.03"/>
    <n v="300"/>
    <n v="420.2"/>
  </r>
  <r>
    <n v="9"/>
    <x v="9"/>
    <x v="0"/>
    <n v="177443"/>
    <s v="ROMERO CRISTIAN ADRIAN"/>
    <s v="20-35118709-4"/>
    <n v="42649"/>
    <n v="35118709"/>
    <s v="ROMERO"/>
    <s v="CRISTIAN ADRIAN"/>
    <s v="M"/>
    <m/>
    <d v="2016-08-17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GRAL URQUIZA"/>
    <n v="1225"/>
    <n v="2"/>
    <n v="6"/>
    <s v="CAPITAL FEDERAL"/>
    <s v="Buenos Aires"/>
    <m/>
    <s v="U.O.Centro"/>
    <m/>
    <n v="2"/>
    <n v="1"/>
    <n v="9021.6200000000008"/>
    <n v="1804.32"/>
    <m/>
    <m/>
    <n v="7217.3"/>
    <m/>
    <n v="180.43"/>
    <m/>
    <m/>
    <m/>
    <m/>
    <m/>
    <m/>
    <n v="90.21"/>
    <m/>
    <m/>
    <m/>
    <m/>
    <m/>
    <m/>
    <n v="180.43"/>
    <m/>
    <m/>
    <m/>
    <m/>
    <m/>
    <m/>
    <m/>
    <n v="90.21"/>
    <n v="300"/>
    <n v="841.28"/>
  </r>
  <r>
    <n v="9"/>
    <x v="9"/>
    <x v="0"/>
    <n v="170549"/>
    <s v="ROSALES MATIAS SEBASTIAN"/>
    <s v="20-38950370-4"/>
    <n v="42649"/>
    <n v="38950370"/>
    <s v="ROSALES"/>
    <s v="MATIAS SEBASTIAN"/>
    <s v="M"/>
    <m/>
    <d v="2016-03-22T00:00:00"/>
    <m/>
    <m/>
    <s v="GASTRONOMICOS-Hoteles 4 y 5 Estrellas - 362/2003"/>
    <s v="Categoria 1"/>
    <x v="1"/>
    <s v="RESTAURANT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4"/>
    <n v="1"/>
    <n v="12726.51"/>
    <n v="2545.31"/>
    <m/>
    <m/>
    <n v="10181.200000000001"/>
    <m/>
    <n v="254.53"/>
    <m/>
    <m/>
    <m/>
    <m/>
    <m/>
    <m/>
    <n v="127.26"/>
    <m/>
    <m/>
    <m/>
    <m/>
    <m/>
    <m/>
    <n v="254.53"/>
    <m/>
    <m/>
    <m/>
    <m/>
    <m/>
    <m/>
    <m/>
    <n v="127.26"/>
    <n v="300"/>
    <n v="1063.58"/>
  </r>
  <r>
    <n v="9"/>
    <x v="9"/>
    <x v="0"/>
    <n v="173747"/>
    <s v="RUIZ JUAN MARIO ESEQUIEL"/>
    <s v="20-36944344-6"/>
    <n v="42649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LERMA"/>
    <n v="1225"/>
    <n v="3"/>
    <s v="a"/>
    <s v="CAPITAL FEDERAL"/>
    <s v="Buenos Aires"/>
    <m/>
    <s v="U.O.Centro"/>
    <m/>
    <n v="2"/>
    <n v="1"/>
    <n v="15036"/>
    <n v="3007.2"/>
    <m/>
    <m/>
    <n v="12028.8"/>
    <m/>
    <n v="300.72000000000003"/>
    <m/>
    <m/>
    <m/>
    <m/>
    <m/>
    <m/>
    <n v="150.36000000000001"/>
    <m/>
    <m/>
    <m/>
    <m/>
    <m/>
    <m/>
    <n v="300.72000000000003"/>
    <m/>
    <m/>
    <m/>
    <m/>
    <m/>
    <m/>
    <m/>
    <n v="150.36000000000001"/>
    <n v="300"/>
    <n v="1202.1600000000001"/>
  </r>
  <r>
    <n v="9"/>
    <x v="9"/>
    <x v="0"/>
    <n v="179333"/>
    <s v="RUIZ BARRAZA ALEJANDRA SOLEDAD"/>
    <s v="27-36561496-8"/>
    <n v="42649"/>
    <n v="36561496"/>
    <s v="RUIZ BARRAZA"/>
    <s v="ALEJANDRA SOLEDAD"/>
    <s v="F"/>
    <m/>
    <d v="2016-09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LLE 887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9"/>
    <x v="9"/>
    <x v="0"/>
    <n v="177727"/>
    <s v="RUIZ DIAZ LUCIA"/>
    <s v="27-39707176-1"/>
    <n v="42649"/>
    <n v="39707176"/>
    <s v="RUIZ DIAZ"/>
    <s v="LUCIA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PERU"/>
    <n v="240"/>
    <m/>
    <m/>
    <s v="TIGRE"/>
    <s v="Buenos Aires"/>
    <m/>
    <s v="U.O.San Isidro"/>
    <m/>
    <n v="1"/>
    <n v="1"/>
    <n v="1257.3599999999999"/>
    <n v="251.47"/>
    <m/>
    <m/>
    <n v="1005.89"/>
    <m/>
    <n v="25.15"/>
    <m/>
    <m/>
    <m/>
    <m/>
    <m/>
    <m/>
    <n v="12.57"/>
    <m/>
    <m/>
    <m/>
    <m/>
    <m/>
    <m/>
    <n v="25.15"/>
    <m/>
    <m/>
    <m/>
    <m/>
    <m/>
    <m/>
    <m/>
    <n v="12.57"/>
    <n v="300"/>
    <n v="375.44"/>
  </r>
  <r>
    <n v="9"/>
    <x v="9"/>
    <x v="0"/>
    <n v="179324"/>
    <s v="RUMILLA FABIANA VERONICA"/>
    <s v="27-23497318-0"/>
    <n v="42649"/>
    <n v="23497318"/>
    <s v="RUMILLA"/>
    <s v="FABIANA VERONICA"/>
    <s v="F"/>
    <m/>
    <d v="2016-09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LACARRA"/>
    <n v="1225"/>
    <n v="1"/>
    <n v="3"/>
    <s v="CAPITAL FEDERAL"/>
    <s v="Buenos Aires"/>
    <m/>
    <s v="U.O.Centro"/>
    <m/>
    <n v="1"/>
    <n v="1"/>
    <n v="1877.72"/>
    <n v="375.54"/>
    <m/>
    <m/>
    <n v="1502.18"/>
    <m/>
    <n v="37.549999999999997"/>
    <m/>
    <m/>
    <m/>
    <m/>
    <m/>
    <m/>
    <n v="18.78"/>
    <m/>
    <m/>
    <m/>
    <m/>
    <m/>
    <m/>
    <n v="37.549999999999997"/>
    <m/>
    <m/>
    <m/>
    <m/>
    <m/>
    <m/>
    <m/>
    <n v="18.78"/>
    <n v="300"/>
    <n v="412.66"/>
  </r>
  <r>
    <n v="9"/>
    <x v="9"/>
    <x v="0"/>
    <n v="170780"/>
    <s v="SANCHEZ JAVIER EDUARDO"/>
    <s v="20-29388721-8"/>
    <n v="42649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ONROE"/>
    <n v="181"/>
    <m/>
    <m/>
    <s v="CAPITAL FEDERAL"/>
    <s v="Capital Federal"/>
    <m/>
    <s v="U.O.Centro"/>
    <m/>
    <n v="1"/>
    <n v="1"/>
    <n v="2862.85"/>
    <n v="572.58000000000004"/>
    <m/>
    <m/>
    <n v="2290.27"/>
    <m/>
    <n v="57.26"/>
    <m/>
    <m/>
    <m/>
    <m/>
    <m/>
    <m/>
    <n v="28.63"/>
    <m/>
    <m/>
    <m/>
    <m/>
    <m/>
    <m/>
    <n v="57.26"/>
    <m/>
    <m/>
    <m/>
    <m/>
    <m/>
    <m/>
    <m/>
    <n v="28.63"/>
    <n v="300"/>
    <n v="471.78"/>
  </r>
  <r>
    <n v="9"/>
    <x v="9"/>
    <x v="1"/>
    <n v="179178"/>
    <s v="SANCHEZ NESTOR LUIS"/>
    <s v="20-32715975-6"/>
    <n v="42649"/>
    <n v="32715975"/>
    <s v="SANCHEZ"/>
    <s v="NESTOR LUIS"/>
    <s v="M"/>
    <m/>
    <d v="2016-09-2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SARANDI"/>
    <n v="1584"/>
    <s v="PB"/>
    <s v="G"/>
    <s v="CAPITAL FEDERAL"/>
    <s v="Capital Federal"/>
    <m/>
    <s v="U.O.Centro"/>
    <s v="Alvear Palace"/>
    <n v="1"/>
    <n v="1"/>
    <n v="709.43"/>
    <n v="141.88"/>
    <m/>
    <m/>
    <n v="567.54999999999995"/>
    <m/>
    <n v="14.19"/>
    <m/>
    <m/>
    <m/>
    <m/>
    <m/>
    <m/>
    <n v="7.09"/>
    <m/>
    <m/>
    <m/>
    <m/>
    <m/>
    <m/>
    <n v="14.19"/>
    <m/>
    <m/>
    <m/>
    <m/>
    <m/>
    <m/>
    <m/>
    <n v="7.09"/>
    <n v="300"/>
    <n v="342.56"/>
  </r>
  <r>
    <n v="9"/>
    <x v="9"/>
    <x v="0"/>
    <n v="164903"/>
    <s v="SANTO LEANDRO"/>
    <s v="20-39458602-2"/>
    <n v="42649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MERICA"/>
    <n v="1225"/>
    <m/>
    <m/>
    <s v="CAPITAL FEDERAL"/>
    <s v="Buenos Aires"/>
    <m/>
    <s v="U.O.Centro"/>
    <m/>
    <n v="2"/>
    <n v="1"/>
    <n v="4123.5200000000004"/>
    <n v="824.69"/>
    <m/>
    <m/>
    <n v="3298.83"/>
    <m/>
    <n v="82.47"/>
    <m/>
    <m/>
    <m/>
    <m/>
    <m/>
    <m/>
    <n v="41.23"/>
    <m/>
    <m/>
    <m/>
    <m/>
    <m/>
    <m/>
    <n v="82.47"/>
    <m/>
    <m/>
    <m/>
    <m/>
    <m/>
    <m/>
    <m/>
    <n v="41.23"/>
    <n v="300"/>
    <n v="547.4"/>
  </r>
  <r>
    <n v="9"/>
    <x v="9"/>
    <x v="0"/>
    <n v="163422"/>
    <s v="SAUCEDO BETIANA MAGALI"/>
    <s v="23-38354831-4"/>
    <n v="42649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ANCIO C VIGIL"/>
    <n v="1225"/>
    <m/>
    <m/>
    <s v="CAPITAL FEDERAL"/>
    <s v="Buenos Aires"/>
    <m/>
    <s v="U.O.Centro"/>
    <m/>
    <n v="2"/>
    <n v="1"/>
    <n v="11912.4"/>
    <n v="2382.4699999999998"/>
    <m/>
    <m/>
    <n v="9529.93"/>
    <m/>
    <n v="238.25"/>
    <m/>
    <m/>
    <m/>
    <m/>
    <m/>
    <m/>
    <n v="119.12"/>
    <m/>
    <m/>
    <m/>
    <m/>
    <m/>
    <m/>
    <n v="238.25"/>
    <m/>
    <m/>
    <m/>
    <m/>
    <m/>
    <m/>
    <m/>
    <n v="119.12"/>
    <n v="300"/>
    <n v="1014.74"/>
  </r>
  <r>
    <n v="9"/>
    <x v="9"/>
    <x v="0"/>
    <n v="157784"/>
    <s v="SAUCEDO MARCELA"/>
    <s v="27-33197318-7"/>
    <n v="42649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7143.48"/>
    <n v="3514.4"/>
    <m/>
    <m/>
    <n v="13629.08"/>
    <n v="428.59"/>
    <m/>
    <m/>
    <m/>
    <m/>
    <m/>
    <m/>
    <m/>
    <n v="171.43"/>
    <m/>
    <m/>
    <m/>
    <m/>
    <m/>
    <m/>
    <n v="342.87"/>
    <m/>
    <m/>
    <m/>
    <m/>
    <m/>
    <m/>
    <m/>
    <n v="171.43"/>
    <n v="300"/>
    <n v="1414.32"/>
  </r>
  <r>
    <n v="9"/>
    <x v="9"/>
    <x v="0"/>
    <n v="177140"/>
    <s v="SEGOVIA IGNACIO IVAN"/>
    <s v="20-33688878-7"/>
    <n v="42649"/>
    <n v="33688878"/>
    <s v="SEGOVIA"/>
    <s v="IGNACIO IVAN"/>
    <s v="M"/>
    <m/>
    <d v="2016-08-1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ONTES DE OCA"/>
    <n v="1225"/>
    <m/>
    <m/>
    <s v="CAPITAL FEDERAL"/>
    <s v="Buenos Aires"/>
    <m/>
    <s v="U.O.Centro"/>
    <m/>
    <n v="2"/>
    <n v="1"/>
    <n v="8762.7000000000007"/>
    <n v="1752.54"/>
    <m/>
    <m/>
    <n v="7010.16"/>
    <m/>
    <n v="175.26"/>
    <m/>
    <m/>
    <m/>
    <m/>
    <m/>
    <m/>
    <n v="87.62"/>
    <m/>
    <m/>
    <m/>
    <m/>
    <m/>
    <m/>
    <n v="175.26"/>
    <m/>
    <m/>
    <m/>
    <m/>
    <m/>
    <m/>
    <m/>
    <n v="87.62"/>
    <n v="300"/>
    <n v="825.76"/>
  </r>
  <r>
    <n v="9"/>
    <x v="9"/>
    <x v="0"/>
    <n v="172826"/>
    <s v="SENA GABRIEL FABIAN"/>
    <s v="20-34705676-7"/>
    <n v="42649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1"/>
    <n v="1"/>
    <n v="13323.98"/>
    <n v="2664.8"/>
    <m/>
    <m/>
    <n v="10659.18"/>
    <m/>
    <n v="266.48"/>
    <m/>
    <m/>
    <m/>
    <m/>
    <m/>
    <m/>
    <n v="133.24"/>
    <m/>
    <m/>
    <m/>
    <m/>
    <m/>
    <m/>
    <n v="266.48"/>
    <m/>
    <m/>
    <m/>
    <m/>
    <m/>
    <m/>
    <m/>
    <n v="133.24"/>
    <n v="300"/>
    <n v="1099.44"/>
  </r>
  <r>
    <n v="9"/>
    <x v="9"/>
    <x v="0"/>
    <n v="162176"/>
    <s v="SOMMA GABRIELA ALEJANDRA"/>
    <s v="27-31822042-0"/>
    <n v="42649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HACABUCO"/>
    <n v="1225"/>
    <m/>
    <m/>
    <s v="CAPITAL FEDERAL"/>
    <s v="Buenos Aires"/>
    <m/>
    <s v="U.O.Centro"/>
    <m/>
    <n v="2"/>
    <n v="1"/>
    <n v="10079.73"/>
    <n v="2015.96"/>
    <m/>
    <m/>
    <n v="8063.77"/>
    <m/>
    <n v="201.59"/>
    <m/>
    <m/>
    <m/>
    <m/>
    <m/>
    <m/>
    <n v="100.8"/>
    <m/>
    <m/>
    <m/>
    <m/>
    <m/>
    <m/>
    <n v="201.59"/>
    <m/>
    <m/>
    <m/>
    <m/>
    <m/>
    <m/>
    <m/>
    <n v="100.8"/>
    <n v="300"/>
    <n v="904.78"/>
  </r>
  <r>
    <n v="9"/>
    <x v="9"/>
    <x v="0"/>
    <n v="176592"/>
    <s v="SOSA LEANDRO DAVID"/>
    <s v="20-34984061-9"/>
    <n v="42649"/>
    <n v="34984061"/>
    <s v="SOSA"/>
    <s v="LEANDRO DAVID"/>
    <s v="M"/>
    <m/>
    <d v="2016-08-02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ATHEU"/>
    <n v="1225"/>
    <n v="5"/>
    <m/>
    <s v="CAPITAL FEDERAL"/>
    <s v="Buenos Aires"/>
    <m/>
    <s v="U.O.Quilmes"/>
    <m/>
    <n v="2"/>
    <n v="1"/>
    <n v="10014.49"/>
    <n v="2002.89"/>
    <m/>
    <m/>
    <n v="8011.6"/>
    <m/>
    <n v="200.29"/>
    <m/>
    <m/>
    <m/>
    <m/>
    <m/>
    <m/>
    <n v="100.14"/>
    <m/>
    <m/>
    <m/>
    <m/>
    <m/>
    <m/>
    <n v="200.29"/>
    <m/>
    <m/>
    <m/>
    <m/>
    <m/>
    <m/>
    <m/>
    <n v="100.14"/>
    <n v="300"/>
    <n v="900.86"/>
  </r>
  <r>
    <n v="9"/>
    <x v="9"/>
    <x v="0"/>
    <n v="162209"/>
    <s v="STOCKL BRENDA JENNIFER"/>
    <s v="27-37769971-3"/>
    <n v="42649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ORENZENI Y SARMIENTO"/>
    <n v="1225"/>
    <s v="PB"/>
    <n v="3"/>
    <s v="CAPITAL FEDERAL"/>
    <s v="Buenos Aires"/>
    <m/>
    <s v="U.O.Centro"/>
    <m/>
    <n v="2"/>
    <n v="1"/>
    <n v="8247.0499999999993"/>
    <n v="1649.42"/>
    <m/>
    <m/>
    <n v="6597.63"/>
    <m/>
    <n v="164.94"/>
    <m/>
    <m/>
    <m/>
    <m/>
    <m/>
    <m/>
    <n v="82.47"/>
    <m/>
    <m/>
    <m/>
    <m/>
    <m/>
    <m/>
    <n v="164.94"/>
    <m/>
    <m/>
    <m/>
    <m/>
    <m/>
    <m/>
    <m/>
    <n v="82.47"/>
    <n v="300"/>
    <n v="794.82"/>
  </r>
  <r>
    <n v="9"/>
    <x v="9"/>
    <x v="0"/>
    <n v="162177"/>
    <s v="SZYCHOWSKI WALTER TADEO"/>
    <s v="23-20698069-9"/>
    <n v="42634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GDALENA"/>
    <n v="1225"/>
    <s v="PB"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9"/>
    <x v="9"/>
    <x v="1"/>
    <n v="177494"/>
    <s v="TABORDA JUAN PABLO"/>
    <s v="20-29711251-2"/>
    <n v="42642"/>
    <n v="29711251"/>
    <s v="TABORDA"/>
    <s v="JUAN PABL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STAÑARES"/>
    <n v="764"/>
    <n v="8"/>
    <n v="5"/>
    <s v="CAPITAL FEDERAL"/>
    <s v="Capital Federal"/>
    <m/>
    <s v="U.O.Centro"/>
    <m/>
    <n v="2"/>
    <n v="1"/>
    <n v="18806.72"/>
    <n v="3761.36"/>
    <m/>
    <m/>
    <n v="15045.36"/>
    <m/>
    <n v="376.13"/>
    <m/>
    <m/>
    <m/>
    <m/>
    <m/>
    <m/>
    <n v="188.07"/>
    <m/>
    <m/>
    <m/>
    <m/>
    <m/>
    <m/>
    <n v="376.13"/>
    <m/>
    <m/>
    <m/>
    <m/>
    <m/>
    <m/>
    <m/>
    <n v="188.07"/>
    <n v="300"/>
    <n v="1428.4"/>
  </r>
  <r>
    <n v="9"/>
    <x v="9"/>
    <x v="0"/>
    <n v="170180"/>
    <s v="TORRES FERNANDO"/>
    <s v="23-36164521-9"/>
    <n v="42649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ICARDO ROJAS"/>
    <n v="265"/>
    <m/>
    <m/>
    <s v="CAPITAL FEDERAL"/>
    <s v="Capital Federal"/>
    <m/>
    <s v="U.O.Centro"/>
    <s v="Ayudantes"/>
    <n v="2"/>
    <n v="1"/>
    <n v="5258.05"/>
    <n v="1051.5999999999999"/>
    <m/>
    <m/>
    <n v="4206.45"/>
    <m/>
    <n v="105.16"/>
    <m/>
    <m/>
    <m/>
    <m/>
    <m/>
    <m/>
    <n v="52.58"/>
    <m/>
    <m/>
    <m/>
    <m/>
    <m/>
    <m/>
    <n v="105.16"/>
    <m/>
    <m/>
    <m/>
    <m/>
    <m/>
    <m/>
    <m/>
    <n v="52.58"/>
    <n v="300"/>
    <n v="615.48"/>
  </r>
  <r>
    <n v="9"/>
    <x v="9"/>
    <x v="1"/>
    <n v="165162"/>
    <s v="TORRES VERONICA ALEJANDRA"/>
    <s v="23-25413259-4"/>
    <n v="42642"/>
    <n v="25413259"/>
    <s v="TORRES"/>
    <s v="VERONICA ALEJANDRA"/>
    <s v="F"/>
    <m/>
    <d v="2016-02-23T00:00:00"/>
    <d v="2016-09-12T00:00:00"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Avenida General José María Zapiola 522"/>
    <n v="764"/>
    <m/>
    <m/>
    <s v="CAPITAL FEDERAL"/>
    <s v="Capital Federal"/>
    <m/>
    <s v="U.O.Centro Paga Inplant"/>
    <m/>
    <n v="2"/>
    <n v="1"/>
    <n v="4296.29"/>
    <n v="859.26"/>
    <m/>
    <m/>
    <n v="3437.03"/>
    <m/>
    <n v="85.92"/>
    <m/>
    <m/>
    <m/>
    <m/>
    <m/>
    <m/>
    <n v="42.97"/>
    <m/>
    <m/>
    <m/>
    <m/>
    <m/>
    <m/>
    <n v="85.92"/>
    <m/>
    <m/>
    <m/>
    <m/>
    <m/>
    <m/>
    <m/>
    <n v="42.97"/>
    <n v="300"/>
    <n v="557.78"/>
  </r>
  <r>
    <n v="9"/>
    <x v="9"/>
    <x v="0"/>
    <n v="170203"/>
    <s v="TOTARO ALEJANDRO EZEQUIEL"/>
    <s v="20-34309566-0"/>
    <n v="42649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MATANZA"/>
    <n v="1225"/>
    <m/>
    <m/>
    <s v="CAPITAL FEDERAL"/>
    <s v="Buenos Aires"/>
    <m/>
    <s v="U.O.Centro"/>
    <m/>
    <n v="1"/>
    <n v="1"/>
    <n v="3646.4"/>
    <n v="729.27"/>
    <m/>
    <m/>
    <n v="2917.13"/>
    <m/>
    <n v="72.930000000000007"/>
    <m/>
    <m/>
    <m/>
    <m/>
    <m/>
    <m/>
    <n v="36.46"/>
    <m/>
    <m/>
    <m/>
    <m/>
    <m/>
    <m/>
    <n v="72.930000000000007"/>
    <m/>
    <m/>
    <m/>
    <m/>
    <m/>
    <m/>
    <m/>
    <n v="36.46"/>
    <n v="300"/>
    <n v="518.78"/>
  </r>
  <r>
    <n v="9"/>
    <x v="9"/>
    <x v="0"/>
    <n v="176589"/>
    <s v="UMERES GUSTAVO ALBERTO"/>
    <s v="20-27282604-9"/>
    <n v="42649"/>
    <n v="27282604"/>
    <s v="UMERES"/>
    <s v="GUSTAVO ALBERTO"/>
    <s v="M"/>
    <m/>
    <d v="2016-08-02T00:00:00"/>
    <m/>
    <m/>
    <s v="GASTRONOMICOS-Hoteles 4 y 5 Estrellas - 362/2003"/>
    <s v="Categoría 4"/>
    <x v="5"/>
    <s v="Mucamas - GL"/>
    <s v="Centro"/>
    <s v="Mucama"/>
    <n v="119500"/>
    <s v="OS  DEL PERSONAL DE LA SANIDAD ARGENTINA"/>
    <s v="Capital Federal"/>
    <m/>
    <s v="C1104AKC"/>
    <s v="DEAN FUNES"/>
    <n v="1225"/>
    <s v="PB"/>
    <n v="3"/>
    <s v="CAPITAL FEDERAL"/>
    <s v="Buenos Aires"/>
    <m/>
    <s v="U.O.Centro"/>
    <m/>
    <n v="3"/>
    <n v="1"/>
    <n v="8136.78"/>
    <n v="2627.35"/>
    <m/>
    <n v="1000"/>
    <n v="6509.43"/>
    <m/>
    <n v="162.74"/>
    <m/>
    <m/>
    <m/>
    <m/>
    <m/>
    <m/>
    <n v="81.36"/>
    <m/>
    <m/>
    <m/>
    <m/>
    <n v="1000"/>
    <m/>
    <n v="162.74"/>
    <m/>
    <m/>
    <m/>
    <m/>
    <m/>
    <m/>
    <m/>
    <n v="81.36"/>
    <n v="300"/>
    <n v="1788.2"/>
  </r>
  <r>
    <n v="9"/>
    <x v="9"/>
    <x v="1"/>
    <n v="170492"/>
    <s v="VALIENTE MARIA NAZARENA"/>
    <s v="27-23700239-9"/>
    <n v="42649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2336.92"/>
    <n v="467.39"/>
    <m/>
    <m/>
    <n v="1869.53"/>
    <m/>
    <n v="46.74"/>
    <m/>
    <m/>
    <m/>
    <m/>
    <m/>
    <m/>
    <n v="23.37"/>
    <m/>
    <m/>
    <m/>
    <m/>
    <m/>
    <m/>
    <n v="46.74"/>
    <m/>
    <m/>
    <m/>
    <m/>
    <m/>
    <m/>
    <m/>
    <n v="23.37"/>
    <n v="300"/>
    <n v="440.22"/>
  </r>
  <r>
    <n v="9"/>
    <x v="9"/>
    <x v="0"/>
    <n v="140020"/>
    <s v="VALLEJOS CINTIA SOLEDAD"/>
    <s v="27-41537496-3"/>
    <n v="42634"/>
    <n v="41537496"/>
    <s v="VALLEJOS"/>
    <s v="CINTIA SOLEDAD"/>
    <s v="F"/>
    <m/>
    <d v="2016-03-12T00:00:00"/>
    <d v="2016-08-17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ARIAS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9"/>
    <x v="9"/>
    <x v="0"/>
    <n v="163376"/>
    <s v="VARGAS BENITEZ KARINA LUJAN"/>
    <s v="27-37354725-0"/>
    <n v="42649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EPUBLICA DE CUBA"/>
    <n v="1225"/>
    <m/>
    <m/>
    <s v="CAPITAL FEDERAL"/>
    <s v="Buenos Aires"/>
    <m/>
    <s v="U.O.Quilmes"/>
    <m/>
    <n v="2"/>
    <n v="1"/>
    <n v="6414.38"/>
    <n v="1282.8800000000001"/>
    <m/>
    <m/>
    <n v="5131.5"/>
    <m/>
    <n v="128.28"/>
    <m/>
    <m/>
    <m/>
    <m/>
    <m/>
    <m/>
    <n v="64.14"/>
    <m/>
    <m/>
    <m/>
    <m/>
    <m/>
    <m/>
    <n v="128.28"/>
    <m/>
    <m/>
    <m/>
    <m/>
    <m/>
    <m/>
    <m/>
    <n v="64.14"/>
    <n v="300"/>
    <n v="684.84"/>
  </r>
  <r>
    <n v="9"/>
    <x v="9"/>
    <x v="0"/>
    <n v="140009"/>
    <s v="VEGA JUAN JOSE"/>
    <s v="20-34339212-6"/>
    <n v="42649"/>
    <n v="34339212"/>
    <s v="VEGA"/>
    <s v="JUAN JOSE"/>
    <s v="M"/>
    <m/>
    <d v="2016-08-2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PRUDAN"/>
    <n v="1225"/>
    <n v="5"/>
    <n v="5"/>
    <s v="CAPITAL FEDERAL"/>
    <s v="Buenos Aires"/>
    <m/>
    <s v="U.O.Centro"/>
    <m/>
    <n v="4"/>
    <n v="1"/>
    <n v="14096.83"/>
    <n v="2884.77"/>
    <m/>
    <m/>
    <n v="11212.06"/>
    <n v="352.41"/>
    <m/>
    <m/>
    <m/>
    <m/>
    <m/>
    <m/>
    <m/>
    <n v="135.91"/>
    <m/>
    <m/>
    <m/>
    <m/>
    <m/>
    <m/>
    <n v="281.94"/>
    <m/>
    <m/>
    <m/>
    <m/>
    <m/>
    <m/>
    <m/>
    <n v="135.91"/>
    <n v="550"/>
    <n v="1456.17"/>
  </r>
  <r>
    <n v="9"/>
    <x v="9"/>
    <x v="0"/>
    <n v="176107"/>
    <s v="VEGA MARIANO EMANUEL"/>
    <s v="20-36845666-8"/>
    <n v="42649"/>
    <n v="36845666"/>
    <s v="VEGA"/>
    <s v="MARIANO EMANUEL"/>
    <s v="M"/>
    <m/>
    <d v="2016-07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DRE CARLOS MUGICA"/>
    <n v="1225"/>
    <m/>
    <m/>
    <s v="CAPITAL FEDERAL"/>
    <s v="Buenos Aires"/>
    <m/>
    <s v="U.O.Centro"/>
    <m/>
    <n v="2"/>
    <n v="1"/>
    <n v="9004.1"/>
    <n v="1800.82"/>
    <m/>
    <m/>
    <n v="7203.28"/>
    <m/>
    <n v="180.08"/>
    <m/>
    <m/>
    <m/>
    <m/>
    <m/>
    <m/>
    <n v="90.04"/>
    <m/>
    <m/>
    <m/>
    <m/>
    <m/>
    <m/>
    <n v="180.08"/>
    <m/>
    <m/>
    <m/>
    <m/>
    <m/>
    <m/>
    <m/>
    <n v="90.04"/>
    <n v="300"/>
    <n v="840.24"/>
  </r>
  <r>
    <n v="9"/>
    <x v="9"/>
    <x v="0"/>
    <n v="174627"/>
    <s v="VEGA RAMONA CAROLINA"/>
    <s v="27-92893847-1"/>
    <n v="42649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MARGARITA WEILD"/>
    <n v="1225"/>
    <n v="7"/>
    <s v="A"/>
    <s v="CAPITAL FEDERAL"/>
    <s v="Buenos Aires"/>
    <m/>
    <s v="U.O.Centro"/>
    <m/>
    <n v="2"/>
    <n v="1"/>
    <n v="9814.89"/>
    <n v="1962.96"/>
    <m/>
    <m/>
    <n v="7851.93"/>
    <m/>
    <n v="196.3"/>
    <m/>
    <m/>
    <m/>
    <m/>
    <m/>
    <m/>
    <n v="98.15"/>
    <m/>
    <m/>
    <m/>
    <m/>
    <m/>
    <m/>
    <n v="196.3"/>
    <m/>
    <m/>
    <m/>
    <m/>
    <m/>
    <m/>
    <m/>
    <n v="98.15"/>
    <n v="300"/>
    <n v="888.9"/>
  </r>
  <r>
    <n v="9"/>
    <x v="9"/>
    <x v="0"/>
    <n v="143424"/>
    <s v="VELASQUEZ NESTOR IGNACIO"/>
    <s v="20-30830390-0"/>
    <n v="42649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OMANELLA"/>
    <n v="265"/>
    <m/>
    <m/>
    <s v="CAPITAL FEDERAL"/>
    <s v="Capital Federal"/>
    <m/>
    <s v="U.O.Centro"/>
    <s v="Ayudantes"/>
    <n v="2"/>
    <n v="1"/>
    <n v="6760.35"/>
    <n v="1385.87"/>
    <m/>
    <m/>
    <n v="5374.48"/>
    <n v="169.01"/>
    <m/>
    <m/>
    <m/>
    <m/>
    <m/>
    <m/>
    <m/>
    <n v="67.599999999999994"/>
    <m/>
    <m/>
    <m/>
    <m/>
    <m/>
    <m/>
    <n v="135.21"/>
    <m/>
    <m/>
    <m/>
    <m/>
    <m/>
    <m/>
    <m/>
    <n v="67.599999999999994"/>
    <n v="300"/>
    <n v="739.42"/>
  </r>
  <r>
    <n v="9"/>
    <x v="9"/>
    <x v="1"/>
    <n v="170478"/>
    <s v="VELAZQUEZ FERNANDO ARIEL"/>
    <s v="20-18830125-9"/>
    <n v="42649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s v="C1129AAA"/>
    <s v="SARMIENTO"/>
    <n v="1891"/>
    <m/>
    <m/>
    <s v="CAPITAL FEDERAL"/>
    <s v="Capital Federal"/>
    <m/>
    <s v="U.O.Centro"/>
    <s v="Alvear Palace"/>
    <n v="1"/>
    <n v="1"/>
    <n v="8596.51"/>
    <n v="1719.32"/>
    <m/>
    <m/>
    <n v="6877.19"/>
    <m/>
    <n v="171.93"/>
    <m/>
    <m/>
    <m/>
    <m/>
    <m/>
    <m/>
    <n v="85.97"/>
    <m/>
    <m/>
    <m/>
    <m/>
    <m/>
    <m/>
    <n v="171.93"/>
    <m/>
    <m/>
    <m/>
    <m/>
    <m/>
    <m/>
    <m/>
    <n v="85.97"/>
    <n v="300"/>
    <n v="815.8"/>
  </r>
  <r>
    <n v="9"/>
    <x v="9"/>
    <x v="0"/>
    <n v="169885"/>
    <s v="VELAZQUEZ NOELIA"/>
    <s v="27-28814358-2"/>
    <n v="42649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14517.83"/>
    <n v="2903.56"/>
    <m/>
    <m/>
    <n v="11614.27"/>
    <m/>
    <n v="290.36"/>
    <m/>
    <m/>
    <m/>
    <m/>
    <m/>
    <m/>
    <n v="145.18"/>
    <m/>
    <m/>
    <m/>
    <m/>
    <m/>
    <m/>
    <n v="290.36"/>
    <m/>
    <m/>
    <m/>
    <m/>
    <m/>
    <m/>
    <m/>
    <n v="145.18"/>
    <n v="300"/>
    <n v="1171.08"/>
  </r>
  <r>
    <n v="9"/>
    <x v="9"/>
    <x v="1"/>
    <n v="176965"/>
    <s v="VERA ANDRES IGNACIO"/>
    <s v="20-33620630-9"/>
    <n v="42642"/>
    <n v="33620630"/>
    <s v="VERA"/>
    <s v="ANDRES IGNACIO"/>
    <s v="M"/>
    <m/>
    <d v="2016-08-10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JOSE MARMOL"/>
    <n v="764"/>
    <m/>
    <m/>
    <s v="CAPITAL FEDERAL"/>
    <s v="Capital Federal"/>
    <m/>
    <s v="U.O.Centro"/>
    <m/>
    <n v="1"/>
    <n v="1"/>
    <n v="70.650000000000006"/>
    <n v="14.13"/>
    <m/>
    <m/>
    <n v="56.52"/>
    <m/>
    <n v="1.41"/>
    <m/>
    <m/>
    <m/>
    <m/>
    <m/>
    <m/>
    <n v="0.71"/>
    <m/>
    <m/>
    <m/>
    <m/>
    <m/>
    <m/>
    <n v="1.41"/>
    <m/>
    <m/>
    <m/>
    <m/>
    <m/>
    <m/>
    <m/>
    <n v="0.71"/>
    <m/>
    <n v="4.24"/>
  </r>
  <r>
    <n v="9"/>
    <x v="9"/>
    <x v="0"/>
    <n v="172595"/>
    <s v="VERA GUILLERMO EDUARDO"/>
    <s v="23-28162145-9"/>
    <n v="42649"/>
    <n v="28162145"/>
    <s v="VERA"/>
    <s v="GUILLERMO EDUARDO"/>
    <s v="M"/>
    <m/>
    <d v="2016-05-05T00:00:00"/>
    <m/>
    <m/>
    <s v="GASTRONOMICOS-Hoteles 4 y 5 Estrellas - 362/2003"/>
    <s v="Categoria 3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2"/>
    <n v="1"/>
    <n v="12721.04"/>
    <n v="2607.81"/>
    <m/>
    <m/>
    <n v="10113.23"/>
    <n v="318.02999999999997"/>
    <m/>
    <m/>
    <m/>
    <m/>
    <m/>
    <m/>
    <m/>
    <n v="127.21"/>
    <m/>
    <m/>
    <m/>
    <m/>
    <m/>
    <m/>
    <n v="254.42"/>
    <m/>
    <m/>
    <m/>
    <m/>
    <m/>
    <m/>
    <m/>
    <n v="127.21"/>
    <n v="300"/>
    <n v="1126.8699999999999"/>
  </r>
  <r>
    <n v="9"/>
    <x v="9"/>
    <x v="0"/>
    <n v="179327"/>
    <s v="VERA JUAN MATIAS"/>
    <s v="20-32101122-6"/>
    <n v="42649"/>
    <n v="32101122"/>
    <s v="VERA"/>
    <s v="JUAN MATIAS"/>
    <s v="M"/>
    <m/>
    <d v="2016-09-25T00:00:00"/>
    <m/>
    <m/>
    <s v="GASTRONOMICOS-Hoteles 4 y 5 Estrellas - 362/2003"/>
    <s v="Categoria 2"/>
    <x v="5"/>
    <s v="Medio Oficial de lavanderia - GL"/>
    <s v="Centro"/>
    <s v="Medio Oficial de lavandería"/>
    <n v="127406"/>
    <s v="O.S.Obreros y empleados tintoreros, sombrerero y lavanderos"/>
    <s v="Capital Federal"/>
    <m/>
    <s v="C1104AKC"/>
    <s v="CALLE 333 BIS"/>
    <n v="1225"/>
    <m/>
    <m/>
    <s v="CAPITAL FEDERAL"/>
    <s v="Buenos Aires"/>
    <m/>
    <s v="U.O.Centro"/>
    <m/>
    <n v="1"/>
    <n v="1"/>
    <n v="1154.69"/>
    <n v="230.94"/>
    <m/>
    <m/>
    <n v="923.75"/>
    <m/>
    <n v="23.09"/>
    <m/>
    <m/>
    <m/>
    <m/>
    <m/>
    <m/>
    <n v="11.55"/>
    <m/>
    <m/>
    <m/>
    <m/>
    <m/>
    <m/>
    <n v="23.09"/>
    <m/>
    <m/>
    <m/>
    <m/>
    <m/>
    <m/>
    <m/>
    <n v="11.55"/>
    <n v="300"/>
    <n v="369.28"/>
  </r>
  <r>
    <n v="9"/>
    <x v="9"/>
    <x v="0"/>
    <n v="170044"/>
    <s v="VILLANUEVA STELLA MARIS"/>
    <s v="27-24358222-4"/>
    <n v="42649"/>
    <n v="24358222"/>
    <s v="VILLANUEVA"/>
    <s v="STELLA MARIS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OLIVAR"/>
    <n v="1232"/>
    <m/>
    <m/>
    <s v="CAPITAL FEDERAL"/>
    <s v="Buenos Aires"/>
    <m/>
    <s v="U.O.Centro"/>
    <s v="Ama de Llaves"/>
    <n v="1"/>
    <n v="1"/>
    <n v="15399.31"/>
    <n v="3079.86"/>
    <m/>
    <m/>
    <n v="12319.45"/>
    <m/>
    <n v="307.99"/>
    <m/>
    <m/>
    <m/>
    <m/>
    <m/>
    <m/>
    <n v="153.99"/>
    <m/>
    <m/>
    <m/>
    <m/>
    <m/>
    <m/>
    <n v="307.99"/>
    <m/>
    <m/>
    <m/>
    <m/>
    <m/>
    <m/>
    <m/>
    <n v="153.99"/>
    <n v="300"/>
    <n v="1223.96"/>
  </r>
  <r>
    <n v="9"/>
    <x v="9"/>
    <x v="1"/>
    <n v="165035"/>
    <s v="VILLAROEL BARRIOS WILMER OLIVER"/>
    <s v="20-95503977-8"/>
    <n v="42642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OMBATE DE LOS POZOS"/>
    <n v="764"/>
    <m/>
    <m/>
    <s v="CAPITAL FEDERAL"/>
    <s v="Capital Federal"/>
    <m/>
    <s v="U.O.Centro Paga Inplant"/>
    <m/>
    <n v="1"/>
    <n v="1"/>
    <n v="64.22"/>
    <n v="13.17"/>
    <m/>
    <m/>
    <n v="51.05"/>
    <n v="1.61"/>
    <m/>
    <m/>
    <m/>
    <m/>
    <m/>
    <m/>
    <m/>
    <n v="0.64"/>
    <m/>
    <m/>
    <m/>
    <m/>
    <m/>
    <m/>
    <n v="1.28"/>
    <m/>
    <m/>
    <m/>
    <m/>
    <m/>
    <m/>
    <m/>
    <n v="0.64"/>
    <m/>
    <n v="4.17"/>
  </r>
  <r>
    <n v="9"/>
    <x v="9"/>
    <x v="0"/>
    <n v="178272"/>
    <s v="VIRAHONDA CORREA YIBSY STEFANY"/>
    <s v="27-62782024-6"/>
    <n v="42642"/>
    <n v="62782024"/>
    <s v="VIRAHONDA CORREA"/>
    <s v="YIBSY STEFANY"/>
    <s v="F"/>
    <m/>
    <d v="2016-09-12T00:00:00"/>
    <d v="2016-09-12T00:00:00"/>
    <n v="42625"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DOMINGO ROMERO"/>
    <n v="764"/>
    <s v="PB"/>
    <n v="4"/>
    <s v="CAPITAL FEDERAL"/>
    <s v="Capital Federal"/>
    <m/>
    <s v="U.O.Centro"/>
    <m/>
    <n v="1"/>
    <n v="1"/>
    <n v="427.2"/>
    <n v="85.44"/>
    <m/>
    <m/>
    <n v="341.76"/>
    <m/>
    <n v="8.5399999999999991"/>
    <m/>
    <m/>
    <m/>
    <m/>
    <m/>
    <m/>
    <n v="4.2699999999999996"/>
    <m/>
    <m/>
    <m/>
    <m/>
    <m/>
    <m/>
    <n v="8.5399999999999991"/>
    <m/>
    <m/>
    <m/>
    <m/>
    <m/>
    <m/>
    <m/>
    <n v="4.2699999999999996"/>
    <n v="300"/>
    <n v="325.62"/>
  </r>
  <r>
    <n v="9"/>
    <x v="9"/>
    <x v="1"/>
    <n v="130773"/>
    <s v="WTOREK WALTER EZEQUIEL"/>
    <s v="20-30454246-3"/>
    <n v="42649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8430.849999999999"/>
    <n v="3778.33"/>
    <m/>
    <m/>
    <n v="14652.52"/>
    <n v="460.77"/>
    <m/>
    <m/>
    <m/>
    <m/>
    <m/>
    <m/>
    <m/>
    <n v="184.31"/>
    <m/>
    <m/>
    <m/>
    <m/>
    <m/>
    <m/>
    <n v="368.62"/>
    <m/>
    <m/>
    <m/>
    <m/>
    <m/>
    <m/>
    <m/>
    <n v="184.31"/>
    <n v="300"/>
    <n v="1498.01"/>
  </r>
  <r>
    <n v="9"/>
    <x v="9"/>
    <x v="1"/>
    <n v="156235"/>
    <s v="ZENTENO CRISTIAN OSCAR"/>
    <s v="20-37675043-5"/>
    <n v="42642"/>
    <n v="37675043"/>
    <s v="ZENTENO"/>
    <s v="CRISTIAN OSCAR"/>
    <s v="M"/>
    <m/>
    <d v="2016-08-19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AMPICHUELO"/>
    <n v="764"/>
    <m/>
    <m/>
    <s v="CAPITAL FEDERAL"/>
    <s v="Capital Federal"/>
    <m/>
    <s v="U.O.Centro"/>
    <m/>
    <n v="3"/>
    <n v="1"/>
    <n v="7354.62"/>
    <n v="1470.92"/>
    <m/>
    <m/>
    <n v="5883.7"/>
    <m/>
    <n v="147.08000000000001"/>
    <m/>
    <m/>
    <m/>
    <m/>
    <m/>
    <m/>
    <n v="73.55"/>
    <m/>
    <m/>
    <m/>
    <m/>
    <m/>
    <m/>
    <n v="147.08000000000001"/>
    <m/>
    <m/>
    <m/>
    <m/>
    <m/>
    <m/>
    <m/>
    <n v="73.55"/>
    <n v="300"/>
    <n v="741.26"/>
  </r>
  <r>
    <n v="9"/>
    <x v="9"/>
    <x v="0"/>
    <n v="177440"/>
    <s v="ZEPPA FRANCISCO"/>
    <s v="20-38892842-6"/>
    <n v="42649"/>
    <n v="38892842"/>
    <s v="ZEPPA"/>
    <s v="FRANCISCO"/>
    <s v="M"/>
    <m/>
    <d v="2016-08-18T00:00:00"/>
    <d v="2016-09-18T00:00:00"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ECHEANDIA"/>
    <n v="1225"/>
    <n v="1"/>
    <n v="3"/>
    <s v="CAPITAL FEDERAL"/>
    <s v="Buenos Aires"/>
    <m/>
    <s v="U.O.Centro"/>
    <m/>
    <n v="2"/>
    <n v="1"/>
    <n v="5461.08"/>
    <n v="1092.21"/>
    <m/>
    <m/>
    <n v="4368.87"/>
    <m/>
    <n v="109.23"/>
    <m/>
    <m/>
    <m/>
    <m/>
    <m/>
    <m/>
    <n v="54.61"/>
    <m/>
    <m/>
    <m/>
    <m/>
    <m/>
    <m/>
    <n v="109.23"/>
    <m/>
    <m/>
    <m/>
    <m/>
    <m/>
    <m/>
    <m/>
    <n v="54.61"/>
    <n v="300"/>
    <n v="627.67999999999995"/>
  </r>
  <r>
    <n v="9"/>
    <x v="9"/>
    <x v="0"/>
    <n v="172976"/>
    <s v="ZOZAYA GABRIELA ALICIA"/>
    <s v="27-36457426-1"/>
    <n v="42634"/>
    <n v="36457426"/>
    <s v="ZOZAYA"/>
    <s v="GABRIELA ALICIA"/>
    <s v="F"/>
    <m/>
    <d v="2016-08-17T00:00:00"/>
    <d v="2016-08-17T00:00:00"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CABO VERDE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9"/>
    <x v="9"/>
    <x v="0"/>
    <n v="164888"/>
    <s v="ZURCO IRINA BELEN"/>
    <s v="27-35930307-1"/>
    <n v="42649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HENA"/>
    <n v="1225"/>
    <m/>
    <m/>
    <s v="CAPITAL FEDERAL"/>
    <s v="Buenos Aires"/>
    <m/>
    <s v="U.O.Centro"/>
    <m/>
    <n v="3"/>
    <n v="1"/>
    <n v="10079.73"/>
    <n v="2015.96"/>
    <m/>
    <m/>
    <n v="8063.77"/>
    <m/>
    <n v="201.59"/>
    <m/>
    <m/>
    <m/>
    <m/>
    <m/>
    <m/>
    <n v="100.8"/>
    <m/>
    <m/>
    <m/>
    <m/>
    <m/>
    <m/>
    <n v="201.59"/>
    <m/>
    <m/>
    <m/>
    <m/>
    <m/>
    <m/>
    <m/>
    <n v="100.8"/>
    <n v="300"/>
    <n v="904.78"/>
  </r>
  <r>
    <n v="10"/>
    <x v="10"/>
    <x v="0"/>
    <n v="177728"/>
    <s v="ABUSLAIMAN YESICA BELEN"/>
    <s v="27-34693898-1"/>
    <n v="42681"/>
    <n v="34693898"/>
    <s v="ABUSLAIMAN"/>
    <s v="YESICA BELEN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COMBATE DE SAN LORENZO"/>
    <n v="240"/>
    <m/>
    <m/>
    <s v="TIGRE"/>
    <s v="Buenos Aires"/>
    <m/>
    <s v="U.O.San Isidro"/>
    <m/>
    <n v="1"/>
    <n v="1"/>
    <n v="7644.76"/>
    <n v="1528.95"/>
    <m/>
    <m/>
    <n v="6115.81"/>
    <m/>
    <n v="152.9"/>
    <m/>
    <m/>
    <m/>
    <m/>
    <m/>
    <m/>
    <n v="76.45"/>
    <m/>
    <m/>
    <m/>
    <m/>
    <m/>
    <m/>
    <n v="152.9"/>
    <m/>
    <m/>
    <m/>
    <m/>
    <m/>
    <m/>
    <m/>
    <n v="76.45"/>
    <m/>
    <n v="458.7"/>
  </r>
  <r>
    <n v="10"/>
    <x v="10"/>
    <x v="0"/>
    <n v="176112"/>
    <s v="ACEVEDO FLAVIA ANALIA"/>
    <s v="27-28987335-5"/>
    <n v="42667"/>
    <n v="28987335"/>
    <s v="ACEVEDO"/>
    <s v="FLAVIA ANALIA"/>
    <s v="F"/>
    <m/>
    <d v="2016-07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NGALLO"/>
    <n v="1225"/>
    <m/>
    <m/>
    <s v="CAPITAL FEDERAL"/>
    <s v="Buenos Aires"/>
    <m/>
    <s v="U.O.Centro"/>
    <m/>
    <n v="1"/>
    <n v="1"/>
    <n v="3294.16"/>
    <n v="658.82"/>
    <m/>
    <m/>
    <n v="2635.34"/>
    <m/>
    <n v="65.88"/>
    <m/>
    <m/>
    <m/>
    <m/>
    <m/>
    <m/>
    <n v="32.94"/>
    <m/>
    <m/>
    <m/>
    <m/>
    <m/>
    <m/>
    <n v="65.88"/>
    <m/>
    <m/>
    <m/>
    <m/>
    <m/>
    <m/>
    <m/>
    <n v="32.94"/>
    <m/>
    <n v="197.64"/>
  </r>
  <r>
    <n v="10"/>
    <x v="10"/>
    <x v="1"/>
    <n v="170882"/>
    <s v="ACOSTA ADRIAN JOSE"/>
    <s v="23-30887276-9"/>
    <n v="42674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s v="C1002ABO"/>
    <s v="GRAL MOLINA"/>
    <n v="764"/>
    <m/>
    <m/>
    <s v="CAPITAL FEDERAL"/>
    <s v="Capital Federal"/>
    <m/>
    <s v="U.O.Centro Paga Inplant"/>
    <m/>
    <n v="1"/>
    <n v="1"/>
    <n v="13604.44"/>
    <n v="2720.88"/>
    <m/>
    <m/>
    <n v="10883.56"/>
    <m/>
    <n v="272.08999999999997"/>
    <m/>
    <m/>
    <m/>
    <m/>
    <m/>
    <m/>
    <n v="136.04"/>
    <m/>
    <m/>
    <m/>
    <m/>
    <m/>
    <m/>
    <n v="272.08999999999997"/>
    <m/>
    <m/>
    <m/>
    <m/>
    <m/>
    <m/>
    <m/>
    <n v="136.04"/>
    <m/>
    <n v="816.26"/>
  </r>
  <r>
    <n v="10"/>
    <x v="10"/>
    <x v="0"/>
    <n v="118846"/>
    <s v="ACOSTA SUSANA BEATRIZ"/>
    <s v="27-32902543-3"/>
    <n v="42681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s v="C1008AAT"/>
    <s v="JUEZ TEDIN"/>
    <n v="948"/>
    <m/>
    <m/>
    <s v="CAPITAL FEDERAL"/>
    <s v="Capital Federal"/>
    <m/>
    <s v="U.O.Centro"/>
    <m/>
    <n v="1"/>
    <n v="1"/>
    <n v="4748.41"/>
    <n v="949.68"/>
    <m/>
    <m/>
    <n v="3798.73"/>
    <m/>
    <n v="94.97"/>
    <m/>
    <m/>
    <m/>
    <m/>
    <m/>
    <m/>
    <n v="47.48"/>
    <m/>
    <m/>
    <m/>
    <m/>
    <m/>
    <m/>
    <n v="94.97"/>
    <m/>
    <m/>
    <m/>
    <m/>
    <m/>
    <m/>
    <m/>
    <n v="47.48"/>
    <m/>
    <n v="284.89999999999998"/>
  </r>
  <r>
    <n v="10"/>
    <x v="10"/>
    <x v="1"/>
    <n v="70996"/>
    <s v="ACUÑA ELBA SANDRA"/>
    <s v="27-28976424-6"/>
    <n v="42674"/>
    <n v="28976424"/>
    <s v="ACUÑA"/>
    <s v="ELBA SANDRA"/>
    <s v="F"/>
    <m/>
    <d v="2016-08-29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NECOCHEA"/>
    <n v="764"/>
    <m/>
    <m/>
    <s v="CAPITAL FEDERAL"/>
    <s v="Capital Federal"/>
    <m/>
    <s v="U.O.Centro"/>
    <m/>
    <n v="1"/>
    <n v="1"/>
    <n v="13859.25"/>
    <n v="2771.86"/>
    <m/>
    <m/>
    <n v="11087.39"/>
    <m/>
    <n v="277.19"/>
    <m/>
    <m/>
    <m/>
    <m/>
    <m/>
    <m/>
    <n v="138.59"/>
    <m/>
    <m/>
    <m/>
    <m/>
    <m/>
    <m/>
    <n v="277.19"/>
    <m/>
    <m/>
    <m/>
    <m/>
    <m/>
    <m/>
    <m/>
    <n v="138.59"/>
    <m/>
    <n v="831.56"/>
  </r>
  <r>
    <n v="10"/>
    <x v="10"/>
    <x v="0"/>
    <n v="139738"/>
    <s v="ALEGRE FLAVIO RODRIGO"/>
    <s v="20-30462269-6"/>
    <n v="42681"/>
    <n v="30462269"/>
    <s v="ALEGRE"/>
    <s v="FLAVIO RODRIGO"/>
    <s v="M"/>
    <m/>
    <d v="2016-10-06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COMBAT. DE LOS POZOS"/>
    <n v="181"/>
    <n v="3"/>
    <m/>
    <s v="CAPITAL FEDERAL"/>
    <s v="Capital Federal"/>
    <m/>
    <s v="U.O.Centro"/>
    <m/>
    <n v="4"/>
    <n v="1"/>
    <n v="10894.81"/>
    <n v="2174.4699999999998"/>
    <m/>
    <m/>
    <n v="8720.34"/>
    <m/>
    <n v="217.89"/>
    <m/>
    <m/>
    <m/>
    <m/>
    <m/>
    <m/>
    <n v="104.47"/>
    <m/>
    <m/>
    <m/>
    <m/>
    <m/>
    <m/>
    <n v="217.89"/>
    <m/>
    <m/>
    <m/>
    <m/>
    <m/>
    <m/>
    <m/>
    <n v="104.47"/>
    <n v="250"/>
    <n v="894.72"/>
  </r>
  <r>
    <n v="10"/>
    <x v="10"/>
    <x v="0"/>
    <n v="168236"/>
    <s v="ALFONZO SEBASTIAN ALEJANDRO"/>
    <s v="20-34553164-6"/>
    <n v="42681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AVENIDA PUEYRREDON"/>
    <n v="1225"/>
    <m/>
    <m/>
    <s v="CAPITAL FEDERAL"/>
    <s v="Buenos Aires"/>
    <m/>
    <s v="U.O.Centro"/>
    <m/>
    <n v="2"/>
    <n v="1"/>
    <n v="11566.42"/>
    <n v="2313.2800000000002"/>
    <m/>
    <m/>
    <n v="9253.14"/>
    <m/>
    <n v="231.33"/>
    <m/>
    <m/>
    <m/>
    <m/>
    <m/>
    <m/>
    <n v="115.66"/>
    <m/>
    <m/>
    <m/>
    <m/>
    <m/>
    <m/>
    <n v="231.33"/>
    <m/>
    <m/>
    <m/>
    <m/>
    <m/>
    <m/>
    <m/>
    <n v="115.66"/>
    <m/>
    <n v="693.98"/>
  </r>
  <r>
    <n v="10"/>
    <x v="10"/>
    <x v="0"/>
    <n v="160165"/>
    <s v="ALONZO JAVIER ANTONIO"/>
    <s v="20-25146812-6"/>
    <n v="42681"/>
    <n v="25146812"/>
    <s v="ALONZO"/>
    <s v="JAVIER ANTONIO"/>
    <s v="M"/>
    <m/>
    <d v="2015-12-1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ALLAO"/>
    <n v="1005"/>
    <m/>
    <m/>
    <s v="CAPITAL FEDERAL"/>
    <s v="Capital Federal"/>
    <m/>
    <s v="U.O.Centro"/>
    <m/>
    <n v="4"/>
    <n v="1"/>
    <n v="6017.94"/>
    <n v="1203.58"/>
    <m/>
    <m/>
    <n v="4814.3599999999997"/>
    <m/>
    <n v="120.37"/>
    <m/>
    <m/>
    <m/>
    <m/>
    <m/>
    <m/>
    <n v="60.18"/>
    <m/>
    <m/>
    <m/>
    <m/>
    <m/>
    <m/>
    <n v="120.37"/>
    <m/>
    <m/>
    <m/>
    <m/>
    <m/>
    <m/>
    <m/>
    <n v="60.18"/>
    <m/>
    <n v="361.1"/>
  </r>
  <r>
    <n v="10"/>
    <x v="10"/>
    <x v="0"/>
    <n v="163395"/>
    <s v="ALTAMIRANO EUGENIA DELIA"/>
    <s v="27-33347518-4"/>
    <n v="42681"/>
    <n v="33347518"/>
    <s v="ALTAMIRANO"/>
    <s v="EUGENIA DELIA"/>
    <s v="F"/>
    <m/>
    <d v="2016-10-24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ONTEGUDO"/>
    <n v="181"/>
    <m/>
    <m/>
    <s v="CAPITAL FEDERAL"/>
    <s v="Capital Federal"/>
    <m/>
    <s v="U.O.Centro"/>
    <m/>
    <n v="1"/>
    <n v="1"/>
    <n v="300.29000000000002"/>
    <n v="60.06"/>
    <m/>
    <m/>
    <n v="240.23"/>
    <m/>
    <n v="6.01"/>
    <m/>
    <m/>
    <m/>
    <m/>
    <m/>
    <m/>
    <n v="3"/>
    <m/>
    <m/>
    <m/>
    <m/>
    <m/>
    <m/>
    <n v="6.01"/>
    <m/>
    <m/>
    <m/>
    <m/>
    <m/>
    <m/>
    <m/>
    <n v="3"/>
    <m/>
    <n v="18.02"/>
  </r>
  <r>
    <n v="10"/>
    <x v="10"/>
    <x v="0"/>
    <n v="156038"/>
    <s v="AMARILLA GLADIS NORMA"/>
    <s v="27-31471414-3"/>
    <n v="42681"/>
    <n v="31471414"/>
    <s v="AMARILLA"/>
    <s v="GLADIS NORM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JAVIER"/>
    <n v="1225"/>
    <m/>
    <m/>
    <s v="CAPITAL FEDERAL"/>
    <s v="Buenos Aires"/>
    <m/>
    <s v="U.O.Centro"/>
    <m/>
    <n v="3"/>
    <n v="1"/>
    <n v="6327.22"/>
    <n v="1261.74"/>
    <m/>
    <m/>
    <n v="5065.4799999999996"/>
    <m/>
    <n v="126.55"/>
    <m/>
    <m/>
    <m/>
    <m/>
    <m/>
    <m/>
    <n v="59.56"/>
    <m/>
    <m/>
    <m/>
    <m/>
    <m/>
    <m/>
    <n v="126.55"/>
    <m/>
    <m/>
    <m/>
    <m/>
    <m/>
    <m/>
    <m/>
    <n v="59.56"/>
    <n v="250"/>
    <n v="622.22"/>
  </r>
  <r>
    <n v="10"/>
    <x v="10"/>
    <x v="0"/>
    <n v="172090"/>
    <s v="ANGULO QUINTERO JUAN FRANCISCO"/>
    <s v="20-95530684-9"/>
    <n v="42681"/>
    <n v="95530684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LTA"/>
    <n v="1225"/>
    <m/>
    <m/>
    <s v="CAPITAL FEDERAL"/>
    <s v="Buenos Aires"/>
    <m/>
    <s v="U.O.Centro"/>
    <m/>
    <n v="2"/>
    <n v="1"/>
    <n v="8705.2199999999993"/>
    <n v="1741.05"/>
    <m/>
    <m/>
    <n v="6964.17"/>
    <m/>
    <n v="174.11"/>
    <m/>
    <m/>
    <m/>
    <m/>
    <m/>
    <m/>
    <n v="87.05"/>
    <m/>
    <m/>
    <m/>
    <m/>
    <m/>
    <m/>
    <n v="174.11"/>
    <m/>
    <m/>
    <m/>
    <m/>
    <m/>
    <m/>
    <m/>
    <n v="87.05"/>
    <m/>
    <n v="522.32000000000005"/>
  </r>
  <r>
    <n v="10"/>
    <x v="10"/>
    <x v="0"/>
    <n v="173246"/>
    <s v="ARBOLELLA LAUTARO URIEL GABRIEL"/>
    <s v="27-33782994-0"/>
    <n v="42681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ALGUERO"/>
    <n v="1225"/>
    <n v="2"/>
    <s v="B"/>
    <s v="CAPITAL FEDERAL"/>
    <s v="Buenos Aires"/>
    <m/>
    <s v="U.O.Centro"/>
    <m/>
    <n v="2"/>
    <n v="1"/>
    <n v="7801.54"/>
    <n v="1560.3"/>
    <m/>
    <m/>
    <n v="6241.24"/>
    <m/>
    <n v="156.04"/>
    <m/>
    <m/>
    <m/>
    <m/>
    <m/>
    <m/>
    <n v="78.02"/>
    <m/>
    <m/>
    <m/>
    <m/>
    <m/>
    <m/>
    <n v="156.04"/>
    <m/>
    <m/>
    <m/>
    <m/>
    <m/>
    <m/>
    <m/>
    <n v="78.02"/>
    <m/>
    <n v="468.12"/>
  </r>
  <r>
    <n v="10"/>
    <x v="10"/>
    <x v="0"/>
    <n v="139740"/>
    <s v="AREVALO PABLO DAVID"/>
    <s v="20-37897359-8"/>
    <n v="42681"/>
    <n v="37897359"/>
    <s v="AREVALO"/>
    <s v="PABL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UJAN"/>
    <n v="1225"/>
    <m/>
    <m/>
    <s v="CAPITAL FEDERAL"/>
    <s v="Buenos Aires"/>
    <m/>
    <s v="U.O.Centro"/>
    <m/>
    <n v="6"/>
    <n v="1"/>
    <n v="15995.77"/>
    <n v="3199.15"/>
    <m/>
    <m/>
    <n v="12796.62"/>
    <m/>
    <n v="319.91000000000003"/>
    <m/>
    <m/>
    <m/>
    <m/>
    <m/>
    <m/>
    <n v="159.94999999999999"/>
    <m/>
    <m/>
    <m/>
    <m/>
    <m/>
    <m/>
    <n v="319.91000000000003"/>
    <m/>
    <m/>
    <m/>
    <m/>
    <m/>
    <m/>
    <m/>
    <n v="159.94999999999999"/>
    <m/>
    <n v="959.72"/>
  </r>
  <r>
    <n v="10"/>
    <x v="10"/>
    <x v="0"/>
    <n v="180397"/>
    <s v="ARIAS MARCIA EUGENIA"/>
    <s v="27-38287299-7"/>
    <n v="42681"/>
    <n v="38287299"/>
    <s v="ARIAS"/>
    <s v="MARCIA EUGENIA"/>
    <s v="F"/>
    <m/>
    <d v="2016-10-11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RIO CARAPACHAY"/>
    <n v="1005"/>
    <m/>
    <m/>
    <s v="CAPITAL FEDERAL"/>
    <s v="Capital Federal"/>
    <m/>
    <s v="U.O.Centro"/>
    <m/>
    <n v="2"/>
    <n v="1"/>
    <n v="10755.41"/>
    <n v="2151.0700000000002"/>
    <m/>
    <m/>
    <n v="8604.34"/>
    <m/>
    <n v="215.11"/>
    <m/>
    <m/>
    <m/>
    <m/>
    <m/>
    <m/>
    <n v="107.55"/>
    <m/>
    <m/>
    <m/>
    <m/>
    <m/>
    <m/>
    <n v="215.11"/>
    <m/>
    <m/>
    <m/>
    <m/>
    <m/>
    <m/>
    <m/>
    <n v="107.55"/>
    <m/>
    <n v="645.32000000000005"/>
  </r>
  <r>
    <n v="10"/>
    <x v="10"/>
    <x v="0"/>
    <n v="172297"/>
    <s v="ARRIOLA FRANCO CRISTIAN DAMIAN"/>
    <s v="20-41314830-9"/>
    <n v="42681"/>
    <n v="41314830"/>
    <s v="ARRIOLA FRANCO"/>
    <s v="CRISTIAN DAMIAN"/>
    <s v="M"/>
    <m/>
    <d v="2016-10-26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IRALA"/>
    <n v="181"/>
    <m/>
    <m/>
    <s v="CAPITAL FEDERAL"/>
    <s v="Capital Federal"/>
    <m/>
    <s v="U.O.Centro"/>
    <m/>
    <n v="4"/>
    <n v="1"/>
    <n v="12555.34"/>
    <n v="2392.5100000000002"/>
    <m/>
    <m/>
    <n v="10162.83"/>
    <m/>
    <n v="251.11"/>
    <m/>
    <m/>
    <m/>
    <m/>
    <m/>
    <m/>
    <n v="6.97"/>
    <m/>
    <m/>
    <m/>
    <m/>
    <m/>
    <m/>
    <n v="251.11"/>
    <m/>
    <m/>
    <m/>
    <m/>
    <m/>
    <m/>
    <m/>
    <n v="6.97"/>
    <n v="250"/>
    <n v="766.16"/>
  </r>
  <r>
    <n v="10"/>
    <x v="10"/>
    <x v="0"/>
    <n v="177462"/>
    <s v="ASPRES IGNACIO DAVID"/>
    <s v="23-39159959-9"/>
    <n v="42681"/>
    <n v="39159959"/>
    <s v="ASPRES"/>
    <s v="IGNACI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VICTORICA"/>
    <n v="1225"/>
    <m/>
    <m/>
    <s v="CAPITAL FEDERAL"/>
    <s v="Buenos Aires"/>
    <m/>
    <s v="U.O.Centro"/>
    <m/>
    <n v="2"/>
    <n v="1"/>
    <n v="6414.37"/>
    <n v="1282.8699999999999"/>
    <m/>
    <m/>
    <n v="5131.5"/>
    <m/>
    <n v="128.29"/>
    <m/>
    <m/>
    <m/>
    <m/>
    <m/>
    <m/>
    <n v="64.14"/>
    <m/>
    <m/>
    <m/>
    <m/>
    <m/>
    <m/>
    <n v="128.29"/>
    <m/>
    <m/>
    <m/>
    <m/>
    <m/>
    <m/>
    <m/>
    <n v="64.14"/>
    <m/>
    <n v="384.86"/>
  </r>
  <r>
    <n v="10"/>
    <x v="10"/>
    <x v="0"/>
    <n v="173402"/>
    <s v="AUHAD MARIA DELFINA"/>
    <s v="27-33808278-4"/>
    <n v="42681"/>
    <n v="33808278"/>
    <s v="AUHAD"/>
    <s v="MARIA DELFINA"/>
    <s v="F"/>
    <m/>
    <d v="2016-05-21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3"/>
    <n v="1"/>
    <n v="17599.36"/>
    <n v="3519.87"/>
    <m/>
    <m/>
    <n v="14079.49"/>
    <m/>
    <n v="351.99"/>
    <m/>
    <m/>
    <m/>
    <m/>
    <m/>
    <m/>
    <n v="175.99"/>
    <m/>
    <m/>
    <m/>
    <m/>
    <m/>
    <m/>
    <n v="351.99"/>
    <m/>
    <m/>
    <m/>
    <m/>
    <m/>
    <m/>
    <m/>
    <n v="175.99"/>
    <m/>
    <n v="1055.96"/>
  </r>
  <r>
    <n v="10"/>
    <x v="10"/>
    <x v="0"/>
    <n v="180302"/>
    <s v="AYLLON BALLARDINI RITA LORENA"/>
    <s v="27-30473367-0"/>
    <n v="42681"/>
    <n v="30473367"/>
    <s v="AYLLON BALLARDINI"/>
    <s v="RITA LORENA"/>
    <s v="F"/>
    <m/>
    <d v="2016-10-10T00:00:00"/>
    <m/>
    <m/>
    <s v="GASTRONOMICOS-Hoteles 4 y 5 Estrellas - 362/2003"/>
    <s v="Categoria 6"/>
    <x v="5"/>
    <s v="Mozos / camareros - GL"/>
    <s v="Centro"/>
    <s v="Camarero/a"/>
    <n v="112608"/>
    <s v="OS  DEL PERSONAL DE LA INDUSTRIA MOLINERA"/>
    <s v="Capital Federal"/>
    <m/>
    <s v="C1104AKC"/>
    <s v="SUIPACHA"/>
    <n v="1225"/>
    <n v="4"/>
    <s v="D"/>
    <s v="CAPITAL FEDERAL"/>
    <s v="Buenos Aires"/>
    <m/>
    <s v="U.O.Centro"/>
    <m/>
    <n v="2"/>
    <n v="1"/>
    <n v="1722.48"/>
    <n v="344.49"/>
    <m/>
    <m/>
    <n v="1377.99"/>
    <m/>
    <n v="34.450000000000003"/>
    <m/>
    <m/>
    <m/>
    <m/>
    <m/>
    <m/>
    <n v="17.22"/>
    <m/>
    <m/>
    <m/>
    <m/>
    <m/>
    <m/>
    <n v="34.450000000000003"/>
    <m/>
    <m/>
    <m/>
    <m/>
    <m/>
    <m/>
    <m/>
    <n v="17.22"/>
    <m/>
    <n v="103.34"/>
  </r>
  <r>
    <n v="10"/>
    <x v="10"/>
    <x v="0"/>
    <n v="150709"/>
    <s v="BARRIOS NAHUEL ALEJANDRO"/>
    <s v="20-39155005-1"/>
    <n v="42681"/>
    <n v="39155005"/>
    <s v="BARRIOS"/>
    <s v="NAHUEL ALEJANDRO"/>
    <s v="M"/>
    <m/>
    <d v="2016-02-13T00:00:00"/>
    <d v="2016-10-10T00:00:00"/>
    <m/>
    <s v="GASTRONOMICOS-Hoteles 4 y 5 Estrellas - 362/2003"/>
    <s v="Categoria 1"/>
    <x v="16"/>
    <s v="Back Office"/>
    <s v="Back Office"/>
    <s v="Tareas Generales"/>
    <n v="108803"/>
    <s v="O.S.P.Gastronomico"/>
    <s v="Buenos Aires - Almte. Brown"/>
    <m/>
    <s v="C1019ABK"/>
    <s v="CALA"/>
    <n v="513"/>
    <m/>
    <m/>
    <s v="CAPITAL FEDERAL"/>
    <s v="Buenos Aires"/>
    <m/>
    <m/>
    <m/>
    <n v="2"/>
    <n v="1"/>
    <n v="5110.2700000000004"/>
    <n v="1022.06"/>
    <m/>
    <n v="24321.83"/>
    <n v="28410.04"/>
    <m/>
    <n v="102.21"/>
    <m/>
    <m/>
    <m/>
    <m/>
    <m/>
    <m/>
    <n v="51.1"/>
    <m/>
    <m/>
    <m/>
    <m/>
    <m/>
    <m/>
    <n v="102.21"/>
    <m/>
    <m/>
    <m/>
    <m/>
    <m/>
    <m/>
    <m/>
    <n v="51.1"/>
    <m/>
    <n v="306.62"/>
  </r>
  <r>
    <n v="10"/>
    <x v="10"/>
    <x v="0"/>
    <n v="180745"/>
    <s v="BAYER AGUSTINA YAEL"/>
    <s v="27-38947917-4"/>
    <n v="42681"/>
    <n v="38947917"/>
    <s v="BAYER"/>
    <s v="AGUSTINA YAEL"/>
    <s v="F"/>
    <m/>
    <d v="2016-10-1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AMARRA"/>
    <n v="1225"/>
    <m/>
    <m/>
    <s v="CAPITAL FEDERAL"/>
    <s v="Buenos Aires"/>
    <m/>
    <s v="U.O.Centro"/>
    <m/>
    <n v="3"/>
    <n v="1"/>
    <n v="2290.84"/>
    <n v="458.17"/>
    <m/>
    <m/>
    <n v="1832.67"/>
    <m/>
    <n v="45.81"/>
    <m/>
    <m/>
    <m/>
    <m/>
    <m/>
    <m/>
    <n v="22.91"/>
    <m/>
    <m/>
    <m/>
    <m/>
    <m/>
    <m/>
    <n v="45.81"/>
    <m/>
    <m/>
    <m/>
    <m/>
    <m/>
    <m/>
    <m/>
    <n v="22.91"/>
    <m/>
    <n v="137.44"/>
  </r>
  <r>
    <n v="10"/>
    <x v="10"/>
    <x v="0"/>
    <n v="179832"/>
    <s v="BAZAN DANIELA SOLEDAD"/>
    <s v="27-30143380-3"/>
    <n v="42681"/>
    <n v="30143380"/>
    <s v="BAZAN"/>
    <s v="DANIELA SOLEDAD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VENEZUELA"/>
    <n v="1225"/>
    <m/>
    <m/>
    <s v="CAPITAL FEDERAL"/>
    <s v="Buenos Aires"/>
    <m/>
    <s v="U.O.Centro"/>
    <m/>
    <n v="3"/>
    <n v="1"/>
    <n v="12737.37"/>
    <n v="2547.48"/>
    <m/>
    <m/>
    <n v="10189.89"/>
    <m/>
    <n v="254.75"/>
    <m/>
    <m/>
    <m/>
    <m/>
    <m/>
    <m/>
    <n v="127.37"/>
    <m/>
    <m/>
    <m/>
    <m/>
    <m/>
    <m/>
    <n v="254.75"/>
    <m/>
    <m/>
    <m/>
    <m/>
    <m/>
    <m/>
    <m/>
    <n v="127.37"/>
    <m/>
    <n v="764.24"/>
  </r>
  <r>
    <n v="10"/>
    <x v="10"/>
    <x v="0"/>
    <n v="179334"/>
    <s v="BENITEZ LAURA GRACIELA"/>
    <s v="27-27592476-3"/>
    <n v="42667"/>
    <n v="27592476"/>
    <s v="BENITEZ"/>
    <s v="LAURA GRACIELA"/>
    <s v="F"/>
    <m/>
    <d v="2016-09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PINTOS"/>
    <n v="1225"/>
    <n v="1"/>
    <m/>
    <s v="CAPITAL FEDERAL"/>
    <s v="Buenos Aires"/>
    <m/>
    <s v="U.O.Centro"/>
    <m/>
    <n v="1"/>
    <n v="1"/>
    <n v="823.54"/>
    <n v="164.72"/>
    <m/>
    <m/>
    <n v="658.82"/>
    <m/>
    <n v="16.47"/>
    <m/>
    <m/>
    <m/>
    <m/>
    <m/>
    <m/>
    <n v="8.24"/>
    <m/>
    <m/>
    <m/>
    <m/>
    <m/>
    <m/>
    <n v="16.47"/>
    <m/>
    <m/>
    <m/>
    <m/>
    <m/>
    <m/>
    <m/>
    <n v="8.24"/>
    <m/>
    <n v="49.42"/>
  </r>
  <r>
    <n v="10"/>
    <x v="10"/>
    <x v="0"/>
    <n v="173416"/>
    <s v="BERGARA LUIS ERNESTO"/>
    <s v="20-39492544-7"/>
    <n v="42681"/>
    <n v="39492544"/>
    <s v="BERGARA"/>
    <s v="LUIS ERNESTO"/>
    <s v="M"/>
    <m/>
    <d v="2016-09-27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UAREZ"/>
    <n v="1225"/>
    <n v="1"/>
    <n v="1"/>
    <s v="CAPITAL FEDERAL"/>
    <s v="Buenos Aires"/>
    <m/>
    <s v="U.O.Centro"/>
    <m/>
    <n v="2"/>
    <n v="1"/>
    <n v="13262.62"/>
    <n v="2652.53"/>
    <m/>
    <m/>
    <n v="10610.09"/>
    <m/>
    <n v="265.25"/>
    <m/>
    <m/>
    <m/>
    <m/>
    <m/>
    <m/>
    <n v="132.63"/>
    <m/>
    <m/>
    <m/>
    <m/>
    <m/>
    <m/>
    <n v="265.25"/>
    <m/>
    <m/>
    <m/>
    <m/>
    <m/>
    <m/>
    <m/>
    <n v="132.63"/>
    <m/>
    <n v="795.76"/>
  </r>
  <r>
    <n v="10"/>
    <x v="10"/>
    <x v="0"/>
    <n v="169887"/>
    <s v="BOTICELLI LIDIA CAROLINA"/>
    <s v="27-25698889-0"/>
    <n v="42681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3397.47"/>
    <n v="679.48"/>
    <m/>
    <m/>
    <n v="2717.99"/>
    <m/>
    <n v="67.95"/>
    <m/>
    <m/>
    <m/>
    <m/>
    <m/>
    <m/>
    <n v="33.97"/>
    <m/>
    <m/>
    <m/>
    <m/>
    <m/>
    <m/>
    <n v="67.95"/>
    <m/>
    <m/>
    <m/>
    <m/>
    <m/>
    <m/>
    <m/>
    <n v="33.97"/>
    <m/>
    <n v="203.84"/>
  </r>
  <r>
    <n v="10"/>
    <x v="10"/>
    <x v="0"/>
    <n v="156037"/>
    <s v="BRAGA ERIKA GRACIELA"/>
    <s v="27-38026883-9"/>
    <n v="42681"/>
    <n v="38026883"/>
    <s v="BRAGA"/>
    <s v="ERIKA GRACIELA"/>
    <s v="F"/>
    <m/>
    <d v="2016-09-3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RIVADAVIA"/>
    <n v="181"/>
    <n v="7"/>
    <s v="D"/>
    <s v="CAPITAL FEDERAL"/>
    <s v="Capital Federal"/>
    <m/>
    <s v="U.O.Centro"/>
    <m/>
    <n v="2"/>
    <n v="1"/>
    <n v="7198.38"/>
    <n v="1432.25"/>
    <m/>
    <m/>
    <n v="5766.13"/>
    <m/>
    <n v="143.97"/>
    <m/>
    <m/>
    <m/>
    <m/>
    <m/>
    <m/>
    <n v="64.56"/>
    <m/>
    <m/>
    <m/>
    <m/>
    <m/>
    <m/>
    <n v="143.97"/>
    <m/>
    <m/>
    <m/>
    <m/>
    <m/>
    <m/>
    <m/>
    <n v="64.56"/>
    <n v="250"/>
    <n v="667.06"/>
  </r>
  <r>
    <n v="10"/>
    <x v="10"/>
    <x v="0"/>
    <n v="175662"/>
    <s v="BRANDAN MARIA CECILIA DE LOS ANGELES"/>
    <s v="27-32663858-2"/>
    <n v="42667"/>
    <n v="32663858"/>
    <s v="BRANDAN"/>
    <s v="MARIA CECILIA DE LOS ANGELES"/>
    <s v="F"/>
    <m/>
    <d v="2016-07-15T00:00:00"/>
    <d v="2016-10-03T00:00:00"/>
    <n v="42649"/>
    <s v="GASTRONOMICOS-Hoteles 4 y 5 Estrellas - 362/2003"/>
    <s v="Categoria 2"/>
    <x v="5"/>
    <s v="Medio Oficial de lavanderia - GL"/>
    <s v="Centro"/>
    <s v="Medio Oficial de lavandería"/>
    <n v="120900"/>
    <s v="OS  DEL PERSONAL DE TELEVISION"/>
    <s v="Capital Federal"/>
    <m/>
    <s v="C1104AKC"/>
    <s v="RECARTE"/>
    <n v="1225"/>
    <m/>
    <m/>
    <s v="CAPITAL FEDERAL"/>
    <s v="Buenos Aires"/>
    <m/>
    <s v="U.O.Centro"/>
    <m/>
    <n v="1"/>
    <n v="1"/>
    <n v="1154.69"/>
    <n v="230.94"/>
    <m/>
    <m/>
    <n v="923.75"/>
    <m/>
    <n v="23.09"/>
    <m/>
    <m/>
    <m/>
    <m/>
    <m/>
    <m/>
    <n v="11.55"/>
    <m/>
    <m/>
    <m/>
    <m/>
    <m/>
    <m/>
    <n v="23.09"/>
    <m/>
    <m/>
    <m/>
    <m/>
    <m/>
    <m/>
    <m/>
    <n v="11.55"/>
    <m/>
    <n v="69.28"/>
  </r>
  <r>
    <n v="10"/>
    <x v="10"/>
    <x v="0"/>
    <n v="142078"/>
    <s v="BUSTOS NORMA EDITH"/>
    <s v="27-34073776-3"/>
    <n v="42681"/>
    <n v="34073776"/>
    <s v="BUSTOS"/>
    <s v="NORMA EDITH"/>
    <s v="F"/>
    <m/>
    <d v="2016-08-26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GANDOLFO"/>
    <n v="240"/>
    <m/>
    <m/>
    <s v="TIGRE"/>
    <s v="Buenos Aires"/>
    <m/>
    <s v="U.O.San Isidro"/>
    <m/>
    <n v="1"/>
    <n v="1"/>
    <n v="15715.39"/>
    <n v="3143.07"/>
    <m/>
    <m/>
    <n v="12572.32"/>
    <m/>
    <n v="314.31"/>
    <m/>
    <m/>
    <m/>
    <m/>
    <m/>
    <m/>
    <n v="157.15"/>
    <m/>
    <m/>
    <m/>
    <m/>
    <m/>
    <m/>
    <n v="314.31"/>
    <m/>
    <m/>
    <m/>
    <m/>
    <m/>
    <m/>
    <m/>
    <n v="157.15"/>
    <m/>
    <n v="942.92"/>
  </r>
  <r>
    <n v="10"/>
    <x v="10"/>
    <x v="0"/>
    <n v="177330"/>
    <s v="CABALLERO VICTOR MANUEL"/>
    <s v="20-33180549-2"/>
    <n v="42681"/>
    <n v="33180549"/>
    <s v="CABALLERO"/>
    <s v="VICTOR MANUEL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SARGENTO CABRAL"/>
    <n v="1225"/>
    <m/>
    <m/>
    <s v="CAPITAL FEDERAL"/>
    <s v="Buenos Aires"/>
    <m/>
    <s v="U.O.Centro"/>
    <m/>
    <n v="2"/>
    <n v="1"/>
    <n v="14733.96"/>
    <n v="2946.8"/>
    <m/>
    <m/>
    <n v="11787.16"/>
    <m/>
    <n v="294.68"/>
    <m/>
    <m/>
    <m/>
    <m/>
    <m/>
    <m/>
    <n v="147.34"/>
    <m/>
    <m/>
    <m/>
    <m/>
    <m/>
    <m/>
    <n v="294.68"/>
    <m/>
    <m/>
    <m/>
    <m/>
    <m/>
    <m/>
    <m/>
    <n v="147.34"/>
    <m/>
    <n v="884.04"/>
  </r>
  <r>
    <n v="10"/>
    <x v="10"/>
    <x v="0"/>
    <n v="179169"/>
    <s v="CABRERA VALENCIA CESAR AUGUSTO"/>
    <s v="20-95362926-8"/>
    <n v="42681"/>
    <n v="95362926"/>
    <s v="CABRERA VALENCIA"/>
    <s v="CESAR AUGUSTO"/>
    <s v="M"/>
    <m/>
    <d v="2016-10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ECHEVERRIA"/>
    <n v="1225"/>
    <n v="6"/>
    <s v="D"/>
    <s v="CAPITAL FEDERAL"/>
    <s v="Buenos Aires"/>
    <m/>
    <s v="U.O.Centro"/>
    <m/>
    <n v="3"/>
    <n v="1"/>
    <n v="12465.21"/>
    <n v="2493.0300000000002"/>
    <m/>
    <m/>
    <n v="9972.18"/>
    <m/>
    <n v="249.3"/>
    <m/>
    <m/>
    <m/>
    <m/>
    <m/>
    <m/>
    <n v="124.65"/>
    <m/>
    <m/>
    <m/>
    <m/>
    <m/>
    <m/>
    <n v="249.3"/>
    <m/>
    <m/>
    <m/>
    <m/>
    <m/>
    <m/>
    <m/>
    <n v="124.65"/>
    <m/>
    <n v="747.9"/>
  </r>
  <r>
    <n v="10"/>
    <x v="10"/>
    <x v="0"/>
    <n v="171783"/>
    <s v="CACERES ANGEL ESTEBAN"/>
    <s v="20-38536806-3"/>
    <n v="42681"/>
    <n v="38536806"/>
    <s v="CACERES"/>
    <s v="ANGEL ESTEBAN"/>
    <s v="M"/>
    <m/>
    <d v="2016-04-14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2"/>
    <n v="1"/>
    <n v="15225.47"/>
    <n v="3045.1"/>
    <m/>
    <m/>
    <n v="12180.37"/>
    <m/>
    <n v="304.51"/>
    <m/>
    <m/>
    <m/>
    <m/>
    <m/>
    <m/>
    <n v="152.25"/>
    <m/>
    <m/>
    <m/>
    <m/>
    <m/>
    <m/>
    <n v="304.51"/>
    <m/>
    <m/>
    <m/>
    <m/>
    <m/>
    <m/>
    <m/>
    <n v="152.25"/>
    <m/>
    <n v="913.52"/>
  </r>
  <r>
    <n v="10"/>
    <x v="10"/>
    <x v="0"/>
    <n v="161580"/>
    <s v="CAEIRO MAURO ALBERTO"/>
    <s v="20-30431921-7"/>
    <n v="42681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 SANTA FE"/>
    <n v="1225"/>
    <m/>
    <m/>
    <s v="CAPITAL FEDERAL"/>
    <s v="Buenos Aires"/>
    <m/>
    <s v="U.O.Centro"/>
    <m/>
    <n v="3"/>
    <n v="1"/>
    <n v="18270.72"/>
    <n v="3654.13"/>
    <m/>
    <m/>
    <n v="14616.59"/>
    <m/>
    <n v="365.42"/>
    <m/>
    <m/>
    <m/>
    <m/>
    <m/>
    <m/>
    <n v="182.7"/>
    <m/>
    <m/>
    <m/>
    <m/>
    <m/>
    <m/>
    <n v="365.42"/>
    <m/>
    <m/>
    <m/>
    <m/>
    <m/>
    <m/>
    <m/>
    <n v="182.7"/>
    <m/>
    <n v="1096.24"/>
  </r>
  <r>
    <n v="10"/>
    <x v="10"/>
    <x v="0"/>
    <n v="177803"/>
    <s v="CALDERON FLORES HELLIER GULLIT"/>
    <s v="20-95475210-1"/>
    <n v="42681"/>
    <n v="95475210"/>
    <s v="CALDERON FLORES"/>
    <s v="HELLIER GULLIT"/>
    <s v="M"/>
    <m/>
    <d v="2016-10-18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. SAN JUAN"/>
    <n v="1225"/>
    <n v="14"/>
    <s v="F"/>
    <s v="CAPITAL FEDERAL"/>
    <s v="Buenos Aires"/>
    <m/>
    <s v="U.O.Centro"/>
    <m/>
    <n v="3"/>
    <n v="1"/>
    <n v="6411.77"/>
    <n v="1282.3399999999999"/>
    <m/>
    <m/>
    <n v="5129.43"/>
    <m/>
    <n v="128.22999999999999"/>
    <m/>
    <m/>
    <m/>
    <m/>
    <m/>
    <m/>
    <n v="64.12"/>
    <m/>
    <m/>
    <m/>
    <m/>
    <m/>
    <m/>
    <n v="128.22999999999999"/>
    <n v="3.24"/>
    <m/>
    <m/>
    <m/>
    <m/>
    <m/>
    <m/>
    <n v="60.88"/>
    <m/>
    <n v="384.7"/>
  </r>
  <r>
    <n v="10"/>
    <x v="10"/>
    <x v="0"/>
    <n v="171897"/>
    <s v="CAPURRO EDUARDO ADOLFO"/>
    <s v="20-31064205-4"/>
    <n v="42681"/>
    <n v="31064205"/>
    <s v="CAPURRO"/>
    <s v="EDUARDO ADOLFO"/>
    <s v="M"/>
    <m/>
    <d v="2016-10-04T00:00:00"/>
    <d v="2016-10-22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CHILE"/>
    <n v="1225"/>
    <m/>
    <m/>
    <s v="CAPITAL FEDERAL"/>
    <s v="Buenos Aires"/>
    <m/>
    <s v="U.O.Quilmes"/>
    <m/>
    <n v="1"/>
    <n v="1"/>
    <n v="8751.73"/>
    <n v="1750.34"/>
    <m/>
    <m/>
    <n v="7001.39"/>
    <m/>
    <n v="175.03"/>
    <m/>
    <m/>
    <m/>
    <m/>
    <m/>
    <m/>
    <n v="87.52"/>
    <m/>
    <m/>
    <m/>
    <m/>
    <m/>
    <m/>
    <n v="175.03"/>
    <m/>
    <m/>
    <m/>
    <m/>
    <m/>
    <m/>
    <m/>
    <n v="87.52"/>
    <m/>
    <n v="525.1"/>
  </r>
  <r>
    <n v="10"/>
    <x v="10"/>
    <x v="1"/>
    <n v="179421"/>
    <s v="CARCEDO NOEL FERNANDO MARIO"/>
    <s v="20-35056036-0"/>
    <n v="42674"/>
    <n v="35056036"/>
    <s v="CARCEDO"/>
    <s v="NOEL FERNANDO MARIO"/>
    <s v="M"/>
    <m/>
    <d v="2016-09-29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BILLINGHURST"/>
    <n v="764"/>
    <n v="5"/>
    <m/>
    <s v="CAPITAL FEDERAL"/>
    <s v="Capital Federal"/>
    <m/>
    <s v="U.O.Centro"/>
    <m/>
    <n v="1"/>
    <n v="1"/>
    <n v="10265.719999999999"/>
    <n v="2053.14"/>
    <m/>
    <m/>
    <n v="8212.58"/>
    <m/>
    <n v="205.31"/>
    <m/>
    <m/>
    <m/>
    <m/>
    <m/>
    <m/>
    <n v="102.66"/>
    <m/>
    <m/>
    <m/>
    <m/>
    <m/>
    <m/>
    <n v="205.31"/>
    <m/>
    <m/>
    <m/>
    <m/>
    <m/>
    <m/>
    <m/>
    <n v="102.66"/>
    <m/>
    <n v="615.94000000000005"/>
  </r>
  <r>
    <n v="10"/>
    <x v="10"/>
    <x v="1"/>
    <n v="177815"/>
    <s v="CARDOZO RAMON ALBERTO"/>
    <s v="20-31955015-2"/>
    <n v="42674"/>
    <n v="31955015"/>
    <s v="CARDOZO"/>
    <s v="RAMON ALBERTO"/>
    <s v="M"/>
    <m/>
    <d v="2016-08-29T00:00:00"/>
    <d v="2016-10-16T00:00:00"/>
    <m/>
    <s v="GASTRONOMICOS-Hoteles 4 y 5 Estrellas - 362/2003"/>
    <s v="Categoría 4"/>
    <x v="3"/>
    <s v="Unidad Principal"/>
    <s v="Centro"/>
    <s v="Mucama"/>
    <n v="2808"/>
    <s v="O.S.Camara Emp.Agencias Remises PBA"/>
    <s v="Capital Federal"/>
    <m/>
    <s v="C1002ABO"/>
    <s v="ALBERTI"/>
    <n v="764"/>
    <m/>
    <m/>
    <s v="CAPITAL FEDERAL"/>
    <s v="Capital Federal"/>
    <m/>
    <s v="U.O.Centro"/>
    <m/>
    <n v="1"/>
    <n v="1"/>
    <n v="9777.42"/>
    <n v="1955.48"/>
    <m/>
    <m/>
    <n v="7821.94"/>
    <m/>
    <n v="195.55"/>
    <m/>
    <m/>
    <m/>
    <m/>
    <m/>
    <m/>
    <n v="97.77"/>
    <m/>
    <m/>
    <m/>
    <m/>
    <m/>
    <m/>
    <n v="195.55"/>
    <m/>
    <m/>
    <m/>
    <m/>
    <m/>
    <m/>
    <m/>
    <n v="97.77"/>
    <m/>
    <n v="586.64"/>
  </r>
  <r>
    <n v="10"/>
    <x v="10"/>
    <x v="0"/>
    <n v="179908"/>
    <s v="CARREÑO IGNACIO ESTEBAN"/>
    <s v="20-31519765-2"/>
    <n v="42681"/>
    <n v="31519765"/>
    <s v="CARREÑO"/>
    <s v="IGNACIO ESTEBAN"/>
    <s v="M"/>
    <m/>
    <d v="2016-10-04T00:00:00"/>
    <m/>
    <m/>
    <s v="GASTRONOMICOS-Hoteles 4 y 5 Estrellas - 362/2003"/>
    <s v="Categoria 5"/>
    <x v="17"/>
    <s v="Unidad Base-GL"/>
    <s v="San Isidro"/>
    <s v="Categoría 5"/>
    <n v="108803"/>
    <s v="O.S.P.Gastronomico"/>
    <s v="Buenos Aires - Gran Buenos Aires"/>
    <m/>
    <n v="1648"/>
    <s v="FORMOSA"/>
    <n v="240"/>
    <m/>
    <m/>
    <s v="TIGRE"/>
    <s v="Buenos Aires"/>
    <m/>
    <s v="U.O.San Isidro"/>
    <m/>
    <n v="1"/>
    <n v="1"/>
    <n v="11855.64"/>
    <n v="2371.13"/>
    <m/>
    <m/>
    <n v="9484.51"/>
    <m/>
    <n v="237.11"/>
    <m/>
    <m/>
    <m/>
    <m/>
    <m/>
    <m/>
    <n v="118.56"/>
    <m/>
    <m/>
    <m/>
    <m/>
    <m/>
    <m/>
    <n v="237.11"/>
    <m/>
    <m/>
    <m/>
    <m/>
    <m/>
    <m/>
    <m/>
    <n v="118.56"/>
    <m/>
    <n v="711.34"/>
  </r>
  <r>
    <n v="10"/>
    <x v="10"/>
    <x v="0"/>
    <n v="141323"/>
    <s v="CARRIZO ENRIQUE ISMAEL"/>
    <s v="20-34731318-2"/>
    <n v="42681"/>
    <n v="34731318"/>
    <s v="CARRIZO"/>
    <s v="ENRIQUE ISMAEL"/>
    <s v="M"/>
    <m/>
    <d v="2016-04-10T00:00:00"/>
    <m/>
    <m/>
    <s v="GASTRONOMICOS-Hoteles 4 y 5 Estrellas - 362/2003"/>
    <s v="Categoria 6"/>
    <x v="6"/>
    <s v="NUEVOS INGRESOS"/>
    <s v="Centro"/>
    <s v="Camarero/a"/>
    <n v="100304"/>
    <s v="OS  DE  TECNICOS DE VUELO DE LINEAS AEREAS"/>
    <s v="Capital Federal"/>
    <m/>
    <n v="1093"/>
    <n v="31"/>
    <n v="1232"/>
    <m/>
    <m/>
    <s v="CAPITAL FEDERAL"/>
    <s v="Buenos Aires"/>
    <m/>
    <s v="U.O.Centro"/>
    <s v="Banquetes"/>
    <n v="4"/>
    <n v="1"/>
    <n v="10822.88"/>
    <n v="2061.9699999999998"/>
    <m/>
    <m/>
    <n v="8760.91"/>
    <m/>
    <n v="216.45"/>
    <m/>
    <m/>
    <m/>
    <m/>
    <m/>
    <m/>
    <n v="5.62"/>
    <m/>
    <m/>
    <m/>
    <m/>
    <m/>
    <m/>
    <n v="216.45"/>
    <m/>
    <m/>
    <m/>
    <m/>
    <m/>
    <m/>
    <m/>
    <n v="5.62"/>
    <n v="750"/>
    <n v="1194.1400000000001"/>
  </r>
  <r>
    <n v="10"/>
    <x v="10"/>
    <x v="1"/>
    <n v="176378"/>
    <s v="CARRIZO GUSTAVO ARIEL"/>
    <s v="20-22907224-3"/>
    <n v="42681"/>
    <n v="22907224"/>
    <s v="CARRIZO"/>
    <s v="GUSTAVO ARIEL"/>
    <s v="M"/>
    <m/>
    <d v="2016-08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RODRIGO DE TRIANA"/>
    <n v="507"/>
    <n v="8"/>
    <m/>
    <s v="CAPITAL FEDERAL"/>
    <s v="Capital Federal"/>
    <m/>
    <s v="U.O.Centro"/>
    <m/>
    <n v="1"/>
    <n v="1"/>
    <n v="6833.44"/>
    <n v="1366.68"/>
    <m/>
    <m/>
    <n v="5466.76"/>
    <m/>
    <n v="136.66999999999999"/>
    <m/>
    <m/>
    <m/>
    <m/>
    <m/>
    <m/>
    <n v="68.33"/>
    <m/>
    <m/>
    <m/>
    <m/>
    <m/>
    <m/>
    <n v="136.66999999999999"/>
    <m/>
    <m/>
    <m/>
    <m/>
    <m/>
    <m/>
    <m/>
    <n v="68.33"/>
    <m/>
    <n v="410"/>
  </r>
  <r>
    <n v="10"/>
    <x v="10"/>
    <x v="0"/>
    <n v="144180"/>
    <s v="CATALAN CRISTINA DEL CARMEN"/>
    <s v="27-31138041-4"/>
    <n v="42681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22081.24"/>
    <n v="4416.25"/>
    <m/>
    <m/>
    <n v="17664.990000000002"/>
    <m/>
    <n v="441.62"/>
    <m/>
    <m/>
    <m/>
    <m/>
    <m/>
    <m/>
    <n v="220.81"/>
    <m/>
    <m/>
    <m/>
    <m/>
    <m/>
    <m/>
    <n v="441.62"/>
    <m/>
    <m/>
    <m/>
    <m/>
    <m/>
    <m/>
    <m/>
    <n v="220.81"/>
    <m/>
    <n v="1324.86"/>
  </r>
  <r>
    <n v="10"/>
    <x v="10"/>
    <x v="0"/>
    <n v="158525"/>
    <s v="CELIBERTI YESICA ROMINA"/>
    <s v="27-35202883-0"/>
    <n v="42681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18000.650000000001"/>
    <n v="3690.14"/>
    <m/>
    <m/>
    <n v="14310.51"/>
    <n v="450.02"/>
    <m/>
    <m/>
    <m/>
    <m/>
    <m/>
    <m/>
    <m/>
    <n v="180.01"/>
    <m/>
    <m/>
    <m/>
    <m/>
    <m/>
    <m/>
    <n v="360.01"/>
    <m/>
    <m/>
    <m/>
    <m/>
    <m/>
    <m/>
    <m/>
    <n v="180.01"/>
    <m/>
    <n v="1170.05"/>
  </r>
  <r>
    <n v="10"/>
    <x v="10"/>
    <x v="0"/>
    <n v="175082"/>
    <s v="CENTENO VARA SERGIO MEYER"/>
    <s v="20-94675854-0"/>
    <n v="42681"/>
    <n v="94675854"/>
    <s v="CENTENO VARA"/>
    <s v="SERGIO MEYER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ARTOLOME MITRE"/>
    <n v="1225"/>
    <n v="2"/>
    <s v="B"/>
    <s v="CAPITAL FEDERAL"/>
    <s v="Buenos Aires"/>
    <m/>
    <s v="U.O.Centro"/>
    <m/>
    <n v="2"/>
    <n v="1"/>
    <n v="8762.68"/>
    <n v="1752.54"/>
    <m/>
    <m/>
    <n v="7010.14"/>
    <m/>
    <n v="175.26"/>
    <m/>
    <m/>
    <m/>
    <m/>
    <m/>
    <m/>
    <n v="87.62"/>
    <m/>
    <m/>
    <m/>
    <m/>
    <m/>
    <m/>
    <n v="175.26"/>
    <m/>
    <m/>
    <m/>
    <m/>
    <m/>
    <m/>
    <m/>
    <n v="87.62"/>
    <m/>
    <n v="525.76"/>
  </r>
  <r>
    <n v="10"/>
    <x v="10"/>
    <x v="0"/>
    <n v="175141"/>
    <s v="CENTURION AQUINO CRISTINA LEONOR"/>
    <s v="27-95065474-6"/>
    <n v="42675"/>
    <n v="95065474"/>
    <s v="CENTURION AQUINO"/>
    <s v="CRISTINA LEONOR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AV REGIMIENTO PATRICIOS"/>
    <n v="1334"/>
    <n v="3"/>
    <s v="C"/>
    <s v="CAPITAL FEDERAL"/>
    <s v="Capital Federal"/>
    <m/>
    <s v="U.O.Centro"/>
    <m/>
    <n v="1"/>
    <n v="1"/>
    <n v="19874.16"/>
    <n v="3974.82"/>
    <m/>
    <m/>
    <n v="15899.34"/>
    <m/>
    <n v="397.48"/>
    <m/>
    <m/>
    <m/>
    <m/>
    <m/>
    <m/>
    <n v="198.74"/>
    <m/>
    <m/>
    <m/>
    <m/>
    <m/>
    <m/>
    <n v="397.48"/>
    <m/>
    <m/>
    <m/>
    <m/>
    <m/>
    <m/>
    <m/>
    <n v="198.74"/>
    <m/>
    <n v="1192.44"/>
  </r>
  <r>
    <n v="10"/>
    <x v="10"/>
    <x v="0"/>
    <n v="170318"/>
    <s v="CERNEAZ JOANA"/>
    <s v="27-35043953-1"/>
    <n v="42681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. MEDRANO"/>
    <n v="1225"/>
    <s v="PB"/>
    <m/>
    <s v="CAPITAL FEDERAL"/>
    <s v="Buenos Aires"/>
    <m/>
    <s v="U.O.Centro"/>
    <m/>
    <n v="2"/>
    <n v="1"/>
    <n v="18216.57"/>
    <n v="3643.32"/>
    <m/>
    <m/>
    <n v="14573.25"/>
    <m/>
    <n v="364.33"/>
    <m/>
    <m/>
    <m/>
    <m/>
    <m/>
    <m/>
    <n v="182.17"/>
    <m/>
    <m/>
    <m/>
    <m/>
    <m/>
    <m/>
    <n v="364.33"/>
    <m/>
    <m/>
    <m/>
    <m/>
    <m/>
    <m/>
    <m/>
    <n v="182.17"/>
    <m/>
    <n v="1093"/>
  </r>
  <r>
    <n v="10"/>
    <x v="10"/>
    <x v="0"/>
    <n v="171029"/>
    <s v="CERRANO PATRICIA VIVIANA"/>
    <s v="23-31509842-4"/>
    <n v="42681"/>
    <n v="31509842"/>
    <s v="CERRANO"/>
    <s v="PATRICIA VIVIANA"/>
    <s v="F"/>
    <m/>
    <d v="2016-07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PASAJE BOLAÑOS"/>
    <n v="474"/>
    <m/>
    <m/>
    <s v="CAPITAL FEDERAL"/>
    <s v="Buenos Aires"/>
    <m/>
    <s v="U.O.Centro"/>
    <m/>
    <n v="1"/>
    <n v="1"/>
    <n v="8093.68"/>
    <n v="1618.73"/>
    <m/>
    <m/>
    <n v="6474.95"/>
    <m/>
    <n v="161.87"/>
    <m/>
    <m/>
    <m/>
    <m/>
    <m/>
    <m/>
    <n v="80.94"/>
    <m/>
    <m/>
    <m/>
    <m/>
    <m/>
    <m/>
    <n v="161.87"/>
    <m/>
    <m/>
    <m/>
    <m/>
    <m/>
    <m/>
    <m/>
    <n v="80.94"/>
    <m/>
    <n v="485.62"/>
  </r>
  <r>
    <n v="10"/>
    <x v="10"/>
    <x v="1"/>
    <n v="112977"/>
    <s v="CHACON NADIA DE LOS ANGELES"/>
    <s v="27-34151854-2"/>
    <n v="42681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18345.18"/>
    <n v="3760.77"/>
    <m/>
    <m/>
    <n v="14584.41"/>
    <n v="458.63"/>
    <m/>
    <m/>
    <m/>
    <m/>
    <m/>
    <m/>
    <m/>
    <n v="183.45"/>
    <m/>
    <m/>
    <m/>
    <m/>
    <m/>
    <m/>
    <n v="366.9"/>
    <m/>
    <m/>
    <m/>
    <m/>
    <m/>
    <m/>
    <m/>
    <n v="183.45"/>
    <m/>
    <n v="1192.43"/>
  </r>
  <r>
    <n v="10"/>
    <x v="10"/>
    <x v="0"/>
    <n v="177051"/>
    <s v="CICCHINI JULIAN"/>
    <s v="20-39764422-8"/>
    <n v="42681"/>
    <n v="39764422"/>
    <s v="CICCHINI"/>
    <s v="JULIAN"/>
    <s v="M"/>
    <m/>
    <d v="2016-09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QUITO"/>
    <n v="1225"/>
    <n v="5"/>
    <m/>
    <s v="CAPITAL FEDERAL"/>
    <s v="Buenos Aires"/>
    <m/>
    <s v="U.O.Centro"/>
    <m/>
    <n v="3"/>
    <n v="1"/>
    <n v="13586.16"/>
    <n v="2717.24"/>
    <m/>
    <m/>
    <n v="10868.92"/>
    <m/>
    <n v="271.72000000000003"/>
    <m/>
    <m/>
    <m/>
    <m/>
    <m/>
    <m/>
    <n v="135.86000000000001"/>
    <m/>
    <m/>
    <m/>
    <m/>
    <m/>
    <m/>
    <n v="271.72000000000003"/>
    <n v="10.23"/>
    <m/>
    <m/>
    <m/>
    <m/>
    <m/>
    <m/>
    <n v="125.63"/>
    <m/>
    <n v="815.16"/>
  </r>
  <r>
    <n v="10"/>
    <x v="10"/>
    <x v="0"/>
    <n v="172187"/>
    <s v="CONDORI DANIEL"/>
    <s v="20-35216365-2"/>
    <n v="42675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9093.91"/>
    <n v="1818.79"/>
    <m/>
    <m/>
    <n v="7275.12"/>
    <m/>
    <n v="181.88"/>
    <m/>
    <m/>
    <m/>
    <m/>
    <m/>
    <m/>
    <n v="90.94"/>
    <m/>
    <m/>
    <m/>
    <m/>
    <m/>
    <m/>
    <n v="181.88"/>
    <m/>
    <m/>
    <m/>
    <m/>
    <m/>
    <m/>
    <m/>
    <n v="90.94"/>
    <m/>
    <n v="545.64"/>
  </r>
  <r>
    <n v="10"/>
    <x v="10"/>
    <x v="1"/>
    <n v="180394"/>
    <s v="CORDOBA EDUARDO GUILLERMO"/>
    <s v="20-25686201-9"/>
    <n v="42674"/>
    <n v="25686201"/>
    <s v="CORDOBA"/>
    <s v="EDUARDO GUILLERMO"/>
    <s v="M"/>
    <m/>
    <d v="2016-10-08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SALVGNY"/>
    <n v="764"/>
    <n v="5"/>
    <s v="D"/>
    <s v="CAPITAL FEDERAL"/>
    <s v="Capital Federal"/>
    <m/>
    <s v="U.O.Centro"/>
    <m/>
    <n v="1"/>
    <n v="1"/>
    <n v="9389.64"/>
    <n v="1877.93"/>
    <m/>
    <m/>
    <n v="7511.71"/>
    <m/>
    <n v="187.79"/>
    <m/>
    <m/>
    <m/>
    <m/>
    <m/>
    <m/>
    <n v="93.9"/>
    <m/>
    <m/>
    <m/>
    <m/>
    <m/>
    <m/>
    <n v="187.79"/>
    <m/>
    <m/>
    <m/>
    <m/>
    <m/>
    <m/>
    <m/>
    <n v="93.9"/>
    <m/>
    <n v="563.38"/>
  </r>
  <r>
    <n v="10"/>
    <x v="10"/>
    <x v="1"/>
    <n v="179570"/>
    <s v="CORDOBA VICTORIA AILIN"/>
    <s v="27-36396507-0"/>
    <n v="42674"/>
    <n v="36396507"/>
    <s v="CORDOBA"/>
    <s v="VICTORIA AILIN"/>
    <s v="F"/>
    <m/>
    <d v="2016-10-02T00:00:00"/>
    <d v="2016-10-22T00:00:00"/>
    <d v="2016-10-22T00:00:00"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LLE 149"/>
    <n v="764"/>
    <n v="1"/>
    <m/>
    <s v="CAPITAL FEDERAL"/>
    <s v="Capital Federal"/>
    <m/>
    <s v="U.O.Quilmes"/>
    <m/>
    <n v="1"/>
    <n v="1"/>
    <n v="11343.7"/>
    <n v="2268.7399999999998"/>
    <m/>
    <m/>
    <n v="9074.9599999999991"/>
    <m/>
    <n v="226.87"/>
    <m/>
    <m/>
    <m/>
    <m/>
    <m/>
    <m/>
    <n v="113.44"/>
    <m/>
    <m/>
    <m/>
    <m/>
    <m/>
    <m/>
    <n v="226.87"/>
    <m/>
    <m/>
    <m/>
    <m/>
    <m/>
    <m/>
    <m/>
    <n v="113.44"/>
    <m/>
    <n v="680.62"/>
  </r>
  <r>
    <n v="10"/>
    <x v="10"/>
    <x v="0"/>
    <n v="177863"/>
    <s v="CORONEL VANESA VERONICA"/>
    <s v="27-30878233-1"/>
    <n v="42681"/>
    <n v="30878233"/>
    <s v="CORONEL"/>
    <s v="VANESA VERONIC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N IGNACIO"/>
    <n v="1225"/>
    <m/>
    <m/>
    <s v="CAPITAL FEDERAL"/>
    <s v="Buenos Aires"/>
    <m/>
    <s v="U.O.Centro"/>
    <m/>
    <n v="2"/>
    <n v="1"/>
    <n v="8136.78"/>
    <n v="1627.35"/>
    <m/>
    <m/>
    <n v="6509.43"/>
    <m/>
    <n v="162.74"/>
    <m/>
    <m/>
    <m/>
    <m/>
    <m/>
    <m/>
    <n v="81.36"/>
    <m/>
    <m/>
    <m/>
    <m/>
    <m/>
    <m/>
    <n v="162.74"/>
    <m/>
    <m/>
    <m/>
    <m/>
    <m/>
    <m/>
    <m/>
    <n v="81.36"/>
    <m/>
    <n v="488.2"/>
  </r>
  <r>
    <n v="10"/>
    <x v="10"/>
    <x v="0"/>
    <n v="172454"/>
    <s v="CORVALAN ANDREA"/>
    <s v="27-39467778-2"/>
    <n v="42681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NDEPENDENCIA"/>
    <n v="1225"/>
    <n v="9"/>
    <n v="1"/>
    <s v="CAPITAL FEDERAL"/>
    <s v="Buenos Aires"/>
    <m/>
    <s v="U.O.Centro"/>
    <m/>
    <n v="3"/>
    <n v="1"/>
    <n v="13769.95"/>
    <n v="2753.98"/>
    <m/>
    <m/>
    <n v="11015.97"/>
    <m/>
    <n v="275.39999999999998"/>
    <m/>
    <m/>
    <m/>
    <m/>
    <m/>
    <m/>
    <n v="137.69999999999999"/>
    <m/>
    <m/>
    <m/>
    <m/>
    <m/>
    <m/>
    <n v="275.39999999999998"/>
    <m/>
    <m/>
    <m/>
    <m/>
    <m/>
    <m/>
    <m/>
    <n v="137.69999999999999"/>
    <m/>
    <n v="826.2"/>
  </r>
  <r>
    <n v="10"/>
    <x v="10"/>
    <x v="0"/>
    <n v="148946"/>
    <s v="COSTILLA LUCA IVAN EMMANUEL"/>
    <s v="20-37993495-2"/>
    <n v="42681"/>
    <n v="37993495"/>
    <s v="COSTILLA LUCA"/>
    <s v="IVAN EMMANUEL"/>
    <s v="M"/>
    <m/>
    <d v="2016-09-3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CASTILLO"/>
    <n v="181"/>
    <n v="2"/>
    <s v="B"/>
    <s v="CAPITAL FEDERAL"/>
    <s v="Capital Federal"/>
    <m/>
    <s v="U.O.Centro"/>
    <m/>
    <n v="6"/>
    <n v="1"/>
    <n v="8061.4"/>
    <n v="1571.45"/>
    <m/>
    <m/>
    <n v="6489.95"/>
    <m/>
    <n v="161.24"/>
    <m/>
    <m/>
    <m/>
    <m/>
    <m/>
    <m/>
    <n v="39.770000000000003"/>
    <m/>
    <m/>
    <m/>
    <m/>
    <m/>
    <m/>
    <n v="161.24"/>
    <m/>
    <m/>
    <m/>
    <m/>
    <m/>
    <m/>
    <m/>
    <n v="39.770000000000003"/>
    <n v="250"/>
    <n v="652.02"/>
  </r>
  <r>
    <n v="10"/>
    <x v="10"/>
    <x v="0"/>
    <n v="170608"/>
    <s v="COTSIFIS LEONARDO CRISTIAN"/>
    <s v="20-28488021-9"/>
    <n v="42681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s v="C1091AAX"/>
    <s v="HIPOLITO YRIGOYEN"/>
    <n v="809"/>
    <m/>
    <m/>
    <s v="CAPITAL FEDERAL"/>
    <s v="Capital Federal"/>
    <m/>
    <s v="U.O.Centro"/>
    <m/>
    <n v="2"/>
    <n v="1"/>
    <n v="18082.099999999999"/>
    <n v="3616.41"/>
    <m/>
    <m/>
    <n v="14465.69"/>
    <m/>
    <n v="361.64"/>
    <m/>
    <m/>
    <m/>
    <m/>
    <m/>
    <m/>
    <n v="180.82"/>
    <m/>
    <m/>
    <m/>
    <m/>
    <m/>
    <m/>
    <n v="361.64"/>
    <m/>
    <m/>
    <m/>
    <m/>
    <m/>
    <m/>
    <m/>
    <n v="180.82"/>
    <m/>
    <n v="1084.92"/>
  </r>
  <r>
    <n v="10"/>
    <x v="10"/>
    <x v="0"/>
    <n v="169495"/>
    <s v="CRUZ ARIEL"/>
    <s v="20-23765623-8"/>
    <n v="42681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1"/>
    <n v="1"/>
    <n v="14891.5"/>
    <n v="2978.32"/>
    <m/>
    <m/>
    <n v="11913.18"/>
    <m/>
    <n v="297.83"/>
    <m/>
    <m/>
    <m/>
    <m/>
    <m/>
    <m/>
    <n v="148.91999999999999"/>
    <m/>
    <m/>
    <m/>
    <m/>
    <m/>
    <m/>
    <n v="297.83"/>
    <m/>
    <m/>
    <m/>
    <m/>
    <m/>
    <m/>
    <m/>
    <n v="148.91999999999999"/>
    <m/>
    <n v="893.5"/>
  </r>
  <r>
    <n v="10"/>
    <x v="10"/>
    <x v="1"/>
    <n v="173595"/>
    <s v="D´AGOSTINO MARCO ALEN"/>
    <s v="20-40547087-0"/>
    <n v="42674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ALLE 17"/>
    <n v="764"/>
    <m/>
    <m/>
    <s v="CAPITAL FEDERAL"/>
    <s v="Capital Federal"/>
    <m/>
    <s v="U.O.Centro Paga Inplant"/>
    <m/>
    <n v="1"/>
    <n v="1"/>
    <n v="19233.82"/>
    <n v="3846.76"/>
    <m/>
    <m/>
    <n v="15387.06"/>
    <m/>
    <n v="384.68"/>
    <m/>
    <m/>
    <m/>
    <m/>
    <m/>
    <m/>
    <n v="192.34"/>
    <m/>
    <m/>
    <m/>
    <m/>
    <m/>
    <m/>
    <n v="384.68"/>
    <m/>
    <m/>
    <m/>
    <m/>
    <m/>
    <m/>
    <m/>
    <n v="192.34"/>
    <m/>
    <n v="1154.04"/>
  </r>
  <r>
    <n v="10"/>
    <x v="10"/>
    <x v="1"/>
    <n v="175739"/>
    <s v="DE BARY LUCIO"/>
    <s v="23-38498237-9"/>
    <n v="42681"/>
    <n v="38498237"/>
    <s v="DE BARY"/>
    <s v="LUCIO"/>
    <s v="M"/>
    <m/>
    <d v="2016-07-16T00:00:00"/>
    <d v="2016-10-25T00:00:00"/>
    <m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s v="C1085ABP"/>
    <s v="SANTIAGO DEL ESTERO"/>
    <n v="1298"/>
    <m/>
    <m/>
    <s v="CAPITAL FEDERAL"/>
    <s v="Capital Federal"/>
    <m/>
    <s v="U.O.Centro"/>
    <m/>
    <n v="1"/>
    <n v="1"/>
    <n v="3173.93"/>
    <n v="634.79"/>
    <m/>
    <m/>
    <n v="2539.14"/>
    <m/>
    <n v="63.48"/>
    <m/>
    <m/>
    <m/>
    <m/>
    <m/>
    <m/>
    <n v="31.74"/>
    <m/>
    <m/>
    <m/>
    <m/>
    <m/>
    <m/>
    <n v="63.48"/>
    <m/>
    <m/>
    <m/>
    <m/>
    <m/>
    <m/>
    <m/>
    <n v="31.74"/>
    <m/>
    <n v="190.44"/>
  </r>
  <r>
    <n v="10"/>
    <x v="10"/>
    <x v="0"/>
    <n v="178414"/>
    <s v="DEL PRADO LUCAS GONZALO"/>
    <s v="20-39833880-5"/>
    <n v="42681"/>
    <n v="39833880"/>
    <s v="DEL PRADO"/>
    <s v="LUCAS GONZALO"/>
    <s v="M"/>
    <m/>
    <d v="2016-09-14T00:00:00"/>
    <d v="2016-10-07T00:00:00"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Santo Domingo"/>
    <n v="240"/>
    <m/>
    <m/>
    <s v="TIGRE"/>
    <s v="Buenos Aires"/>
    <m/>
    <s v="U.O.San Isidro"/>
    <m/>
    <n v="1"/>
    <n v="1"/>
    <n v="1207.07"/>
    <n v="241.41"/>
    <m/>
    <m/>
    <n v="965.66"/>
    <m/>
    <n v="24.14"/>
    <m/>
    <m/>
    <m/>
    <m/>
    <m/>
    <m/>
    <n v="12.07"/>
    <m/>
    <m/>
    <m/>
    <m/>
    <m/>
    <m/>
    <n v="24.14"/>
    <m/>
    <m/>
    <m/>
    <m/>
    <m/>
    <m/>
    <m/>
    <n v="12.07"/>
    <m/>
    <n v="72.42"/>
  </r>
  <r>
    <n v="10"/>
    <x v="10"/>
    <x v="0"/>
    <n v="174566"/>
    <s v="DESAQUILAN AXEL NICOLAS"/>
    <s v="20-39665785-7"/>
    <n v="42681"/>
    <n v="39665785"/>
    <s v="DESAQUILAN"/>
    <s v="AXEL NICOLAS"/>
    <s v="M"/>
    <m/>
    <d v="2016-06-16T00:00:00"/>
    <d v="2016-10-25T00:00:00"/>
    <m/>
    <s v="GASTRONOMICOS-Hoteles 4 y 5 Estrellas - 362/2003"/>
    <s v="Categoria 2"/>
    <x v="16"/>
    <s v="Back Office"/>
    <s v="Back Office"/>
    <s v="Tareas Generales"/>
    <n v="108803"/>
    <s v="O.S.P.Gastronomico"/>
    <s v="Buenos Aires - Almte. Brown"/>
    <m/>
    <s v="C1019ABK"/>
    <s v="MONTEVERDE"/>
    <n v="513"/>
    <m/>
    <m/>
    <s v="CAPITAL FEDERAL"/>
    <s v="Buenos Aires"/>
    <m/>
    <m/>
    <m/>
    <n v="3"/>
    <n v="1"/>
    <n v="9459.24"/>
    <n v="1891.84"/>
    <m/>
    <n v="29142.52"/>
    <n v="36709.919999999998"/>
    <m/>
    <n v="189.18"/>
    <m/>
    <m/>
    <m/>
    <m/>
    <m/>
    <m/>
    <n v="94.59"/>
    <m/>
    <m/>
    <m/>
    <m/>
    <m/>
    <m/>
    <n v="189.18"/>
    <m/>
    <m/>
    <m/>
    <m/>
    <m/>
    <m/>
    <m/>
    <n v="94.59"/>
    <m/>
    <n v="567.54"/>
  </r>
  <r>
    <n v="10"/>
    <x v="10"/>
    <x v="0"/>
    <n v="180749"/>
    <s v="DI PAOLO JUAN ANDRES"/>
    <s v="20-35836127-8"/>
    <n v="42681"/>
    <n v="35836127"/>
    <s v="DI PAOLO"/>
    <s v="JUAN ANDRES"/>
    <s v="M"/>
    <m/>
    <d v="2016-10-1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RAOZ"/>
    <n v="1225"/>
    <n v="16"/>
    <s v="D"/>
    <s v="CAPITAL FEDERAL"/>
    <s v="Buenos Aires"/>
    <m/>
    <s v="U.O.Centro"/>
    <m/>
    <n v="2"/>
    <n v="1"/>
    <n v="458.16"/>
    <n v="91.64"/>
    <m/>
    <m/>
    <n v="366.52"/>
    <m/>
    <n v="9.16"/>
    <m/>
    <m/>
    <m/>
    <m/>
    <m/>
    <m/>
    <n v="4.58"/>
    <m/>
    <m/>
    <m/>
    <m/>
    <m/>
    <m/>
    <n v="9.16"/>
    <m/>
    <m/>
    <m/>
    <m/>
    <m/>
    <m/>
    <m/>
    <n v="4.58"/>
    <m/>
    <n v="27.48"/>
  </r>
  <r>
    <n v="10"/>
    <x v="10"/>
    <x v="0"/>
    <n v="170691"/>
    <s v="DIAZ INGRID MANUELA"/>
    <s v="27-93051595-2"/>
    <n v="42681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ISANEWTON"/>
    <n v="1225"/>
    <m/>
    <m/>
    <s v="CAPITAL FEDERAL"/>
    <s v="Buenos Aires"/>
    <m/>
    <s v="U.O.Centro"/>
    <m/>
    <n v="2"/>
    <n v="1"/>
    <n v="10641.19"/>
    <n v="2128.2600000000002"/>
    <m/>
    <m/>
    <n v="8512.93"/>
    <m/>
    <n v="212.83"/>
    <m/>
    <m/>
    <m/>
    <m/>
    <m/>
    <m/>
    <n v="106.41"/>
    <m/>
    <m/>
    <m/>
    <m/>
    <m/>
    <m/>
    <n v="212.83"/>
    <m/>
    <m/>
    <m/>
    <m/>
    <m/>
    <m/>
    <m/>
    <n v="106.41"/>
    <m/>
    <n v="638.48"/>
  </r>
  <r>
    <n v="10"/>
    <x v="10"/>
    <x v="0"/>
    <n v="169910"/>
    <s v="DIAZ NANCY"/>
    <s v="27-21949289-3"/>
    <n v="42681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1"/>
    <n v="1"/>
    <n v="20181.41"/>
    <n v="4036.28"/>
    <m/>
    <m/>
    <n v="16145.13"/>
    <m/>
    <n v="403.63"/>
    <m/>
    <m/>
    <m/>
    <m/>
    <m/>
    <m/>
    <n v="201.81"/>
    <m/>
    <m/>
    <m/>
    <m/>
    <m/>
    <m/>
    <n v="403.63"/>
    <m/>
    <m/>
    <m/>
    <m/>
    <m/>
    <m/>
    <m/>
    <n v="201.81"/>
    <m/>
    <n v="1210.8800000000001"/>
  </r>
  <r>
    <n v="10"/>
    <x v="10"/>
    <x v="0"/>
    <n v="180694"/>
    <s v="DIAZ GERARDI MARIA LOURDES"/>
    <s v="27-38525993-5"/>
    <n v="42681"/>
    <n v="38525993"/>
    <s v="DIAZ GERARDI"/>
    <s v="MARIA LOURDES"/>
    <s v="F"/>
    <m/>
    <d v="2016-10-1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AVENIDA ANDES ROLON"/>
    <n v="240"/>
    <m/>
    <m/>
    <s v="TIGRE"/>
    <s v="Buenos Aires"/>
    <m/>
    <s v="U.O.San Isidro"/>
    <m/>
    <n v="1"/>
    <n v="1"/>
    <n v="2263.25"/>
    <n v="452.66"/>
    <m/>
    <m/>
    <n v="1810.59"/>
    <m/>
    <n v="45.27"/>
    <m/>
    <m/>
    <m/>
    <m/>
    <m/>
    <m/>
    <n v="22.63"/>
    <m/>
    <m/>
    <m/>
    <m/>
    <m/>
    <m/>
    <n v="45.27"/>
    <m/>
    <m/>
    <m/>
    <m/>
    <m/>
    <m/>
    <m/>
    <n v="22.63"/>
    <m/>
    <n v="135.80000000000001"/>
  </r>
  <r>
    <n v="10"/>
    <x v="10"/>
    <x v="0"/>
    <n v="162205"/>
    <s v="DOMINGUEZ CABRERA CESAR FERNANDO"/>
    <s v="23-95304555-9"/>
    <n v="42681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 CORRIENTES"/>
    <n v="1225"/>
    <n v="3"/>
    <s v="D"/>
    <s v="CAPITAL FEDERAL"/>
    <s v="Buenos Aires"/>
    <m/>
    <s v="U.O.Centro"/>
    <m/>
    <n v="2"/>
    <n v="1"/>
    <n v="8581.69"/>
    <n v="1716.33"/>
    <m/>
    <m/>
    <n v="6865.36"/>
    <m/>
    <n v="171.63"/>
    <m/>
    <m/>
    <m/>
    <m/>
    <m/>
    <m/>
    <n v="85.81"/>
    <m/>
    <m/>
    <m/>
    <m/>
    <m/>
    <m/>
    <n v="171.63"/>
    <m/>
    <m/>
    <m/>
    <m/>
    <m/>
    <m/>
    <m/>
    <n v="85.81"/>
    <m/>
    <n v="514.88"/>
  </r>
  <r>
    <n v="10"/>
    <x v="10"/>
    <x v="0"/>
    <n v="166685"/>
    <s v="DUARTE PICO EVA CLARINA"/>
    <s v="27-94661310-5"/>
    <n v="42675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7994.8"/>
    <n v="3598.96"/>
    <m/>
    <m/>
    <n v="14395.84"/>
    <m/>
    <n v="359.9"/>
    <m/>
    <m/>
    <m/>
    <m/>
    <m/>
    <m/>
    <n v="179.95"/>
    <m/>
    <m/>
    <m/>
    <m/>
    <m/>
    <m/>
    <n v="359.9"/>
    <m/>
    <m/>
    <m/>
    <m/>
    <m/>
    <m/>
    <m/>
    <n v="179.95"/>
    <m/>
    <n v="1079.7"/>
  </r>
  <r>
    <n v="10"/>
    <x v="10"/>
    <x v="0"/>
    <n v="164241"/>
    <s v="ELISSAMBURU NICOLE"/>
    <s v="23-40563228-4"/>
    <n v="42681"/>
    <n v="40563228"/>
    <s v="ELISSAMBURU"/>
    <s v="NICOLE"/>
    <s v="F"/>
    <m/>
    <d v="2016-05-1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V PIEDRA BUENA"/>
    <n v="1005"/>
    <m/>
    <m/>
    <s v="CAPITAL FEDERAL"/>
    <s v="Capital Federal"/>
    <m/>
    <s v="U.O.Centro"/>
    <m/>
    <n v="1"/>
    <n v="1"/>
    <n v="1571.09"/>
    <n v="314.20999999999998"/>
    <m/>
    <m/>
    <n v="1256.8800000000001"/>
    <m/>
    <n v="31.42"/>
    <m/>
    <m/>
    <m/>
    <m/>
    <m/>
    <m/>
    <n v="15.71"/>
    <m/>
    <m/>
    <m/>
    <m/>
    <m/>
    <m/>
    <n v="31.42"/>
    <m/>
    <m/>
    <m/>
    <m/>
    <m/>
    <m/>
    <m/>
    <n v="15.71"/>
    <m/>
    <n v="94.26"/>
  </r>
  <r>
    <n v="10"/>
    <x v="10"/>
    <x v="0"/>
    <n v="178413"/>
    <s v="ESCOBAR VANESA ALEJANDRA"/>
    <s v="27-30516297-9"/>
    <n v="42681"/>
    <n v="30516297"/>
    <s v="ESCOBAR"/>
    <s v="VANESA ALEJANDR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CAMINO REAL MORON"/>
    <n v="240"/>
    <m/>
    <m/>
    <s v="TIGRE"/>
    <s v="Buenos Aires"/>
    <m/>
    <s v="U.O.San Isidro"/>
    <m/>
    <n v="1"/>
    <n v="1"/>
    <n v="4627.09"/>
    <n v="925.41"/>
    <m/>
    <m/>
    <n v="3701.68"/>
    <m/>
    <n v="92.54"/>
    <m/>
    <m/>
    <m/>
    <m/>
    <m/>
    <m/>
    <n v="46.27"/>
    <m/>
    <m/>
    <m/>
    <m/>
    <m/>
    <m/>
    <n v="92.54"/>
    <m/>
    <m/>
    <m/>
    <m/>
    <m/>
    <m/>
    <m/>
    <n v="46.27"/>
    <m/>
    <n v="277.62"/>
  </r>
  <r>
    <n v="10"/>
    <x v="10"/>
    <x v="1"/>
    <n v="181424"/>
    <s v="ESPINDOLA ARIADNA STEPHANIE"/>
    <s v="27-36904815-0"/>
    <n v="42681"/>
    <n v="36904815"/>
    <s v="ESPINDOLA"/>
    <s v="ARIADNA STEPHANIE"/>
    <s v="F"/>
    <m/>
    <d v="2016-10-25T00:00:00"/>
    <d v="2016-10-28T00:00:00"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AV CASEROS"/>
    <n v="507"/>
    <n v="1"/>
    <m/>
    <s v="CAPITAL FEDERAL"/>
    <s v="Capital Federal"/>
    <m/>
    <s v="U.O.Centro"/>
    <m/>
    <n v="1"/>
    <n v="1"/>
    <n v="720.71"/>
    <n v="144.13999999999999"/>
    <m/>
    <m/>
    <n v="576.57000000000005"/>
    <m/>
    <n v="14.41"/>
    <m/>
    <m/>
    <m/>
    <m/>
    <m/>
    <m/>
    <n v="7.21"/>
    <m/>
    <m/>
    <m/>
    <m/>
    <m/>
    <m/>
    <n v="14.41"/>
    <m/>
    <m/>
    <m/>
    <m/>
    <m/>
    <m/>
    <m/>
    <n v="7.21"/>
    <m/>
    <n v="43.24"/>
  </r>
  <r>
    <n v="10"/>
    <x v="10"/>
    <x v="0"/>
    <n v="181425"/>
    <s v="ESPINOLA NORBERTO BAUTISTA"/>
    <s v="20-34490199-7"/>
    <n v="42681"/>
    <n v="34490199"/>
    <s v="ESPINOLA"/>
    <s v="NORBERTO BAUTISTA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TILCARA"/>
    <n v="1225"/>
    <m/>
    <m/>
    <s v="CAPITAL FEDERAL"/>
    <s v="Buenos Aires"/>
    <m/>
    <s v="U.O.Centro"/>
    <m/>
    <n v="1"/>
    <n v="1"/>
    <n v="818.55"/>
    <n v="163.72"/>
    <m/>
    <m/>
    <n v="654.83000000000004"/>
    <m/>
    <n v="16.37"/>
    <m/>
    <m/>
    <m/>
    <m/>
    <m/>
    <m/>
    <n v="8.19"/>
    <m/>
    <m/>
    <m/>
    <m/>
    <m/>
    <m/>
    <n v="16.37"/>
    <m/>
    <m/>
    <m/>
    <m/>
    <m/>
    <m/>
    <m/>
    <n v="8.19"/>
    <m/>
    <n v="49.12"/>
  </r>
  <r>
    <n v="10"/>
    <x v="10"/>
    <x v="0"/>
    <n v="180753"/>
    <s v="FANOLA CHACON EDITH JESSICA"/>
    <s v="23-94570123-4"/>
    <n v="42681"/>
    <n v="94570123"/>
    <s v="FANOLA CHACON"/>
    <s v="EDITH JESSICA"/>
    <s v="F"/>
    <m/>
    <d v="2016-10-0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TUCION"/>
    <n v="1225"/>
    <n v="3"/>
    <s v="B"/>
    <s v="CAPITAL FEDERAL"/>
    <s v="Buenos Aires"/>
    <m/>
    <s v="U.O.Centro"/>
    <m/>
    <n v="3"/>
    <n v="1"/>
    <n v="4123.51"/>
    <n v="824.71"/>
    <m/>
    <m/>
    <n v="3298.8"/>
    <m/>
    <n v="82.47"/>
    <m/>
    <m/>
    <m/>
    <m/>
    <m/>
    <m/>
    <n v="41.24"/>
    <m/>
    <m/>
    <m/>
    <m/>
    <m/>
    <m/>
    <n v="82.47"/>
    <m/>
    <m/>
    <m/>
    <m/>
    <m/>
    <m/>
    <m/>
    <n v="41.24"/>
    <m/>
    <n v="247.42"/>
  </r>
  <r>
    <n v="10"/>
    <x v="10"/>
    <x v="0"/>
    <n v="138787"/>
    <s v="FERNANDEZ CLAUDIA"/>
    <s v="27-23472256-0"/>
    <n v="42681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14572.83"/>
    <n v="2914.56"/>
    <m/>
    <m/>
    <n v="11658.27"/>
    <m/>
    <n v="291.45999999999998"/>
    <m/>
    <m/>
    <m/>
    <m/>
    <m/>
    <m/>
    <n v="145.72999999999999"/>
    <m/>
    <m/>
    <m/>
    <m/>
    <m/>
    <m/>
    <n v="291.45999999999998"/>
    <m/>
    <m/>
    <m/>
    <m/>
    <m/>
    <m/>
    <m/>
    <n v="145.72999999999999"/>
    <m/>
    <n v="874.38"/>
  </r>
  <r>
    <n v="10"/>
    <x v="10"/>
    <x v="0"/>
    <n v="178412"/>
    <s v="FERNANDEZ MAYRA MELISA"/>
    <s v="27-36600791-7"/>
    <n v="42681"/>
    <n v="36600791"/>
    <s v="FERNANDEZ"/>
    <s v="MAYRA MELIS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Formosa"/>
    <n v="240"/>
    <m/>
    <m/>
    <s v="TIGRE"/>
    <s v="Buenos Aires"/>
    <m/>
    <s v="U.O.San Isidro"/>
    <m/>
    <n v="1"/>
    <n v="1"/>
    <n v="2715.9"/>
    <n v="543.19000000000005"/>
    <m/>
    <m/>
    <n v="2172.71"/>
    <m/>
    <n v="54.32"/>
    <m/>
    <m/>
    <m/>
    <m/>
    <m/>
    <m/>
    <n v="27.16"/>
    <m/>
    <m/>
    <m/>
    <m/>
    <m/>
    <m/>
    <n v="54.32"/>
    <m/>
    <m/>
    <m/>
    <m/>
    <m/>
    <m/>
    <m/>
    <n v="27.16"/>
    <m/>
    <n v="162.96"/>
  </r>
  <r>
    <n v="10"/>
    <x v="10"/>
    <x v="0"/>
    <n v="177331"/>
    <s v="FIGUEREDO MILCIDADES JOSE"/>
    <s v="20-29951754-4"/>
    <n v="42681"/>
    <n v="29951754"/>
    <s v="FIGUEREDO"/>
    <s v="MILCIDADES JOSE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OSE A.CASACUBERTA"/>
    <n v="1225"/>
    <m/>
    <m/>
    <s v="CAPITAL FEDERAL"/>
    <s v="Buenos Aires"/>
    <m/>
    <s v="U.O.Centro"/>
    <m/>
    <n v="2"/>
    <n v="1"/>
    <n v="10641.2"/>
    <n v="2128.23"/>
    <m/>
    <m/>
    <n v="8512.9699999999993"/>
    <m/>
    <n v="212.83"/>
    <m/>
    <m/>
    <m/>
    <m/>
    <m/>
    <m/>
    <n v="106.41"/>
    <m/>
    <m/>
    <m/>
    <m/>
    <m/>
    <m/>
    <n v="212.83"/>
    <m/>
    <m/>
    <m/>
    <m/>
    <m/>
    <m/>
    <m/>
    <n v="106.41"/>
    <m/>
    <n v="638.48"/>
  </r>
  <r>
    <n v="10"/>
    <x v="10"/>
    <x v="0"/>
    <n v="173372"/>
    <s v="FILATOVA INNA"/>
    <s v="27-18845947-7"/>
    <n v="42681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UALEGUAY"/>
    <n v="1225"/>
    <m/>
    <m/>
    <s v="CAPITAL FEDERAL"/>
    <s v="Buenos Aires"/>
    <m/>
    <s v="U.O.Centro"/>
    <m/>
    <n v="2"/>
    <n v="1"/>
    <n v="4581.68"/>
    <n v="916.36"/>
    <m/>
    <m/>
    <n v="3665.32"/>
    <m/>
    <n v="91.64"/>
    <m/>
    <m/>
    <m/>
    <m/>
    <m/>
    <m/>
    <n v="45.82"/>
    <m/>
    <m/>
    <m/>
    <m/>
    <m/>
    <m/>
    <n v="91.64"/>
    <m/>
    <m/>
    <m/>
    <m/>
    <m/>
    <m/>
    <m/>
    <n v="45.82"/>
    <m/>
    <n v="274.92"/>
  </r>
  <r>
    <n v="10"/>
    <x v="10"/>
    <x v="0"/>
    <n v="178410"/>
    <s v="FINAMORE PAULA GABRIELA"/>
    <s v="27-30335164-2"/>
    <n v="42681"/>
    <n v="30335164"/>
    <s v="FINAMORE"/>
    <s v="PAULA GABRIEL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VUELTA DE OBLIGADO"/>
    <n v="240"/>
    <m/>
    <m/>
    <s v="TIGRE"/>
    <s v="Buenos Aires"/>
    <m/>
    <s v="U.O.San Isidro"/>
    <m/>
    <n v="1"/>
    <n v="1"/>
    <n v="2162.6799999999998"/>
    <n v="432.53"/>
    <m/>
    <m/>
    <n v="1730.15"/>
    <m/>
    <n v="43.25"/>
    <m/>
    <m/>
    <m/>
    <m/>
    <m/>
    <m/>
    <n v="21.63"/>
    <m/>
    <m/>
    <m/>
    <m/>
    <m/>
    <m/>
    <n v="43.25"/>
    <m/>
    <m/>
    <m/>
    <m/>
    <m/>
    <m/>
    <m/>
    <n v="21.63"/>
    <m/>
    <n v="129.76"/>
  </r>
  <r>
    <n v="10"/>
    <x v="10"/>
    <x v="0"/>
    <n v="176113"/>
    <s v="FLEITAS DIEGO ALEJANDRO"/>
    <s v="20-30160228-7"/>
    <n v="42681"/>
    <n v="30160228"/>
    <s v="FLEITAS"/>
    <s v="DIEGO ALEJANDRO"/>
    <s v="M"/>
    <m/>
    <d v="2016-07-16T00:00:00"/>
    <d v="2016-10-15T00:00:00"/>
    <m/>
    <s v="GASTRONOMICOS-Hoteles 4 y 5 Estrellas - 362/2003"/>
    <s v="Categoría 4"/>
    <x v="16"/>
    <s v="Back Office"/>
    <s v="Back Office"/>
    <s v="Mucama"/>
    <n v="108803"/>
    <s v="O.S.P.Gastronomico"/>
    <s v="Buenos Aires - Almte. Brown"/>
    <m/>
    <s v="C1019ABK"/>
    <s v="BOULERVARD"/>
    <n v="513"/>
    <m/>
    <n v="1"/>
    <s v="CAPITAL FEDERAL"/>
    <s v="Buenos Aires"/>
    <m/>
    <m/>
    <m/>
    <n v="3"/>
    <n v="1"/>
    <n v="7317.88"/>
    <n v="1463.56"/>
    <m/>
    <n v="31451.279999999999"/>
    <n v="37305.599999999999"/>
    <m/>
    <n v="146.35"/>
    <m/>
    <m/>
    <m/>
    <m/>
    <m/>
    <m/>
    <n v="73.180000000000007"/>
    <m/>
    <m/>
    <m/>
    <m/>
    <m/>
    <m/>
    <n v="146.35"/>
    <m/>
    <m/>
    <m/>
    <m/>
    <m/>
    <m/>
    <m/>
    <n v="73.180000000000007"/>
    <m/>
    <n v="439.06"/>
  </r>
  <r>
    <n v="10"/>
    <x v="10"/>
    <x v="0"/>
    <n v="178110"/>
    <s v="GALBAN MARIA LAURA"/>
    <s v="27-35083833-9"/>
    <n v="42681"/>
    <n v="35083833"/>
    <s v="GALBAN"/>
    <s v="MARIA LAURA"/>
    <s v="F"/>
    <m/>
    <d v="2016-09-0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pocitos"/>
    <n v="240"/>
    <m/>
    <m/>
    <s v="TIGRE"/>
    <s v="Buenos Aires"/>
    <m/>
    <s v="U.O.San Isidro"/>
    <m/>
    <n v="1"/>
    <n v="1"/>
    <n v="3772.09"/>
    <n v="754.41"/>
    <m/>
    <m/>
    <n v="3017.68"/>
    <m/>
    <n v="75.44"/>
    <m/>
    <m/>
    <m/>
    <m/>
    <m/>
    <m/>
    <n v="37.72"/>
    <m/>
    <m/>
    <m/>
    <m/>
    <m/>
    <m/>
    <n v="75.44"/>
    <m/>
    <m/>
    <m/>
    <m/>
    <m/>
    <m/>
    <m/>
    <n v="37.72"/>
    <m/>
    <n v="226.32"/>
  </r>
  <r>
    <n v="10"/>
    <x v="10"/>
    <x v="0"/>
    <n v="177973"/>
    <s v="GALLARDO BRENDA NOELIA"/>
    <s v="27-34574227-7"/>
    <n v="42681"/>
    <n v="34574227"/>
    <s v="GALLARDO"/>
    <s v="BRENDA NOELI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UECIA"/>
    <n v="1225"/>
    <m/>
    <m/>
    <s v="CAPITAL FEDERAL"/>
    <s v="Buenos Aires"/>
    <m/>
    <s v="U.O.Centro"/>
    <m/>
    <n v="2"/>
    <n v="1"/>
    <n v="2089.37"/>
    <n v="417.86"/>
    <m/>
    <m/>
    <n v="1671.51"/>
    <m/>
    <n v="41.78"/>
    <m/>
    <m/>
    <m/>
    <m/>
    <m/>
    <m/>
    <n v="20.89"/>
    <m/>
    <m/>
    <m/>
    <m/>
    <m/>
    <m/>
    <n v="41.78"/>
    <m/>
    <m/>
    <m/>
    <m/>
    <m/>
    <m/>
    <m/>
    <n v="20.89"/>
    <m/>
    <n v="125.34"/>
  </r>
  <r>
    <n v="10"/>
    <x v="10"/>
    <x v="1"/>
    <n v="65418"/>
    <s v="GARAY ANGEL FAUSTINO"/>
    <s v="20-27725694-1"/>
    <n v="42681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3"/>
    <n v="1"/>
    <n v="21744.67"/>
    <n v="4457.66"/>
    <m/>
    <m/>
    <n v="17287.009999999998"/>
    <n v="543.61"/>
    <m/>
    <m/>
    <m/>
    <m/>
    <m/>
    <m/>
    <m/>
    <n v="217.45"/>
    <m/>
    <m/>
    <m/>
    <m/>
    <m/>
    <m/>
    <n v="434.89"/>
    <m/>
    <m/>
    <m/>
    <m/>
    <m/>
    <m/>
    <m/>
    <n v="217.45"/>
    <m/>
    <n v="1413.4"/>
  </r>
  <r>
    <n v="10"/>
    <x v="10"/>
    <x v="0"/>
    <n v="177859"/>
    <s v="GARAY NARA MARIANA"/>
    <s v="27-34750126-9"/>
    <n v="42681"/>
    <n v="34750126"/>
    <s v="GARAY"/>
    <s v="NARA MARIAN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n v="10"/>
    <n v="1225"/>
    <m/>
    <m/>
    <s v="CAPITAL FEDERAL"/>
    <s v="Buenos Aires"/>
    <m/>
    <s v="U.O.Centro"/>
    <m/>
    <n v="2"/>
    <n v="1"/>
    <n v="10640.4"/>
    <n v="2128.08"/>
    <m/>
    <m/>
    <n v="8512.32"/>
    <m/>
    <n v="212.81"/>
    <m/>
    <m/>
    <m/>
    <m/>
    <m/>
    <m/>
    <n v="106.4"/>
    <m/>
    <m/>
    <m/>
    <m/>
    <m/>
    <m/>
    <n v="212.81"/>
    <m/>
    <m/>
    <m/>
    <m/>
    <m/>
    <m/>
    <m/>
    <n v="106.4"/>
    <m/>
    <n v="638.41999999999996"/>
  </r>
  <r>
    <n v="10"/>
    <x v="10"/>
    <x v="0"/>
    <n v="160167"/>
    <s v="GARCIA GRACIELA SUSANA"/>
    <s v="27-28071456-4"/>
    <n v="42681"/>
    <n v="28071456"/>
    <s v="GARCIA"/>
    <s v="GRACIELA SUSANA"/>
    <s v="F"/>
    <m/>
    <d v="2015-11-1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GARZON"/>
    <n v="1005"/>
    <m/>
    <m/>
    <s v="CAPITAL FEDERAL"/>
    <s v="Capital Federal"/>
    <m/>
    <s v="U.O.Centro"/>
    <m/>
    <n v="3"/>
    <n v="1"/>
    <n v="8797.59"/>
    <n v="1759.49"/>
    <m/>
    <m/>
    <n v="7038.1"/>
    <m/>
    <n v="175.95"/>
    <m/>
    <m/>
    <m/>
    <m/>
    <m/>
    <m/>
    <n v="87.97"/>
    <m/>
    <m/>
    <m/>
    <m/>
    <m/>
    <m/>
    <n v="175.95"/>
    <m/>
    <m/>
    <m/>
    <m/>
    <m/>
    <m/>
    <m/>
    <n v="87.97"/>
    <m/>
    <n v="527.84"/>
  </r>
  <r>
    <n v="10"/>
    <x v="10"/>
    <x v="1"/>
    <n v="180498"/>
    <s v="GARCIA OFELIA JIMENA"/>
    <s v="27-28743447-8"/>
    <n v="42674"/>
    <n v="28743447"/>
    <s v="GARCIA"/>
    <s v="OFELIA JIMENA"/>
    <s v="F"/>
    <m/>
    <d v="2016-10-1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MISIONES"/>
    <n v="764"/>
    <m/>
    <m/>
    <s v="CAPITAL FEDERAL"/>
    <s v="Capital Federal"/>
    <m/>
    <s v="U.O.Quilmes"/>
    <m/>
    <n v="1"/>
    <n v="1"/>
    <n v="6597.38"/>
    <n v="1319.47"/>
    <m/>
    <m/>
    <n v="5277.91"/>
    <m/>
    <n v="131.94999999999999"/>
    <m/>
    <m/>
    <m/>
    <m/>
    <m/>
    <m/>
    <n v="65.97"/>
    <m/>
    <m/>
    <m/>
    <m/>
    <m/>
    <m/>
    <n v="131.94999999999999"/>
    <m/>
    <m/>
    <m/>
    <m/>
    <m/>
    <m/>
    <m/>
    <n v="65.97"/>
    <m/>
    <n v="395.84"/>
  </r>
  <r>
    <n v="10"/>
    <x v="10"/>
    <x v="0"/>
    <n v="174037"/>
    <s v="GARCIA CZUJKO ANDREA LAURA"/>
    <s v="27-93769203-5"/>
    <n v="42681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2"/>
    <n v="1"/>
    <n v="8239.5400000000009"/>
    <n v="1647.89"/>
    <m/>
    <m/>
    <n v="6591.65"/>
    <m/>
    <n v="164.79"/>
    <m/>
    <m/>
    <m/>
    <m/>
    <m/>
    <m/>
    <n v="82.39"/>
    <m/>
    <m/>
    <m/>
    <m/>
    <m/>
    <m/>
    <n v="164.79"/>
    <m/>
    <m/>
    <m/>
    <m/>
    <m/>
    <m/>
    <m/>
    <n v="82.39"/>
    <m/>
    <n v="494.36"/>
  </r>
  <r>
    <n v="10"/>
    <x v="10"/>
    <x v="0"/>
    <n v="178303"/>
    <s v="GASTELU SANTIAGO IVAN NICOLAS"/>
    <s v="20-37667275-2"/>
    <n v="42675"/>
    <n v="37667275"/>
    <s v="GASTELU"/>
    <s v="SANTIAGO IVAN NICOLAS"/>
    <s v="M"/>
    <m/>
    <d v="2016-09-13T00:00:00"/>
    <m/>
    <m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TALCAHUANO"/>
    <n v="841"/>
    <n v="7"/>
    <s v="N"/>
    <s v="CAPITAL FEDERAL"/>
    <s v="Buenos Aires"/>
    <m/>
    <s v="U.O.Centro"/>
    <m/>
    <n v="1"/>
    <n v="1"/>
    <n v="16934.509999999998"/>
    <n v="3386.92"/>
    <m/>
    <m/>
    <n v="13547.59"/>
    <m/>
    <n v="338.69"/>
    <m/>
    <m/>
    <m/>
    <m/>
    <m/>
    <m/>
    <n v="169.35"/>
    <m/>
    <m/>
    <m/>
    <m/>
    <m/>
    <m/>
    <n v="338.69"/>
    <m/>
    <m/>
    <m/>
    <m/>
    <m/>
    <m/>
    <m/>
    <n v="169.35"/>
    <m/>
    <n v="1016.08"/>
  </r>
  <r>
    <n v="10"/>
    <x v="10"/>
    <x v="0"/>
    <n v="181438"/>
    <s v="GIGANTE VIVIANA GIMENA"/>
    <s v="27-26965242-5"/>
    <n v="42681"/>
    <n v="26965242"/>
    <s v="GIGANTE"/>
    <s v="VIVIANA GIMENA"/>
    <s v="F"/>
    <m/>
    <d v="2016-10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ZAPIOLA"/>
    <n v="1225"/>
    <n v="5"/>
    <s v="C"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m/>
    <n v="137.46"/>
  </r>
  <r>
    <n v="10"/>
    <x v="10"/>
    <x v="0"/>
    <n v="180494"/>
    <s v="GIMENEZ ANA AGUSTINA"/>
    <s v="27-30212207-0"/>
    <n v="42681"/>
    <n v="30212207"/>
    <s v="GIMENEZ"/>
    <s v="ANA AGUSTINA"/>
    <s v="F"/>
    <m/>
    <d v="2016-10-13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OHIGGINS"/>
    <n v="474"/>
    <n v="2"/>
    <s v="A"/>
    <s v="CAPITAL FEDERAL"/>
    <s v="Buenos Aires"/>
    <m/>
    <s v="U.O.Centro"/>
    <m/>
    <n v="1"/>
    <n v="1"/>
    <n v="7014.53"/>
    <n v="1402.92"/>
    <m/>
    <m/>
    <n v="5611.61"/>
    <m/>
    <n v="140.29"/>
    <m/>
    <m/>
    <m/>
    <m/>
    <m/>
    <m/>
    <n v="70.150000000000006"/>
    <m/>
    <m/>
    <m/>
    <m/>
    <m/>
    <m/>
    <n v="140.29"/>
    <m/>
    <m/>
    <m/>
    <m/>
    <m/>
    <m/>
    <m/>
    <n v="70.150000000000006"/>
    <m/>
    <n v="420.88"/>
  </r>
  <r>
    <n v="10"/>
    <x v="10"/>
    <x v="0"/>
    <n v="181426"/>
    <s v="GIORGI MATIAS HERNAN"/>
    <s v="20-34143611-8"/>
    <n v="42681"/>
    <n v="34143611"/>
    <s v="GIORGI"/>
    <s v="MATIAS HERNAN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AV. SAN AMRTIN"/>
    <n v="1225"/>
    <n v="1"/>
    <s v="A"/>
    <s v="CAPITAL FEDERAL"/>
    <s v="Buenos Aires"/>
    <m/>
    <s v="U.O.Centro"/>
    <m/>
    <n v="1"/>
    <n v="1"/>
    <n v="3683.49"/>
    <n v="736.68"/>
    <m/>
    <m/>
    <n v="2946.81"/>
    <m/>
    <n v="73.67"/>
    <m/>
    <m/>
    <m/>
    <m/>
    <m/>
    <m/>
    <n v="36.83"/>
    <m/>
    <m/>
    <m/>
    <m/>
    <m/>
    <m/>
    <n v="73.67"/>
    <m/>
    <m/>
    <m/>
    <m/>
    <m/>
    <m/>
    <m/>
    <n v="36.83"/>
    <m/>
    <n v="221"/>
  </r>
  <r>
    <n v="10"/>
    <x v="10"/>
    <x v="0"/>
    <n v="175142"/>
    <s v="GODOY MARIA VALERIA"/>
    <s v="27-34006381-9"/>
    <n v="42675"/>
    <n v="34006381"/>
    <s v="GODOY"/>
    <s v="MARIA VALERIA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BARTOLOME MITRE"/>
    <n v="1334"/>
    <s v="9º"/>
    <s v="E"/>
    <s v="CAPITAL FEDERAL"/>
    <s v="Capital Federal"/>
    <m/>
    <s v="U.O.Centro"/>
    <m/>
    <n v="1"/>
    <n v="1"/>
    <n v="20907.8"/>
    <n v="4181.5600000000004"/>
    <m/>
    <m/>
    <n v="16726.240000000002"/>
    <m/>
    <n v="418.16"/>
    <m/>
    <m/>
    <m/>
    <m/>
    <m/>
    <m/>
    <n v="209.08"/>
    <m/>
    <m/>
    <m/>
    <m/>
    <m/>
    <m/>
    <n v="418.16"/>
    <m/>
    <m/>
    <m/>
    <m/>
    <m/>
    <m/>
    <m/>
    <n v="209.08"/>
    <m/>
    <n v="1254.48"/>
  </r>
  <r>
    <n v="10"/>
    <x v="10"/>
    <x v="0"/>
    <n v="180764"/>
    <s v="GOMEZ ELENA VANESA"/>
    <s v="27-28440399-7"/>
    <n v="42681"/>
    <n v="28440399"/>
    <s v="GOMEZ"/>
    <s v="ELENA VANESA"/>
    <s v="F"/>
    <m/>
    <d v="2016-10-14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Gran Buenos Aires"/>
    <m/>
    <n v="1648"/>
    <s v="SANTA MARTA"/>
    <n v="240"/>
    <m/>
    <m/>
    <s v="TIGRE"/>
    <s v="Buenos Aires"/>
    <m/>
    <s v="U.O.San Isidro"/>
    <m/>
    <n v="1"/>
    <n v="1"/>
    <n v="6544.38"/>
    <n v="1308.8699999999999"/>
    <m/>
    <m/>
    <n v="5235.51"/>
    <m/>
    <n v="130.88999999999999"/>
    <m/>
    <m/>
    <m/>
    <m/>
    <m/>
    <m/>
    <n v="65.44"/>
    <m/>
    <m/>
    <m/>
    <m/>
    <m/>
    <m/>
    <n v="130.88999999999999"/>
    <m/>
    <m/>
    <m/>
    <m/>
    <m/>
    <m/>
    <m/>
    <n v="65.44"/>
    <m/>
    <n v="392.66"/>
  </r>
  <r>
    <n v="10"/>
    <x v="10"/>
    <x v="0"/>
    <n v="139720"/>
    <s v="GOMEZ JAVIER MANUEL"/>
    <s v="20-26419519-6"/>
    <n v="42681"/>
    <n v="26419519"/>
    <s v="GOMEZ"/>
    <s v="JAVIER MANUEL"/>
    <s v="M"/>
    <m/>
    <d v="2016-10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GENERAL VILLEGAS"/>
    <n v="181"/>
    <m/>
    <m/>
    <s v="CAPITAL FEDERAL"/>
    <s v="Capital Federal"/>
    <m/>
    <s v="U.O.Centro"/>
    <m/>
    <n v="5"/>
    <n v="1"/>
    <n v="11248.45"/>
    <n v="2174.0500000000002"/>
    <m/>
    <m/>
    <n v="9074.4"/>
    <m/>
    <n v="224.97"/>
    <m/>
    <m/>
    <m/>
    <m/>
    <m/>
    <m/>
    <n v="36.82"/>
    <m/>
    <m/>
    <m/>
    <m/>
    <m/>
    <m/>
    <n v="224.97"/>
    <m/>
    <m/>
    <m/>
    <m/>
    <m/>
    <m/>
    <m/>
    <n v="36.82"/>
    <n v="500"/>
    <n v="1023.58"/>
  </r>
  <r>
    <n v="10"/>
    <x v="10"/>
    <x v="0"/>
    <n v="177475"/>
    <s v="GOMEZ LUCAS MARTIN"/>
    <s v="20-25647658-5"/>
    <n v="42681"/>
    <n v="25647658"/>
    <s v="GOMEZ"/>
    <s v="LUCAS MARTIN"/>
    <s v="M"/>
    <m/>
    <d v="2016-09-01T00:00:00"/>
    <m/>
    <m/>
    <s v="GASTRONOMICOS-Hoteles 4 y 5 Estrellas - 362/2003"/>
    <s v="Categoria 6"/>
    <x v="7"/>
    <s v="Unidad Base-GL"/>
    <s v="Centro"/>
    <s v="Tareas Generales"/>
    <n v="100601"/>
    <s v="OS  DEL PERSONAL DE AERONAVEGACION DE ENTES PRIVADOS"/>
    <s v="Capital Federal"/>
    <m/>
    <s v="C1022AAB"/>
    <s v="OLAZABAL"/>
    <n v="181"/>
    <n v="2"/>
    <s v="C"/>
    <s v="CAPITAL FEDERAL"/>
    <s v="Capital Federal"/>
    <m/>
    <s v="U.O.Centro"/>
    <m/>
    <n v="4"/>
    <n v="1"/>
    <n v="7423.72"/>
    <n v="1484.76"/>
    <m/>
    <m/>
    <n v="5938.96"/>
    <m/>
    <n v="148.47999999999999"/>
    <m/>
    <m/>
    <m/>
    <m/>
    <m/>
    <m/>
    <n v="74.239999999999995"/>
    <m/>
    <m/>
    <m/>
    <m/>
    <m/>
    <m/>
    <n v="148.47999999999999"/>
    <m/>
    <m/>
    <m/>
    <m/>
    <m/>
    <m/>
    <m/>
    <n v="74.239999999999995"/>
    <m/>
    <n v="445.44"/>
  </r>
  <r>
    <n v="10"/>
    <x v="10"/>
    <x v="1"/>
    <n v="164986"/>
    <s v="GOMEZ MIGUEL ANGEL"/>
    <s v="20-40687394-4"/>
    <n v="42681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n v="9"/>
    <n v="507"/>
    <m/>
    <m/>
    <s v="CAPITAL FEDERAL"/>
    <s v="Capital Federal"/>
    <m/>
    <s v="U.O.Centro"/>
    <m/>
    <n v="1"/>
    <n v="1"/>
    <n v="16211.47"/>
    <n v="3323.34"/>
    <m/>
    <m/>
    <n v="12888.13"/>
    <n v="405.29"/>
    <m/>
    <m/>
    <m/>
    <m/>
    <m/>
    <m/>
    <m/>
    <n v="162.11000000000001"/>
    <m/>
    <m/>
    <m/>
    <m/>
    <m/>
    <m/>
    <n v="324.23"/>
    <m/>
    <m/>
    <m/>
    <m/>
    <m/>
    <m/>
    <m/>
    <n v="162.11000000000001"/>
    <m/>
    <n v="1053.74"/>
  </r>
  <r>
    <n v="10"/>
    <x v="10"/>
    <x v="0"/>
    <n v="177437"/>
    <s v="GONZALEZ ANDREA CELESTE"/>
    <s v="23-94771102-4"/>
    <n v="42667"/>
    <n v="94771102"/>
    <s v="GONZALEZ"/>
    <s v="ANDREA CELESTE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OLIS"/>
    <n v="1225"/>
    <n v="3"/>
    <m/>
    <s v="CAPITAL FEDERAL"/>
    <s v="Buenos Aires"/>
    <m/>
    <s v="U.O.Centro"/>
    <m/>
    <n v="1"/>
    <n v="1"/>
    <n v="458.16"/>
    <n v="91.62"/>
    <m/>
    <m/>
    <n v="366.54"/>
    <m/>
    <n v="9.16"/>
    <m/>
    <m/>
    <m/>
    <m/>
    <m/>
    <m/>
    <n v="4.58"/>
    <m/>
    <m/>
    <m/>
    <m/>
    <m/>
    <m/>
    <n v="9.16"/>
    <m/>
    <m/>
    <m/>
    <m/>
    <m/>
    <m/>
    <m/>
    <n v="4.58"/>
    <m/>
    <n v="27.48"/>
  </r>
  <r>
    <n v="10"/>
    <x v="10"/>
    <x v="0"/>
    <n v="48107"/>
    <s v="GONZALEZ KARINA ELIZABETH"/>
    <s v="27-23467821-9"/>
    <n v="42681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1"/>
    <n v="1"/>
    <n v="15430.06"/>
    <n v="3086.01"/>
    <m/>
    <m/>
    <n v="12344.05"/>
    <m/>
    <n v="308.60000000000002"/>
    <m/>
    <m/>
    <m/>
    <m/>
    <m/>
    <m/>
    <n v="154.30000000000001"/>
    <m/>
    <m/>
    <m/>
    <m/>
    <m/>
    <m/>
    <n v="308.60000000000002"/>
    <m/>
    <m/>
    <m/>
    <m/>
    <m/>
    <m/>
    <m/>
    <n v="154.30000000000001"/>
    <m/>
    <n v="925.8"/>
  </r>
  <r>
    <n v="10"/>
    <x v="10"/>
    <x v="0"/>
    <n v="180750"/>
    <s v="GONZALEZ MARIANA EVANGELINA"/>
    <s v="27-26096089-5"/>
    <n v="42681"/>
    <n v="26096089"/>
    <s v="GONZALEZ"/>
    <s v="MARIANA EVANGELINA"/>
    <s v="F"/>
    <m/>
    <d v="2016-10-1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ZAÑARTU TORRE 2"/>
    <n v="1225"/>
    <n v="3"/>
    <s v="F"/>
    <s v="CAPITAL FEDERAL"/>
    <s v="Buenos Aires"/>
    <m/>
    <s v="U.O.Centro"/>
    <m/>
    <n v="4"/>
    <n v="1"/>
    <n v="3050.93"/>
    <n v="610.17999999999995"/>
    <m/>
    <m/>
    <n v="2440.75"/>
    <m/>
    <n v="61.01"/>
    <m/>
    <m/>
    <m/>
    <m/>
    <m/>
    <m/>
    <n v="30.51"/>
    <m/>
    <m/>
    <m/>
    <m/>
    <m/>
    <m/>
    <n v="61.01"/>
    <m/>
    <m/>
    <m/>
    <m/>
    <m/>
    <m/>
    <m/>
    <n v="30.51"/>
    <m/>
    <n v="183.04"/>
  </r>
  <r>
    <n v="10"/>
    <x v="10"/>
    <x v="1"/>
    <n v="164224"/>
    <s v="GONZALEZ SALOME NATALIA"/>
    <s v="27-35111714-7"/>
    <n v="42681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4984.5"/>
    <n v="996.92"/>
    <m/>
    <m/>
    <n v="3987.58"/>
    <m/>
    <n v="99.69"/>
    <m/>
    <m/>
    <m/>
    <m/>
    <m/>
    <m/>
    <n v="49.85"/>
    <m/>
    <m/>
    <m/>
    <m/>
    <m/>
    <m/>
    <n v="99.69"/>
    <m/>
    <m/>
    <m/>
    <m/>
    <m/>
    <m/>
    <m/>
    <n v="49.85"/>
    <m/>
    <n v="299.08"/>
  </r>
  <r>
    <n v="10"/>
    <x v="10"/>
    <x v="1"/>
    <n v="136459"/>
    <s v="GONZALEZ VICTOR HUGO"/>
    <s v="20-37376573-3"/>
    <n v="42681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PERDRIEL"/>
    <n v="507"/>
    <m/>
    <m/>
    <s v="CAPITAL FEDERAL"/>
    <s v="Capital Federal"/>
    <m/>
    <s v="U.O.Centro Paga Inplant"/>
    <m/>
    <n v="1"/>
    <n v="1"/>
    <n v="17770.75"/>
    <n v="3554.15"/>
    <m/>
    <m/>
    <n v="14216.6"/>
    <m/>
    <n v="355.42"/>
    <m/>
    <m/>
    <m/>
    <m/>
    <m/>
    <m/>
    <n v="177.71"/>
    <m/>
    <m/>
    <m/>
    <m/>
    <m/>
    <m/>
    <n v="355.42"/>
    <m/>
    <m/>
    <m/>
    <m/>
    <m/>
    <m/>
    <m/>
    <n v="177.71"/>
    <m/>
    <n v="1066.26"/>
  </r>
  <r>
    <n v="10"/>
    <x v="10"/>
    <x v="0"/>
    <n v="170277"/>
    <s v="GUTARRA MANRIQUE DANIEL DAGOBERTO"/>
    <s v="20-94635918-2"/>
    <n v="42681"/>
    <n v="94635918"/>
    <s v="GUTARRA MANRIQUE"/>
    <s v="DANIEL DAGOBERTO"/>
    <s v="M"/>
    <m/>
    <d v="2016-10-1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ENIDA SAN MARTIN"/>
    <n v="181"/>
    <n v="6"/>
    <m/>
    <s v="CAPITAL FEDERAL"/>
    <s v="Capital Federal"/>
    <m/>
    <s v="U.O.Centro"/>
    <m/>
    <n v="2"/>
    <n v="1"/>
    <n v="1046.2"/>
    <n v="202.55"/>
    <m/>
    <m/>
    <n v="843.65"/>
    <m/>
    <n v="20.93"/>
    <m/>
    <m/>
    <m/>
    <m/>
    <m/>
    <m/>
    <n v="3.78"/>
    <m/>
    <m/>
    <m/>
    <m/>
    <m/>
    <m/>
    <n v="20.93"/>
    <m/>
    <m/>
    <m/>
    <m/>
    <m/>
    <m/>
    <m/>
    <n v="3.78"/>
    <n v="250"/>
    <n v="299.42"/>
  </r>
  <r>
    <n v="10"/>
    <x v="10"/>
    <x v="0"/>
    <n v="179836"/>
    <s v="GUTIERREZ MARCELA FABIANA"/>
    <s v="27-22195577-9"/>
    <n v="42681"/>
    <n v="22195577"/>
    <s v="GUTIERREZ"/>
    <s v="MARCELA FABIANA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IGUEL SOLER"/>
    <n v="1225"/>
    <m/>
    <m/>
    <s v="CAPITAL FEDERAL"/>
    <s v="Buenos Aires"/>
    <m/>
    <s v="U.O.Centro"/>
    <m/>
    <n v="2"/>
    <n v="1"/>
    <n v="7708.5"/>
    <n v="1541.69"/>
    <m/>
    <m/>
    <n v="6166.81"/>
    <m/>
    <n v="154.16999999999999"/>
    <m/>
    <m/>
    <m/>
    <m/>
    <m/>
    <m/>
    <n v="77.08"/>
    <m/>
    <m/>
    <m/>
    <m/>
    <m/>
    <m/>
    <n v="154.16999999999999"/>
    <m/>
    <m/>
    <m/>
    <m/>
    <m/>
    <m/>
    <m/>
    <n v="77.08"/>
    <m/>
    <n v="462.5"/>
  </r>
  <r>
    <n v="10"/>
    <x v="10"/>
    <x v="0"/>
    <n v="180496"/>
    <s v="GUTIERREZ PABLO DANIEL"/>
    <s v="23-25085183-9"/>
    <n v="42681"/>
    <n v="25085183"/>
    <s v="GUTIERREZ"/>
    <s v="PABLO DANIEL"/>
    <s v="M"/>
    <m/>
    <d v="2016-10-24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 JUAN B ALBERDI"/>
    <n v="181"/>
    <n v="1"/>
    <s v="C"/>
    <s v="CAPITAL FEDERAL"/>
    <s v="Capital Federal"/>
    <m/>
    <s v="U.O.Centro"/>
    <m/>
    <n v="2"/>
    <n v="1"/>
    <n v="5721.95"/>
    <n v="1134.5"/>
    <m/>
    <m/>
    <n v="4587.45"/>
    <m/>
    <n v="114.44"/>
    <m/>
    <m/>
    <m/>
    <m/>
    <m/>
    <m/>
    <n v="47.33"/>
    <m/>
    <m/>
    <m/>
    <m/>
    <m/>
    <m/>
    <n v="114.44"/>
    <m/>
    <m/>
    <m/>
    <m/>
    <m/>
    <m/>
    <m/>
    <n v="47.33"/>
    <n v="250"/>
    <n v="573.54"/>
  </r>
  <r>
    <n v="10"/>
    <x v="10"/>
    <x v="0"/>
    <n v="179952"/>
    <s v="GUZMAN JULCA WILYAMS ABEL"/>
    <s v="20-94671840-9"/>
    <n v="42681"/>
    <n v="94671840"/>
    <s v="GUZMAN JULCA"/>
    <s v="WILYAMS ABEL"/>
    <s v="M"/>
    <m/>
    <d v="2016-10-04T00:00:00"/>
    <d v="2016-10-22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DOCTOR ALFREDO PALACIOS"/>
    <n v="1225"/>
    <s v="PB"/>
    <m/>
    <s v="CAPITAL FEDERAL"/>
    <s v="Buenos Aires"/>
    <m/>
    <s v="U.O.Centro"/>
    <m/>
    <n v="1"/>
    <n v="1"/>
    <n v="12228.46"/>
    <n v="2445.6799999999998"/>
    <m/>
    <m/>
    <n v="9782.7800000000007"/>
    <m/>
    <n v="244.57"/>
    <m/>
    <m/>
    <m/>
    <m/>
    <m/>
    <m/>
    <n v="122.28"/>
    <m/>
    <m/>
    <m/>
    <m/>
    <m/>
    <m/>
    <n v="244.57"/>
    <m/>
    <m/>
    <m/>
    <m/>
    <m/>
    <m/>
    <m/>
    <n v="122.28"/>
    <m/>
    <n v="733.7"/>
  </r>
  <r>
    <n v="10"/>
    <x v="10"/>
    <x v="1"/>
    <n v="77136"/>
    <s v="HAURET BELTRAN"/>
    <s v="20-31675095-9"/>
    <n v="42681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s v="C1009ABK"/>
    <s v="BILLINGHURST"/>
    <n v="507"/>
    <n v="2"/>
    <s v="C"/>
    <s v="CAPITAL FEDERAL"/>
    <s v="Capital Federal"/>
    <m/>
    <s v="U.O.Centro Paga Inplant"/>
    <s v="RECEPCIONISTA"/>
    <n v="1"/>
    <n v="1"/>
    <n v="19114.79"/>
    <n v="3822.96"/>
    <m/>
    <m/>
    <n v="15291.83"/>
    <m/>
    <n v="382.3"/>
    <m/>
    <m/>
    <m/>
    <m/>
    <m/>
    <m/>
    <n v="191.15"/>
    <m/>
    <m/>
    <m/>
    <m/>
    <m/>
    <m/>
    <n v="382.3"/>
    <m/>
    <m/>
    <m/>
    <m/>
    <m/>
    <m/>
    <m/>
    <n v="191.15"/>
    <m/>
    <n v="1146.9000000000001"/>
  </r>
  <r>
    <n v="10"/>
    <x v="10"/>
    <x v="0"/>
    <n v="170479"/>
    <s v="HERMOSILLA ARECO LUIS CARLOS DE JESUS"/>
    <s v="20-93896751-3"/>
    <n v="42681"/>
    <n v="93896751"/>
    <s v="HERMOSILLA ARECO"/>
    <s v="LUIS CARLOS DE JESUS"/>
    <s v="M"/>
    <m/>
    <d v="2016-03-19T00:00:00"/>
    <d v="2016-09-13T00:00:00"/>
    <n v="42626"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ESTEBAN BONORINO"/>
    <n v="1225"/>
    <s v="2C"/>
    <m/>
    <s v="CAPITAL FEDERAL"/>
    <s v="Buenos Aires"/>
    <m/>
    <s v="U.O.Centro"/>
    <m/>
    <n v="1"/>
    <n v="1"/>
    <m/>
    <m/>
    <m/>
    <n v="773.06"/>
    <n v="773.06"/>
    <m/>
    <m/>
    <m/>
    <m/>
    <m/>
    <m/>
    <m/>
    <m/>
    <m/>
    <m/>
    <m/>
    <m/>
    <m/>
    <m/>
    <m/>
    <m/>
    <m/>
    <m/>
    <m/>
    <m/>
    <m/>
    <m/>
    <m/>
    <m/>
    <m/>
    <m/>
  </r>
  <r>
    <n v="10"/>
    <x v="10"/>
    <x v="0"/>
    <n v="177496"/>
    <s v="HINOJOSA CLAURE MAURICIO GABRIEL"/>
    <s v="20-38620142-1"/>
    <n v="42681"/>
    <n v="38620142"/>
    <s v="HINOJOSA CLAURE"/>
    <s v="MAURICIO GABRIEL"/>
    <s v="M"/>
    <m/>
    <d v="2016-08-23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RIVERA INDARTE"/>
    <n v="181"/>
    <m/>
    <m/>
    <s v="CAPITAL FEDERAL"/>
    <s v="Capital Federal"/>
    <m/>
    <s v="U.O.Centro"/>
    <m/>
    <n v="3"/>
    <n v="1"/>
    <n v="13055.64"/>
    <n v="2611.12"/>
    <m/>
    <m/>
    <n v="10444.52"/>
    <m/>
    <n v="261.11"/>
    <m/>
    <m/>
    <m/>
    <m/>
    <m/>
    <m/>
    <n v="130.55000000000001"/>
    <m/>
    <m/>
    <m/>
    <m/>
    <m/>
    <m/>
    <n v="261.11"/>
    <m/>
    <m/>
    <m/>
    <m/>
    <m/>
    <m/>
    <m/>
    <n v="130.55000000000001"/>
    <m/>
    <n v="783.32"/>
  </r>
  <r>
    <n v="10"/>
    <x v="10"/>
    <x v="1"/>
    <n v="171895"/>
    <s v="IBARRA LUISINA YASMIN"/>
    <s v="27-37039024-5"/>
    <n v="42674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PLUMERIZZO"/>
    <n v="764"/>
    <m/>
    <m/>
    <s v="CAPITAL FEDERAL"/>
    <s v="Capital Federal"/>
    <m/>
    <s v="U.O.Centro Paga Inplant"/>
    <m/>
    <n v="1"/>
    <n v="1"/>
    <n v="15425.56"/>
    <n v="3085.12"/>
    <m/>
    <m/>
    <n v="12340.44"/>
    <m/>
    <n v="308.51"/>
    <m/>
    <m/>
    <m/>
    <m/>
    <m/>
    <m/>
    <n v="154.26"/>
    <m/>
    <m/>
    <m/>
    <m/>
    <m/>
    <m/>
    <n v="308.51"/>
    <m/>
    <m/>
    <m/>
    <m/>
    <m/>
    <m/>
    <m/>
    <n v="154.26"/>
    <m/>
    <n v="925.54"/>
  </r>
  <r>
    <n v="10"/>
    <x v="10"/>
    <x v="0"/>
    <n v="179830"/>
    <s v="INSFRAN JACQUELINE ELIZABETH"/>
    <s v="27-38989989-0"/>
    <n v="42681"/>
    <n v="38989989"/>
    <s v="INSFRAN"/>
    <s v="JACQUELINE ELIZABETH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LLE 12"/>
    <n v="1225"/>
    <m/>
    <m/>
    <s v="CAPITAL FEDERAL"/>
    <s v="Buenos Aires"/>
    <m/>
    <s v="U.O.Centro"/>
    <m/>
    <n v="2"/>
    <n v="1"/>
    <n v="9586.23"/>
    <n v="1917.25"/>
    <m/>
    <m/>
    <n v="7668.98"/>
    <m/>
    <n v="191.72"/>
    <m/>
    <m/>
    <m/>
    <m/>
    <m/>
    <m/>
    <n v="95.86"/>
    <m/>
    <m/>
    <m/>
    <m/>
    <m/>
    <m/>
    <n v="191.72"/>
    <m/>
    <m/>
    <m/>
    <m/>
    <m/>
    <m/>
    <m/>
    <n v="95.86"/>
    <m/>
    <n v="575.16"/>
  </r>
  <r>
    <n v="10"/>
    <x v="10"/>
    <x v="0"/>
    <n v="178270"/>
    <s v="JABIF MATEO"/>
    <s v="20-39352832-0"/>
    <n v="42681"/>
    <n v="39352832"/>
    <s v="JABIF"/>
    <s v="MATEO"/>
    <s v="M"/>
    <m/>
    <d v="2016-09-0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ODRIGUEZ PEÑA"/>
    <n v="1225"/>
    <n v="2"/>
    <s v="B"/>
    <s v="CAPITAL FEDERAL"/>
    <s v="Buenos Aires"/>
    <m/>
    <s v="U.O.Centro"/>
    <m/>
    <n v="2"/>
    <n v="1"/>
    <n v="1832.66"/>
    <n v="366.54"/>
    <m/>
    <m/>
    <n v="1466.12"/>
    <m/>
    <n v="36.65"/>
    <m/>
    <m/>
    <m/>
    <m/>
    <m/>
    <m/>
    <n v="18.329999999999998"/>
    <m/>
    <m/>
    <m/>
    <m/>
    <m/>
    <m/>
    <n v="36.65"/>
    <m/>
    <m/>
    <m/>
    <m/>
    <m/>
    <m/>
    <m/>
    <n v="18.329999999999998"/>
    <m/>
    <n v="109.96"/>
  </r>
  <r>
    <n v="10"/>
    <x v="10"/>
    <x v="0"/>
    <n v="168403"/>
    <s v="JUAREZ LILIANA MARCELA"/>
    <s v="27-23887293-1"/>
    <n v="42675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s v="C1007AAA"/>
    <s v="LA RIOJA"/>
    <n v="841"/>
    <m/>
    <m/>
    <s v="CAPITAL FEDERAL"/>
    <s v="Buenos Aires"/>
    <m/>
    <s v="U.O.Centro"/>
    <m/>
    <n v="1"/>
    <n v="1"/>
    <n v="15128.78"/>
    <n v="3025.76"/>
    <m/>
    <m/>
    <n v="12103.02"/>
    <m/>
    <n v="302.58"/>
    <m/>
    <m/>
    <m/>
    <m/>
    <m/>
    <m/>
    <n v="151.29"/>
    <m/>
    <m/>
    <m/>
    <m/>
    <m/>
    <m/>
    <n v="302.58"/>
    <m/>
    <m/>
    <m/>
    <m/>
    <m/>
    <m/>
    <m/>
    <n v="151.29"/>
    <m/>
    <n v="907.74"/>
  </r>
  <r>
    <n v="10"/>
    <x v="10"/>
    <x v="0"/>
    <n v="162207"/>
    <s v="KOLTOWSKI ALICIA ANDREA"/>
    <s v="27-24905826-8"/>
    <n v="42667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ENIDA MONTEVERDE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m/>
    <n v="54.98"/>
  </r>
  <r>
    <n v="10"/>
    <x v="10"/>
    <x v="0"/>
    <n v="172052"/>
    <s v="KUMANI CINTHIA"/>
    <s v="27-36821956-3"/>
    <n v="42681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LUIS"/>
    <n v="1225"/>
    <m/>
    <m/>
    <s v="CAPITAL FEDERAL"/>
    <s v="Buenos Aires"/>
    <m/>
    <s v="U.O.Centro"/>
    <m/>
    <n v="2"/>
    <n v="1"/>
    <n v="14899.2"/>
    <n v="2979.86"/>
    <m/>
    <m/>
    <n v="11919.34"/>
    <m/>
    <n v="297.98"/>
    <m/>
    <m/>
    <m/>
    <m/>
    <m/>
    <m/>
    <n v="149"/>
    <m/>
    <m/>
    <m/>
    <m/>
    <m/>
    <m/>
    <n v="297.98"/>
    <m/>
    <m/>
    <m/>
    <m/>
    <m/>
    <m/>
    <m/>
    <n v="149"/>
    <m/>
    <n v="893.96"/>
  </r>
  <r>
    <n v="10"/>
    <x v="10"/>
    <x v="0"/>
    <n v="177722"/>
    <s v="LADERO VIVAS MARIA ANGELES"/>
    <s v="27-34889963-0"/>
    <n v="42681"/>
    <n v="34889963"/>
    <s v="LADERO VIVAS"/>
    <s v="MARIA ANGELES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GENERAL SAVIO"/>
    <n v="240"/>
    <n v="1"/>
    <m/>
    <s v="TIGRE"/>
    <s v="Buenos Aires"/>
    <m/>
    <s v="U.O.San Isidro"/>
    <m/>
    <n v="1"/>
    <n v="1"/>
    <n v="7946.53"/>
    <n v="1589.32"/>
    <m/>
    <m/>
    <n v="6357.21"/>
    <m/>
    <n v="158.93"/>
    <m/>
    <m/>
    <m/>
    <m/>
    <m/>
    <m/>
    <n v="79.47"/>
    <m/>
    <m/>
    <m/>
    <m/>
    <m/>
    <m/>
    <n v="158.93"/>
    <m/>
    <m/>
    <m/>
    <m/>
    <m/>
    <m/>
    <m/>
    <n v="79.47"/>
    <m/>
    <n v="476.8"/>
  </r>
  <r>
    <n v="10"/>
    <x v="10"/>
    <x v="1"/>
    <n v="181860"/>
    <s v="LECCADITO CARLA MARLENE"/>
    <s v="27-39812579-2"/>
    <n v="42681"/>
    <n v="39812579"/>
    <s v="LECCADITO"/>
    <s v="CARLA MARLENE"/>
    <s v="F"/>
    <m/>
    <d v="2016-10-27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DIAGONAL THAMES"/>
    <n v="535"/>
    <m/>
    <m/>
    <s v="CAPITAL FEDERAL"/>
    <s v="Capital Federal"/>
    <m/>
    <s v="U.O.Centro"/>
    <m/>
    <n v="1"/>
    <n v="1"/>
    <n v="2441.39"/>
    <n v="488.27"/>
    <m/>
    <m/>
    <n v="1953.12"/>
    <m/>
    <n v="48.83"/>
    <m/>
    <m/>
    <m/>
    <m/>
    <m/>
    <m/>
    <n v="24.41"/>
    <m/>
    <m/>
    <m/>
    <m/>
    <m/>
    <m/>
    <n v="48.83"/>
    <m/>
    <m/>
    <m/>
    <m/>
    <m/>
    <m/>
    <m/>
    <n v="24.41"/>
    <m/>
    <n v="146.47999999999999"/>
  </r>
  <r>
    <n v="10"/>
    <x v="10"/>
    <x v="1"/>
    <n v="170264"/>
    <s v="LIZARRAGA ARIEL HERNAN"/>
    <s v="20-30593212-5"/>
    <n v="42681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martinto"/>
    <n v="1891"/>
    <m/>
    <m/>
    <s v="CAPITAL FEDERAL"/>
    <s v="Capital Federal"/>
    <m/>
    <s v="U.O.Centro"/>
    <s v="Alvear Palace"/>
    <n v="1"/>
    <n v="1"/>
    <n v="5884.02"/>
    <n v="1176.8"/>
    <m/>
    <m/>
    <n v="4707.22"/>
    <m/>
    <n v="117.68"/>
    <m/>
    <m/>
    <m/>
    <m/>
    <m/>
    <m/>
    <n v="58.84"/>
    <m/>
    <m/>
    <m/>
    <m/>
    <m/>
    <m/>
    <n v="117.68"/>
    <m/>
    <m/>
    <m/>
    <m/>
    <m/>
    <m/>
    <m/>
    <n v="58.84"/>
    <m/>
    <n v="353.04"/>
  </r>
  <r>
    <n v="10"/>
    <x v="10"/>
    <x v="0"/>
    <n v="152229"/>
    <s v="LLANES MIRIAM BEATRIZ"/>
    <s v="23-93959278-4"/>
    <n v="42681"/>
    <n v="93959278"/>
    <s v="LLANES"/>
    <s v="MIRIAM BEATRIZ"/>
    <s v="F"/>
    <m/>
    <d v="2016-10-2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BERUTI"/>
    <n v="181"/>
    <s v="1°"/>
    <s v="A"/>
    <s v="CAPITAL FEDERAL"/>
    <s v="Capital Federal"/>
    <m/>
    <s v="U.O.Centro"/>
    <m/>
    <n v="4"/>
    <n v="1"/>
    <n v="11778.05"/>
    <n v="2303.44"/>
    <m/>
    <m/>
    <n v="9474.61"/>
    <m/>
    <n v="235.56"/>
    <m/>
    <m/>
    <m/>
    <m/>
    <m/>
    <m/>
    <n v="65.59"/>
    <m/>
    <m/>
    <m/>
    <m/>
    <m/>
    <m/>
    <n v="235.56"/>
    <m/>
    <m/>
    <m/>
    <m/>
    <m/>
    <m/>
    <m/>
    <n v="65.59"/>
    <n v="250"/>
    <n v="852.3"/>
  </r>
  <r>
    <n v="10"/>
    <x v="10"/>
    <x v="0"/>
    <n v="180379"/>
    <s v="LOGIURATO SOLEDAD VANESA"/>
    <s v="27-28500921-4"/>
    <n v="42681"/>
    <n v="28500921"/>
    <s v="LOGIURATO"/>
    <s v="SOLEDAD VANESA"/>
    <s v="F"/>
    <m/>
    <d v="2016-10-12T00:00:00"/>
    <m/>
    <m/>
    <s v="GASTRONOMICOS-Hoteles 4 y 5 Estrellas - 362/2003"/>
    <s v="Categoría 4"/>
    <x v="17"/>
    <s v="Unidad Base-GL"/>
    <s v="San Isidro"/>
    <s v="Mucama"/>
    <n v="121705"/>
    <s v="OS  DEL PERSONAL DE LA ACTIVIDAD DEL TURF"/>
    <s v="Buenos Aires - Gran Buenos Aires"/>
    <m/>
    <n v="1648"/>
    <s v="SANSUCI"/>
    <n v="240"/>
    <m/>
    <m/>
    <s v="TIGRE"/>
    <s v="Buenos Aires"/>
    <m/>
    <s v="U.O.San Isidro"/>
    <m/>
    <n v="1"/>
    <n v="1"/>
    <n v="7746.4"/>
    <n v="1549.27"/>
    <m/>
    <m/>
    <n v="6197.13"/>
    <m/>
    <n v="154.93"/>
    <m/>
    <m/>
    <m/>
    <m/>
    <m/>
    <m/>
    <n v="77.459999999999994"/>
    <m/>
    <m/>
    <m/>
    <m/>
    <m/>
    <m/>
    <n v="154.93"/>
    <m/>
    <m/>
    <m/>
    <m/>
    <m/>
    <m/>
    <m/>
    <n v="77.459999999999994"/>
    <m/>
    <n v="464.78"/>
  </r>
  <r>
    <n v="10"/>
    <x v="10"/>
    <x v="0"/>
    <n v="180742"/>
    <s v="LOPES NATALIA GISELE"/>
    <s v="27-37669421-1"/>
    <n v="42681"/>
    <n v="37669421"/>
    <s v="LOPES"/>
    <s v="NATALIA GISELE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RIO ATUEL"/>
    <n v="1225"/>
    <m/>
    <m/>
    <s v="CAPITAL FEDERAL"/>
    <s v="Buenos Aires"/>
    <m/>
    <s v="U.O.Centro"/>
    <m/>
    <n v="2"/>
    <n v="1"/>
    <n v="9586.24"/>
    <n v="1917.26"/>
    <m/>
    <m/>
    <n v="7668.98"/>
    <m/>
    <n v="191.73"/>
    <m/>
    <m/>
    <m/>
    <m/>
    <m/>
    <m/>
    <n v="95.86"/>
    <m/>
    <m/>
    <m/>
    <m/>
    <m/>
    <m/>
    <n v="191.73"/>
    <m/>
    <m/>
    <m/>
    <m/>
    <m/>
    <m/>
    <m/>
    <n v="95.86"/>
    <m/>
    <n v="575.17999999999995"/>
  </r>
  <r>
    <n v="10"/>
    <x v="10"/>
    <x v="0"/>
    <n v="169947"/>
    <s v="LOPEZ ROMERO NESTOR DAMIAN"/>
    <s v="20-94770741-9"/>
    <n v="42681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RIO IGUAZU"/>
    <n v="1225"/>
    <m/>
    <m/>
    <s v="CAPITAL FEDERAL"/>
    <s v="Buenos Aires"/>
    <m/>
    <s v="U.O.Centro"/>
    <m/>
    <n v="2"/>
    <n v="1"/>
    <n v="4041.43"/>
    <n v="808.27"/>
    <m/>
    <m/>
    <n v="3233.16"/>
    <m/>
    <n v="80.83"/>
    <m/>
    <m/>
    <m/>
    <m/>
    <m/>
    <m/>
    <n v="40.409999999999997"/>
    <m/>
    <m/>
    <m/>
    <m/>
    <m/>
    <m/>
    <n v="80.83"/>
    <m/>
    <m/>
    <m/>
    <m/>
    <m/>
    <m/>
    <m/>
    <n v="40.409999999999997"/>
    <m/>
    <n v="242.48"/>
  </r>
  <r>
    <n v="10"/>
    <x v="10"/>
    <x v="0"/>
    <n v="177167"/>
    <s v="LUNA ELIANA DENISE"/>
    <s v="27-37280303-2"/>
    <n v="42681"/>
    <n v="37280303"/>
    <s v="LUNA"/>
    <s v="ELIANA DENISE"/>
    <s v="F"/>
    <m/>
    <d v="2016-08-13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SANTIAGO DE CHILE"/>
    <n v="1225"/>
    <m/>
    <m/>
    <s v="CAPITAL FEDERAL"/>
    <s v="Buenos Aires"/>
    <m/>
    <s v="U.O.Centro"/>
    <m/>
    <n v="2"/>
    <n v="1"/>
    <n v="9340.99"/>
    <n v="1868.2"/>
    <m/>
    <m/>
    <n v="7472.79"/>
    <m/>
    <n v="186.82"/>
    <m/>
    <m/>
    <m/>
    <m/>
    <m/>
    <m/>
    <n v="93.41"/>
    <m/>
    <m/>
    <m/>
    <m/>
    <m/>
    <m/>
    <n v="186.82"/>
    <m/>
    <m/>
    <m/>
    <m/>
    <m/>
    <m/>
    <m/>
    <n v="93.41"/>
    <m/>
    <n v="560.46"/>
  </r>
  <r>
    <n v="10"/>
    <x v="10"/>
    <x v="1"/>
    <n v="147835"/>
    <s v="LUQUE JAVIER ANTONIO"/>
    <s v="20-37023577-6"/>
    <n v="42681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s v="C1009ABK"/>
    <s v="LILA"/>
    <n v="507"/>
    <m/>
    <m/>
    <s v="CAPITAL FEDERAL"/>
    <s v="Capital Federal"/>
    <m/>
    <s v="U.O.Centro Paga Inplant"/>
    <m/>
    <n v="1"/>
    <n v="1"/>
    <n v="13200.98"/>
    <n v="2640.2"/>
    <m/>
    <m/>
    <n v="10560.78"/>
    <m/>
    <n v="264.02"/>
    <m/>
    <m/>
    <m/>
    <m/>
    <m/>
    <m/>
    <n v="132.01"/>
    <m/>
    <m/>
    <m/>
    <m/>
    <m/>
    <m/>
    <n v="264.02"/>
    <m/>
    <m/>
    <m/>
    <m/>
    <m/>
    <m/>
    <m/>
    <n v="132.01"/>
    <m/>
    <n v="792.06"/>
  </r>
  <r>
    <n v="10"/>
    <x v="10"/>
    <x v="1"/>
    <n v="172051"/>
    <s v="MACIEL DIEGO MAXIMILIANO"/>
    <s v="20-37179030-7"/>
    <n v="42681"/>
    <n v="37179030"/>
    <s v="MACIEL"/>
    <s v="DIEGO MAXIMILIANO"/>
    <s v="M"/>
    <m/>
    <d v="2016-04-22T00:00:00"/>
    <d v="2016-10-25T00:00:00"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CARLOS PELLEGRINI"/>
    <n v="507"/>
    <m/>
    <m/>
    <s v="CAPITAL FEDERAL"/>
    <s v="Capital Federal"/>
    <m/>
    <s v="U.O.Centro Paga Inplant"/>
    <m/>
    <n v="1"/>
    <n v="1"/>
    <n v="8826.83"/>
    <n v="1765.36"/>
    <m/>
    <m/>
    <n v="7061.47"/>
    <m/>
    <n v="176.54"/>
    <m/>
    <m/>
    <m/>
    <m/>
    <m/>
    <m/>
    <n v="88.27"/>
    <m/>
    <m/>
    <m/>
    <m/>
    <m/>
    <m/>
    <n v="176.54"/>
    <m/>
    <m/>
    <m/>
    <m/>
    <m/>
    <m/>
    <m/>
    <n v="88.27"/>
    <m/>
    <n v="529.62"/>
  </r>
  <r>
    <n v="10"/>
    <x v="10"/>
    <x v="0"/>
    <n v="177958"/>
    <s v="MAIDANA LILIANA JAQUELINE"/>
    <s v="27-38494986-5"/>
    <n v="42681"/>
    <n v="38494986"/>
    <s v="MAIDANA"/>
    <s v="LILIANA JAQUELINE"/>
    <s v="F"/>
    <m/>
    <d v="2016-09-01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AVENIDA VILLANUEVA"/>
    <n v="240"/>
    <m/>
    <m/>
    <s v="TIGRE"/>
    <s v="Buenos Aires"/>
    <m/>
    <s v="U.O.San Isidro"/>
    <m/>
    <n v="1"/>
    <n v="1"/>
    <n v="17095.490000000002"/>
    <n v="3419.08"/>
    <m/>
    <m/>
    <n v="13676.41"/>
    <m/>
    <n v="341.91"/>
    <m/>
    <m/>
    <m/>
    <m/>
    <m/>
    <m/>
    <n v="170.95"/>
    <m/>
    <m/>
    <m/>
    <m/>
    <m/>
    <m/>
    <n v="341.91"/>
    <m/>
    <m/>
    <m/>
    <m/>
    <m/>
    <m/>
    <m/>
    <n v="170.95"/>
    <m/>
    <n v="1025.72"/>
  </r>
  <r>
    <n v="10"/>
    <x v="10"/>
    <x v="0"/>
    <n v="170140"/>
    <s v="MAIDANA OSCAR RODOLFO"/>
    <s v="20-12573728-6"/>
    <n v="42681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s v="C1104AKC"/>
    <s v="MARCO SASTRE"/>
    <n v="1225"/>
    <m/>
    <m/>
    <s v="CAPITAL FEDERAL"/>
    <s v="Buenos Aires"/>
    <m/>
    <s v="U.O.Centro"/>
    <m/>
    <n v="2"/>
    <n v="1"/>
    <n v="23549.25"/>
    <n v="4709.8599999999997"/>
    <m/>
    <m/>
    <n v="18839.39"/>
    <m/>
    <n v="470.99"/>
    <m/>
    <m/>
    <m/>
    <m/>
    <m/>
    <m/>
    <n v="235.49"/>
    <m/>
    <m/>
    <m/>
    <m/>
    <m/>
    <m/>
    <n v="470.99"/>
    <m/>
    <m/>
    <m/>
    <m/>
    <m/>
    <m/>
    <m/>
    <n v="235.49"/>
    <m/>
    <n v="1412.96"/>
  </r>
  <r>
    <n v="10"/>
    <x v="10"/>
    <x v="0"/>
    <n v="171021"/>
    <s v="MAITA GISELLE ELIANA"/>
    <s v="27-34799549-0"/>
    <n v="42681"/>
    <n v="34799549"/>
    <s v="MAITA"/>
    <s v="GISELLE ELIANA"/>
    <s v="F"/>
    <m/>
    <d v="2016-03-3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RQUIMEDES"/>
    <n v="1005"/>
    <m/>
    <m/>
    <s v="CAPITAL FEDERAL"/>
    <s v="Capital Federal"/>
    <m/>
    <s v="U.O.Centro"/>
    <m/>
    <n v="2"/>
    <n v="1"/>
    <n v="12762.26"/>
    <n v="2552.46"/>
    <m/>
    <m/>
    <n v="10209.799999999999"/>
    <m/>
    <n v="255.24"/>
    <m/>
    <m/>
    <m/>
    <m/>
    <m/>
    <m/>
    <n v="127.63"/>
    <m/>
    <m/>
    <m/>
    <m/>
    <m/>
    <m/>
    <n v="255.24"/>
    <m/>
    <m/>
    <m/>
    <m/>
    <m/>
    <m/>
    <m/>
    <n v="127.63"/>
    <m/>
    <n v="765.74"/>
  </r>
  <r>
    <n v="10"/>
    <x v="10"/>
    <x v="0"/>
    <n v="176964"/>
    <s v="MALCEÑIDO MARIANO RUBEN"/>
    <s v="20-26939242-9"/>
    <n v="42681"/>
    <n v="26939242"/>
    <s v="MALCEÑIDO"/>
    <s v="MARIANO RUBEN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MPOSTELA"/>
    <n v="1005"/>
    <m/>
    <m/>
    <s v="CAPITAL FEDERAL"/>
    <s v="Capital Federal"/>
    <m/>
    <s v="U.O.Centro"/>
    <m/>
    <n v="2"/>
    <n v="1"/>
    <n v="8197.17"/>
    <n v="1639.45"/>
    <m/>
    <m/>
    <n v="6557.72"/>
    <m/>
    <n v="163.94"/>
    <m/>
    <m/>
    <m/>
    <m/>
    <m/>
    <m/>
    <n v="81.98"/>
    <m/>
    <m/>
    <m/>
    <m/>
    <m/>
    <m/>
    <n v="163.94"/>
    <m/>
    <m/>
    <m/>
    <m/>
    <m/>
    <m/>
    <m/>
    <n v="81.98"/>
    <m/>
    <n v="491.84"/>
  </r>
  <r>
    <n v="10"/>
    <x v="10"/>
    <x v="0"/>
    <n v="177725"/>
    <s v="MARCASOLI JOAQUIN GASPAR"/>
    <s v="20-40060166-7"/>
    <n v="42681"/>
    <n v="40060166"/>
    <s v="MARCASOLI"/>
    <s v="JOAQUIN GASPAR"/>
    <s v="M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TENIENTE GENERAL LONARDI"/>
    <n v="240"/>
    <m/>
    <m/>
    <s v="TIGRE"/>
    <s v="Buenos Aires"/>
    <m/>
    <s v="U.O.San Isidro"/>
    <m/>
    <n v="1"/>
    <n v="1"/>
    <n v="13026.27"/>
    <n v="2605.2600000000002"/>
    <m/>
    <m/>
    <n v="10421.01"/>
    <m/>
    <n v="260.52999999999997"/>
    <m/>
    <m/>
    <m/>
    <m/>
    <m/>
    <m/>
    <n v="130.26"/>
    <m/>
    <m/>
    <m/>
    <m/>
    <m/>
    <m/>
    <n v="260.52999999999997"/>
    <m/>
    <m/>
    <m/>
    <m/>
    <m/>
    <m/>
    <m/>
    <n v="130.26"/>
    <m/>
    <n v="781.58"/>
  </r>
  <r>
    <n v="10"/>
    <x v="10"/>
    <x v="1"/>
    <n v="152233"/>
    <s v="MARGHETICH SERGIO VIRGILIO"/>
    <s v="20-21090363-2"/>
    <n v="42681"/>
    <n v="21090363"/>
    <s v="MARGHETICH"/>
    <s v="SERGIO VIRGILIO"/>
    <s v="M"/>
    <m/>
    <d v="2015-12-01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ATAMARCA"/>
    <n v="535"/>
    <m/>
    <m/>
    <s v="CAPITAL FEDERAL"/>
    <s v="Capital Federal"/>
    <m/>
    <s v="U.O.Centro Paga Inplant"/>
    <s v="EXPLOTADORA CONCORDE - MOZOS Y PEONES"/>
    <n v="1"/>
    <n v="1"/>
    <n v="23594.71"/>
    <n v="4718.9399999999996"/>
    <m/>
    <m/>
    <n v="18875.77"/>
    <m/>
    <n v="471.89"/>
    <m/>
    <m/>
    <m/>
    <m/>
    <m/>
    <m/>
    <n v="235.95"/>
    <m/>
    <m/>
    <m/>
    <m/>
    <m/>
    <m/>
    <n v="471.89"/>
    <m/>
    <m/>
    <m/>
    <m/>
    <m/>
    <m/>
    <m/>
    <n v="235.95"/>
    <m/>
    <n v="1415.68"/>
  </r>
  <r>
    <n v="10"/>
    <x v="10"/>
    <x v="1"/>
    <n v="122290"/>
    <s v="MARTINEZ EZEQUIEL FACUNDO"/>
    <s v="20-28328215-6"/>
    <n v="42681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4097.96"/>
    <n v="2890.09"/>
    <m/>
    <m/>
    <n v="11207.87"/>
    <n v="352.45"/>
    <m/>
    <m/>
    <m/>
    <m/>
    <m/>
    <m/>
    <m/>
    <n v="140.97999999999999"/>
    <m/>
    <m/>
    <m/>
    <m/>
    <m/>
    <m/>
    <n v="281.95999999999998"/>
    <m/>
    <m/>
    <m/>
    <m/>
    <m/>
    <m/>
    <m/>
    <n v="140.97999999999999"/>
    <m/>
    <n v="916.37"/>
  </r>
  <r>
    <n v="10"/>
    <x v="10"/>
    <x v="1"/>
    <n v="171586"/>
    <s v="MARTINEZ JONATHAN EZEQUIEL"/>
    <s v="20-31158376-0"/>
    <n v="42681"/>
    <n v="31158376"/>
    <s v="MARTINEZ"/>
    <s v="JONATHAN EZEQU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LAVALLOL"/>
    <n v="1891"/>
    <n v="1"/>
    <s v="D"/>
    <s v="CAPITAL FEDERAL"/>
    <s v="Capital Federal"/>
    <m/>
    <s v="U.O.Centro"/>
    <s v="Alvear Palace"/>
    <n v="1"/>
    <n v="1"/>
    <n v="6301.34"/>
    <n v="1260.27"/>
    <m/>
    <m/>
    <n v="5041.07"/>
    <m/>
    <n v="126.03"/>
    <m/>
    <m/>
    <m/>
    <m/>
    <m/>
    <m/>
    <n v="63.01"/>
    <m/>
    <m/>
    <m/>
    <m/>
    <m/>
    <m/>
    <n v="126.03"/>
    <m/>
    <m/>
    <m/>
    <m/>
    <m/>
    <m/>
    <m/>
    <n v="63.01"/>
    <m/>
    <n v="378.08"/>
  </r>
  <r>
    <n v="10"/>
    <x v="10"/>
    <x v="1"/>
    <n v="152931"/>
    <s v="MARTINEZ KAREN"/>
    <s v="27-37827128-8"/>
    <n v="42681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2"/>
    <n v="1"/>
    <n v="19719.18"/>
    <n v="4042.44"/>
    <m/>
    <m/>
    <n v="15676.74"/>
    <n v="492.98"/>
    <m/>
    <m/>
    <m/>
    <m/>
    <m/>
    <m/>
    <m/>
    <n v="197.19"/>
    <m/>
    <m/>
    <m/>
    <m/>
    <m/>
    <m/>
    <n v="394.39"/>
    <m/>
    <m/>
    <m/>
    <m/>
    <m/>
    <m/>
    <m/>
    <n v="197.19"/>
    <m/>
    <n v="1281.75"/>
  </r>
  <r>
    <n v="10"/>
    <x v="10"/>
    <x v="0"/>
    <n v="169944"/>
    <s v="MARTINEZ MIGUEL ANGEL"/>
    <s v="20-35371989-1"/>
    <n v="42681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ZA 5  CASA 38"/>
    <n v="1225"/>
    <m/>
    <m/>
    <s v="CAPITAL FEDERAL"/>
    <s v="Buenos Aires"/>
    <m/>
    <s v="U.O.Centro"/>
    <m/>
    <n v="2"/>
    <n v="1"/>
    <n v="13314.99"/>
    <n v="2663"/>
    <m/>
    <m/>
    <n v="10651.99"/>
    <m/>
    <n v="266.3"/>
    <m/>
    <m/>
    <m/>
    <m/>
    <m/>
    <m/>
    <n v="133.15"/>
    <m/>
    <m/>
    <m/>
    <m/>
    <m/>
    <m/>
    <n v="266.3"/>
    <m/>
    <m/>
    <m/>
    <m/>
    <m/>
    <m/>
    <m/>
    <n v="133.15"/>
    <m/>
    <n v="798.9"/>
  </r>
  <r>
    <n v="10"/>
    <x v="10"/>
    <x v="1"/>
    <n v="181006"/>
    <s v="MASTELLONE MARIANA CECILIA"/>
    <s v="27-27861940-6"/>
    <n v="42681"/>
    <n v="27861940"/>
    <s v="MASTELLONE"/>
    <s v="MARIANA CECILIA"/>
    <s v="F"/>
    <m/>
    <d v="2016-10-20T00:00:00"/>
    <m/>
    <m/>
    <s v="GASTRONOMICOS-Hoteles 4 y 5 Estrellas - 362/2003"/>
    <s v="Categoria 6"/>
    <x v="9"/>
    <s v="Unidad Principal"/>
    <s v="Centro"/>
    <s v="Camarero/a"/>
    <n v="126205"/>
    <s v="O.S.Emp.Comercio y Act.Civiles"/>
    <s v="Capital Federal"/>
    <m/>
    <n v="1049"/>
    <s v="JUAN DE ZAMORA"/>
    <n v="535"/>
    <s v="PB"/>
    <m/>
    <s v="CAPITAL FEDERAL"/>
    <s v="Capital Federal"/>
    <m/>
    <s v="U.O.Centro"/>
    <m/>
    <n v="1"/>
    <n v="1"/>
    <n v="3051.73"/>
    <n v="610.34"/>
    <m/>
    <m/>
    <n v="2441.39"/>
    <m/>
    <n v="61.03"/>
    <m/>
    <m/>
    <m/>
    <m/>
    <m/>
    <m/>
    <n v="30.52"/>
    <m/>
    <m/>
    <m/>
    <m/>
    <m/>
    <m/>
    <n v="61.03"/>
    <m/>
    <m/>
    <m/>
    <m/>
    <m/>
    <m/>
    <m/>
    <n v="30.52"/>
    <m/>
    <n v="183.1"/>
  </r>
  <r>
    <n v="10"/>
    <x v="10"/>
    <x v="1"/>
    <n v="173714"/>
    <s v="MERCADO WALTER SAUL"/>
    <s v="24-32060645-0"/>
    <n v="42674"/>
    <n v="32060645"/>
    <s v="MERCADO"/>
    <s v="WALTER SAUL"/>
    <s v="M"/>
    <m/>
    <d v="2016-06-0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LAUDIO DE ALAS"/>
    <n v="764"/>
    <m/>
    <m/>
    <s v="CAPITAL FEDERAL"/>
    <s v="Capital Federal"/>
    <m/>
    <s v="U.O.Centro"/>
    <m/>
    <n v="1"/>
    <n v="1"/>
    <n v="7102.02"/>
    <n v="1420.4"/>
    <m/>
    <m/>
    <n v="5681.62"/>
    <m/>
    <n v="142.04"/>
    <m/>
    <m/>
    <m/>
    <m/>
    <m/>
    <m/>
    <n v="71.02"/>
    <m/>
    <m/>
    <m/>
    <m/>
    <m/>
    <m/>
    <n v="142.04"/>
    <m/>
    <m/>
    <m/>
    <m/>
    <m/>
    <m/>
    <m/>
    <n v="71.02"/>
    <m/>
    <n v="426.12"/>
  </r>
  <r>
    <n v="10"/>
    <x v="10"/>
    <x v="1"/>
    <n v="172224"/>
    <s v="MEZA MAXIMILIANO OMAR"/>
    <s v="20-37205496-5"/>
    <n v="42674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MALVINAS ARGENTINAS"/>
    <n v="764"/>
    <m/>
    <m/>
    <s v="CAPITAL FEDERAL"/>
    <s v="Capital Federal"/>
    <m/>
    <s v="U.O.Centro Paga Inplant"/>
    <m/>
    <n v="1"/>
    <n v="1"/>
    <n v="538.69000000000005"/>
    <n v="107.74"/>
    <m/>
    <m/>
    <n v="430.95"/>
    <m/>
    <n v="10.77"/>
    <m/>
    <m/>
    <m/>
    <m/>
    <m/>
    <m/>
    <n v="5.39"/>
    <m/>
    <m/>
    <m/>
    <m/>
    <m/>
    <m/>
    <n v="10.77"/>
    <m/>
    <m/>
    <m/>
    <m/>
    <m/>
    <m/>
    <m/>
    <n v="5.39"/>
    <m/>
    <n v="32.32"/>
  </r>
  <r>
    <n v="10"/>
    <x v="10"/>
    <x v="0"/>
    <n v="163371"/>
    <s v="MEZA PIZARRO CHRISTIAN MERVEN"/>
    <s v="20-92327011-7"/>
    <n v="42681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s v="C1104AKC"/>
    <s v="MANUEL OCAMPO"/>
    <n v="1225"/>
    <m/>
    <m/>
    <s v="CAPITAL FEDERAL"/>
    <s v="Buenos Aires"/>
    <m/>
    <s v="U.O.Centro"/>
    <m/>
    <n v="2"/>
    <n v="1"/>
    <n v="17755.900000000001"/>
    <n v="3551.18"/>
    <m/>
    <m/>
    <n v="14204.72"/>
    <m/>
    <n v="355.11"/>
    <m/>
    <m/>
    <m/>
    <m/>
    <m/>
    <m/>
    <n v="177.56"/>
    <m/>
    <m/>
    <m/>
    <m/>
    <m/>
    <m/>
    <n v="355.11"/>
    <m/>
    <m/>
    <m/>
    <m/>
    <m/>
    <m/>
    <m/>
    <n v="177.56"/>
    <m/>
    <n v="1065.3399999999999"/>
  </r>
  <r>
    <n v="10"/>
    <x v="10"/>
    <x v="0"/>
    <n v="182016"/>
    <s v="MILANO ELIANA"/>
    <s v="27-34203538-3"/>
    <n v="42681"/>
    <n v="34203538"/>
    <s v="MILANO"/>
    <s v="ELIANA"/>
    <s v="F"/>
    <m/>
    <d v="2016-10-2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VIAMONTE"/>
    <n v="181"/>
    <n v="2"/>
    <s v="B"/>
    <s v="CAPITAL FEDERAL"/>
    <s v="Capital Federal"/>
    <m/>
    <s v="U.O.Centro"/>
    <m/>
    <n v="2"/>
    <n v="1"/>
    <n v="897.79"/>
    <n v="174.36"/>
    <m/>
    <m/>
    <n v="723.43"/>
    <m/>
    <n v="17.96"/>
    <m/>
    <m/>
    <m/>
    <m/>
    <m/>
    <m/>
    <n v="3.78"/>
    <m/>
    <m/>
    <m/>
    <m/>
    <m/>
    <m/>
    <n v="17.96"/>
    <m/>
    <m/>
    <m/>
    <m/>
    <m/>
    <m/>
    <m/>
    <n v="3.78"/>
    <n v="250"/>
    <n v="293.48"/>
  </r>
  <r>
    <n v="10"/>
    <x v="10"/>
    <x v="1"/>
    <n v="181862"/>
    <s v="MILESSI PATRICIO NAHUEL"/>
    <s v="20-39580994-7"/>
    <n v="42681"/>
    <n v="39580994"/>
    <s v="MILESSI"/>
    <s v="PATRICIO NAHUEL"/>
    <s v="M"/>
    <m/>
    <d v="2016-10-26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GENERAL ALVEAR"/>
    <n v="507"/>
    <m/>
    <m/>
    <s v="CAPITAL FEDERAL"/>
    <s v="Capital Federal"/>
    <m/>
    <s v="U.O.Centro"/>
    <m/>
    <n v="1"/>
    <n v="1"/>
    <n v="1441.42"/>
    <n v="288.27999999999997"/>
    <m/>
    <m/>
    <n v="1153.1400000000001"/>
    <m/>
    <n v="28.83"/>
    <m/>
    <m/>
    <m/>
    <m/>
    <m/>
    <m/>
    <n v="14.41"/>
    <m/>
    <m/>
    <m/>
    <m/>
    <m/>
    <m/>
    <n v="28.83"/>
    <m/>
    <m/>
    <m/>
    <m/>
    <m/>
    <m/>
    <m/>
    <n v="14.41"/>
    <m/>
    <n v="86.48"/>
  </r>
  <r>
    <n v="10"/>
    <x v="10"/>
    <x v="0"/>
    <n v="177866"/>
    <s v="MIÑO ADRIAN GUSTAVO"/>
    <s v="20-37179628-3"/>
    <n v="42667"/>
    <n v="37179628"/>
    <s v="MIÑO"/>
    <s v="ADRIAN GUSTAVO"/>
    <s v="M"/>
    <m/>
    <d v="2016-08-26T00:00:00"/>
    <d v="2016-10-10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118 a"/>
    <n v="1225"/>
    <m/>
    <m/>
    <s v="CAPITAL FEDERAL"/>
    <s v="Buenos Aires"/>
    <m/>
    <s v="U.O.Centro"/>
    <m/>
    <n v="1"/>
    <n v="1"/>
    <n v="625.9"/>
    <n v="125.19"/>
    <m/>
    <m/>
    <n v="500.71"/>
    <m/>
    <n v="12.52"/>
    <m/>
    <m/>
    <m/>
    <m/>
    <m/>
    <m/>
    <n v="6.26"/>
    <m/>
    <m/>
    <m/>
    <m/>
    <m/>
    <m/>
    <n v="12.52"/>
    <m/>
    <m/>
    <m/>
    <m/>
    <m/>
    <m/>
    <m/>
    <n v="6.26"/>
    <m/>
    <n v="37.56"/>
  </r>
  <r>
    <n v="10"/>
    <x v="10"/>
    <x v="0"/>
    <n v="177489"/>
    <s v="MISITI ANGELES LUCIA"/>
    <s v="27-33554155-9"/>
    <n v="42681"/>
    <n v="33554155"/>
    <s v="MISITI"/>
    <s v="ANGELES LUCI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HOMERO"/>
    <n v="1005"/>
    <m/>
    <m/>
    <s v="CAPITAL FEDERAL"/>
    <s v="Capital Federal"/>
    <m/>
    <s v="U.O.Centro"/>
    <m/>
    <n v="2"/>
    <n v="1"/>
    <n v="3575.56"/>
    <n v="715.12"/>
    <m/>
    <m/>
    <n v="2860.44"/>
    <m/>
    <n v="71.52"/>
    <m/>
    <m/>
    <m/>
    <m/>
    <m/>
    <m/>
    <n v="35.75"/>
    <m/>
    <m/>
    <m/>
    <m/>
    <m/>
    <m/>
    <n v="71.52"/>
    <m/>
    <m/>
    <m/>
    <m/>
    <m/>
    <m/>
    <m/>
    <n v="35.75"/>
    <m/>
    <n v="214.54"/>
  </r>
  <r>
    <n v="10"/>
    <x v="10"/>
    <x v="0"/>
    <n v="178893"/>
    <s v="MONROY TERESA BEATRIZ"/>
    <s v="27-31014501-2"/>
    <n v="42675"/>
    <n v="31014501"/>
    <s v="MONROY"/>
    <s v="TERESA BEATRIZ"/>
    <s v="F"/>
    <m/>
    <d v="2016-09-16T00:00:00"/>
    <m/>
    <m/>
    <s v="GASTRONOMICOS-Hoteles 4 y 5 Estrellas - 362/2003"/>
    <s v="Categoria 6"/>
    <x v="10"/>
    <s v="SOFITEL HOUSEKEEPING"/>
    <s v="Centro"/>
    <s v="Gobernanta"/>
    <n v="103105"/>
    <s v="O.S.P.Ind.del Calzado"/>
    <s v="Capital Federal"/>
    <m/>
    <s v="C1007AAA"/>
    <s v="ALBARIÑOS"/>
    <n v="841"/>
    <m/>
    <m/>
    <s v="CAPITAL FEDERAL"/>
    <s v="Buenos Aires"/>
    <m/>
    <s v="U.O.Centro"/>
    <m/>
    <n v="2"/>
    <n v="1"/>
    <n v="17918.759999999998"/>
    <n v="3583.74"/>
    <m/>
    <m/>
    <n v="14335.02"/>
    <m/>
    <n v="358.38"/>
    <m/>
    <m/>
    <m/>
    <m/>
    <m/>
    <m/>
    <n v="179.18"/>
    <m/>
    <m/>
    <m/>
    <m/>
    <m/>
    <m/>
    <n v="358.38"/>
    <m/>
    <m/>
    <m/>
    <m/>
    <m/>
    <m/>
    <m/>
    <n v="179.18"/>
    <m/>
    <n v="1075.1199999999999"/>
  </r>
  <r>
    <n v="10"/>
    <x v="10"/>
    <x v="0"/>
    <n v="170446"/>
    <s v="MONTES LORENA ANDREA"/>
    <s v="27-30914440-1"/>
    <n v="42681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UAREZ"/>
    <n v="1225"/>
    <s v="PB"/>
    <m/>
    <s v="CAPITAL FEDERAL"/>
    <s v="Buenos Aires"/>
    <m/>
    <s v="U.O.Centro"/>
    <m/>
    <n v="2"/>
    <n v="1"/>
    <n v="11266.31"/>
    <n v="2253.27"/>
    <m/>
    <m/>
    <n v="9013.0400000000009"/>
    <m/>
    <n v="225.33"/>
    <m/>
    <m/>
    <m/>
    <m/>
    <m/>
    <m/>
    <n v="112.66"/>
    <m/>
    <m/>
    <m/>
    <m/>
    <m/>
    <m/>
    <n v="225.33"/>
    <m/>
    <m/>
    <m/>
    <m/>
    <m/>
    <m/>
    <m/>
    <n v="112.66"/>
    <m/>
    <n v="675.98"/>
  </r>
  <r>
    <n v="10"/>
    <x v="10"/>
    <x v="0"/>
    <n v="180222"/>
    <s v="MORALES MERCADO DEYSI"/>
    <s v="27-37390865-2"/>
    <n v="42681"/>
    <n v="37390865"/>
    <s v="MORALES MERCADO"/>
    <s v="DEYSI"/>
    <s v="F"/>
    <m/>
    <d v="2016-10-06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BUENOS AIRES"/>
    <n v="181"/>
    <m/>
    <m/>
    <s v="CAPITAL FEDERAL"/>
    <s v="Capital Federal"/>
    <m/>
    <s v="U.O.Centro"/>
    <m/>
    <n v="1"/>
    <n v="1"/>
    <n v="1921.88"/>
    <n v="384.39"/>
    <m/>
    <m/>
    <n v="1537.49"/>
    <m/>
    <n v="38.44"/>
    <m/>
    <m/>
    <m/>
    <m/>
    <m/>
    <m/>
    <n v="19.22"/>
    <m/>
    <m/>
    <m/>
    <m/>
    <m/>
    <m/>
    <n v="38.44"/>
    <m/>
    <m/>
    <m/>
    <m/>
    <m/>
    <m/>
    <m/>
    <n v="19.22"/>
    <m/>
    <n v="115.32"/>
  </r>
  <r>
    <n v="10"/>
    <x v="10"/>
    <x v="0"/>
    <n v="170990"/>
    <s v="MORENO ALAN AGUSTIN"/>
    <s v="20-38998864-3"/>
    <n v="42681"/>
    <n v="38998864"/>
    <s v="MORENO"/>
    <s v="ALAN AGUSTIN"/>
    <s v="M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SOLIS"/>
    <n v="1005"/>
    <m/>
    <m/>
    <s v="CAPITAL FEDERAL"/>
    <s v="Capital Federal"/>
    <m/>
    <s v="U.O.Centro"/>
    <m/>
    <n v="2"/>
    <n v="1"/>
    <n v="2147.5300000000002"/>
    <n v="415.13"/>
    <m/>
    <m/>
    <n v="1732.4"/>
    <m/>
    <n v="42.95"/>
    <m/>
    <m/>
    <m/>
    <m/>
    <m/>
    <m/>
    <n v="7.09"/>
    <m/>
    <m/>
    <m/>
    <m/>
    <m/>
    <m/>
    <n v="42.95"/>
    <m/>
    <m/>
    <m/>
    <m/>
    <m/>
    <m/>
    <m/>
    <n v="7.09"/>
    <n v="250"/>
    <n v="350.08"/>
  </r>
  <r>
    <n v="10"/>
    <x v="10"/>
    <x v="0"/>
    <n v="171266"/>
    <s v="MUJICA CLAUDIO"/>
    <s v="23-35353560-9"/>
    <n v="42681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MONTEVERDE"/>
    <n v="1225"/>
    <m/>
    <m/>
    <s v="CAPITAL FEDERAL"/>
    <s v="Buenos Aires"/>
    <m/>
    <s v="U.O.Centro"/>
    <m/>
    <n v="2"/>
    <n v="1"/>
    <n v="10014.459999999999"/>
    <n v="2002.9"/>
    <m/>
    <m/>
    <n v="8011.56"/>
    <m/>
    <n v="200.28"/>
    <m/>
    <m/>
    <m/>
    <m/>
    <m/>
    <m/>
    <n v="100.14"/>
    <m/>
    <m/>
    <m/>
    <m/>
    <m/>
    <m/>
    <n v="200.28"/>
    <m/>
    <m/>
    <m/>
    <m/>
    <m/>
    <m/>
    <m/>
    <n v="100.14"/>
    <m/>
    <n v="600.84"/>
  </r>
  <r>
    <n v="10"/>
    <x v="10"/>
    <x v="0"/>
    <n v="169906"/>
    <s v="MULLER MADAI INES"/>
    <s v="27-33246587-8"/>
    <n v="42681"/>
    <n v="33246587"/>
    <s v="MULLER"/>
    <s v="MADAI INES"/>
    <s v="F"/>
    <m/>
    <d v="2016-09-3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ORIBE"/>
    <n v="181"/>
    <m/>
    <m/>
    <s v="CAPITAL FEDERAL"/>
    <s v="Capital Federal"/>
    <m/>
    <s v="U.O.Centro"/>
    <m/>
    <n v="5"/>
    <n v="1"/>
    <n v="7479.68"/>
    <n v="1487.82"/>
    <m/>
    <m/>
    <n v="5991.86"/>
    <m/>
    <n v="149.59"/>
    <m/>
    <m/>
    <m/>
    <m/>
    <m/>
    <m/>
    <n v="66.64"/>
    <m/>
    <m/>
    <m/>
    <m/>
    <m/>
    <m/>
    <n v="149.59"/>
    <m/>
    <m/>
    <m/>
    <m/>
    <m/>
    <m/>
    <m/>
    <n v="66.64"/>
    <n v="250"/>
    <n v="682.46"/>
  </r>
  <r>
    <n v="10"/>
    <x v="10"/>
    <x v="1"/>
    <n v="152586"/>
    <s v="MUSTAFA SILVIO ROBERTO"/>
    <s v="23-31539279-9"/>
    <n v="42681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s v="C1009ABK"/>
    <s v="ANCASTE"/>
    <n v="507"/>
    <m/>
    <m/>
    <s v="CAPITAL FEDERAL"/>
    <s v="Capital Federal"/>
    <m/>
    <s v="U.O.Centro Paga Inplant"/>
    <m/>
    <n v="1"/>
    <n v="1"/>
    <n v="11243.91"/>
    <n v="2673.4"/>
    <m/>
    <m/>
    <n v="8570.51"/>
    <n v="281.10000000000002"/>
    <m/>
    <m/>
    <m/>
    <m/>
    <m/>
    <m/>
    <m/>
    <n v="112.44"/>
    <m/>
    <m/>
    <m/>
    <m/>
    <m/>
    <m/>
    <n v="224.88"/>
    <m/>
    <m/>
    <m/>
    <m/>
    <m/>
    <m/>
    <m/>
    <n v="112.44"/>
    <m/>
    <n v="730.86"/>
  </r>
  <r>
    <n v="10"/>
    <x v="10"/>
    <x v="1"/>
    <n v="178308"/>
    <s v="NAVARRETE ANALIA GRACIELA"/>
    <s v="27-30534715-4"/>
    <n v="42681"/>
    <n v="30534715"/>
    <s v="NAVARRETE"/>
    <s v="ANALIA GRACIELA"/>
    <s v="F"/>
    <m/>
    <d v="2016-09-13T00:00:00"/>
    <d v="2016-10-26T00:00:00"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HACABUCO"/>
    <n v="535"/>
    <n v="8"/>
    <s v="A"/>
    <s v="CAPITAL FEDERAL"/>
    <s v="Capital Federal"/>
    <m/>
    <s v="U.O.Centro"/>
    <m/>
    <n v="2"/>
    <n v="1"/>
    <n v="6681.53"/>
    <n v="1336.3"/>
    <m/>
    <m/>
    <n v="5345.23"/>
    <m/>
    <n v="133.63"/>
    <m/>
    <m/>
    <m/>
    <m/>
    <m/>
    <m/>
    <n v="66.819999999999993"/>
    <m/>
    <m/>
    <m/>
    <m/>
    <m/>
    <m/>
    <n v="133.63"/>
    <n v="40.369999999999997"/>
    <m/>
    <m/>
    <m/>
    <m/>
    <m/>
    <m/>
    <n v="26.45"/>
    <m/>
    <n v="400.9"/>
  </r>
  <r>
    <n v="10"/>
    <x v="10"/>
    <x v="0"/>
    <n v="179960"/>
    <s v="NUÑEZ ORTIZ CHRISTIAN ARIEL"/>
    <s v="20-94359790-2"/>
    <n v="42681"/>
    <n v="94359790"/>
    <s v="NUÑEZ ORTIZ"/>
    <s v="CHRISTIAN ARIEL"/>
    <s v="M"/>
    <m/>
    <d v="2016-10-04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QUITO Y FLORIDA"/>
    <n v="1225"/>
    <m/>
    <m/>
    <s v="CAPITAL FEDERAL"/>
    <s v="Buenos Aires"/>
    <m/>
    <s v="U.O.Pacheco"/>
    <m/>
    <n v="2"/>
    <n v="1"/>
    <n v="11714.66"/>
    <n v="4342.93"/>
    <m/>
    <n v="2000"/>
    <n v="9371.73"/>
    <m/>
    <n v="234.29"/>
    <m/>
    <m/>
    <m/>
    <m/>
    <m/>
    <m/>
    <n v="117.15"/>
    <m/>
    <m/>
    <m/>
    <m/>
    <n v="2000"/>
    <m/>
    <n v="234.29"/>
    <m/>
    <m/>
    <m/>
    <m/>
    <m/>
    <m/>
    <m/>
    <n v="117.15"/>
    <m/>
    <n v="2702.88"/>
  </r>
  <r>
    <n v="10"/>
    <x v="10"/>
    <x v="0"/>
    <n v="173661"/>
    <s v="OCANTO CHRISTIAN NAHUEL"/>
    <s v="20-36894544-8"/>
    <n v="42681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ULIAN AGUIRRE"/>
    <n v="1225"/>
    <m/>
    <m/>
    <s v="CAPITAL FEDERAL"/>
    <s v="Buenos Aires"/>
    <m/>
    <s v="U.O.Centro"/>
    <m/>
    <n v="2"/>
    <n v="1"/>
    <n v="2864.93"/>
    <n v="572.97"/>
    <m/>
    <m/>
    <n v="2291.96"/>
    <m/>
    <n v="57.3"/>
    <m/>
    <m/>
    <m/>
    <m/>
    <m/>
    <m/>
    <n v="28.65"/>
    <m/>
    <m/>
    <m/>
    <m/>
    <m/>
    <m/>
    <n v="57.3"/>
    <m/>
    <m/>
    <m/>
    <m/>
    <m/>
    <m/>
    <m/>
    <n v="28.65"/>
    <m/>
    <n v="171.9"/>
  </r>
  <r>
    <n v="10"/>
    <x v="10"/>
    <x v="0"/>
    <n v="162167"/>
    <s v="OCANTOS MARIA FERNANDA"/>
    <s v="20-26587101-2"/>
    <n v="42681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LVEAR"/>
    <n v="1225"/>
    <m/>
    <m/>
    <s v="CAPITAL FEDERAL"/>
    <s v="Buenos Aires"/>
    <m/>
    <s v="U.O.San Justo"/>
    <m/>
    <n v="3"/>
    <n v="1"/>
    <n v="10537.89"/>
    <n v="2107.58"/>
    <m/>
    <m/>
    <n v="8430.31"/>
    <m/>
    <n v="210.75"/>
    <m/>
    <m/>
    <m/>
    <m/>
    <m/>
    <m/>
    <n v="105.38"/>
    <m/>
    <m/>
    <m/>
    <m/>
    <m/>
    <m/>
    <n v="210.75"/>
    <m/>
    <m/>
    <m/>
    <m/>
    <m/>
    <m/>
    <m/>
    <n v="105.38"/>
    <m/>
    <n v="632.26"/>
  </r>
  <r>
    <n v="10"/>
    <x v="10"/>
    <x v="0"/>
    <n v="156371"/>
    <s v="OJEDA HECTOR ALBERTO"/>
    <s v="20-27373033-9"/>
    <n v="42681"/>
    <n v="27373033"/>
    <s v="OJEDA"/>
    <s v="HECTOR ALBERTO"/>
    <s v="M"/>
    <m/>
    <d v="2016-09-23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FINLANDIA"/>
    <n v="1232"/>
    <m/>
    <m/>
    <s v="CAPITAL FEDERAL"/>
    <s v="Buenos Aires"/>
    <m/>
    <s v="U.O.Centro"/>
    <s v="Cocina"/>
    <n v="1"/>
    <n v="1"/>
    <n v="8969.74"/>
    <n v="1793.94"/>
    <m/>
    <m/>
    <n v="7175.8"/>
    <m/>
    <n v="179.39"/>
    <m/>
    <m/>
    <m/>
    <m/>
    <m/>
    <m/>
    <n v="89.7"/>
    <m/>
    <m/>
    <m/>
    <m/>
    <m/>
    <m/>
    <n v="179.39"/>
    <m/>
    <m/>
    <m/>
    <m/>
    <m/>
    <m/>
    <m/>
    <n v="89.7"/>
    <m/>
    <n v="538.17999999999995"/>
  </r>
  <r>
    <n v="10"/>
    <x v="10"/>
    <x v="0"/>
    <n v="171274"/>
    <s v="OJEDA LORENA SUSANA"/>
    <s v="27-34340810-8"/>
    <n v="42681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LTA"/>
    <n v="1225"/>
    <m/>
    <m/>
    <s v="CAPITAL FEDERAL"/>
    <s v="Buenos Aires"/>
    <m/>
    <s v="U.O.Centro"/>
    <m/>
    <n v="2"/>
    <n v="1"/>
    <n v="13144.03"/>
    <n v="2628.81"/>
    <m/>
    <m/>
    <n v="10515.22"/>
    <m/>
    <n v="262.88"/>
    <m/>
    <m/>
    <m/>
    <m/>
    <m/>
    <m/>
    <n v="131.44"/>
    <m/>
    <m/>
    <m/>
    <m/>
    <m/>
    <m/>
    <n v="262.88"/>
    <m/>
    <m/>
    <m/>
    <m/>
    <m/>
    <m/>
    <m/>
    <n v="131.44"/>
    <m/>
    <n v="788.64"/>
  </r>
  <r>
    <n v="10"/>
    <x v="10"/>
    <x v="0"/>
    <n v="156032"/>
    <s v="OJEDA NOEMI VALERIA"/>
    <s v="27-33485754-4"/>
    <n v="42681"/>
    <n v="33485754"/>
    <s v="OJEDA"/>
    <s v="NOEMI VALERIA"/>
    <s v="F"/>
    <m/>
    <d v="2016-10-2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CILICIA"/>
    <n v="181"/>
    <m/>
    <m/>
    <s v="CAPITAL FEDERAL"/>
    <s v="Capital Federal"/>
    <m/>
    <s v="U.O.Centro"/>
    <m/>
    <n v="2"/>
    <n v="1"/>
    <n v="5842.31"/>
    <n v="1168.46"/>
    <m/>
    <m/>
    <n v="4673.8500000000004"/>
    <m/>
    <n v="116.84"/>
    <m/>
    <m/>
    <m/>
    <m/>
    <m/>
    <m/>
    <n v="58.43"/>
    <m/>
    <m/>
    <m/>
    <m/>
    <m/>
    <m/>
    <n v="116.84"/>
    <m/>
    <m/>
    <m/>
    <m/>
    <m/>
    <m/>
    <m/>
    <n v="58.43"/>
    <m/>
    <n v="350.54"/>
  </r>
  <r>
    <n v="10"/>
    <x v="10"/>
    <x v="0"/>
    <n v="138789"/>
    <s v="OLIVA LILIANA ALEJANDRA"/>
    <s v="27-25730976-8"/>
    <n v="42681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1"/>
    <n v="1"/>
    <n v="17144.52"/>
    <n v="3428.92"/>
    <m/>
    <m/>
    <n v="13715.6"/>
    <m/>
    <n v="342.89"/>
    <m/>
    <m/>
    <m/>
    <m/>
    <m/>
    <m/>
    <n v="171.45"/>
    <m/>
    <m/>
    <m/>
    <m/>
    <m/>
    <m/>
    <n v="342.89"/>
    <m/>
    <m/>
    <m/>
    <m/>
    <m/>
    <m/>
    <m/>
    <n v="171.45"/>
    <m/>
    <n v="1028.68"/>
  </r>
  <r>
    <n v="10"/>
    <x v="10"/>
    <x v="0"/>
    <n v="135237"/>
    <s v="ORELLANO JUANA MARIA"/>
    <s v="27-27696157-3"/>
    <n v="42681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18858.97"/>
    <n v="3866.09"/>
    <m/>
    <m/>
    <n v="14992.88"/>
    <n v="471.47"/>
    <m/>
    <m/>
    <m/>
    <m/>
    <m/>
    <m/>
    <m/>
    <n v="188.59"/>
    <m/>
    <m/>
    <m/>
    <m/>
    <m/>
    <m/>
    <n v="377.18"/>
    <m/>
    <m/>
    <m/>
    <m/>
    <m/>
    <m/>
    <m/>
    <n v="188.59"/>
    <m/>
    <n v="1225.83"/>
  </r>
  <r>
    <n v="10"/>
    <x v="10"/>
    <x v="0"/>
    <n v="172199"/>
    <s v="ORTIZ ANDRES NICOLAS"/>
    <s v="20-32769991-2"/>
    <n v="42681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LAVEL"/>
    <n v="1225"/>
    <m/>
    <m/>
    <s v="CAPITAL FEDERAL"/>
    <s v="Buenos Aires"/>
    <m/>
    <s v="U.O.Centro"/>
    <m/>
    <n v="3"/>
    <n v="1"/>
    <n v="18784.939999999999"/>
    <n v="3756.97"/>
    <m/>
    <m/>
    <n v="15027.97"/>
    <m/>
    <n v="375.7"/>
    <m/>
    <m/>
    <m/>
    <m/>
    <m/>
    <m/>
    <n v="187.85"/>
    <m/>
    <m/>
    <m/>
    <m/>
    <m/>
    <m/>
    <n v="375.7"/>
    <m/>
    <m/>
    <m/>
    <m/>
    <m/>
    <m/>
    <m/>
    <n v="187.85"/>
    <m/>
    <n v="1127.0999999999999"/>
  </r>
  <r>
    <n v="10"/>
    <x v="10"/>
    <x v="1"/>
    <n v="179319"/>
    <s v="PACHECO RODRIGUEZ MAX EZEQUIEL"/>
    <s v="20-94872815-0"/>
    <n v="42674"/>
    <n v="94872815"/>
    <s v="PACHECO RODRIGUEZ"/>
    <s v="MAX EZEQUIEL"/>
    <s v="F"/>
    <m/>
    <d v="2016-09-27T00:00:00"/>
    <m/>
    <m/>
    <s v="GASTRONOMICOS-Hoteles 4 y 5 Estrellas - 362/2003"/>
    <s v="Categoria 1"/>
    <x v="3"/>
    <s v="Unidad Principal"/>
    <s v="Centro"/>
    <s v="Lavadores"/>
    <n v="108803"/>
    <s v="O.S.P.Gastronomico"/>
    <s v="Capital Federal"/>
    <m/>
    <s v="C1002ABO"/>
    <s v="FRAGATA SARMIENTO"/>
    <n v="764"/>
    <n v="4"/>
    <s v="A"/>
    <s v="CAPITAL FEDERAL"/>
    <s v="Capital Federal"/>
    <m/>
    <s v="U.O.Centro"/>
    <m/>
    <n v="1"/>
    <n v="1"/>
    <n v="13228.61"/>
    <n v="2645.73"/>
    <m/>
    <m/>
    <n v="10582.88"/>
    <m/>
    <n v="264.57"/>
    <m/>
    <m/>
    <m/>
    <m/>
    <m/>
    <m/>
    <n v="132.29"/>
    <m/>
    <m/>
    <m/>
    <m/>
    <m/>
    <m/>
    <n v="264.57"/>
    <m/>
    <m/>
    <m/>
    <m/>
    <m/>
    <m/>
    <m/>
    <n v="132.29"/>
    <m/>
    <n v="793.72"/>
  </r>
  <r>
    <n v="10"/>
    <x v="10"/>
    <x v="0"/>
    <n v="170439"/>
    <s v="PAEZ DAIANA BEATRIZ"/>
    <s v="27-38350463-0"/>
    <n v="42681"/>
    <n v="38350463"/>
    <s v="PAEZ"/>
    <s v="DAIANA BEATRIZ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RDENAS"/>
    <n v="1225"/>
    <m/>
    <m/>
    <s v="CAPITAL FEDERAL"/>
    <s v="Buenos Aires"/>
    <m/>
    <s v="U.O.Avellaneda"/>
    <m/>
    <n v="3"/>
    <n v="1"/>
    <n v="7510.88"/>
    <n v="2502.19"/>
    <m/>
    <n v="1000"/>
    <n v="6008.69"/>
    <m/>
    <n v="150.22"/>
    <m/>
    <m/>
    <m/>
    <m/>
    <m/>
    <m/>
    <n v="75.11"/>
    <m/>
    <m/>
    <m/>
    <m/>
    <n v="1000"/>
    <m/>
    <n v="150.22"/>
    <m/>
    <m/>
    <m/>
    <m/>
    <m/>
    <m/>
    <m/>
    <n v="75.11"/>
    <m/>
    <n v="1450.66"/>
  </r>
  <r>
    <n v="10"/>
    <x v="10"/>
    <x v="1"/>
    <n v="177492"/>
    <s v="PALOMINO LEONARDO"/>
    <s v="20-30666816-2"/>
    <n v="42674"/>
    <n v="30666816"/>
    <s v="PALOMINO"/>
    <s v="LEONARD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TERRANOVA"/>
    <n v="764"/>
    <m/>
    <m/>
    <s v="CAPITAL FEDERAL"/>
    <s v="Capital Federal"/>
    <m/>
    <s v="U.O.Centro"/>
    <m/>
    <n v="1"/>
    <n v="1"/>
    <n v="11106.39"/>
    <n v="2221.27"/>
    <m/>
    <m/>
    <n v="8885.1200000000008"/>
    <m/>
    <n v="222.13"/>
    <m/>
    <m/>
    <m/>
    <m/>
    <m/>
    <m/>
    <n v="111.06"/>
    <m/>
    <m/>
    <m/>
    <m/>
    <m/>
    <m/>
    <n v="222.13"/>
    <m/>
    <m/>
    <m/>
    <m/>
    <m/>
    <m/>
    <m/>
    <n v="111.06"/>
    <m/>
    <n v="666.38"/>
  </r>
  <r>
    <n v="10"/>
    <x v="10"/>
    <x v="0"/>
    <n v="161159"/>
    <s v="PARISI GABRIEL DARIO"/>
    <s v="20-34384166-4"/>
    <n v="42681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TABORDA"/>
    <n v="1225"/>
    <m/>
    <m/>
    <s v="CAPITAL FEDERAL"/>
    <s v="Buenos Aires"/>
    <m/>
    <s v="U.O.Centro"/>
    <m/>
    <n v="2"/>
    <n v="1"/>
    <n v="9897.34"/>
    <n v="1979.46"/>
    <m/>
    <m/>
    <n v="7917.88"/>
    <m/>
    <n v="197.94"/>
    <m/>
    <m/>
    <m/>
    <m/>
    <m/>
    <m/>
    <n v="98.97"/>
    <m/>
    <m/>
    <m/>
    <m/>
    <m/>
    <m/>
    <n v="197.94"/>
    <m/>
    <m/>
    <m/>
    <m/>
    <m/>
    <m/>
    <m/>
    <n v="98.97"/>
    <m/>
    <n v="593.82000000000005"/>
  </r>
  <r>
    <n v="10"/>
    <x v="10"/>
    <x v="0"/>
    <n v="178269"/>
    <s v="PAZ JORGE FABIAN"/>
    <s v="20-21775564-7"/>
    <n v="42681"/>
    <n v="21775564"/>
    <s v="PAZ"/>
    <s v="JORGE FABIAN"/>
    <s v="M"/>
    <m/>
    <d v="2016-09-12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J.L SUAREZ"/>
    <n v="1225"/>
    <n v="1"/>
    <s v="A"/>
    <s v="CAPITAL FEDERAL"/>
    <s v="Buenos Aires"/>
    <m/>
    <s v="U.O.Centro"/>
    <m/>
    <n v="2"/>
    <n v="1"/>
    <n v="9693.34"/>
    <n v="1938.67"/>
    <m/>
    <m/>
    <n v="7754.67"/>
    <m/>
    <n v="193.87"/>
    <m/>
    <m/>
    <m/>
    <m/>
    <m/>
    <m/>
    <n v="96.93"/>
    <m/>
    <m/>
    <m/>
    <m/>
    <m/>
    <m/>
    <n v="193.87"/>
    <m/>
    <m/>
    <m/>
    <m/>
    <m/>
    <m/>
    <m/>
    <n v="96.93"/>
    <m/>
    <n v="581.6"/>
  </r>
  <r>
    <n v="10"/>
    <x v="10"/>
    <x v="0"/>
    <n v="164321"/>
    <s v="PAZ WALTER RICARDO"/>
    <s v="20-28305441-2"/>
    <n v="42681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4441.2"/>
    <n v="3576.37"/>
    <m/>
    <m/>
    <n v="10864.83"/>
    <m/>
    <n v="288.82"/>
    <m/>
    <m/>
    <m/>
    <m/>
    <m/>
    <m/>
    <n v="144.41999999999999"/>
    <m/>
    <m/>
    <m/>
    <m/>
    <m/>
    <m/>
    <n v="288.82"/>
    <m/>
    <m/>
    <m/>
    <m/>
    <m/>
    <m/>
    <m/>
    <n v="144.41999999999999"/>
    <m/>
    <n v="866.48"/>
  </r>
  <r>
    <n v="10"/>
    <x v="10"/>
    <x v="0"/>
    <n v="173370"/>
    <s v="PEDICINO ROMACHUK YESICA NOEMI"/>
    <s v="27-30911440-5"/>
    <n v="42681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1ºDE MAYO"/>
    <n v="1225"/>
    <m/>
    <m/>
    <s v="CAPITAL FEDERAL"/>
    <s v="Buenos Aires"/>
    <m/>
    <s v="U.O.Centro"/>
    <m/>
    <n v="2"/>
    <n v="1"/>
    <n v="8901.76"/>
    <n v="1780.38"/>
    <m/>
    <m/>
    <n v="7121.38"/>
    <m/>
    <n v="178.04"/>
    <m/>
    <m/>
    <m/>
    <m/>
    <m/>
    <m/>
    <n v="89.02"/>
    <m/>
    <m/>
    <m/>
    <m/>
    <m/>
    <m/>
    <n v="178.04"/>
    <m/>
    <m/>
    <m/>
    <m/>
    <m/>
    <m/>
    <m/>
    <n v="89.02"/>
    <m/>
    <n v="534.12"/>
  </r>
  <r>
    <n v="10"/>
    <x v="10"/>
    <x v="0"/>
    <n v="160317"/>
    <s v="PEDROZO GUSTAVO ADOLFO"/>
    <s v="20-23447148-2"/>
    <n v="42674"/>
    <n v="23447148"/>
    <s v="PEDROZO"/>
    <s v="GUSTAVO ADOLFO"/>
    <s v="M"/>
    <m/>
    <d v="2015-10-31T00:00:00"/>
    <d v="2016-05-11T00:00:00"/>
    <d v="2016-08-09T00:00:00"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ALLE 853"/>
    <n v="764"/>
    <m/>
    <m/>
    <s v="CAPITAL FEDERAL"/>
    <s v="Capital Federal"/>
    <m/>
    <s v="U.O.Centro Paga Inplant"/>
    <m/>
    <n v="1"/>
    <n v="1"/>
    <n v="1549.23"/>
    <n v="309.85000000000002"/>
    <m/>
    <n v="1739.52"/>
    <n v="2978.9"/>
    <m/>
    <n v="30.98"/>
    <m/>
    <m/>
    <m/>
    <m/>
    <m/>
    <m/>
    <n v="15.49"/>
    <m/>
    <m/>
    <m/>
    <m/>
    <m/>
    <m/>
    <n v="30.98"/>
    <m/>
    <m/>
    <m/>
    <m/>
    <m/>
    <m/>
    <m/>
    <n v="15.49"/>
    <m/>
    <n v="92.94"/>
  </r>
  <r>
    <n v="10"/>
    <x v="10"/>
    <x v="0"/>
    <n v="179835"/>
    <s v="PEÑA PETROLI NADIA BELEN"/>
    <s v="27-37124429-3"/>
    <n v="42681"/>
    <n v="37124429"/>
    <s v="PEÑA PETROLI"/>
    <s v="NADIA BELEN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PABLO GIORELLO"/>
    <n v="1225"/>
    <m/>
    <m/>
    <s v="CAPITAL FEDERAL"/>
    <s v="Buenos Aires"/>
    <m/>
    <s v="U.O.Centro"/>
    <m/>
    <n v="2"/>
    <n v="1"/>
    <n v="5830.79"/>
    <n v="1166.18"/>
    <m/>
    <m/>
    <n v="4664.6099999999997"/>
    <m/>
    <n v="116.62"/>
    <m/>
    <m/>
    <m/>
    <m/>
    <m/>
    <m/>
    <n v="58.31"/>
    <m/>
    <m/>
    <m/>
    <m/>
    <m/>
    <m/>
    <n v="116.62"/>
    <m/>
    <m/>
    <m/>
    <m/>
    <m/>
    <m/>
    <m/>
    <n v="58.31"/>
    <m/>
    <n v="349.86"/>
  </r>
  <r>
    <n v="10"/>
    <x v="10"/>
    <x v="0"/>
    <n v="168239"/>
    <s v="PERALTA RICARDO FRANCISCO"/>
    <s v="20-35719331-2"/>
    <n v="42681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BOUCHARD"/>
    <n v="1225"/>
    <m/>
    <m/>
    <s v="CAPITAL FEDERAL"/>
    <s v="Buenos Aires"/>
    <m/>
    <s v="U.O.Centro"/>
    <m/>
    <n v="2"/>
    <n v="1"/>
    <n v="10014.48"/>
    <n v="2002.92"/>
    <m/>
    <m/>
    <n v="8011.56"/>
    <m/>
    <n v="200.29"/>
    <m/>
    <m/>
    <m/>
    <m/>
    <m/>
    <m/>
    <n v="100.15"/>
    <m/>
    <m/>
    <m/>
    <m/>
    <m/>
    <m/>
    <n v="200.29"/>
    <m/>
    <m/>
    <m/>
    <m/>
    <m/>
    <m/>
    <m/>
    <n v="100.15"/>
    <m/>
    <n v="600.88"/>
  </r>
  <r>
    <n v="10"/>
    <x v="10"/>
    <x v="0"/>
    <n v="155712"/>
    <s v="PERALTA DE KEMMETER PABLO ADRIAN"/>
    <s v="20-38404684-4"/>
    <n v="42681"/>
    <n v="38404684"/>
    <s v="PERALTA DE KEMMETER"/>
    <s v="PABLO ADRIAN"/>
    <s v="M"/>
    <m/>
    <d v="2016-08-16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BUENOS AIRES"/>
    <n v="1225"/>
    <m/>
    <m/>
    <s v="CAPITAL FEDERAL"/>
    <s v="Buenos Aires"/>
    <m/>
    <s v="U.O.Centro"/>
    <m/>
    <n v="2"/>
    <n v="1"/>
    <n v="13315.01"/>
    <n v="2663"/>
    <m/>
    <m/>
    <n v="10652.01"/>
    <m/>
    <n v="266.3"/>
    <m/>
    <m/>
    <m/>
    <m/>
    <m/>
    <m/>
    <n v="133.15"/>
    <m/>
    <m/>
    <m/>
    <m/>
    <m/>
    <m/>
    <n v="266.3"/>
    <m/>
    <m/>
    <m/>
    <m/>
    <m/>
    <m/>
    <m/>
    <n v="133.15"/>
    <m/>
    <n v="798.9"/>
  </r>
  <r>
    <n v="10"/>
    <x v="10"/>
    <x v="1"/>
    <n v="65369"/>
    <s v="PEREZ RUBEN HORACIO"/>
    <s v="20-28042935-0"/>
    <n v="42681"/>
    <n v="28042935"/>
    <s v="PEREZ"/>
    <s v="RUBEN HORACIO"/>
    <s v="M"/>
    <m/>
    <d v="2014-11-01T00:00:00"/>
    <m/>
    <d v="2011-04-14T00:00:00"/>
    <s v="GASTRONOMICOS-Hoteles 4 y 5 Estrellas - 362/2003"/>
    <s v="Categoria 5"/>
    <x v="9"/>
    <s v="Unidad Principal"/>
    <s v="Centro"/>
    <s v="Ayudante de Cocin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PEONES"/>
    <n v="1"/>
    <n v="1"/>
    <n v="1659.77"/>
    <n v="331.95"/>
    <m/>
    <m/>
    <n v="1327.82"/>
    <m/>
    <n v="33.200000000000003"/>
    <m/>
    <m/>
    <m/>
    <m/>
    <m/>
    <m/>
    <n v="16.600000000000001"/>
    <m/>
    <m/>
    <m/>
    <m/>
    <m/>
    <m/>
    <n v="33.200000000000003"/>
    <m/>
    <m/>
    <m/>
    <m/>
    <m/>
    <m/>
    <m/>
    <n v="16.600000000000001"/>
    <m/>
    <n v="99.6"/>
  </r>
  <r>
    <n v="10"/>
    <x v="10"/>
    <x v="0"/>
    <n v="161870"/>
    <s v="PETRONE VICENTE"/>
    <s v="20-27146024-5"/>
    <n v="42681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MOL"/>
    <n v="1225"/>
    <m/>
    <m/>
    <s v="CAPITAL FEDERAL"/>
    <s v="Buenos Aires"/>
    <m/>
    <s v="U.O.Quilmes"/>
    <m/>
    <n v="3"/>
    <n v="1"/>
    <n v="7788.89"/>
    <n v="1557.79"/>
    <m/>
    <m/>
    <n v="6231.1"/>
    <m/>
    <n v="155.78"/>
    <m/>
    <m/>
    <m/>
    <m/>
    <m/>
    <m/>
    <n v="77.900000000000006"/>
    <m/>
    <m/>
    <m/>
    <m/>
    <m/>
    <m/>
    <n v="155.78"/>
    <m/>
    <m/>
    <m/>
    <m/>
    <m/>
    <m/>
    <m/>
    <n v="77.900000000000006"/>
    <m/>
    <n v="467.36"/>
  </r>
  <r>
    <n v="10"/>
    <x v="10"/>
    <x v="0"/>
    <n v="173659"/>
    <s v="PIGNI EMANUEL"/>
    <s v="23-36874910-9"/>
    <n v="42681"/>
    <n v="36874910"/>
    <s v="PIGNI"/>
    <s v="EMANUEL"/>
    <s v="M"/>
    <m/>
    <d v="2016-08-0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ANZANA 2 EDIFICIO B 7"/>
    <n v="1225"/>
    <s v="PB"/>
    <s v="D"/>
    <s v="CAPITAL FEDERAL"/>
    <s v="Buenos Aires"/>
    <m/>
    <s v="U.O.Centro"/>
    <m/>
    <n v="2"/>
    <n v="1"/>
    <n v="7300.59"/>
    <n v="1460.13"/>
    <m/>
    <m/>
    <n v="5840.46"/>
    <m/>
    <n v="146.01"/>
    <m/>
    <m/>
    <m/>
    <m/>
    <m/>
    <m/>
    <n v="73.010000000000005"/>
    <m/>
    <m/>
    <m/>
    <m/>
    <m/>
    <m/>
    <n v="146.01"/>
    <m/>
    <m/>
    <m/>
    <m/>
    <m/>
    <m/>
    <m/>
    <n v="73.010000000000005"/>
    <m/>
    <n v="438.04"/>
  </r>
  <r>
    <n v="10"/>
    <x v="10"/>
    <x v="1"/>
    <n v="62941"/>
    <s v="POGONZA ANDREA GISELLE"/>
    <s v="27-32522930-1"/>
    <n v="42681"/>
    <n v="32522930"/>
    <s v="POGONZA"/>
    <s v="ANDREA GISELLE"/>
    <s v="F"/>
    <m/>
    <d v="2013-08-24T00:00:00"/>
    <d v="2016-10-17T00:00:00"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1"/>
    <n v="1"/>
    <n v="9790.9699999999993"/>
    <n v="2007.15"/>
    <m/>
    <m/>
    <n v="7783.82"/>
    <n v="244.77"/>
    <m/>
    <m/>
    <m/>
    <m/>
    <m/>
    <m/>
    <m/>
    <n v="97.91"/>
    <m/>
    <m/>
    <m/>
    <m/>
    <m/>
    <m/>
    <n v="195.82"/>
    <m/>
    <m/>
    <m/>
    <m/>
    <m/>
    <m/>
    <m/>
    <n v="97.91"/>
    <m/>
    <n v="636.41"/>
  </r>
  <r>
    <n v="10"/>
    <x v="10"/>
    <x v="0"/>
    <n v="176386"/>
    <s v="PORTILLO MACIEL JUAN RAMON"/>
    <s v="20-36896140-0"/>
    <n v="42681"/>
    <n v="36896140"/>
    <s v="PORTILLO MACIEL"/>
    <s v="JUAN RAMON"/>
    <s v="M"/>
    <m/>
    <d v="2016-07-2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QUINTINO BOCAYUVA"/>
    <n v="1225"/>
    <m/>
    <m/>
    <s v="CAPITAL FEDERAL"/>
    <s v="Buenos Aires"/>
    <m/>
    <s v="U.O.Centro"/>
    <m/>
    <n v="2"/>
    <n v="1"/>
    <n v="9179.94"/>
    <n v="1836"/>
    <m/>
    <m/>
    <n v="7343.94"/>
    <m/>
    <n v="183.6"/>
    <m/>
    <m/>
    <m/>
    <m/>
    <m/>
    <m/>
    <n v="91.8"/>
    <m/>
    <m/>
    <m/>
    <m/>
    <m/>
    <m/>
    <n v="183.6"/>
    <m/>
    <m/>
    <m/>
    <m/>
    <m/>
    <m/>
    <m/>
    <n v="91.8"/>
    <m/>
    <n v="550.79999999999995"/>
  </r>
  <r>
    <n v="10"/>
    <x v="10"/>
    <x v="0"/>
    <n v="172087"/>
    <s v="POSTERNAK ERIKA ELENA"/>
    <s v="27-38699581-3"/>
    <n v="42681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INGENIERO HUERGO"/>
    <n v="1225"/>
    <m/>
    <m/>
    <s v="CAPITAL FEDERAL"/>
    <s v="Buenos Aires"/>
    <m/>
    <s v="U.O.Centro"/>
    <m/>
    <n v="3"/>
    <n v="1"/>
    <n v="5956.2"/>
    <n v="1191.24"/>
    <m/>
    <m/>
    <n v="4764.96"/>
    <m/>
    <n v="119.13"/>
    <m/>
    <m/>
    <m/>
    <m/>
    <m/>
    <m/>
    <n v="59.56"/>
    <m/>
    <m/>
    <m/>
    <m/>
    <m/>
    <m/>
    <n v="119.13"/>
    <m/>
    <m/>
    <m/>
    <m/>
    <m/>
    <m/>
    <m/>
    <n v="59.56"/>
    <m/>
    <n v="357.38"/>
  </r>
  <r>
    <n v="10"/>
    <x v="10"/>
    <x v="0"/>
    <n v="170302"/>
    <s v="RAMIREZ GABRIEL LEONARDO"/>
    <s v="20-37596484-9"/>
    <n v="42681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Barilari"/>
    <n v="1225"/>
    <m/>
    <m/>
    <s v="CAPITAL FEDERAL"/>
    <s v="Buenos Aires"/>
    <m/>
    <s v="U.O.Centro"/>
    <m/>
    <n v="3"/>
    <n v="1"/>
    <n v="19022.73"/>
    <n v="3804.54"/>
    <m/>
    <m/>
    <n v="15218.19"/>
    <m/>
    <n v="380.45"/>
    <m/>
    <m/>
    <m/>
    <m/>
    <m/>
    <m/>
    <n v="190.23"/>
    <m/>
    <m/>
    <m/>
    <m/>
    <m/>
    <m/>
    <n v="380.45"/>
    <m/>
    <m/>
    <m/>
    <m/>
    <m/>
    <m/>
    <m/>
    <n v="190.23"/>
    <m/>
    <n v="1141.3599999999999"/>
  </r>
  <r>
    <n v="10"/>
    <x v="10"/>
    <x v="1"/>
    <n v="171689"/>
    <s v="RAMOS LEONEL ALBERTO"/>
    <s v="23-36484857-9"/>
    <n v="42674"/>
    <n v="36484857"/>
    <s v="RAMOS"/>
    <s v="LEONEL ALBERTO"/>
    <s v="M"/>
    <m/>
    <d v="2016-04-13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LORENZINI"/>
    <n v="764"/>
    <m/>
    <m/>
    <s v="CAPITAL FEDERAL"/>
    <s v="Capital Federal"/>
    <m/>
    <s v="U.O.Centro Paga Inplant"/>
    <m/>
    <n v="1"/>
    <n v="1"/>
    <n v="12243.59"/>
    <n v="2448.7199999999998"/>
    <m/>
    <m/>
    <n v="9794.8700000000008"/>
    <m/>
    <n v="244.87"/>
    <m/>
    <m/>
    <m/>
    <m/>
    <m/>
    <m/>
    <n v="122.44"/>
    <m/>
    <m/>
    <m/>
    <m/>
    <m/>
    <m/>
    <n v="244.87"/>
    <m/>
    <m/>
    <m/>
    <m/>
    <m/>
    <m/>
    <m/>
    <n v="122.44"/>
    <m/>
    <n v="734.62"/>
  </r>
  <r>
    <n v="10"/>
    <x v="10"/>
    <x v="0"/>
    <n v="182162"/>
    <s v="RAMOS LUCIA GISELE"/>
    <s v="23-32693694-4"/>
    <n v="42681"/>
    <n v="32693694"/>
    <s v="RAMOS"/>
    <s v="LUCIA GISELE"/>
    <s v="F"/>
    <m/>
    <d v="2016-10-2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SLA DE LOS ESTADOS"/>
    <n v="1225"/>
    <m/>
    <m/>
    <s v="CAPITAL FEDERAL"/>
    <s v="Buenos Aires"/>
    <m/>
    <s v="U.O.Centro"/>
    <m/>
    <n v="1"/>
    <n v="1"/>
    <n v="2075.34"/>
    <n v="415.07"/>
    <m/>
    <m/>
    <n v="1660.27"/>
    <m/>
    <n v="41.51"/>
    <m/>
    <m/>
    <m/>
    <m/>
    <m/>
    <m/>
    <n v="20.75"/>
    <m/>
    <m/>
    <m/>
    <m/>
    <m/>
    <m/>
    <n v="41.51"/>
    <m/>
    <m/>
    <m/>
    <m/>
    <m/>
    <m/>
    <m/>
    <n v="20.75"/>
    <m/>
    <n v="124.52"/>
  </r>
  <r>
    <n v="10"/>
    <x v="10"/>
    <x v="0"/>
    <n v="134996"/>
    <s v="RAVERA MARIA"/>
    <s v="27-27860600-2"/>
    <n v="42681"/>
    <n v="27860600"/>
    <s v="RAVERA"/>
    <s v="MARIA"/>
    <s v="F"/>
    <m/>
    <d v="2016-10-24T00:00:00"/>
    <m/>
    <m/>
    <s v="GASTRONOMICOS-Hoteles 4 y 5 Estrellas - 362/2003"/>
    <s v="Categoria 6"/>
    <x v="7"/>
    <s v="Unidad Base-GL"/>
    <s v="Centro"/>
    <s v="Tareas Generales"/>
    <n v="126205"/>
    <s v="O.S.Emp.Comercio y Act.Civiles"/>
    <s v="Capital Federal"/>
    <m/>
    <s v="C1022AAB"/>
    <s v="TACUARI"/>
    <n v="181"/>
    <n v="1"/>
    <s v="C"/>
    <s v="CAPITAL FEDERAL"/>
    <s v="Capital Federal"/>
    <m/>
    <s v="U.O.Centro"/>
    <m/>
    <n v="2"/>
    <n v="1"/>
    <n v="2851.91"/>
    <n v="560.66999999999996"/>
    <m/>
    <m/>
    <n v="2291.2399999999998"/>
    <m/>
    <n v="57.04"/>
    <m/>
    <m/>
    <m/>
    <m/>
    <m/>
    <m/>
    <n v="18.8"/>
    <m/>
    <m/>
    <m/>
    <m/>
    <m/>
    <m/>
    <n v="57.04"/>
    <m/>
    <m/>
    <m/>
    <m/>
    <m/>
    <m/>
    <m/>
    <n v="18.8"/>
    <n v="250"/>
    <n v="401.68"/>
  </r>
  <r>
    <n v="10"/>
    <x v="10"/>
    <x v="0"/>
    <n v="156044"/>
    <s v="RETAMAR PRISCILA"/>
    <s v="27-38149024-1"/>
    <n v="42681"/>
    <n v="38149024"/>
    <s v="RETAMAR"/>
    <s v="PRISCILA"/>
    <s v="F"/>
    <m/>
    <d v="2016-08-17T00:00:00"/>
    <m/>
    <n v="42654"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n v="836"/>
    <n v="1225"/>
    <m/>
    <m/>
    <s v="CAPITAL FEDERAL"/>
    <s v="Buenos Aires"/>
    <m/>
    <s v="U.O.Centro"/>
    <m/>
    <n v="2"/>
    <n v="1"/>
    <n v="458.16"/>
    <n v="91.64"/>
    <m/>
    <m/>
    <n v="366.52"/>
    <m/>
    <n v="9.16"/>
    <m/>
    <m/>
    <m/>
    <m/>
    <m/>
    <m/>
    <n v="4.58"/>
    <m/>
    <m/>
    <m/>
    <m/>
    <m/>
    <m/>
    <n v="9.16"/>
    <m/>
    <m/>
    <m/>
    <m/>
    <m/>
    <m/>
    <m/>
    <n v="4.58"/>
    <m/>
    <n v="27.48"/>
  </r>
  <r>
    <n v="10"/>
    <x v="10"/>
    <x v="0"/>
    <n v="177862"/>
    <s v="REYNOSO RODRIGO SEBASTIAN"/>
    <s v="24-39341073-2"/>
    <n v="42681"/>
    <n v="39341073"/>
    <s v="REYNOSO"/>
    <s v="RODRIGO SEBASTIAN"/>
    <s v="M"/>
    <m/>
    <d v="2016-08-23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NOMEOLVIDES"/>
    <n v="1225"/>
    <m/>
    <m/>
    <s v="CAPITAL FEDERAL"/>
    <s v="Buenos Aires"/>
    <m/>
    <s v="U.O.Centro"/>
    <m/>
    <n v="2"/>
    <n v="1"/>
    <n v="14432.85"/>
    <n v="2886.55"/>
    <m/>
    <m/>
    <n v="11546.3"/>
    <m/>
    <n v="288.66000000000003"/>
    <m/>
    <m/>
    <m/>
    <m/>
    <m/>
    <m/>
    <n v="144.32"/>
    <m/>
    <m/>
    <m/>
    <m/>
    <m/>
    <m/>
    <n v="288.66000000000003"/>
    <m/>
    <m/>
    <m/>
    <m/>
    <m/>
    <m/>
    <m/>
    <n v="144.32"/>
    <m/>
    <n v="865.96"/>
  </r>
  <r>
    <n v="10"/>
    <x v="10"/>
    <x v="1"/>
    <n v="181061"/>
    <s v="RIVERO CRISTIAN ARIEL"/>
    <s v="20-31654860-2"/>
    <n v="42674"/>
    <n v="31654860"/>
    <s v="RIVERO"/>
    <s v="CRISTIAN ARIEL"/>
    <s v="M"/>
    <m/>
    <d v="2016-10-21T00:00:00"/>
    <m/>
    <m/>
    <s v="GASTRONOMICOS-Hoteles 4 y 5 Estrellas - 362/2003"/>
    <s v="Categoria 1"/>
    <x v="3"/>
    <s v="Unidad Principal"/>
    <s v="Centro"/>
    <s v="Tareas Generales"/>
    <n v="127208"/>
    <s v="O.S.de Mandos Medios de Telecomunicaciones"/>
    <s v="Capital Federal"/>
    <m/>
    <s v="C1002ABO"/>
    <s v="14 DE JULIO"/>
    <n v="764"/>
    <m/>
    <m/>
    <s v="CAPITAL FEDERAL"/>
    <s v="Capital Federal"/>
    <m/>
    <s v="U.O.Centro"/>
    <m/>
    <n v="1"/>
    <n v="1"/>
    <n v="2003.07"/>
    <n v="400.61"/>
    <m/>
    <m/>
    <n v="1602.46"/>
    <m/>
    <n v="40.06"/>
    <m/>
    <m/>
    <m/>
    <m/>
    <m/>
    <m/>
    <n v="20.03"/>
    <m/>
    <m/>
    <m/>
    <m/>
    <m/>
    <m/>
    <n v="40.06"/>
    <m/>
    <m/>
    <m/>
    <m/>
    <m/>
    <m/>
    <m/>
    <n v="20.03"/>
    <m/>
    <n v="120.18"/>
  </r>
  <r>
    <n v="10"/>
    <x v="10"/>
    <x v="0"/>
    <n v="177551"/>
    <s v="RIVERO GIMENEZ RICARDO SEBASTIAN"/>
    <s v="20-49077113-2"/>
    <n v="42681"/>
    <n v="49077113"/>
    <s v="RIVERO GIMENEZ"/>
    <s v="RICARDO SEBASTIAN"/>
    <s v="M"/>
    <m/>
    <d v="2016-09-01T00:00:00"/>
    <d v="2016-10-11T00:00:00"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15 A"/>
    <n v="181"/>
    <m/>
    <m/>
    <s v="CAPITAL FEDERAL"/>
    <s v="Capital Federal"/>
    <m/>
    <s v="U.O.Centro"/>
    <m/>
    <n v="1"/>
    <n v="1"/>
    <n v="714.71"/>
    <n v="142.94"/>
    <m/>
    <m/>
    <n v="571.77"/>
    <m/>
    <n v="14.29"/>
    <m/>
    <m/>
    <m/>
    <m/>
    <m/>
    <m/>
    <n v="7.15"/>
    <m/>
    <m/>
    <m/>
    <m/>
    <m/>
    <m/>
    <n v="14.29"/>
    <m/>
    <m/>
    <m/>
    <m/>
    <m/>
    <m/>
    <m/>
    <n v="7.15"/>
    <m/>
    <n v="42.88"/>
  </r>
  <r>
    <n v="10"/>
    <x v="10"/>
    <x v="0"/>
    <n v="173299"/>
    <s v="RODRIGUEZ EMANUEL AGUSTIN"/>
    <s v="20-39165126-5"/>
    <n v="42681"/>
    <n v="39165126"/>
    <s v="RODRIGUEZ"/>
    <s v="EMANUEL AGUSTIN"/>
    <s v="M"/>
    <m/>
    <d v="2016-05-1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LFONSINA STORNI"/>
    <n v="1005"/>
    <m/>
    <m/>
    <s v="CAPITAL FEDERAL"/>
    <s v="Capital Federal"/>
    <m/>
    <s v="U.O.Centro"/>
    <m/>
    <n v="3"/>
    <n v="1"/>
    <n v="9798.89"/>
    <n v="1959.76"/>
    <m/>
    <m/>
    <n v="7839.13"/>
    <m/>
    <n v="195.98"/>
    <m/>
    <m/>
    <m/>
    <m/>
    <m/>
    <m/>
    <n v="97.99"/>
    <m/>
    <m/>
    <m/>
    <m/>
    <m/>
    <m/>
    <n v="195.98"/>
    <m/>
    <m/>
    <m/>
    <m/>
    <m/>
    <m/>
    <m/>
    <n v="97.99"/>
    <m/>
    <n v="587.94000000000005"/>
  </r>
  <r>
    <n v="10"/>
    <x v="10"/>
    <x v="0"/>
    <n v="180914"/>
    <s v="RODRIGUEZ JUAN MARTIN"/>
    <s v="20-30028442-7"/>
    <n v="42681"/>
    <n v="30028442"/>
    <s v="RODRIGUEZ"/>
    <s v="JUAN MARTIN"/>
    <s v="M"/>
    <m/>
    <d v="2016-10-24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1ª DE MAYO"/>
    <n v="181"/>
    <m/>
    <m/>
    <s v="CAPITAL FEDERAL"/>
    <s v="Capital Federal"/>
    <m/>
    <s v="U.O.Centro"/>
    <m/>
    <n v="2"/>
    <n v="1"/>
    <n v="1757.82"/>
    <n v="338.65"/>
    <m/>
    <m/>
    <n v="1419.17"/>
    <m/>
    <n v="35.159999999999997"/>
    <m/>
    <m/>
    <m/>
    <m/>
    <m/>
    <m/>
    <n v="4.6500000000000004"/>
    <m/>
    <m/>
    <m/>
    <m/>
    <m/>
    <m/>
    <n v="35.159999999999997"/>
    <m/>
    <m/>
    <m/>
    <m/>
    <m/>
    <m/>
    <m/>
    <n v="4.6500000000000004"/>
    <n v="250"/>
    <n v="329.62"/>
  </r>
  <r>
    <n v="10"/>
    <x v="10"/>
    <x v="0"/>
    <n v="168582"/>
    <s v="RODRIGUEZ MILENA ESTEFANIA"/>
    <s v="27-36872590-6"/>
    <n v="42681"/>
    <n v="36872590"/>
    <s v="RODRIGUEZ"/>
    <s v="MILENA ESTEFANIA"/>
    <s v="F"/>
    <m/>
    <d v="2016-07-24T00:00:00"/>
    <d v="2016-09-19T00:00:00"/>
    <n v="42632"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LAS HERAS"/>
    <n v="474"/>
    <m/>
    <m/>
    <s v="CAPITAL FEDERAL"/>
    <s v="Buenos Aires"/>
    <m/>
    <s v="U.O.Casa Central"/>
    <m/>
    <n v="1"/>
    <n v="1"/>
    <n v="145.53"/>
    <n v="29.12"/>
    <m/>
    <m/>
    <n v="116.41"/>
    <m/>
    <n v="2.91"/>
    <m/>
    <m/>
    <m/>
    <m/>
    <m/>
    <m/>
    <n v="1.46"/>
    <m/>
    <m/>
    <m/>
    <m/>
    <m/>
    <m/>
    <n v="2.91"/>
    <m/>
    <m/>
    <m/>
    <m/>
    <m/>
    <m/>
    <m/>
    <n v="1.46"/>
    <m/>
    <n v="8.74"/>
  </r>
  <r>
    <n v="10"/>
    <x v="10"/>
    <x v="0"/>
    <n v="174247"/>
    <s v="ROJAS PETROVICH RICHARD YURY"/>
    <s v="20-94524581-7"/>
    <n v="42681"/>
    <n v="94524581"/>
    <s v="ROJAS PETROVICH"/>
    <s v="RICHARD YURY"/>
    <s v="M"/>
    <m/>
    <d v="2016-10-13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EMILIO LAMARCA"/>
    <n v="181"/>
    <m/>
    <m/>
    <s v="CAPITAL FEDERAL"/>
    <s v="Capital Federal"/>
    <m/>
    <s v="U.O.Centro"/>
    <m/>
    <n v="6"/>
    <n v="1"/>
    <n v="9784.84"/>
    <n v="1936.93"/>
    <m/>
    <m/>
    <n v="7847.91"/>
    <m/>
    <n v="195.7"/>
    <m/>
    <m/>
    <m/>
    <m/>
    <m/>
    <m/>
    <n v="77.84"/>
    <m/>
    <m/>
    <m/>
    <m/>
    <m/>
    <m/>
    <n v="195.7"/>
    <n v="51.8"/>
    <m/>
    <m/>
    <m/>
    <m/>
    <m/>
    <m/>
    <n v="26.04"/>
    <n v="500"/>
    <n v="1047.08"/>
  </r>
  <r>
    <n v="10"/>
    <x v="10"/>
    <x v="0"/>
    <n v="177443"/>
    <s v="ROMERO CRISTIAN ADRIAN"/>
    <s v="20-35118709-4"/>
    <n v="42681"/>
    <n v="35118709"/>
    <s v="ROMERO"/>
    <s v="CRISTIAN ADRIAN"/>
    <s v="M"/>
    <m/>
    <d v="2016-08-17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GRAL URQUIZA"/>
    <n v="1225"/>
    <n v="2"/>
    <n v="6"/>
    <s v="CAPITAL FEDERAL"/>
    <s v="Buenos Aires"/>
    <m/>
    <s v="U.O.Centro"/>
    <m/>
    <n v="3"/>
    <n v="1"/>
    <n v="10525.21"/>
    <n v="2105.0300000000002"/>
    <m/>
    <m/>
    <n v="8420.18"/>
    <m/>
    <n v="210.5"/>
    <m/>
    <m/>
    <m/>
    <m/>
    <m/>
    <m/>
    <n v="105.25"/>
    <m/>
    <m/>
    <m/>
    <m/>
    <m/>
    <m/>
    <n v="210.5"/>
    <m/>
    <m/>
    <m/>
    <m/>
    <m/>
    <m/>
    <m/>
    <n v="105.25"/>
    <m/>
    <n v="631.5"/>
  </r>
  <r>
    <n v="10"/>
    <x v="10"/>
    <x v="0"/>
    <n v="170549"/>
    <s v="ROSALES MATIAS SEBASTIAN"/>
    <s v="20-38950370-4"/>
    <n v="42681"/>
    <n v="38950370"/>
    <s v="ROSALES"/>
    <s v="MATIAS SEBASTIAN"/>
    <s v="M"/>
    <m/>
    <d v="2016-03-22T00:00:00"/>
    <m/>
    <m/>
    <s v="GASTRONOMICOS-Hoteles 4 y 5 Estrellas - 362/2003"/>
    <s v="Categoria 1"/>
    <x v="1"/>
    <s v="RESTAURANT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4"/>
    <n v="1"/>
    <n v="13593.5"/>
    <n v="2718.68"/>
    <m/>
    <m/>
    <n v="10874.82"/>
    <m/>
    <n v="271.87"/>
    <m/>
    <m/>
    <m/>
    <m/>
    <m/>
    <m/>
    <n v="135.93"/>
    <m/>
    <m/>
    <m/>
    <m/>
    <m/>
    <m/>
    <n v="271.87"/>
    <m/>
    <m/>
    <m/>
    <m/>
    <m/>
    <m/>
    <m/>
    <n v="135.93"/>
    <m/>
    <n v="815.6"/>
  </r>
  <r>
    <n v="10"/>
    <x v="10"/>
    <x v="0"/>
    <n v="173747"/>
    <s v="RUIZ JUAN MARIO ESEQUIEL"/>
    <s v="20-36944344-6"/>
    <n v="42681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LERMA"/>
    <n v="1225"/>
    <n v="3"/>
    <s v="a"/>
    <s v="CAPITAL FEDERAL"/>
    <s v="Buenos Aires"/>
    <m/>
    <s v="U.O.Centro"/>
    <m/>
    <n v="2"/>
    <n v="1"/>
    <n v="12563.21"/>
    <n v="2512.64"/>
    <m/>
    <m/>
    <n v="10050.57"/>
    <m/>
    <n v="251.27"/>
    <m/>
    <m/>
    <m/>
    <m/>
    <m/>
    <m/>
    <n v="125.63"/>
    <m/>
    <m/>
    <m/>
    <m/>
    <m/>
    <m/>
    <n v="251.27"/>
    <m/>
    <m/>
    <m/>
    <m/>
    <m/>
    <m/>
    <m/>
    <n v="125.63"/>
    <m/>
    <n v="753.8"/>
  </r>
  <r>
    <n v="10"/>
    <x v="10"/>
    <x v="0"/>
    <n v="179333"/>
    <s v="RUIZ BARRAZA ALEJANDRA SOLEDAD"/>
    <s v="27-36561496-8"/>
    <n v="42681"/>
    <n v="36561496"/>
    <s v="RUIZ BARRAZA"/>
    <s v="ALEJANDRA SOLEDAD"/>
    <s v="F"/>
    <m/>
    <d v="2016-09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LLE 887"/>
    <n v="1225"/>
    <m/>
    <m/>
    <s v="CAPITAL FEDERAL"/>
    <s v="Buenos Aires"/>
    <m/>
    <s v="U.O.Centro"/>
    <m/>
    <n v="3"/>
    <n v="1"/>
    <n v="11454.23"/>
    <n v="2290.86"/>
    <m/>
    <m/>
    <n v="9163.3700000000008"/>
    <m/>
    <n v="229.09"/>
    <m/>
    <m/>
    <m/>
    <m/>
    <m/>
    <m/>
    <n v="114.55"/>
    <m/>
    <m/>
    <m/>
    <m/>
    <m/>
    <m/>
    <n v="229.09"/>
    <m/>
    <m/>
    <m/>
    <m/>
    <m/>
    <m/>
    <m/>
    <n v="114.55"/>
    <m/>
    <n v="687.28"/>
  </r>
  <r>
    <n v="10"/>
    <x v="10"/>
    <x v="0"/>
    <n v="177727"/>
    <s v="RUIZ DIAZ LUCIA"/>
    <s v="27-39707176-1"/>
    <n v="42681"/>
    <n v="39707176"/>
    <s v="RUIZ DIAZ"/>
    <s v="LUCIA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PERU"/>
    <n v="240"/>
    <m/>
    <m/>
    <s v="TIGRE"/>
    <s v="Buenos Aires"/>
    <m/>
    <s v="U.O.San Isidro"/>
    <m/>
    <n v="1"/>
    <n v="1"/>
    <n v="6286.81"/>
    <n v="1257.3599999999999"/>
    <m/>
    <m/>
    <n v="5029.45"/>
    <m/>
    <n v="125.74"/>
    <m/>
    <m/>
    <m/>
    <m/>
    <m/>
    <m/>
    <n v="62.87"/>
    <m/>
    <m/>
    <m/>
    <m/>
    <m/>
    <m/>
    <n v="125.74"/>
    <m/>
    <m/>
    <m/>
    <m/>
    <m/>
    <m/>
    <m/>
    <n v="62.87"/>
    <m/>
    <n v="377.22"/>
  </r>
  <r>
    <n v="10"/>
    <x v="10"/>
    <x v="0"/>
    <n v="179324"/>
    <s v="RUMILLA FABIANA VERONICA"/>
    <s v="27-23497318-0"/>
    <n v="42681"/>
    <n v="23497318"/>
    <s v="RUMILLA"/>
    <s v="FABIANA VERONICA"/>
    <s v="F"/>
    <m/>
    <d v="2016-09-20T00:00:00"/>
    <d v="2016-10-07T00:00:00"/>
    <n v="42650"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LACARRA"/>
    <n v="1225"/>
    <n v="1"/>
    <n v="3"/>
    <s v="CAPITAL FEDERAL"/>
    <s v="Buenos Aires"/>
    <m/>
    <s v="U.O.Centro"/>
    <m/>
    <n v="2"/>
    <n v="1"/>
    <n v="3953.07"/>
    <n v="790.63"/>
    <m/>
    <m/>
    <n v="3162.44"/>
    <m/>
    <n v="79.06"/>
    <m/>
    <m/>
    <m/>
    <m/>
    <m/>
    <m/>
    <n v="39.53"/>
    <m/>
    <m/>
    <m/>
    <m/>
    <m/>
    <m/>
    <n v="79.06"/>
    <m/>
    <m/>
    <m/>
    <m/>
    <m/>
    <m/>
    <m/>
    <n v="39.53"/>
    <m/>
    <n v="237.18"/>
  </r>
  <r>
    <n v="10"/>
    <x v="10"/>
    <x v="0"/>
    <n v="180751"/>
    <s v="SACCONE SANDRA LORENA"/>
    <s v="27-30064110-0"/>
    <n v="42681"/>
    <n v="30064110"/>
    <s v="SACCONE"/>
    <s v="SANDRA LORENA"/>
    <s v="F"/>
    <m/>
    <d v="2016-10-0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TORQUINST"/>
    <n v="1225"/>
    <m/>
    <m/>
    <s v="CAPITAL FEDERAL"/>
    <s v="Buenos Aires"/>
    <m/>
    <s v="U.O.Centro"/>
    <m/>
    <n v="3"/>
    <n v="1"/>
    <n v="4581.7"/>
    <n v="916.35"/>
    <m/>
    <m/>
    <n v="3665.35"/>
    <m/>
    <n v="91.64"/>
    <m/>
    <m/>
    <m/>
    <m/>
    <m/>
    <m/>
    <n v="45.82"/>
    <m/>
    <m/>
    <m/>
    <m/>
    <m/>
    <m/>
    <n v="91.64"/>
    <m/>
    <m/>
    <m/>
    <m/>
    <m/>
    <m/>
    <m/>
    <n v="45.82"/>
    <m/>
    <n v="274.92"/>
  </r>
  <r>
    <n v="10"/>
    <x v="10"/>
    <x v="0"/>
    <n v="170780"/>
    <s v="SANCHEZ JAVIER EDUARDO"/>
    <s v="20-29388721-8"/>
    <n v="42681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ONROE"/>
    <n v="181"/>
    <m/>
    <m/>
    <s v="CAPITAL FEDERAL"/>
    <s v="Capital Federal"/>
    <m/>
    <s v="U.O.Centro"/>
    <m/>
    <n v="1"/>
    <n v="1"/>
    <n v="5705.62"/>
    <n v="1141.1300000000001"/>
    <m/>
    <m/>
    <n v="4564.49"/>
    <m/>
    <n v="114.11"/>
    <m/>
    <m/>
    <m/>
    <m/>
    <m/>
    <m/>
    <n v="57.06"/>
    <m/>
    <m/>
    <m/>
    <m/>
    <m/>
    <m/>
    <n v="114.11"/>
    <m/>
    <m/>
    <m/>
    <m/>
    <m/>
    <m/>
    <m/>
    <n v="57.06"/>
    <m/>
    <n v="342.34"/>
  </r>
  <r>
    <n v="10"/>
    <x v="10"/>
    <x v="0"/>
    <n v="164903"/>
    <s v="SANTO LEANDRO"/>
    <s v="20-39458602-2"/>
    <n v="42681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MERICA"/>
    <n v="1225"/>
    <m/>
    <m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m/>
    <n v="137.46"/>
  </r>
  <r>
    <n v="10"/>
    <x v="10"/>
    <x v="0"/>
    <n v="180680"/>
    <s v="SANTOS RIJO ROBERT DANIEL"/>
    <s v="20-95090090-4"/>
    <n v="42681"/>
    <n v="95090090"/>
    <s v="SANTOS RIJO"/>
    <s v="ROBERT DANIEL"/>
    <s v="M"/>
    <m/>
    <d v="2016-10-1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HABANA"/>
    <n v="240"/>
    <n v="3"/>
    <s v="A"/>
    <s v="TIGRE"/>
    <s v="Buenos Aires"/>
    <m/>
    <s v="U.O.San Isidro"/>
    <m/>
    <n v="1"/>
    <n v="1"/>
    <n v="804.72"/>
    <n v="160.94"/>
    <m/>
    <m/>
    <n v="643.78"/>
    <m/>
    <n v="16.09"/>
    <m/>
    <m/>
    <m/>
    <m/>
    <m/>
    <m/>
    <n v="8.0500000000000007"/>
    <m/>
    <m/>
    <m/>
    <m/>
    <m/>
    <m/>
    <n v="16.09"/>
    <m/>
    <m/>
    <m/>
    <m/>
    <m/>
    <m/>
    <m/>
    <n v="8.0500000000000007"/>
    <m/>
    <n v="48.28"/>
  </r>
  <r>
    <n v="10"/>
    <x v="10"/>
    <x v="0"/>
    <n v="163422"/>
    <s v="SAUCEDO BETIANA MAGALI"/>
    <s v="23-38354831-4"/>
    <n v="42681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ANCIO C VIGIL"/>
    <n v="1225"/>
    <m/>
    <m/>
    <s v="CAPITAL FEDERAL"/>
    <s v="Buenos Aires"/>
    <m/>
    <s v="U.O.Centro"/>
    <m/>
    <n v="2"/>
    <n v="1"/>
    <n v="8304.24"/>
    <n v="1660.86"/>
    <m/>
    <m/>
    <n v="6643.38"/>
    <m/>
    <n v="166.09"/>
    <m/>
    <m/>
    <m/>
    <m/>
    <m/>
    <m/>
    <n v="83.04"/>
    <m/>
    <m/>
    <m/>
    <m/>
    <m/>
    <m/>
    <n v="166.09"/>
    <m/>
    <m/>
    <m/>
    <m/>
    <m/>
    <m/>
    <m/>
    <n v="83.04"/>
    <m/>
    <n v="498.26"/>
  </r>
  <r>
    <n v="10"/>
    <x v="10"/>
    <x v="0"/>
    <n v="157784"/>
    <s v="SAUCEDO MARCELA"/>
    <s v="27-33197318-7"/>
    <n v="42681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8000.650000000001"/>
    <n v="3690.14"/>
    <m/>
    <m/>
    <n v="14310.51"/>
    <n v="450.02"/>
    <m/>
    <m/>
    <m/>
    <m/>
    <m/>
    <m/>
    <m/>
    <n v="180.01"/>
    <m/>
    <m/>
    <m/>
    <m/>
    <m/>
    <m/>
    <n v="360.01"/>
    <m/>
    <m/>
    <m/>
    <m/>
    <m/>
    <m/>
    <m/>
    <n v="180.01"/>
    <m/>
    <n v="1170.05"/>
  </r>
  <r>
    <n v="10"/>
    <x v="10"/>
    <x v="1"/>
    <n v="179958"/>
    <s v="SCHULTAIS CRISTIAN ALBERTO"/>
    <s v="20-30526823-3"/>
    <n v="42674"/>
    <n v="30526823"/>
    <s v="SCHULTAIS"/>
    <s v="CRISTIAN ALBERTO"/>
    <s v="M"/>
    <m/>
    <d v="2016-10-05T00:00:00"/>
    <d v="2016-10-06T00:00:00"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LUIS MARIA DRAGO"/>
    <n v="764"/>
    <m/>
    <m/>
    <s v="CAPITAL FEDERAL"/>
    <s v="Capital Federal"/>
    <m/>
    <s v="U.O.Centro"/>
    <m/>
    <n v="1"/>
    <n v="1"/>
    <n v="1502.35"/>
    <n v="300.47000000000003"/>
    <m/>
    <m/>
    <n v="1201.8800000000001"/>
    <m/>
    <n v="30.05"/>
    <m/>
    <m/>
    <m/>
    <m/>
    <m/>
    <m/>
    <n v="15.02"/>
    <m/>
    <m/>
    <m/>
    <m/>
    <m/>
    <m/>
    <n v="30.05"/>
    <m/>
    <m/>
    <m/>
    <m/>
    <m/>
    <m/>
    <m/>
    <n v="15.02"/>
    <m/>
    <n v="90.14"/>
  </r>
  <r>
    <n v="10"/>
    <x v="10"/>
    <x v="0"/>
    <n v="172826"/>
    <s v="SENA GABRIEL FABIAN"/>
    <s v="20-34705676-7"/>
    <n v="42681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1"/>
    <n v="1"/>
    <n v="14891.5"/>
    <n v="2978.32"/>
    <m/>
    <m/>
    <n v="11913.18"/>
    <m/>
    <n v="297.83"/>
    <m/>
    <m/>
    <m/>
    <m/>
    <m/>
    <m/>
    <n v="148.91999999999999"/>
    <m/>
    <m/>
    <m/>
    <m/>
    <m/>
    <m/>
    <n v="297.83"/>
    <m/>
    <m/>
    <m/>
    <m/>
    <m/>
    <m/>
    <m/>
    <n v="148.91999999999999"/>
    <m/>
    <n v="893.5"/>
  </r>
  <r>
    <n v="10"/>
    <x v="10"/>
    <x v="0"/>
    <n v="162176"/>
    <s v="SOMMA GABRIELA ALEJANDRA"/>
    <s v="27-31822042-0"/>
    <n v="42681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HACABUCO"/>
    <n v="1225"/>
    <m/>
    <m/>
    <s v="CAPITAL FEDERAL"/>
    <s v="Buenos Aires"/>
    <m/>
    <s v="U.O.Centro"/>
    <m/>
    <n v="3"/>
    <n v="1"/>
    <n v="5039.8500000000004"/>
    <n v="1007.98"/>
    <m/>
    <m/>
    <n v="4031.87"/>
    <m/>
    <n v="100.79"/>
    <m/>
    <m/>
    <m/>
    <m/>
    <m/>
    <m/>
    <n v="50.4"/>
    <m/>
    <m/>
    <m/>
    <m/>
    <m/>
    <m/>
    <n v="100.79"/>
    <m/>
    <m/>
    <m/>
    <m/>
    <m/>
    <m/>
    <m/>
    <n v="50.4"/>
    <m/>
    <n v="302.38"/>
  </r>
  <r>
    <n v="10"/>
    <x v="10"/>
    <x v="0"/>
    <n v="176592"/>
    <s v="SOSA LEANDRO DAVID"/>
    <s v="20-34984061-9"/>
    <n v="42667"/>
    <n v="34984061"/>
    <s v="SOSA"/>
    <s v="LEANDRO DAVID"/>
    <s v="M"/>
    <m/>
    <d v="2016-08-02T00:00:00"/>
    <d v="2016-10-09T00:00:00"/>
    <n v="42652"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ATHEU"/>
    <n v="1225"/>
    <n v="5"/>
    <m/>
    <s v="CAPITAL FEDERAL"/>
    <s v="Buenos Aires"/>
    <m/>
    <s v="U.O.Quilmes"/>
    <m/>
    <n v="1"/>
    <n v="1"/>
    <n v="1877.72"/>
    <n v="375.54"/>
    <m/>
    <m/>
    <n v="1502.18"/>
    <m/>
    <n v="37.549999999999997"/>
    <m/>
    <m/>
    <m/>
    <m/>
    <m/>
    <m/>
    <n v="18.78"/>
    <m/>
    <m/>
    <m/>
    <m/>
    <m/>
    <m/>
    <n v="37.549999999999997"/>
    <m/>
    <m/>
    <m/>
    <m/>
    <m/>
    <m/>
    <m/>
    <n v="18.78"/>
    <m/>
    <n v="112.66"/>
  </r>
  <r>
    <n v="10"/>
    <x v="10"/>
    <x v="1"/>
    <n v="93346"/>
    <s v="SOTO JAVIER EDUARDO"/>
    <s v="20-37676002-3"/>
    <n v="42681"/>
    <n v="37676002"/>
    <s v="SOTO"/>
    <s v="JAVIER EDUARDO"/>
    <s v="M"/>
    <m/>
    <d v="2012-07-06T00:00:00"/>
    <m/>
    <m/>
    <s v="GASTRONOMICOS-Hoteles 4 y 5 Estrellas - 362/2003"/>
    <s v="Categoria 5"/>
    <x v="9"/>
    <s v="Unidad Principal"/>
    <s v="Centro"/>
    <s v="Ayudante de Cocina"/>
    <n v="108803"/>
    <s v="O.S.P.Gastronomico"/>
    <s v="Capital Federal"/>
    <m/>
    <n v="1049"/>
    <s v="ALVARADO"/>
    <n v="535"/>
    <m/>
    <m/>
    <s v="CAPITAL FEDERAL"/>
    <s v="Capital Federal"/>
    <m/>
    <s v="U.O.Centro Paga Inplant"/>
    <s v="PEONES"/>
    <n v="3"/>
    <n v="1"/>
    <n v="18727.46"/>
    <n v="3745.52"/>
    <m/>
    <m/>
    <n v="14981.94"/>
    <m/>
    <n v="374.55"/>
    <m/>
    <m/>
    <m/>
    <m/>
    <m/>
    <m/>
    <n v="187.28"/>
    <m/>
    <m/>
    <m/>
    <m/>
    <m/>
    <m/>
    <n v="374.55"/>
    <n v="48.79"/>
    <m/>
    <m/>
    <m/>
    <m/>
    <m/>
    <m/>
    <n v="138.49"/>
    <m/>
    <n v="1123.6600000000001"/>
  </r>
  <r>
    <n v="10"/>
    <x v="10"/>
    <x v="0"/>
    <n v="181861"/>
    <s v="SPAGNUOLO PAULA SOLEDAD"/>
    <s v="27-32152269-1"/>
    <n v="42681"/>
    <n v="32152269"/>
    <s v="SPAGNUOLO"/>
    <s v="PAULA SOLEDAD"/>
    <s v="F"/>
    <m/>
    <d v="2016-10-27T00:00:00"/>
    <m/>
    <m/>
    <s v="GASTRONOMICOS-Hoteles 4 y 5 Estrellas - 362/2003"/>
    <s v="Categoria 6"/>
    <x v="7"/>
    <s v="Unidad Base-GL"/>
    <s v="Centro"/>
    <s v="Tareas Generales"/>
    <n v="126908"/>
    <s v="OS DE LOS MEDICOS DE LA CIUDAD DE BUENOS AIRES"/>
    <s v="Capital Federal"/>
    <m/>
    <s v="C1022AAB"/>
    <s v="CABRERA"/>
    <n v="181"/>
    <n v="1"/>
    <m/>
    <s v="CAPITAL FEDERAL"/>
    <s v="Capital Federal"/>
    <m/>
    <s v="U.O.Centro"/>
    <m/>
    <n v="1"/>
    <n v="1"/>
    <n v="2480.44"/>
    <n v="496.08"/>
    <m/>
    <m/>
    <n v="1984.36"/>
    <m/>
    <n v="49.61"/>
    <m/>
    <m/>
    <m/>
    <m/>
    <m/>
    <m/>
    <n v="24.8"/>
    <m/>
    <m/>
    <m/>
    <m/>
    <m/>
    <m/>
    <n v="49.61"/>
    <m/>
    <m/>
    <m/>
    <m/>
    <m/>
    <m/>
    <m/>
    <n v="24.8"/>
    <m/>
    <n v="148.82"/>
  </r>
  <r>
    <n v="10"/>
    <x v="10"/>
    <x v="0"/>
    <n v="162209"/>
    <s v="STOCKL BRENDA JENNIFER"/>
    <s v="27-37769971-3"/>
    <n v="42681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ORENZENI Y SARMIENTO"/>
    <n v="1225"/>
    <s v="PB"/>
    <n v="3"/>
    <s v="CAPITAL FEDERAL"/>
    <s v="Buenos Aires"/>
    <m/>
    <s v="U.O.Centro"/>
    <m/>
    <n v="3"/>
    <n v="1"/>
    <n v="16383.89"/>
    <n v="3276.75"/>
    <m/>
    <m/>
    <n v="13107.14"/>
    <m/>
    <n v="327.68"/>
    <m/>
    <m/>
    <m/>
    <m/>
    <m/>
    <m/>
    <n v="163.83000000000001"/>
    <m/>
    <m/>
    <m/>
    <m/>
    <m/>
    <m/>
    <n v="327.68"/>
    <m/>
    <m/>
    <m/>
    <m/>
    <m/>
    <m/>
    <m/>
    <n v="163.83000000000001"/>
    <m/>
    <n v="983.02"/>
  </r>
  <r>
    <n v="10"/>
    <x v="10"/>
    <x v="0"/>
    <n v="182151"/>
    <s v="SUAREZ REYNOSO MARIANA"/>
    <s v="27-25561647-7"/>
    <n v="42681"/>
    <n v="25561647"/>
    <s v="SUAREZ REYNOSO"/>
    <s v="MARIANA"/>
    <s v="F"/>
    <m/>
    <d v="2016-10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INCON"/>
    <n v="1225"/>
    <n v="8"/>
    <s v="A"/>
    <s v="CAPITAL FEDERAL"/>
    <s v="Buenos Aires"/>
    <m/>
    <s v="U.O.Centro"/>
    <m/>
    <n v="1"/>
    <n v="1"/>
    <n v="903.95"/>
    <n v="180.79"/>
    <m/>
    <m/>
    <n v="723.16"/>
    <m/>
    <n v="18.079999999999998"/>
    <m/>
    <m/>
    <m/>
    <m/>
    <m/>
    <m/>
    <n v="9.0399999999999991"/>
    <m/>
    <m/>
    <m/>
    <m/>
    <m/>
    <m/>
    <n v="18.079999999999998"/>
    <m/>
    <m/>
    <m/>
    <m/>
    <m/>
    <m/>
    <m/>
    <n v="9.0399999999999991"/>
    <m/>
    <n v="54.24"/>
  </r>
  <r>
    <n v="10"/>
    <x v="10"/>
    <x v="0"/>
    <n v="162177"/>
    <s v="SZYCHOWSKI WALTER TADEO"/>
    <s v="23-20698069-9"/>
    <n v="42681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GDALENA"/>
    <n v="1225"/>
    <s v="PB"/>
    <m/>
    <s v="CAPITAL FEDERAL"/>
    <s v="Buenos Aires"/>
    <m/>
    <s v="U.O.Centro"/>
    <m/>
    <n v="3"/>
    <n v="1"/>
    <n v="1374.5"/>
    <n v="274.91000000000003"/>
    <m/>
    <m/>
    <n v="1099.5899999999999"/>
    <m/>
    <n v="27.49"/>
    <m/>
    <m/>
    <m/>
    <m/>
    <m/>
    <m/>
    <n v="13.74"/>
    <m/>
    <m/>
    <m/>
    <m/>
    <m/>
    <m/>
    <n v="27.49"/>
    <m/>
    <m/>
    <m/>
    <m/>
    <m/>
    <m/>
    <m/>
    <n v="13.74"/>
    <m/>
    <n v="82.46"/>
  </r>
  <r>
    <n v="10"/>
    <x v="10"/>
    <x v="1"/>
    <n v="177494"/>
    <s v="TABORDA JUAN PABLO"/>
    <s v="20-29711251-2"/>
    <n v="42674"/>
    <n v="29711251"/>
    <s v="TABORDA"/>
    <s v="JUAN PABL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STAÑARES"/>
    <n v="764"/>
    <n v="8"/>
    <n v="5"/>
    <s v="CAPITAL FEDERAL"/>
    <s v="Capital Federal"/>
    <m/>
    <s v="U.O.Centro"/>
    <m/>
    <n v="1"/>
    <n v="1"/>
    <n v="11361.46"/>
    <n v="2272.2800000000002"/>
    <m/>
    <m/>
    <n v="9089.18"/>
    <m/>
    <n v="227.23"/>
    <m/>
    <m/>
    <m/>
    <m/>
    <m/>
    <m/>
    <n v="113.61"/>
    <m/>
    <m/>
    <m/>
    <m/>
    <m/>
    <m/>
    <n v="227.23"/>
    <m/>
    <m/>
    <m/>
    <m/>
    <m/>
    <m/>
    <m/>
    <n v="113.61"/>
    <m/>
    <n v="681.68"/>
  </r>
  <r>
    <n v="10"/>
    <x v="10"/>
    <x v="0"/>
    <n v="181435"/>
    <s v="TOLEDO KEVIN AYRTON"/>
    <s v="20-40955765-2"/>
    <n v="42681"/>
    <n v="40955765"/>
    <s v="TOLEDO"/>
    <s v="KEVIN AYRTON"/>
    <s v="M"/>
    <m/>
    <d v="2016-10-16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LARGUIA"/>
    <n v="1225"/>
    <m/>
    <m/>
    <s v="CAPITAL FEDERAL"/>
    <s v="Buenos Aires"/>
    <m/>
    <s v="U.O.Centro"/>
    <m/>
    <n v="1"/>
    <n v="1"/>
    <n v="8581.69"/>
    <n v="1716.34"/>
    <m/>
    <m/>
    <n v="6865.35"/>
    <m/>
    <n v="171.63"/>
    <m/>
    <m/>
    <m/>
    <m/>
    <m/>
    <m/>
    <n v="85.82"/>
    <m/>
    <m/>
    <m/>
    <m/>
    <m/>
    <m/>
    <n v="171.63"/>
    <m/>
    <m/>
    <m/>
    <m/>
    <m/>
    <m/>
    <m/>
    <n v="85.82"/>
    <m/>
    <n v="514.9"/>
  </r>
  <r>
    <n v="10"/>
    <x v="10"/>
    <x v="0"/>
    <n v="170180"/>
    <s v="TORRES FERNANDO"/>
    <s v="23-36164521-9"/>
    <n v="42681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ICARDO ROJAS"/>
    <n v="265"/>
    <m/>
    <m/>
    <s v="CAPITAL FEDERAL"/>
    <s v="Capital Federal"/>
    <m/>
    <s v="U.O.Centro"/>
    <s v="Ayudantes"/>
    <n v="2"/>
    <n v="1"/>
    <n v="10538.1"/>
    <n v="2107.61"/>
    <m/>
    <m/>
    <n v="8430.49"/>
    <m/>
    <n v="210.76"/>
    <m/>
    <m/>
    <m/>
    <m/>
    <m/>
    <m/>
    <n v="105.38"/>
    <m/>
    <m/>
    <m/>
    <m/>
    <m/>
    <m/>
    <n v="210.76"/>
    <m/>
    <m/>
    <m/>
    <m/>
    <m/>
    <m/>
    <m/>
    <n v="105.38"/>
    <m/>
    <n v="632.28"/>
  </r>
  <r>
    <n v="10"/>
    <x v="10"/>
    <x v="0"/>
    <n v="170203"/>
    <s v="TOTARO ALEJANDRO EZEQUIEL"/>
    <s v="20-34309566-0"/>
    <n v="42667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MATANZA"/>
    <n v="1225"/>
    <m/>
    <m/>
    <s v="CAPITAL FEDERAL"/>
    <s v="Buenos Aires"/>
    <m/>
    <s v="U.O.Centro"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x v="10"/>
    <x v="0"/>
    <n v="177439"/>
    <s v="TRINIDAD LAURA ANTONELLA"/>
    <s v="27-35958277-9"/>
    <n v="42681"/>
    <n v="35958277"/>
    <s v="TRINIDAD"/>
    <s v="LAURA ANTONELLA"/>
    <s v="F"/>
    <m/>
    <d v="2016-10-2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PEDRO CHUTRO"/>
    <n v="181"/>
    <n v="4"/>
    <m/>
    <s v="CAPITAL FEDERAL"/>
    <s v="Capital Federal"/>
    <m/>
    <s v="U.O.Centro"/>
    <m/>
    <n v="4"/>
    <n v="1"/>
    <n v="4386.29"/>
    <n v="872.77"/>
    <m/>
    <m/>
    <n v="3513.52"/>
    <m/>
    <n v="87.72"/>
    <m/>
    <m/>
    <m/>
    <m/>
    <m/>
    <m/>
    <n v="39.4"/>
    <m/>
    <m/>
    <m/>
    <m/>
    <m/>
    <m/>
    <n v="87.72"/>
    <m/>
    <m/>
    <m/>
    <m/>
    <m/>
    <m/>
    <m/>
    <n v="39.4"/>
    <n v="250"/>
    <n v="504.24"/>
  </r>
  <r>
    <n v="10"/>
    <x v="10"/>
    <x v="0"/>
    <n v="180196"/>
    <s v="TRIPI LAURA EDITH"/>
    <s v="27-31725330-9"/>
    <n v="42681"/>
    <n v="31725330"/>
    <s v="TRIPI"/>
    <s v="LAURA EDITH"/>
    <s v="F"/>
    <m/>
    <d v="2016-10-06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. BEIRO"/>
    <n v="181"/>
    <n v="3"/>
    <s v="E"/>
    <s v="CAPITAL FEDERAL"/>
    <s v="Capital Federal"/>
    <m/>
    <s v="U.O.Centro"/>
    <m/>
    <n v="1"/>
    <n v="1"/>
    <n v="564.57000000000005"/>
    <n v="112.92"/>
    <m/>
    <m/>
    <n v="451.65"/>
    <m/>
    <n v="11.29"/>
    <m/>
    <m/>
    <m/>
    <m/>
    <m/>
    <m/>
    <n v="5.65"/>
    <m/>
    <m/>
    <m/>
    <m/>
    <m/>
    <m/>
    <n v="11.29"/>
    <m/>
    <m/>
    <m/>
    <m/>
    <m/>
    <m/>
    <m/>
    <n v="5.65"/>
    <m/>
    <n v="33.880000000000003"/>
  </r>
  <r>
    <n v="10"/>
    <x v="10"/>
    <x v="0"/>
    <n v="176589"/>
    <s v="UMERES GUSTAVO ALBERTO"/>
    <s v="20-27282604-9"/>
    <n v="42674"/>
    <n v="27282604"/>
    <s v="UMERES"/>
    <s v="GUSTAVO ALBERTO"/>
    <s v="M"/>
    <m/>
    <d v="2016-08-02T00:00:00"/>
    <d v="2016-10-20T00:00:00"/>
    <n v="42663"/>
    <s v="GASTRONOMICOS-Hoteles 4 y 5 Estrellas - 362/2003"/>
    <s v="Categoría 4"/>
    <x v="5"/>
    <s v="Mucamas - GL"/>
    <s v="Centro"/>
    <s v="Mucama"/>
    <n v="119500"/>
    <s v="OS  DEL PERSONAL DE LA SANIDAD ARGENTINA"/>
    <s v="Capital Federal"/>
    <m/>
    <s v="C1104AKC"/>
    <s v="DEAN FUNES"/>
    <n v="1225"/>
    <s v="PB"/>
    <n v="3"/>
    <s v="CAPITAL FEDERAL"/>
    <s v="Buenos Aires"/>
    <m/>
    <s v="U.O.Centro"/>
    <m/>
    <n v="2"/>
    <n v="1"/>
    <n v="2256.73"/>
    <n v="451.35"/>
    <m/>
    <n v="362.35"/>
    <n v="2167.73"/>
    <m/>
    <n v="45.14"/>
    <m/>
    <m/>
    <m/>
    <m/>
    <m/>
    <m/>
    <n v="22.57"/>
    <m/>
    <m/>
    <m/>
    <m/>
    <m/>
    <m/>
    <n v="45.14"/>
    <m/>
    <m/>
    <m/>
    <m/>
    <m/>
    <m/>
    <m/>
    <n v="22.57"/>
    <m/>
    <n v="135.41999999999999"/>
  </r>
  <r>
    <n v="10"/>
    <x v="10"/>
    <x v="1"/>
    <n v="170492"/>
    <s v="VALIENTE MARIA NAZARENA"/>
    <s v="27-23700239-9"/>
    <n v="42681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3463.64"/>
    <n v="692.73"/>
    <m/>
    <m/>
    <n v="2770.91"/>
    <m/>
    <n v="69.27"/>
    <m/>
    <m/>
    <m/>
    <m/>
    <m/>
    <m/>
    <n v="34.64"/>
    <m/>
    <m/>
    <m/>
    <m/>
    <m/>
    <m/>
    <n v="69.27"/>
    <m/>
    <m/>
    <m/>
    <m/>
    <m/>
    <m/>
    <m/>
    <n v="34.64"/>
    <m/>
    <n v="207.82"/>
  </r>
  <r>
    <n v="10"/>
    <x v="10"/>
    <x v="0"/>
    <n v="140020"/>
    <s v="VALLEJOS CINTIA SOLEDAD"/>
    <s v="27-41537496-3"/>
    <n v="42681"/>
    <n v="41537496"/>
    <s v="VALLEJOS"/>
    <s v="CINTIA SOLEDAD"/>
    <s v="F"/>
    <m/>
    <d v="2016-10-26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RIAS"/>
    <n v="181"/>
    <m/>
    <m/>
    <s v="CAPITAL FEDERAL"/>
    <s v="Capital Federal"/>
    <m/>
    <s v="U.O.Centro"/>
    <m/>
    <n v="2"/>
    <n v="1"/>
    <n v="3822.47"/>
    <n v="748.8"/>
    <m/>
    <m/>
    <n v="3073.67"/>
    <m/>
    <n v="76.45"/>
    <m/>
    <m/>
    <m/>
    <m/>
    <m/>
    <m/>
    <n v="22.52"/>
    <m/>
    <m/>
    <m/>
    <m/>
    <m/>
    <m/>
    <n v="76.45"/>
    <m/>
    <m/>
    <m/>
    <m/>
    <m/>
    <m/>
    <m/>
    <n v="22.52"/>
    <n v="250"/>
    <n v="447.94"/>
  </r>
  <r>
    <n v="10"/>
    <x v="10"/>
    <x v="0"/>
    <n v="170168"/>
    <s v="VARGAS MAXIMILIANO EZEQUIEL"/>
    <s v="20-33690283-6"/>
    <n v="42681"/>
    <n v="33690283"/>
    <s v="VARGAS"/>
    <s v="MAXIMILIANO EZEQUIEL"/>
    <s v="F"/>
    <m/>
    <d v="2016-05-19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CRESPO"/>
    <n v="181"/>
    <m/>
    <m/>
    <s v="CAPITAL FEDERAL"/>
    <s v="Capital Federal"/>
    <m/>
    <s v="U.O.Centro"/>
    <m/>
    <n v="4"/>
    <n v="1"/>
    <n v="5820.88"/>
    <n v="1133.73"/>
    <m/>
    <m/>
    <n v="4687.1499999999996"/>
    <m/>
    <n v="116.43"/>
    <m/>
    <m/>
    <m/>
    <m/>
    <m/>
    <m/>
    <n v="27.76"/>
    <m/>
    <m/>
    <m/>
    <m/>
    <m/>
    <m/>
    <n v="116.43"/>
    <m/>
    <m/>
    <m/>
    <m/>
    <m/>
    <m/>
    <m/>
    <n v="27.76"/>
    <n v="250"/>
    <n v="538.38"/>
  </r>
  <r>
    <n v="10"/>
    <x v="10"/>
    <x v="0"/>
    <n v="163376"/>
    <s v="VARGAS BENITEZ KARINA LUJAN"/>
    <s v="27-37354725-0"/>
    <n v="42681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EPUBLICA DE CUBA"/>
    <n v="1225"/>
    <m/>
    <m/>
    <s v="CAPITAL FEDERAL"/>
    <s v="Buenos Aires"/>
    <m/>
    <s v="U.O.Quilmes"/>
    <m/>
    <n v="3"/>
    <n v="1"/>
    <n v="7788.89"/>
    <n v="1557.79"/>
    <m/>
    <m/>
    <n v="6231.1"/>
    <m/>
    <n v="155.78"/>
    <m/>
    <m/>
    <m/>
    <m/>
    <m/>
    <m/>
    <n v="77.900000000000006"/>
    <m/>
    <m/>
    <m/>
    <m/>
    <m/>
    <m/>
    <n v="155.78"/>
    <m/>
    <m/>
    <m/>
    <m/>
    <m/>
    <m/>
    <m/>
    <n v="77.900000000000006"/>
    <m/>
    <n v="467.36"/>
  </r>
  <r>
    <n v="10"/>
    <x v="10"/>
    <x v="0"/>
    <n v="177469"/>
    <s v="VAZQUEZ KARINA BEATRIZ"/>
    <s v="27-29039265-4"/>
    <n v="42681"/>
    <n v="29039265"/>
    <s v="VAZQUEZ"/>
    <s v="KARINA BEATRIZ"/>
    <s v="F"/>
    <m/>
    <d v="2016-10-27T00:00:00"/>
    <m/>
    <m/>
    <s v="GASTRONOMICOS-Hoteles 4 y 5 Estrellas - 362/2003"/>
    <s v="Categoria 6"/>
    <x v="7"/>
    <s v="Unidad Base-GL"/>
    <s v="Centro"/>
    <s v="Tareas Generales"/>
    <n v="113809"/>
    <s v="OS  DE COMISARIOS NAVALES"/>
    <s v="Capital Federal"/>
    <m/>
    <s v="C1022AAB"/>
    <s v="9 DE JULIO"/>
    <n v="181"/>
    <n v="1"/>
    <m/>
    <s v="CAPITAL FEDERAL"/>
    <s v="Capital Federal"/>
    <m/>
    <s v="U.O.Centro"/>
    <m/>
    <n v="4"/>
    <n v="1"/>
    <n v="6046.49"/>
    <n v="1209.31"/>
    <m/>
    <m/>
    <n v="4837.18"/>
    <m/>
    <n v="120.93"/>
    <m/>
    <m/>
    <m/>
    <m/>
    <m/>
    <m/>
    <n v="60.47"/>
    <m/>
    <m/>
    <m/>
    <m/>
    <m/>
    <m/>
    <n v="120.93"/>
    <m/>
    <m/>
    <m/>
    <m/>
    <m/>
    <m/>
    <m/>
    <n v="60.47"/>
    <m/>
    <n v="362.8"/>
  </r>
  <r>
    <n v="10"/>
    <x v="10"/>
    <x v="0"/>
    <n v="140009"/>
    <s v="VEGA JUAN JOSE"/>
    <s v="20-34339212-6"/>
    <n v="42681"/>
    <n v="34339212"/>
    <s v="VEGA"/>
    <s v="JUAN JOSE"/>
    <s v="M"/>
    <m/>
    <d v="2016-08-2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PRUDAN"/>
    <n v="1225"/>
    <n v="5"/>
    <n v="5"/>
    <s v="CAPITAL FEDERAL"/>
    <s v="Buenos Aires"/>
    <m/>
    <s v="U.O.Centro"/>
    <m/>
    <n v="3"/>
    <n v="1"/>
    <n v="15058.76"/>
    <n v="3084.71"/>
    <m/>
    <m/>
    <n v="11974.05"/>
    <n v="376.47"/>
    <m/>
    <m/>
    <m/>
    <m/>
    <m/>
    <m/>
    <m/>
    <n v="148.22999999999999"/>
    <m/>
    <m/>
    <m/>
    <m/>
    <m/>
    <m/>
    <n v="301.17"/>
    <m/>
    <m/>
    <m/>
    <m/>
    <m/>
    <m/>
    <m/>
    <n v="148.22999999999999"/>
    <n v="250"/>
    <n v="1224.0999999999999"/>
  </r>
  <r>
    <n v="10"/>
    <x v="10"/>
    <x v="0"/>
    <n v="176107"/>
    <s v="VEGA MARIANO EMANUEL"/>
    <s v="20-36845666-8"/>
    <n v="42681"/>
    <n v="36845666"/>
    <s v="VEGA"/>
    <s v="MARIANO EMANUEL"/>
    <s v="M"/>
    <m/>
    <d v="2016-07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DRE CARLOS MUGICA"/>
    <n v="1225"/>
    <m/>
    <m/>
    <s v="CAPITAL FEDERAL"/>
    <s v="Buenos Aires"/>
    <m/>
    <s v="U.O.Centro"/>
    <m/>
    <n v="2"/>
    <n v="1"/>
    <n v="6957.71"/>
    <n v="1391.52"/>
    <m/>
    <m/>
    <n v="5566.19"/>
    <m/>
    <n v="139.15"/>
    <m/>
    <m/>
    <m/>
    <m/>
    <m/>
    <m/>
    <n v="69.569999999999993"/>
    <m/>
    <m/>
    <m/>
    <m/>
    <m/>
    <m/>
    <n v="139.15"/>
    <m/>
    <m/>
    <m/>
    <m/>
    <m/>
    <m/>
    <m/>
    <n v="69.569999999999993"/>
    <m/>
    <n v="417.44"/>
  </r>
  <r>
    <n v="10"/>
    <x v="10"/>
    <x v="0"/>
    <n v="174627"/>
    <s v="VEGA RAMONA CAROLINA"/>
    <s v="27-92893847-1"/>
    <n v="42681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MARGARITA WEILD"/>
    <n v="1225"/>
    <n v="7"/>
    <s v="A"/>
    <s v="CAPITAL FEDERAL"/>
    <s v="Buenos Aires"/>
    <m/>
    <s v="U.O.Centro"/>
    <m/>
    <n v="2"/>
    <n v="1"/>
    <n v="10969.58"/>
    <n v="2193.89"/>
    <m/>
    <m/>
    <n v="8775.69"/>
    <m/>
    <n v="219.39"/>
    <m/>
    <m/>
    <m/>
    <m/>
    <m/>
    <m/>
    <n v="109.69"/>
    <m/>
    <m/>
    <m/>
    <m/>
    <m/>
    <m/>
    <n v="219.39"/>
    <m/>
    <m/>
    <m/>
    <m/>
    <m/>
    <m/>
    <m/>
    <n v="109.69"/>
    <m/>
    <n v="658.16"/>
  </r>
  <r>
    <n v="10"/>
    <x v="10"/>
    <x v="0"/>
    <n v="182166"/>
    <s v="VELASQUEZ MIRIAM NELIDA"/>
    <s v="27-24009533-0"/>
    <n v="42681"/>
    <n v="24009533"/>
    <s v="VELASQUEZ"/>
    <s v="MIRIAM NELIDA"/>
    <s v="F"/>
    <m/>
    <d v="2016-10-30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BOLIVAR"/>
    <n v="1225"/>
    <n v="4"/>
    <s v="D4"/>
    <s v="CAPITAL FEDERAL"/>
    <s v="Buenos Aires"/>
    <m/>
    <s v="U.O.Centro"/>
    <m/>
    <n v="1"/>
    <n v="1"/>
    <n v="1154.69"/>
    <n v="230.94"/>
    <m/>
    <m/>
    <n v="923.75"/>
    <m/>
    <n v="23.09"/>
    <m/>
    <m/>
    <m/>
    <m/>
    <m/>
    <m/>
    <n v="11.55"/>
    <m/>
    <m/>
    <m/>
    <m/>
    <m/>
    <m/>
    <n v="23.09"/>
    <m/>
    <m/>
    <m/>
    <m/>
    <m/>
    <m/>
    <m/>
    <n v="11.55"/>
    <m/>
    <n v="69.28"/>
  </r>
  <r>
    <n v="10"/>
    <x v="10"/>
    <x v="0"/>
    <n v="143424"/>
    <s v="VELASQUEZ NESTOR IGNACIO"/>
    <s v="20-30830390-0"/>
    <n v="42681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OMANELLA"/>
    <n v="265"/>
    <m/>
    <m/>
    <s v="CAPITAL FEDERAL"/>
    <s v="Capital Federal"/>
    <m/>
    <s v="U.O.Centro"/>
    <s v="Ayudantes"/>
    <n v="3"/>
    <n v="1"/>
    <n v="19275.3"/>
    <n v="3951.45"/>
    <m/>
    <m/>
    <n v="15323.85"/>
    <n v="481.89"/>
    <m/>
    <m/>
    <m/>
    <m/>
    <m/>
    <m/>
    <m/>
    <n v="192.75"/>
    <m/>
    <m/>
    <m/>
    <m/>
    <m/>
    <m/>
    <n v="385.51"/>
    <m/>
    <m/>
    <m/>
    <m/>
    <m/>
    <m/>
    <m/>
    <n v="192.75"/>
    <m/>
    <n v="1252.9000000000001"/>
  </r>
  <r>
    <n v="10"/>
    <x v="10"/>
    <x v="1"/>
    <n v="170478"/>
    <s v="VELAZQUEZ FERNANDO ARIEL"/>
    <s v="20-18830125-9"/>
    <n v="42681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s v="C1129AAA"/>
    <s v="SARMIENTO"/>
    <n v="1891"/>
    <m/>
    <m/>
    <s v="CAPITAL FEDERAL"/>
    <s v="Capital Federal"/>
    <m/>
    <s v="U.O.Centro"/>
    <s v="Alvear Palace"/>
    <n v="1"/>
    <n v="1"/>
    <n v="3088.06"/>
    <n v="617.61"/>
    <m/>
    <m/>
    <n v="2470.4499999999998"/>
    <m/>
    <n v="61.76"/>
    <m/>
    <m/>
    <m/>
    <m/>
    <m/>
    <m/>
    <n v="30.88"/>
    <m/>
    <m/>
    <m/>
    <m/>
    <m/>
    <m/>
    <n v="61.76"/>
    <m/>
    <m/>
    <m/>
    <m/>
    <m/>
    <m/>
    <m/>
    <n v="30.88"/>
    <m/>
    <n v="185.28"/>
  </r>
  <r>
    <n v="10"/>
    <x v="10"/>
    <x v="0"/>
    <n v="169885"/>
    <s v="VELAZQUEZ NOELIA"/>
    <s v="27-28814358-2"/>
    <n v="42681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15934.57"/>
    <n v="3186.92"/>
    <m/>
    <m/>
    <n v="12747.65"/>
    <m/>
    <n v="318.69"/>
    <m/>
    <m/>
    <m/>
    <m/>
    <m/>
    <m/>
    <n v="159.35"/>
    <m/>
    <m/>
    <m/>
    <m/>
    <m/>
    <m/>
    <n v="318.69"/>
    <m/>
    <m/>
    <m/>
    <m/>
    <m/>
    <m/>
    <m/>
    <n v="159.35"/>
    <m/>
    <n v="956.08"/>
  </r>
  <r>
    <n v="10"/>
    <x v="10"/>
    <x v="0"/>
    <n v="172595"/>
    <s v="VERA GUILLERMO EDUARDO"/>
    <s v="23-28162145-9"/>
    <n v="42681"/>
    <n v="28162145"/>
    <s v="VERA"/>
    <s v="GUILLERMO EDUARDO"/>
    <s v="M"/>
    <m/>
    <d v="2016-05-05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2"/>
    <n v="1"/>
    <n v="15852.34"/>
    <n v="3249.72"/>
    <m/>
    <m/>
    <n v="12602.62"/>
    <n v="396.31"/>
    <m/>
    <m/>
    <m/>
    <m/>
    <m/>
    <m/>
    <m/>
    <n v="158.52000000000001"/>
    <m/>
    <m/>
    <m/>
    <m/>
    <m/>
    <m/>
    <n v="317.05"/>
    <m/>
    <m/>
    <m/>
    <m/>
    <m/>
    <m/>
    <m/>
    <n v="158.52000000000001"/>
    <m/>
    <n v="1030.4000000000001"/>
  </r>
  <r>
    <n v="10"/>
    <x v="10"/>
    <x v="0"/>
    <n v="179327"/>
    <s v="VERA JUAN MATIAS"/>
    <s v="20-32101122-6"/>
    <n v="42681"/>
    <n v="32101122"/>
    <s v="VERA"/>
    <s v="JUAN MATIAS"/>
    <s v="M"/>
    <m/>
    <d v="2016-09-25T00:00:00"/>
    <m/>
    <m/>
    <s v="GASTRONOMICOS-Hoteles 4 y 5 Estrellas - 362/2003"/>
    <s v="Categoria 2"/>
    <x v="5"/>
    <s v="Medio Oficial de lavanderia - GL"/>
    <s v="Centro"/>
    <s v="Medio Oficial de lavandería"/>
    <n v="127406"/>
    <s v="O.S.Obreros y empleados tintoreros, sombrerero y lavanderos"/>
    <s v="Capital Federal"/>
    <m/>
    <s v="C1104AKC"/>
    <s v="CALLE 333 BIS"/>
    <n v="1225"/>
    <m/>
    <m/>
    <s v="CAPITAL FEDERAL"/>
    <s v="Buenos Aires"/>
    <m/>
    <s v="U.O.Centro"/>
    <m/>
    <n v="3"/>
    <n v="1"/>
    <n v="8082.85"/>
    <n v="1616.56"/>
    <m/>
    <m/>
    <n v="6466.29"/>
    <m/>
    <n v="161.66"/>
    <m/>
    <m/>
    <m/>
    <m/>
    <m/>
    <m/>
    <n v="80.819999999999993"/>
    <m/>
    <m/>
    <m/>
    <m/>
    <m/>
    <m/>
    <n v="161.66"/>
    <m/>
    <m/>
    <m/>
    <m/>
    <m/>
    <m/>
    <m/>
    <n v="80.819999999999993"/>
    <m/>
    <n v="484.96"/>
  </r>
  <r>
    <n v="10"/>
    <x v="10"/>
    <x v="0"/>
    <n v="47397"/>
    <s v="VERA SANTIAGO DAVID"/>
    <s v="20-31462416-6"/>
    <n v="42681"/>
    <n v="31462416"/>
    <s v="VERA"/>
    <s v="SANTIAGO DAVID"/>
    <s v="F"/>
    <m/>
    <d v="2016-10-23T00:00:00"/>
    <m/>
    <m/>
    <s v="GASTRONOMICOS-Hoteles 4 y 5 Estrellas - 362/2003"/>
    <s v="Categoria 1"/>
    <x v="5"/>
    <s v="Áreas Públicas - GL"/>
    <s v="Centro"/>
    <s v="Áreas Públicas"/>
    <n v="121705"/>
    <s v="OS  DEL PERSONAL DE LA ACTIVIDAD DEL TURF"/>
    <s v="Capital Federal"/>
    <m/>
    <s v="C1104AKC"/>
    <s v="GOB ARIAS"/>
    <n v="1225"/>
    <m/>
    <m/>
    <s v="CAPITAL FEDERAL"/>
    <s v="Buenos Aires"/>
    <m/>
    <s v="U.O.Centro"/>
    <m/>
    <n v="1"/>
    <n v="1"/>
    <n v="1112.72"/>
    <n v="222.54"/>
    <m/>
    <m/>
    <n v="890.18"/>
    <m/>
    <n v="22.25"/>
    <m/>
    <m/>
    <m/>
    <m/>
    <m/>
    <m/>
    <n v="11.13"/>
    <m/>
    <m/>
    <m/>
    <m/>
    <m/>
    <m/>
    <n v="22.25"/>
    <m/>
    <m/>
    <m/>
    <m/>
    <m/>
    <m/>
    <m/>
    <n v="11.13"/>
    <m/>
    <n v="66.760000000000005"/>
  </r>
  <r>
    <n v="10"/>
    <x v="10"/>
    <x v="0"/>
    <n v="180403"/>
    <s v="VERGARA AGUSTIN NICOLAS"/>
    <s v="20-39184241-9"/>
    <n v="42681"/>
    <n v="39184241"/>
    <s v="VERGARA"/>
    <s v="AGUSTIN NICOLAS"/>
    <s v="M"/>
    <m/>
    <d v="2016-10-12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LISANDRO DE LA TORRE"/>
    <n v="181"/>
    <m/>
    <m/>
    <s v="CAPITAL FEDERAL"/>
    <s v="Capital Federal"/>
    <m/>
    <s v="U.O.Liniers"/>
    <m/>
    <n v="2"/>
    <n v="1"/>
    <n v="1596.98"/>
    <n v="312.7"/>
    <m/>
    <m/>
    <n v="1284.28"/>
    <m/>
    <n v="31.94"/>
    <m/>
    <m/>
    <m/>
    <m/>
    <m/>
    <m/>
    <n v="9.2899999999999991"/>
    <m/>
    <m/>
    <m/>
    <m/>
    <m/>
    <m/>
    <n v="31.94"/>
    <m/>
    <m/>
    <m/>
    <m/>
    <m/>
    <m/>
    <m/>
    <n v="9.2899999999999991"/>
    <n v="250"/>
    <n v="332.46"/>
  </r>
  <r>
    <n v="10"/>
    <x v="10"/>
    <x v="0"/>
    <n v="171020"/>
    <s v="VIEITES MAYRA ISIS"/>
    <s v="27-26427471-6"/>
    <n v="42681"/>
    <n v="26427471"/>
    <s v="VIEITES"/>
    <s v="MAYRA ISIS"/>
    <s v="F"/>
    <m/>
    <d v="2016-10-1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SAN IRINEO"/>
    <n v="181"/>
    <n v="5"/>
    <n v="16"/>
    <s v="CAPITAL FEDERAL"/>
    <s v="Capital Federal"/>
    <m/>
    <s v="U.O.Centro"/>
    <m/>
    <n v="1"/>
    <n v="1"/>
    <n v="7507.38"/>
    <n v="1501.47"/>
    <m/>
    <m/>
    <n v="6005.91"/>
    <m/>
    <n v="150.15"/>
    <m/>
    <m/>
    <m/>
    <m/>
    <m/>
    <m/>
    <n v="75.069999999999993"/>
    <m/>
    <m/>
    <m/>
    <m/>
    <m/>
    <m/>
    <n v="150.15"/>
    <m/>
    <m/>
    <m/>
    <m/>
    <m/>
    <m/>
    <m/>
    <n v="75.069999999999993"/>
    <m/>
    <n v="450.44"/>
  </r>
  <r>
    <n v="10"/>
    <x v="10"/>
    <x v="0"/>
    <n v="170044"/>
    <s v="VILLANUEVA STELLA MARIS"/>
    <s v="27-24358222-4"/>
    <n v="42681"/>
    <n v="24358222"/>
    <s v="VILLANUEVA"/>
    <s v="STELLA MARIS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OLIVAR"/>
    <n v="1232"/>
    <m/>
    <m/>
    <s v="CAPITAL FEDERAL"/>
    <s v="Buenos Aires"/>
    <m/>
    <s v="U.O.Centro"/>
    <s v="Ama de Llaves"/>
    <n v="1"/>
    <n v="1"/>
    <n v="22083.54"/>
    <n v="4416.72"/>
    <m/>
    <m/>
    <n v="17666.82"/>
    <m/>
    <n v="441.67"/>
    <m/>
    <m/>
    <m/>
    <m/>
    <m/>
    <m/>
    <n v="220.84"/>
    <m/>
    <m/>
    <m/>
    <m/>
    <m/>
    <m/>
    <n v="441.67"/>
    <m/>
    <m/>
    <m/>
    <m/>
    <m/>
    <m/>
    <m/>
    <n v="220.84"/>
    <m/>
    <n v="1325.02"/>
  </r>
  <r>
    <n v="10"/>
    <x v="10"/>
    <x v="1"/>
    <n v="165035"/>
    <s v="VILLAROEL BARRIOS WILMER OLIVER"/>
    <s v="20-95503977-8"/>
    <n v="42674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OMBATE DE LOS POZOS"/>
    <n v="764"/>
    <m/>
    <m/>
    <s v="CAPITAL FEDERAL"/>
    <s v="Capital Federal"/>
    <m/>
    <s v="U.O.Centro Paga Inplant"/>
    <m/>
    <n v="1"/>
    <n v="1"/>
    <n v="342.81"/>
    <n v="70.27"/>
    <m/>
    <m/>
    <n v="272.54000000000002"/>
    <n v="8.57"/>
    <m/>
    <m/>
    <m/>
    <m/>
    <m/>
    <m/>
    <m/>
    <n v="3.43"/>
    <m/>
    <m/>
    <m/>
    <m/>
    <m/>
    <m/>
    <n v="6.86"/>
    <m/>
    <m/>
    <m/>
    <m/>
    <m/>
    <m/>
    <m/>
    <n v="3.43"/>
    <m/>
    <n v="22.29"/>
  </r>
  <r>
    <n v="10"/>
    <x v="10"/>
    <x v="0"/>
    <n v="171590"/>
    <s v="VOLPI MARIA CECILIA"/>
    <s v="27-29198078-9"/>
    <n v="42681"/>
    <n v="29198078"/>
    <s v="VOLPI"/>
    <s v="MARIA CECILIA"/>
    <s v="F"/>
    <m/>
    <d v="2016-10-26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SARRATEA"/>
    <n v="181"/>
    <n v="10"/>
    <m/>
    <s v="CAPITAL FEDERAL"/>
    <s v="Capital Federal"/>
    <m/>
    <s v="U.O.Centro"/>
    <m/>
    <n v="4"/>
    <n v="1"/>
    <n v="8400.25"/>
    <n v="1658.47"/>
    <m/>
    <m/>
    <n v="6741.78"/>
    <m/>
    <n v="168.01"/>
    <m/>
    <m/>
    <m/>
    <m/>
    <m/>
    <m/>
    <n v="62.42"/>
    <m/>
    <m/>
    <m/>
    <m/>
    <m/>
    <m/>
    <n v="168.01"/>
    <m/>
    <m/>
    <m/>
    <m/>
    <m/>
    <m/>
    <m/>
    <n v="62.42"/>
    <n v="250"/>
    <n v="710.86"/>
  </r>
  <r>
    <n v="10"/>
    <x v="10"/>
    <x v="0"/>
    <n v="179056"/>
    <s v="WESTON MATTOS ALFREDO BERNARDO"/>
    <s v="20-94607722-5"/>
    <n v="42681"/>
    <n v="94607722"/>
    <s v="WESTON MATTOS"/>
    <s v="ALFREDO BERNARDO"/>
    <s v="M"/>
    <m/>
    <d v="2016-10-15T00:00:00"/>
    <m/>
    <m/>
    <s v="GASTRONOMICOS-Hoteles 4 y 5 Estrellas - 362/2003"/>
    <s v="Categoria 1"/>
    <x v="4"/>
    <s v="Unidad Base-GL"/>
    <s v="Centro"/>
    <s v="Tareas Generales"/>
    <n v="108803"/>
    <s v="O.S.P.Gastronomico"/>
    <s v="Capital Federal"/>
    <m/>
    <s v="C1004AAJ"/>
    <s v="JOSE BARROS PAZOS"/>
    <n v="474"/>
    <n v="1"/>
    <m/>
    <s v="CAPITAL FEDERAL"/>
    <s v="Buenos Aires"/>
    <m/>
    <s v="U.O.Centro"/>
    <m/>
    <n v="3"/>
    <n v="1"/>
    <n v="2330.92"/>
    <n v="463.49"/>
    <m/>
    <m/>
    <n v="1867.43"/>
    <m/>
    <n v="46.61"/>
    <m/>
    <m/>
    <m/>
    <m/>
    <m/>
    <m/>
    <n v="20.62"/>
    <m/>
    <m/>
    <m/>
    <m/>
    <m/>
    <m/>
    <n v="46.61"/>
    <m/>
    <m/>
    <m/>
    <m/>
    <m/>
    <m/>
    <m/>
    <n v="20.62"/>
    <n v="250"/>
    <n v="384.46"/>
  </r>
  <r>
    <n v="10"/>
    <x v="10"/>
    <x v="0"/>
    <n v="180399"/>
    <s v="WINECKI KARINA ALEJANDRA"/>
    <s v="27-38357054-4"/>
    <n v="42681"/>
    <n v="38357054"/>
    <s v="WINECKI"/>
    <s v="KARINA ALEJANDRA"/>
    <s v="F"/>
    <m/>
    <d v="2016-10-12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ASAJE LA GARZA"/>
    <n v="1005"/>
    <m/>
    <m/>
    <s v="CAPITAL FEDERAL"/>
    <s v="Capital Federal"/>
    <m/>
    <s v="U.O.Centro"/>
    <m/>
    <n v="2"/>
    <n v="1"/>
    <n v="3091.27"/>
    <n v="618.25"/>
    <m/>
    <m/>
    <n v="2473.02"/>
    <m/>
    <n v="61.82"/>
    <m/>
    <m/>
    <m/>
    <m/>
    <m/>
    <m/>
    <n v="30.91"/>
    <m/>
    <m/>
    <m/>
    <m/>
    <m/>
    <m/>
    <n v="61.82"/>
    <m/>
    <m/>
    <m/>
    <m/>
    <m/>
    <m/>
    <m/>
    <n v="30.91"/>
    <m/>
    <n v="185.46"/>
  </r>
  <r>
    <n v="10"/>
    <x v="10"/>
    <x v="1"/>
    <n v="130773"/>
    <s v="WTOREK WALTER EZEQUIEL"/>
    <s v="20-30454246-3"/>
    <n v="42681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20268.580000000002"/>
    <n v="4155.0600000000004"/>
    <m/>
    <m/>
    <n v="16113.52"/>
    <n v="506.71"/>
    <m/>
    <m/>
    <m/>
    <m/>
    <m/>
    <m/>
    <m/>
    <n v="202.69"/>
    <m/>
    <m/>
    <m/>
    <m/>
    <m/>
    <m/>
    <n v="405.37"/>
    <m/>
    <m/>
    <m/>
    <m/>
    <m/>
    <m/>
    <m/>
    <n v="202.69"/>
    <m/>
    <n v="1317.46"/>
  </r>
  <r>
    <n v="10"/>
    <x v="10"/>
    <x v="1"/>
    <n v="178829"/>
    <s v="YAGUEDU FARIAS JONATAN NAZARENO"/>
    <s v="20-32297305-6"/>
    <n v="42681"/>
    <n v="32297305"/>
    <s v="YAGUEDU FARIAS"/>
    <s v="JONATAN NAZARENO"/>
    <s v="M"/>
    <m/>
    <d v="2016-09-27T00:00:00"/>
    <m/>
    <m/>
    <s v="GASTRONOMICOS-Hoteles 4 y 5 Estrellas - 362/2003"/>
    <s v="Categoria 1"/>
    <x v="9"/>
    <s v="Unidad Principal"/>
    <s v="Centro"/>
    <s v="Tareas Generales"/>
    <n v="108803"/>
    <s v="O.S.P.Gastronomico"/>
    <s v="Capital Federal"/>
    <m/>
    <n v="1049"/>
    <s v="QUIRNO COSTA"/>
    <n v="535"/>
    <m/>
    <m/>
    <s v="CAPITAL FEDERAL"/>
    <s v="Capital Federal"/>
    <m/>
    <s v="U.O.Avellaneda"/>
    <m/>
    <n v="3"/>
    <n v="1"/>
    <n v="20872.919999999998"/>
    <n v="4174.5600000000004"/>
    <m/>
    <m/>
    <n v="16698.36"/>
    <m/>
    <n v="417.46"/>
    <m/>
    <m/>
    <m/>
    <m/>
    <m/>
    <m/>
    <n v="208.72"/>
    <m/>
    <m/>
    <m/>
    <m/>
    <m/>
    <m/>
    <n v="417.46"/>
    <n v="45.14"/>
    <m/>
    <m/>
    <m/>
    <m/>
    <m/>
    <m/>
    <n v="163.58000000000001"/>
    <m/>
    <n v="1252.3599999999999"/>
  </r>
  <r>
    <n v="10"/>
    <x v="10"/>
    <x v="0"/>
    <n v="181422"/>
    <s v="ZACARIAS JOEL ADRIANO"/>
    <s v="20-31376823-7"/>
    <n v="42681"/>
    <n v="31376823"/>
    <s v="ZACARIAS"/>
    <s v="JOEL ADRIANO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SAJE ANIBAL TROILO"/>
    <n v="1225"/>
    <n v="1"/>
    <n v="3"/>
    <s v="CAPITAL FEDERAL"/>
    <s v="Buenos Aires"/>
    <m/>
    <s v="U.O.Centro"/>
    <m/>
    <n v="1"/>
    <n v="1"/>
    <n v="4911.32"/>
    <n v="982.27"/>
    <m/>
    <m/>
    <n v="3929.05"/>
    <m/>
    <n v="98.23"/>
    <m/>
    <m/>
    <m/>
    <m/>
    <m/>
    <m/>
    <n v="49.11"/>
    <m/>
    <m/>
    <m/>
    <m/>
    <m/>
    <m/>
    <n v="98.23"/>
    <m/>
    <m/>
    <m/>
    <m/>
    <m/>
    <m/>
    <m/>
    <n v="49.11"/>
    <m/>
    <n v="294.68"/>
  </r>
  <r>
    <n v="10"/>
    <x v="10"/>
    <x v="0"/>
    <n v="74589"/>
    <s v="ZACARIAS PAULA GABRIELA"/>
    <s v="27-27788768-7"/>
    <n v="42681"/>
    <n v="27788768"/>
    <s v="ZACARIAS"/>
    <s v="PAULA GABRIELA"/>
    <s v="F"/>
    <m/>
    <d v="2016-10-31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ANZANA 27 EDIF. B10"/>
    <n v="181"/>
    <n v="1"/>
    <s v="D"/>
    <s v="CAPITAL FEDERAL"/>
    <s v="Capital Federal"/>
    <m/>
    <s v="U.O.Centro"/>
    <m/>
    <n v="1"/>
    <n v="1"/>
    <n v="636.62"/>
    <n v="127.33"/>
    <m/>
    <m/>
    <n v="509.29"/>
    <m/>
    <n v="12.73"/>
    <m/>
    <m/>
    <m/>
    <m/>
    <m/>
    <m/>
    <n v="6.37"/>
    <m/>
    <m/>
    <m/>
    <m/>
    <m/>
    <m/>
    <n v="12.73"/>
    <m/>
    <m/>
    <m/>
    <m/>
    <m/>
    <m/>
    <m/>
    <n v="6.37"/>
    <m/>
    <n v="38.200000000000003"/>
  </r>
  <r>
    <n v="10"/>
    <x v="10"/>
    <x v="0"/>
    <n v="179880"/>
    <s v="ZACARIAS CEPEDA ESTEBAN JULIAN"/>
    <s v="20-39095821-9"/>
    <n v="42681"/>
    <n v="39095821"/>
    <s v="ZACARIAS CEPEDA"/>
    <s v="ESTEBAN JULIAN"/>
    <s v="M"/>
    <m/>
    <d v="2016-10-04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CONCEPCION"/>
    <n v="1225"/>
    <m/>
    <m/>
    <s v="CAPITAL FEDERAL"/>
    <s v="Buenos Aires"/>
    <m/>
    <s v="U.O.Centro"/>
    <m/>
    <n v="1"/>
    <n v="1"/>
    <n v="12879.28"/>
    <n v="2575.86"/>
    <m/>
    <m/>
    <n v="10303.42"/>
    <m/>
    <n v="257.58999999999997"/>
    <m/>
    <m/>
    <m/>
    <m/>
    <m/>
    <m/>
    <n v="128.79"/>
    <m/>
    <m/>
    <m/>
    <m/>
    <m/>
    <m/>
    <n v="257.58999999999997"/>
    <m/>
    <m/>
    <m/>
    <m/>
    <m/>
    <m/>
    <m/>
    <n v="128.79"/>
    <m/>
    <n v="772.76"/>
  </r>
  <r>
    <n v="10"/>
    <x v="10"/>
    <x v="0"/>
    <n v="164888"/>
    <s v="ZURCO IRINA BELEN"/>
    <s v="27-35930307-1"/>
    <n v="42681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HENA"/>
    <n v="1225"/>
    <m/>
    <m/>
    <s v="CAPITAL FEDERAL"/>
    <s v="Buenos Aires"/>
    <m/>
    <s v="U.O.Centro"/>
    <m/>
    <n v="3"/>
    <n v="1"/>
    <n v="10537.89"/>
    <n v="2107.58"/>
    <m/>
    <m/>
    <n v="8430.31"/>
    <m/>
    <n v="210.75"/>
    <m/>
    <m/>
    <m/>
    <m/>
    <m/>
    <m/>
    <n v="105.38"/>
    <m/>
    <m/>
    <m/>
    <m/>
    <m/>
    <m/>
    <n v="210.75"/>
    <m/>
    <m/>
    <m/>
    <m/>
    <m/>
    <m/>
    <m/>
    <n v="105.38"/>
    <m/>
    <n v="632.26"/>
  </r>
  <r>
    <n v="11"/>
    <x v="11"/>
    <x v="0"/>
    <n v="177728"/>
    <s v="ABUSLAIMAN YESICA BELEN"/>
    <s v="27-34693898-1"/>
    <n v="42710"/>
    <n v="34693898"/>
    <s v="ABUSLAIMAN"/>
    <s v="YESICA BELEN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COMBATE DE SAN LORENZO"/>
    <n v="240"/>
    <m/>
    <m/>
    <s v="TIGRE"/>
    <s v="Buenos Aires"/>
    <m/>
    <s v="U.O.San Isidro"/>
    <m/>
    <n v="1"/>
    <n v="1"/>
    <n v="15292.09"/>
    <n v="3058.41"/>
    <m/>
    <m/>
    <n v="12233.68"/>
    <m/>
    <n v="305.83999999999997"/>
    <m/>
    <m/>
    <m/>
    <m/>
    <m/>
    <m/>
    <n v="152.91999999999999"/>
    <m/>
    <m/>
    <m/>
    <m/>
    <m/>
    <m/>
    <n v="305.83999999999997"/>
    <m/>
    <m/>
    <m/>
    <m/>
    <m/>
    <m/>
    <m/>
    <n v="152.91999999999999"/>
    <n v="300"/>
    <n v="1217.52"/>
  </r>
  <r>
    <n v="11"/>
    <x v="11"/>
    <x v="1"/>
    <n v="177552"/>
    <s v="ACEVAL MARIA BELEN"/>
    <s v="23-38846176-4"/>
    <n v="42710"/>
    <n v="38846176"/>
    <s v="ACEVAL"/>
    <s v="MARIA BELEN"/>
    <s v="F"/>
    <m/>
    <d v="2016-11-10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BOLAÑOS"/>
    <n v="1584"/>
    <m/>
    <m/>
    <s v="CAPITAL FEDERAL"/>
    <s v="Capital Federal"/>
    <m/>
    <s v="U.O.Centro"/>
    <s v="Alvear Palace"/>
    <n v="1"/>
    <n v="1"/>
    <n v="469.48"/>
    <n v="93.88"/>
    <m/>
    <m/>
    <n v="375.6"/>
    <m/>
    <n v="9.39"/>
    <m/>
    <m/>
    <m/>
    <m/>
    <m/>
    <m/>
    <n v="4.6900000000000004"/>
    <n v="4.6947999999999999"/>
    <m/>
    <m/>
    <m/>
    <m/>
    <m/>
    <n v="9.39"/>
    <m/>
    <m/>
    <m/>
    <m/>
    <m/>
    <m/>
    <m/>
    <n v="4.6900000000000004"/>
    <n v="300"/>
    <n v="328.16"/>
  </r>
  <r>
    <n v="11"/>
    <x v="11"/>
    <x v="0"/>
    <n v="176112"/>
    <s v="ACEVEDO FLAVIA ANALIA"/>
    <s v="27-28987335-5"/>
    <n v="42710"/>
    <n v="28987335"/>
    <s v="ACEVEDO"/>
    <s v="FLAVIA ANALIA"/>
    <s v="F"/>
    <m/>
    <d v="2016-07-2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NGALLO"/>
    <n v="1225"/>
    <m/>
    <m/>
    <s v="CAPITAL FEDERAL"/>
    <s v="Buenos Aires"/>
    <m/>
    <s v="U.O.Centro"/>
    <m/>
    <n v="3"/>
    <n v="1"/>
    <n v="10640.41"/>
    <n v="3128.08"/>
    <m/>
    <n v="1000"/>
    <n v="8512.33"/>
    <m/>
    <n v="212.81"/>
    <m/>
    <m/>
    <m/>
    <m/>
    <m/>
    <m/>
    <n v="106.4"/>
    <m/>
    <m/>
    <m/>
    <m/>
    <n v="1000"/>
    <m/>
    <n v="212.81"/>
    <m/>
    <m/>
    <m/>
    <m/>
    <m/>
    <m/>
    <m/>
    <n v="106.4"/>
    <n v="300"/>
    <n v="1938.42"/>
  </r>
  <r>
    <n v="11"/>
    <x v="11"/>
    <x v="1"/>
    <n v="170882"/>
    <s v="ACOSTA ADRIAN JOSE"/>
    <s v="23-30887276-9"/>
    <n v="42703"/>
    <n v="30887276"/>
    <s v="ACOSTA"/>
    <s v="ADRIAN JOSE"/>
    <s v="M"/>
    <m/>
    <d v="2016-03-29T00:00:00"/>
    <m/>
    <m/>
    <s v="GASTRONOMICOS-Hoteles 4 y 5 Estrellas - 362/2003"/>
    <s v="Categoria 3"/>
    <x v="3"/>
    <s v="Unidad Principal"/>
    <s v="Centro"/>
    <s v="Tareas Generales"/>
    <n v="108803"/>
    <s v="O.S.P.Gastronomico"/>
    <s v="Capital Federal"/>
    <m/>
    <s v="C1002ABO"/>
    <s v="GRAL MOLINA"/>
    <n v="764"/>
    <m/>
    <m/>
    <s v="CAPITAL FEDERAL"/>
    <s v="Capital Federal"/>
    <m/>
    <s v="U.O.Centro Paga Inplant"/>
    <m/>
    <n v="1"/>
    <n v="1"/>
    <n v="16301.45"/>
    <n v="3260.28"/>
    <m/>
    <m/>
    <n v="13041.17"/>
    <m/>
    <n v="326.02999999999997"/>
    <m/>
    <m/>
    <m/>
    <m/>
    <m/>
    <m/>
    <n v="163.01"/>
    <n v="163.0145"/>
    <m/>
    <m/>
    <m/>
    <m/>
    <m/>
    <n v="326.02999999999997"/>
    <m/>
    <m/>
    <m/>
    <m/>
    <m/>
    <m/>
    <m/>
    <n v="163.01"/>
    <n v="300"/>
    <n v="1278.08"/>
  </r>
  <r>
    <n v="11"/>
    <x v="11"/>
    <x v="0"/>
    <n v="118846"/>
    <s v="ACOSTA SUSANA BEATRIZ"/>
    <s v="27-32902543-3"/>
    <n v="42710"/>
    <n v="32902543"/>
    <s v="ACOSTA"/>
    <s v="SUSANA BEATRIZ"/>
    <s v="F"/>
    <m/>
    <d v="2013-11-17T00:00:00"/>
    <m/>
    <m/>
    <s v="GASTRONOMICOS-Hoteles 4 y 5 Estrellas - 362/2003"/>
    <s v="Categoria 6"/>
    <x v="2"/>
    <s v="Unidad Principal"/>
    <s v="Centro"/>
    <s v="Tareas Generales"/>
    <n v="108803"/>
    <s v="O.S.P.Gastronomico"/>
    <s v="Capital Federal"/>
    <m/>
    <s v="C1008AAT"/>
    <s v="JUEZ TEDIN"/>
    <n v="948"/>
    <m/>
    <m/>
    <s v="CAPITAL FEDERAL"/>
    <s v="Capital Federal"/>
    <m/>
    <s v="U.O.Centro"/>
    <m/>
    <n v="1"/>
    <n v="1"/>
    <n v="14991.51"/>
    <n v="2998.32"/>
    <m/>
    <m/>
    <n v="11993.19"/>
    <m/>
    <n v="299.83"/>
    <m/>
    <m/>
    <m/>
    <m/>
    <m/>
    <m/>
    <n v="149.91999999999999"/>
    <m/>
    <m/>
    <m/>
    <m/>
    <m/>
    <m/>
    <n v="299.83"/>
    <m/>
    <m/>
    <m/>
    <m/>
    <m/>
    <m/>
    <m/>
    <n v="149.91999999999999"/>
    <n v="300"/>
    <n v="1199.5"/>
  </r>
  <r>
    <n v="11"/>
    <x v="11"/>
    <x v="1"/>
    <n v="70996"/>
    <s v="ACUÑA ELBA SANDRA"/>
    <s v="27-28976424-6"/>
    <n v="42703"/>
    <n v="28976424"/>
    <s v="ACUÑA"/>
    <s v="ELBA SANDRA"/>
    <s v="F"/>
    <m/>
    <d v="2016-08-29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NECOCHEA"/>
    <n v="764"/>
    <m/>
    <m/>
    <s v="CAPITAL FEDERAL"/>
    <s v="Capital Federal"/>
    <m/>
    <s v="U.O.Centro"/>
    <m/>
    <n v="1"/>
    <n v="1"/>
    <n v="5031.1000000000004"/>
    <n v="1006.21"/>
    <m/>
    <m/>
    <n v="4024.89"/>
    <m/>
    <n v="100.62"/>
    <m/>
    <m/>
    <m/>
    <m/>
    <m/>
    <m/>
    <n v="50.31"/>
    <n v="50.311000000000007"/>
    <m/>
    <m/>
    <m/>
    <m/>
    <m/>
    <n v="100.62"/>
    <m/>
    <m/>
    <m/>
    <m/>
    <m/>
    <m/>
    <m/>
    <n v="50.31"/>
    <n v="300"/>
    <n v="601.86"/>
  </r>
  <r>
    <n v="11"/>
    <x v="11"/>
    <x v="0"/>
    <n v="183604"/>
    <s v="ACUÑA RAUL ALBERTO"/>
    <s v="20-26353119-2"/>
    <n v="42710"/>
    <n v="26353119"/>
    <s v="ACUÑA"/>
    <s v="RAUL ALBERTO"/>
    <s v="M"/>
    <m/>
    <d v="2016-11-25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EDRO DE MENDOZA"/>
    <n v="1005"/>
    <n v="2"/>
    <s v="B"/>
    <s v="CAPITAL FEDERAL"/>
    <s v="Capital Federal"/>
    <m/>
    <s v="U.O.Centro"/>
    <m/>
    <n v="1"/>
    <n v="1"/>
    <n v="2785.84"/>
    <n v="557.17999999999995"/>
    <m/>
    <m/>
    <n v="2228.66"/>
    <m/>
    <n v="55.72"/>
    <m/>
    <m/>
    <m/>
    <m/>
    <m/>
    <m/>
    <n v="27.86"/>
    <m/>
    <m/>
    <m/>
    <m/>
    <m/>
    <m/>
    <n v="55.72"/>
    <m/>
    <m/>
    <m/>
    <m/>
    <m/>
    <m/>
    <m/>
    <n v="27.86"/>
    <n v="300"/>
    <n v="467.16"/>
  </r>
  <r>
    <n v="11"/>
    <x v="11"/>
    <x v="0"/>
    <n v="168236"/>
    <s v="ALFONZO SEBASTIAN ALEJANDRO"/>
    <s v="20-34553164-6"/>
    <n v="42710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AVENIDA PUEYRREDON"/>
    <n v="1225"/>
    <m/>
    <m/>
    <s v="CAPITAL FEDERAL"/>
    <s v="Buenos Aires"/>
    <m/>
    <s v="U.O.Centro"/>
    <m/>
    <n v="2"/>
    <n v="1"/>
    <n v="8901.76"/>
    <n v="1780.37"/>
    <m/>
    <m/>
    <n v="7121.39"/>
    <m/>
    <n v="178.03"/>
    <m/>
    <m/>
    <m/>
    <m/>
    <m/>
    <m/>
    <n v="89.02"/>
    <m/>
    <m/>
    <m/>
    <m/>
    <m/>
    <m/>
    <n v="178.03"/>
    <m/>
    <m/>
    <m/>
    <m/>
    <m/>
    <m/>
    <m/>
    <n v="89.02"/>
    <n v="300"/>
    <n v="834.1"/>
  </r>
  <r>
    <n v="11"/>
    <x v="11"/>
    <x v="0"/>
    <n v="160165"/>
    <s v="ALONZO JAVIER ANTONIO"/>
    <s v="20-25146812-6"/>
    <n v="42710"/>
    <n v="25146812"/>
    <s v="ALONZO"/>
    <s v="JAVIER ANTONIO"/>
    <s v="M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CALLAO"/>
    <n v="1225"/>
    <m/>
    <m/>
    <s v="CAPITAL FEDERAL"/>
    <s v="Buenos Aires"/>
    <m/>
    <s v="U.O.Centro"/>
    <m/>
    <n v="5"/>
    <n v="1"/>
    <n v="9446.69"/>
    <n v="1889.33"/>
    <m/>
    <m/>
    <n v="7557.36"/>
    <m/>
    <n v="188.93"/>
    <m/>
    <m/>
    <m/>
    <m/>
    <m/>
    <m/>
    <n v="94.47"/>
    <m/>
    <m/>
    <m/>
    <m/>
    <m/>
    <m/>
    <n v="188.93"/>
    <m/>
    <m/>
    <m/>
    <m/>
    <m/>
    <m/>
    <m/>
    <n v="94.47"/>
    <n v="300"/>
    <n v="866.8"/>
  </r>
  <r>
    <n v="11"/>
    <x v="11"/>
    <x v="0"/>
    <n v="163395"/>
    <s v="ALTAMIRANO EUGENIA DELIA"/>
    <s v="27-33347518-4"/>
    <n v="42710"/>
    <n v="33347518"/>
    <s v="ALTAMIRANO"/>
    <s v="EUGENIA DELIA"/>
    <s v="F"/>
    <m/>
    <d v="2016-11-08T00:00:00"/>
    <m/>
    <m/>
    <s v="GASTRONOMICOS-Hoteles 4 y 5 Estrellas - 362/2003"/>
    <s v="Categoria 6"/>
    <x v="1"/>
    <s v="Banquetes Extra Eventual - GL"/>
    <s v="Centro"/>
    <s v="Camarero/a"/>
    <n v="108803"/>
    <s v="O.S.P.Gastronomico"/>
    <s v="Capital Federal"/>
    <m/>
    <n v="1005"/>
    <s v="MONTEGUDO"/>
    <n v="1005"/>
    <m/>
    <m/>
    <s v="CAPITAL FEDERAL"/>
    <s v="Capital Federal"/>
    <m/>
    <s v="U.O.Centro"/>
    <m/>
    <n v="2"/>
    <n v="1"/>
    <n v="3085.32"/>
    <n v="632.49"/>
    <m/>
    <m/>
    <n v="2452.83"/>
    <n v="77.13"/>
    <m/>
    <m/>
    <m/>
    <m/>
    <m/>
    <m/>
    <m/>
    <n v="30.86"/>
    <m/>
    <m/>
    <m/>
    <m/>
    <m/>
    <m/>
    <n v="61.7"/>
    <m/>
    <m/>
    <m/>
    <m/>
    <m/>
    <m/>
    <m/>
    <n v="30.86"/>
    <n v="300"/>
    <n v="500.55"/>
  </r>
  <r>
    <n v="11"/>
    <x v="11"/>
    <x v="0"/>
    <n v="183927"/>
    <s v="ALVARENGA ERICA CRISTINA"/>
    <s v="27-32825466-8"/>
    <n v="42710"/>
    <n v="32825466"/>
    <s v="ALVARENGA"/>
    <s v="ERICA CRISTINA"/>
    <s v="F"/>
    <m/>
    <d v="2016-11-1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TUCUMAN"/>
    <n v="1225"/>
    <m/>
    <m/>
    <s v="CAPITAL FEDERAL"/>
    <s v="Buenos Aires"/>
    <m/>
    <s v="U.O.Centro"/>
    <m/>
    <n v="1"/>
    <n v="1"/>
    <n v="3953.07"/>
    <n v="790.61"/>
    <m/>
    <m/>
    <n v="3162.46"/>
    <m/>
    <n v="79.06"/>
    <m/>
    <m/>
    <m/>
    <m/>
    <m/>
    <m/>
    <n v="39.53"/>
    <m/>
    <m/>
    <m/>
    <m/>
    <m/>
    <m/>
    <n v="79.06"/>
    <m/>
    <m/>
    <m/>
    <m/>
    <m/>
    <m/>
    <m/>
    <n v="39.53"/>
    <n v="300"/>
    <n v="537.17999999999995"/>
  </r>
  <r>
    <n v="11"/>
    <x v="11"/>
    <x v="1"/>
    <n v="181985"/>
    <s v="ALVAREZ ANTONELA ELIZABETH"/>
    <s v="27-34485990-1"/>
    <n v="42703"/>
    <n v="34485990"/>
    <s v="ALVAREZ"/>
    <s v="ANTONELA ELIZABETH"/>
    <s v="F"/>
    <m/>
    <d v="2016-10-31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LISANDRO DE LA TORRE"/>
    <n v="764"/>
    <m/>
    <m/>
    <s v="CAPITAL FEDERAL"/>
    <s v="Capital Federal"/>
    <m/>
    <s v="U.O.Centro"/>
    <m/>
    <n v="1"/>
    <n v="1"/>
    <n v="5126.03"/>
    <n v="1025.2"/>
    <m/>
    <m/>
    <n v="4100.83"/>
    <m/>
    <n v="102.52"/>
    <m/>
    <m/>
    <m/>
    <m/>
    <m/>
    <m/>
    <n v="51.26"/>
    <n v="51.260300000000001"/>
    <m/>
    <m/>
    <m/>
    <m/>
    <m/>
    <n v="102.52"/>
    <m/>
    <m/>
    <m/>
    <m/>
    <m/>
    <m/>
    <m/>
    <n v="51.26"/>
    <n v="300"/>
    <n v="607.55999999999995"/>
  </r>
  <r>
    <n v="11"/>
    <x v="11"/>
    <x v="0"/>
    <n v="156038"/>
    <s v="AMARILLA GLADIS NORMA"/>
    <s v="27-31471414-3"/>
    <n v="42710"/>
    <n v="31471414"/>
    <s v="AMARILLA"/>
    <s v="GLADIS NORM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JAVIER"/>
    <n v="1225"/>
    <m/>
    <m/>
    <s v="CAPITAL FEDERAL"/>
    <s v="Buenos Aires"/>
    <m/>
    <s v="U.O.Centro"/>
    <m/>
    <n v="2"/>
    <n v="1"/>
    <n v="9163.3799999999992"/>
    <n v="1832.67"/>
    <m/>
    <m/>
    <n v="7330.71"/>
    <m/>
    <n v="183.27"/>
    <m/>
    <m/>
    <m/>
    <m/>
    <m/>
    <m/>
    <n v="91.63"/>
    <m/>
    <m/>
    <m/>
    <m/>
    <m/>
    <m/>
    <n v="183.27"/>
    <m/>
    <m/>
    <m/>
    <m/>
    <m/>
    <m/>
    <m/>
    <n v="91.63"/>
    <n v="300"/>
    <n v="849.8"/>
  </r>
  <r>
    <n v="11"/>
    <x v="11"/>
    <x v="0"/>
    <n v="172090"/>
    <s v="ANGULO QUINTERO JUAN FRANCISCO"/>
    <s v="20-95530684-9"/>
    <n v="42710"/>
    <n v="95530684"/>
    <s v="ANGULO QUINTERO"/>
    <s v="JUAN FRANCISCO"/>
    <s v="M"/>
    <m/>
    <d v="2016-04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LTA"/>
    <n v="1225"/>
    <m/>
    <m/>
    <s v="CAPITAL FEDERAL"/>
    <s v="Buenos Aires"/>
    <m/>
    <s v="U.O.Centro"/>
    <m/>
    <n v="3"/>
    <n v="1"/>
    <n v="12815.78"/>
    <n v="2558.71"/>
    <m/>
    <m/>
    <n v="10257.07"/>
    <m/>
    <n v="256.31"/>
    <m/>
    <m/>
    <m/>
    <m/>
    <m/>
    <m/>
    <n v="123.71"/>
    <m/>
    <m/>
    <m/>
    <m/>
    <m/>
    <m/>
    <n v="256.31"/>
    <m/>
    <m/>
    <m/>
    <m/>
    <m/>
    <m/>
    <m/>
    <n v="123.71"/>
    <n v="300"/>
    <n v="1060.04"/>
  </r>
  <r>
    <n v="11"/>
    <x v="11"/>
    <x v="0"/>
    <n v="173246"/>
    <s v="ARBOLELLA LAUTARO URIEL GABRIEL"/>
    <s v="27-33782994-0"/>
    <n v="42695"/>
    <n v="33782994"/>
    <s v="ARBOLELLA"/>
    <s v="LAUTARO URIEL GABRIEL"/>
    <s v="M"/>
    <m/>
    <d v="2016-05-1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ALGUERO"/>
    <n v="1225"/>
    <n v="2"/>
    <s v="B"/>
    <s v="CAPITAL FEDERAL"/>
    <s v="Buenos Aires"/>
    <m/>
    <s v="U.O.Centro"/>
    <m/>
    <n v="1"/>
    <n v="1"/>
    <n v="780.15"/>
    <n v="156.02000000000001"/>
    <m/>
    <m/>
    <n v="624.13"/>
    <m/>
    <n v="15.6"/>
    <m/>
    <m/>
    <m/>
    <m/>
    <m/>
    <m/>
    <n v="7.8"/>
    <m/>
    <m/>
    <m/>
    <m/>
    <m/>
    <m/>
    <n v="15.6"/>
    <m/>
    <m/>
    <m/>
    <m/>
    <m/>
    <m/>
    <m/>
    <n v="7.8"/>
    <n v="300"/>
    <n v="346.8"/>
  </r>
  <r>
    <n v="11"/>
    <x v="11"/>
    <x v="0"/>
    <n v="139740"/>
    <s v="AREVALO PABLO DAVID"/>
    <s v="20-37897359-8"/>
    <n v="42710"/>
    <n v="37897359"/>
    <s v="AREVALO"/>
    <s v="PABL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UJAN"/>
    <n v="1225"/>
    <m/>
    <m/>
    <s v="CAPITAL FEDERAL"/>
    <s v="Buenos Aires"/>
    <m/>
    <s v="U.O.Centro"/>
    <m/>
    <n v="4"/>
    <n v="1"/>
    <n v="26292.560000000001"/>
    <n v="5258.55"/>
    <m/>
    <m/>
    <n v="21034.01"/>
    <m/>
    <n v="525.85"/>
    <m/>
    <m/>
    <m/>
    <m/>
    <m/>
    <m/>
    <n v="262.93"/>
    <m/>
    <m/>
    <m/>
    <m/>
    <m/>
    <m/>
    <n v="525.85"/>
    <m/>
    <m/>
    <m/>
    <m/>
    <m/>
    <m/>
    <m/>
    <n v="262.93"/>
    <n v="300"/>
    <n v="1877.56"/>
  </r>
  <r>
    <n v="11"/>
    <x v="11"/>
    <x v="1"/>
    <n v="157979"/>
    <s v="AREVALOS DANIELA GISELLE"/>
    <s v="27-37551283-7"/>
    <n v="42703"/>
    <n v="37551283"/>
    <s v="AREVALOS"/>
    <s v="DANIELA GISELLE"/>
    <s v="F"/>
    <m/>
    <d v="2016-11-08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MIGLIACCIO"/>
    <n v="764"/>
    <m/>
    <m/>
    <s v="CAPITAL FEDERAL"/>
    <s v="Capital Federal"/>
    <m/>
    <s v="U.O.Centro"/>
    <m/>
    <n v="1"/>
    <n v="1"/>
    <n v="12008.2"/>
    <n v="2401.64"/>
    <m/>
    <m/>
    <n v="9606.56"/>
    <m/>
    <n v="240.16"/>
    <m/>
    <m/>
    <m/>
    <m/>
    <m/>
    <m/>
    <n v="120.08"/>
    <n v="120.08200000000001"/>
    <m/>
    <m/>
    <m/>
    <m/>
    <m/>
    <n v="240.16"/>
    <m/>
    <m/>
    <m/>
    <m/>
    <m/>
    <m/>
    <m/>
    <n v="120.08"/>
    <n v="300"/>
    <n v="1020.48"/>
  </r>
  <r>
    <n v="11"/>
    <x v="11"/>
    <x v="0"/>
    <n v="180397"/>
    <s v="ARIAS MARCIA EUGENIA"/>
    <s v="27-38287299-7"/>
    <n v="42710"/>
    <n v="38287299"/>
    <s v="ARIAS"/>
    <s v="MARCIA EUGENIA"/>
    <s v="F"/>
    <m/>
    <d v="2016-10-11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RIO CARAPACHAY"/>
    <n v="1005"/>
    <m/>
    <m/>
    <s v="CAPITAL FEDERAL"/>
    <s v="Capital Federal"/>
    <m/>
    <s v="U.O.Centro"/>
    <m/>
    <n v="2"/>
    <n v="1"/>
    <n v="13521.31"/>
    <n v="2704.26"/>
    <m/>
    <m/>
    <n v="10817.05"/>
    <m/>
    <n v="270.43"/>
    <m/>
    <m/>
    <m/>
    <m/>
    <m/>
    <m/>
    <n v="135.21"/>
    <m/>
    <m/>
    <m/>
    <m/>
    <m/>
    <m/>
    <n v="270.43"/>
    <m/>
    <m/>
    <m/>
    <m/>
    <m/>
    <m/>
    <m/>
    <n v="135.21"/>
    <n v="300"/>
    <n v="1111.28"/>
  </r>
  <r>
    <n v="11"/>
    <x v="11"/>
    <x v="0"/>
    <n v="182638"/>
    <s v="ARREGUEZ EMANUEL RODRIGO"/>
    <s v="20-30403408-5"/>
    <n v="42710"/>
    <n v="30403408"/>
    <s v="ARREGUEZ"/>
    <s v="EMANUEL RODRIGO"/>
    <s v="M"/>
    <m/>
    <d v="2016-11-08T00:00:00"/>
    <m/>
    <m/>
    <s v="GASTRONOMICOS-Hoteles 4 y 5 Estrellas - 362/2003"/>
    <s v="Categoria 6"/>
    <x v="1"/>
    <s v="Banquetes Extra Eventual - GL"/>
    <s v="Centro"/>
    <s v="Camarero/a"/>
    <n v="100304"/>
    <s v="OS  DE  TECNICOS DE VUELO DE LINEAS AEREAS"/>
    <s v="Capital Federal"/>
    <m/>
    <n v="1005"/>
    <s v="TENIENTE GENERAL PERON"/>
    <n v="1005"/>
    <n v="1"/>
    <n v="21"/>
    <s v="CAPITAL FEDERAL"/>
    <s v="Capital Federal"/>
    <m/>
    <s v="U.O.Centro"/>
    <m/>
    <n v="2"/>
    <n v="1"/>
    <n v="13731.15"/>
    <n v="2746.22"/>
    <m/>
    <m/>
    <n v="10984.93"/>
    <m/>
    <n v="274.62"/>
    <m/>
    <m/>
    <m/>
    <m/>
    <m/>
    <m/>
    <n v="137.31"/>
    <m/>
    <m/>
    <m/>
    <m/>
    <m/>
    <m/>
    <n v="274.62"/>
    <m/>
    <m/>
    <m/>
    <m/>
    <m/>
    <m/>
    <m/>
    <n v="137.31"/>
    <n v="300"/>
    <n v="1123.8599999999999"/>
  </r>
  <r>
    <n v="11"/>
    <x v="11"/>
    <x v="1"/>
    <n v="172297"/>
    <s v="ARRIOLA FRANCO CRISTIAN DAMIAN"/>
    <s v="20-41314830-9"/>
    <n v="42710"/>
    <n v="41314830"/>
    <s v="ARRIOLA FRANCO"/>
    <s v="CRISTIAN DAMIAN"/>
    <s v="M"/>
    <m/>
    <d v="2016-11-22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IRALA"/>
    <n v="1584"/>
    <m/>
    <m/>
    <s v="CAPITAL FEDERAL"/>
    <s v="Capital Federal"/>
    <m/>
    <s v="U.O.Centro"/>
    <s v="Alvear Palace"/>
    <n v="3"/>
    <n v="1"/>
    <n v="5026.0600000000004"/>
    <n v="968.3"/>
    <m/>
    <m/>
    <n v="4057.76"/>
    <m/>
    <n v="100.52"/>
    <m/>
    <m/>
    <m/>
    <m/>
    <m/>
    <m/>
    <n v="13.35"/>
    <n v="50.260600000000004"/>
    <m/>
    <m/>
    <m/>
    <m/>
    <m/>
    <n v="100.52"/>
    <m/>
    <m/>
    <m/>
    <m/>
    <m/>
    <m/>
    <m/>
    <n v="13.35"/>
    <n v="300"/>
    <n v="527.74"/>
  </r>
  <r>
    <n v="11"/>
    <x v="11"/>
    <x v="0"/>
    <n v="173402"/>
    <s v="AUHAD MARIA DELFINA"/>
    <s v="27-33808278-4"/>
    <n v="42710"/>
    <n v="33808278"/>
    <s v="AUHAD"/>
    <s v="MARIA DELFINA"/>
    <s v="F"/>
    <m/>
    <d v="2016-05-21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3"/>
    <n v="1"/>
    <n v="12416.75"/>
    <n v="2483.36"/>
    <m/>
    <m/>
    <n v="9933.39"/>
    <m/>
    <n v="248.34"/>
    <m/>
    <m/>
    <m/>
    <m/>
    <m/>
    <m/>
    <n v="124.17"/>
    <m/>
    <m/>
    <m/>
    <m/>
    <m/>
    <m/>
    <n v="248.34"/>
    <m/>
    <m/>
    <m/>
    <m/>
    <m/>
    <m/>
    <m/>
    <n v="124.17"/>
    <n v="300"/>
    <n v="1045.02"/>
  </r>
  <r>
    <n v="11"/>
    <x v="11"/>
    <x v="0"/>
    <n v="180302"/>
    <s v="AYLLON BALLARDINI RITA LORENA"/>
    <s v="27-30473367-0"/>
    <n v="42710"/>
    <n v="30473367"/>
    <s v="AYLLON BALLARDINI"/>
    <s v="RITA LORENA"/>
    <s v="F"/>
    <m/>
    <d v="2016-10-10T00:00:00"/>
    <m/>
    <m/>
    <s v="GASTRONOMICOS-Hoteles 4 y 5 Estrellas - 362/2003"/>
    <s v="Categoria 6"/>
    <x v="5"/>
    <s v="Mozos / camareros - GL"/>
    <s v="Centro"/>
    <s v="Camarero/a"/>
    <n v="112608"/>
    <s v="OS  DEL PERSONAL DE LA INDUSTRIA MOLINERA"/>
    <s v="Capital Federal"/>
    <m/>
    <s v="C1104AKC"/>
    <s v="SUIPACHA"/>
    <n v="1225"/>
    <n v="4"/>
    <s v="D"/>
    <s v="CAPITAL FEDERAL"/>
    <s v="Buenos Aires"/>
    <m/>
    <s v="U.O.Centro"/>
    <m/>
    <n v="2"/>
    <n v="1"/>
    <n v="3665.36"/>
    <n v="733.06"/>
    <m/>
    <m/>
    <n v="2932.3"/>
    <m/>
    <n v="73.3"/>
    <m/>
    <m/>
    <m/>
    <m/>
    <m/>
    <m/>
    <n v="36.659999999999997"/>
    <m/>
    <m/>
    <m/>
    <m/>
    <m/>
    <m/>
    <n v="73.3"/>
    <m/>
    <m/>
    <m/>
    <m/>
    <m/>
    <m/>
    <m/>
    <n v="36.659999999999997"/>
    <n v="300"/>
    <n v="519.91999999999996"/>
  </r>
  <r>
    <n v="11"/>
    <x v="11"/>
    <x v="1"/>
    <n v="182796"/>
    <s v="AZA GONZALEZ JAVIER ALEJANDRO"/>
    <s v="20-62790407-0"/>
    <n v="42710"/>
    <n v="62790407"/>
    <s v="AZA GONZALEZ"/>
    <s v="JAVIER ALEJANDRO"/>
    <s v="M"/>
    <m/>
    <d v="2016-11-11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CALLAO"/>
    <n v="507"/>
    <n v="1"/>
    <m/>
    <s v="CAPITAL FEDERAL"/>
    <s v="Capital Federal"/>
    <m/>
    <s v="U.O.Centro"/>
    <m/>
    <n v="1"/>
    <n v="1"/>
    <n v="3265.85"/>
    <n v="653.17999999999995"/>
    <m/>
    <m/>
    <n v="2612.67"/>
    <m/>
    <n v="65.319999999999993"/>
    <m/>
    <m/>
    <m/>
    <m/>
    <m/>
    <m/>
    <n v="32.659999999999997"/>
    <n v="32.658499999999997"/>
    <m/>
    <m/>
    <m/>
    <m/>
    <m/>
    <n v="65.319999999999993"/>
    <m/>
    <m/>
    <m/>
    <m/>
    <m/>
    <m/>
    <m/>
    <n v="32.659999999999997"/>
    <n v="300"/>
    <n v="495.96"/>
  </r>
  <r>
    <n v="11"/>
    <x v="11"/>
    <x v="0"/>
    <n v="182644"/>
    <s v="AZCONA FLORENCIA ROCIO"/>
    <s v="27-40797789-6"/>
    <n v="42710"/>
    <n v="40797789"/>
    <s v="AZCONA"/>
    <s v="FLORENCIA ROCIO"/>
    <s v="F"/>
    <m/>
    <d v="2016-11-13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CALLE 866"/>
    <n v="474"/>
    <m/>
    <m/>
    <s v="CAPITAL FEDERAL"/>
    <s v="Buenos Aires"/>
    <m/>
    <s v="U.O.Centro"/>
    <m/>
    <n v="3"/>
    <n v="1"/>
    <n v="1639.81"/>
    <n v="327.95"/>
    <m/>
    <m/>
    <n v="1311.86"/>
    <m/>
    <n v="32.79"/>
    <m/>
    <m/>
    <m/>
    <m/>
    <m/>
    <m/>
    <n v="16.399999999999999"/>
    <m/>
    <m/>
    <m/>
    <m/>
    <m/>
    <m/>
    <n v="32.79"/>
    <n v="11"/>
    <n v="250"/>
    <m/>
    <m/>
    <m/>
    <m/>
    <m/>
    <n v="5.4"/>
    <n v="300"/>
    <n v="648.38"/>
  </r>
  <r>
    <n v="11"/>
    <x v="11"/>
    <x v="0"/>
    <n v="182774"/>
    <s v="BALBUENA ROCIO BELEN"/>
    <s v="27-36823753-7"/>
    <n v="42710"/>
    <n v="36823753"/>
    <s v="BALBUENA"/>
    <s v="ROCIO BELEN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MANUELA GARCIA"/>
    <n v="240"/>
    <m/>
    <m/>
    <s v="TIGRE"/>
    <s v="Buenos Aires"/>
    <m/>
    <s v="U.O.San Isidro"/>
    <m/>
    <n v="1"/>
    <n v="1"/>
    <n v="5300.61"/>
    <n v="1060.1300000000001"/>
    <m/>
    <m/>
    <n v="4240.4799999999996"/>
    <m/>
    <n v="106.01"/>
    <m/>
    <m/>
    <m/>
    <m/>
    <m/>
    <m/>
    <n v="53.01"/>
    <m/>
    <m/>
    <m/>
    <m/>
    <m/>
    <m/>
    <n v="106.01"/>
    <m/>
    <m/>
    <m/>
    <m/>
    <m/>
    <m/>
    <m/>
    <n v="53.01"/>
    <n v="300"/>
    <n v="618.04"/>
  </r>
  <r>
    <n v="11"/>
    <x v="11"/>
    <x v="0"/>
    <n v="183654"/>
    <s v="BALDASSINI PABLO MARIO"/>
    <s v="20-23703463-6"/>
    <n v="42710"/>
    <n v="23703463"/>
    <s v="BALDASSINI"/>
    <s v="PABLO MARIO"/>
    <s v="M"/>
    <m/>
    <d v="2016-11-24T00:00:00"/>
    <m/>
    <m/>
    <s v="GASTRONOMICOS-Hoteles 4 y 5 Estrellas - 362/2003"/>
    <s v="Categoria 6"/>
    <x v="1"/>
    <s v="Banquetes Extra Eventual - GL"/>
    <s v="Centro"/>
    <s v="Camarero/a"/>
    <n v="108803"/>
    <s v="O.S.P.Gastronomico"/>
    <s v="Capital Federal"/>
    <m/>
    <n v="1005"/>
    <s v="BAIGORRIA"/>
    <n v="1005"/>
    <n v="1"/>
    <s v="A"/>
    <s v="CAPITAL FEDERAL"/>
    <s v="Capital Federal"/>
    <m/>
    <s v="U.O.Centro"/>
    <m/>
    <n v="1"/>
    <n v="1"/>
    <n v="2495.7399999999998"/>
    <n v="499.14"/>
    <m/>
    <m/>
    <n v="1996.6"/>
    <m/>
    <n v="49.91"/>
    <m/>
    <m/>
    <m/>
    <m/>
    <m/>
    <m/>
    <n v="24.96"/>
    <m/>
    <m/>
    <m/>
    <m/>
    <m/>
    <m/>
    <n v="49.91"/>
    <m/>
    <m/>
    <m/>
    <m/>
    <m/>
    <m/>
    <m/>
    <n v="24.96"/>
    <n v="300"/>
    <n v="449.74"/>
  </r>
  <r>
    <n v="11"/>
    <x v="11"/>
    <x v="0"/>
    <n v="155970"/>
    <s v="BARRIONUEVO SILVIA NOEMI"/>
    <s v="27-22804897-1"/>
    <n v="42710"/>
    <n v="22804897"/>
    <s v="BARRIONUEVO"/>
    <s v="SILVIA NOEMI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 COBO CURAPALIGUE"/>
    <n v="1225"/>
    <s v="A"/>
    <m/>
    <s v="CAPITAL FEDERAL"/>
    <s v="Buenos Aires"/>
    <m/>
    <s v="U.O.Centro"/>
    <m/>
    <n v="3"/>
    <n v="1"/>
    <n v="10807.7"/>
    <n v="2126.77"/>
    <m/>
    <m/>
    <n v="8680.93"/>
    <m/>
    <n v="216.16"/>
    <m/>
    <m/>
    <m/>
    <m/>
    <m/>
    <m/>
    <n v="73.3"/>
    <m/>
    <m/>
    <m/>
    <m/>
    <m/>
    <m/>
    <n v="216.16"/>
    <m/>
    <m/>
    <m/>
    <m/>
    <m/>
    <m/>
    <m/>
    <n v="73.3"/>
    <n v="300"/>
    <n v="878.92"/>
  </r>
  <r>
    <n v="11"/>
    <x v="11"/>
    <x v="1"/>
    <n v="182305"/>
    <s v="BARRIOS MONICA SUSANA"/>
    <s v="27-27123291-3"/>
    <n v="42710"/>
    <n v="27123291"/>
    <s v="BARRIOS"/>
    <s v="MONICA SUSANA"/>
    <s v="F"/>
    <m/>
    <d v="2016-11-04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ITALIANI"/>
    <n v="1584"/>
    <m/>
    <m/>
    <s v="CAPITAL FEDERAL"/>
    <s v="Capital Federal"/>
    <m/>
    <s v="U.O.Centro"/>
    <s v="Alvear Palace"/>
    <n v="2"/>
    <n v="1"/>
    <n v="4552.97"/>
    <n v="910.58"/>
    <m/>
    <m/>
    <n v="3642.39"/>
    <m/>
    <n v="91.06"/>
    <m/>
    <m/>
    <m/>
    <m/>
    <m/>
    <m/>
    <n v="45.53"/>
    <n v="45.529700000000005"/>
    <m/>
    <m/>
    <m/>
    <m/>
    <m/>
    <n v="91.06"/>
    <n v="7.5"/>
    <n v="250"/>
    <m/>
    <m/>
    <m/>
    <m/>
    <m/>
    <n v="38.03"/>
    <n v="300"/>
    <n v="823.18"/>
  </r>
  <r>
    <n v="11"/>
    <x v="11"/>
    <x v="0"/>
    <n v="150709"/>
    <s v="BARRIOS NAHUEL ALEJANDRO"/>
    <s v="20-39155005-1"/>
    <n v="42710"/>
    <n v="39155005"/>
    <s v="BARRIOS"/>
    <s v="NAHUEL ALEJANDRO"/>
    <s v="M"/>
    <m/>
    <d v="2016-02-13T00:00:00"/>
    <d v="2016-10-10T00:00:00"/>
    <n v="42653"/>
    <s v="GASTRONOMICOS-Hoteles 4 y 5 Estrellas - 362/2003"/>
    <s v="Categoria 1"/>
    <x v="4"/>
    <s v="Unidad Base-GL"/>
    <s v="Centro"/>
    <s v="Tareas Generales"/>
    <n v="108803"/>
    <s v="O.S.P.Gastronomico"/>
    <s v="Capital Federal"/>
    <m/>
    <s v="C1004AAJ"/>
    <s v="CALA"/>
    <n v="474"/>
    <m/>
    <m/>
    <s v="CAPITAL FEDERAL"/>
    <s v="Buenos Aires"/>
    <m/>
    <s v="U.O.Centro"/>
    <m/>
    <n v="1"/>
    <n v="1"/>
    <n v="2452.09"/>
    <n v="490.41"/>
    <m/>
    <n v="1908.98"/>
    <n v="3870.66"/>
    <m/>
    <n v="49.04"/>
    <m/>
    <m/>
    <m/>
    <m/>
    <m/>
    <m/>
    <n v="24.52"/>
    <m/>
    <m/>
    <m/>
    <m/>
    <m/>
    <m/>
    <n v="49.04"/>
    <m/>
    <m/>
    <m/>
    <m/>
    <m/>
    <m/>
    <m/>
    <n v="24.52"/>
    <m/>
    <n v="147.12"/>
  </r>
  <r>
    <n v="11"/>
    <x v="11"/>
    <x v="0"/>
    <n v="180745"/>
    <s v="BAYER AGUSTINA YAEL"/>
    <s v="27-38947917-4"/>
    <n v="42710"/>
    <n v="38947917"/>
    <s v="BAYER"/>
    <s v="AGUSTINA YAEL"/>
    <s v="F"/>
    <m/>
    <d v="2016-10-1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AMARRA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11"/>
    <x v="11"/>
    <x v="0"/>
    <n v="179832"/>
    <s v="BAZAN DANIELA SOLEDAD"/>
    <s v="27-30143380-3"/>
    <n v="42710"/>
    <n v="30143380"/>
    <s v="BAZAN"/>
    <s v="DANIELA SOLEDAD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VENEZUELA"/>
    <n v="1225"/>
    <m/>
    <m/>
    <s v="CAPITAL FEDERAL"/>
    <s v="Buenos Aires"/>
    <m/>
    <s v="U.O.Centro"/>
    <m/>
    <n v="2"/>
    <n v="1"/>
    <n v="14395.86"/>
    <n v="2879.19"/>
    <m/>
    <m/>
    <n v="11516.67"/>
    <m/>
    <n v="287.92"/>
    <m/>
    <m/>
    <m/>
    <m/>
    <m/>
    <m/>
    <n v="143.96"/>
    <m/>
    <m/>
    <m/>
    <m/>
    <m/>
    <m/>
    <n v="287.92"/>
    <m/>
    <m/>
    <m/>
    <m/>
    <m/>
    <m/>
    <m/>
    <n v="143.96"/>
    <n v="300"/>
    <n v="1163.76"/>
  </r>
  <r>
    <n v="11"/>
    <x v="11"/>
    <x v="0"/>
    <n v="182625"/>
    <s v="BENICIO ANDREA FERNANDA"/>
    <s v="27-32045712-8"/>
    <n v="42710"/>
    <n v="32045712"/>
    <s v="BENICIO"/>
    <s v="ANDREA FERNANDA"/>
    <s v="F"/>
    <m/>
    <d v="2016-11-08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VIRREYES HENRY DUNANT"/>
    <n v="240"/>
    <m/>
    <m/>
    <s v="TIGRE"/>
    <s v="Buenos Aires"/>
    <m/>
    <s v="U.O.San Isidro"/>
    <m/>
    <n v="1"/>
    <n v="1"/>
    <n v="9754.4"/>
    <n v="1950.87"/>
    <m/>
    <m/>
    <n v="7803.53"/>
    <m/>
    <n v="195.09"/>
    <m/>
    <m/>
    <m/>
    <m/>
    <m/>
    <m/>
    <n v="97.54"/>
    <m/>
    <m/>
    <m/>
    <m/>
    <m/>
    <m/>
    <n v="195.09"/>
    <m/>
    <m/>
    <m/>
    <m/>
    <m/>
    <m/>
    <m/>
    <n v="97.54"/>
    <n v="300"/>
    <n v="885.26"/>
  </r>
  <r>
    <n v="11"/>
    <x v="11"/>
    <x v="0"/>
    <n v="173416"/>
    <s v="BERGARA LUIS ERNESTO"/>
    <s v="20-39492544-7"/>
    <n v="42710"/>
    <n v="39492544"/>
    <s v="BERGARA"/>
    <s v="LUIS ERNESTO"/>
    <s v="M"/>
    <m/>
    <d v="2016-09-27T00:00:00"/>
    <d v="2016-11-21T00:00:00"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UAREZ"/>
    <n v="1225"/>
    <n v="1"/>
    <n v="1"/>
    <s v="CAPITAL FEDERAL"/>
    <s v="Buenos Aires"/>
    <m/>
    <s v="U.O.Centro"/>
    <m/>
    <n v="2"/>
    <n v="1"/>
    <n v="5461.08"/>
    <n v="1092.21"/>
    <m/>
    <m/>
    <n v="4368.87"/>
    <m/>
    <n v="109.23"/>
    <m/>
    <m/>
    <m/>
    <m/>
    <m/>
    <m/>
    <n v="54.61"/>
    <m/>
    <m/>
    <m/>
    <m/>
    <m/>
    <m/>
    <n v="109.23"/>
    <m/>
    <m/>
    <m/>
    <m/>
    <m/>
    <m/>
    <m/>
    <n v="54.61"/>
    <n v="300"/>
    <n v="627.67999999999995"/>
  </r>
  <r>
    <n v="11"/>
    <x v="11"/>
    <x v="0"/>
    <n v="183251"/>
    <s v="BLANCO ARANGUREN RAFAEL ANTONIO"/>
    <s v="20-95625449-4"/>
    <n v="42710"/>
    <n v="62775656"/>
    <s v="BLANCO ARANGUREN"/>
    <s v="RAFAEL ANTONIO"/>
    <s v="M"/>
    <m/>
    <d v="2016-11-18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AV BELGRANO"/>
    <n v="181"/>
    <m/>
    <m/>
    <s v="CAPITAL FEDERAL"/>
    <s v="Capital Federal"/>
    <m/>
    <s v="U.O.Centro"/>
    <m/>
    <n v="1"/>
    <n v="1"/>
    <n v="524.96"/>
    <n v="105"/>
    <m/>
    <m/>
    <n v="419.96"/>
    <m/>
    <n v="10.5"/>
    <m/>
    <m/>
    <m/>
    <m/>
    <m/>
    <m/>
    <n v="5.25"/>
    <m/>
    <m/>
    <m/>
    <m/>
    <m/>
    <m/>
    <n v="10.5"/>
    <m/>
    <m/>
    <m/>
    <m/>
    <m/>
    <m/>
    <m/>
    <n v="5.25"/>
    <n v="300"/>
    <n v="331.5"/>
  </r>
  <r>
    <n v="11"/>
    <x v="11"/>
    <x v="0"/>
    <n v="169887"/>
    <s v="BOTICELLI LIDIA CAROLINA"/>
    <s v="27-25698889-0"/>
    <n v="42710"/>
    <n v="25698889"/>
    <s v="BOTICELLI"/>
    <s v="LIDIA CAROLIN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ZUVIRIA"/>
    <n v="1232"/>
    <s v="PB"/>
    <s v="-"/>
    <s v="CAPITAL FEDERAL"/>
    <s v="Buenos Aires"/>
    <m/>
    <s v="U.O.Centro"/>
    <s v="Ama de Llaves"/>
    <n v="1"/>
    <n v="1"/>
    <n v="4246.84"/>
    <n v="849.38"/>
    <m/>
    <m/>
    <n v="3397.46"/>
    <m/>
    <n v="84.94"/>
    <m/>
    <m/>
    <m/>
    <m/>
    <m/>
    <m/>
    <n v="42.47"/>
    <m/>
    <m/>
    <m/>
    <m/>
    <m/>
    <m/>
    <n v="84.94"/>
    <m/>
    <m/>
    <m/>
    <m/>
    <m/>
    <m/>
    <m/>
    <n v="42.47"/>
    <n v="300"/>
    <n v="554.82000000000005"/>
  </r>
  <r>
    <n v="11"/>
    <x v="11"/>
    <x v="0"/>
    <n v="156037"/>
    <s v="BRAGA ERIKA GRACIELA"/>
    <s v="27-38026883-9"/>
    <n v="42710"/>
    <n v="38026883"/>
    <s v="BRAGA"/>
    <s v="ERIKA GRACIELA"/>
    <s v="F"/>
    <m/>
    <d v="2016-08-17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RIVADAVIA"/>
    <n v="1225"/>
    <n v="7"/>
    <s v="D"/>
    <s v="CAPITAL FEDERAL"/>
    <s v="Buenos Aires"/>
    <m/>
    <s v="U.O.Centro"/>
    <m/>
    <n v="7"/>
    <n v="1"/>
    <n v="4475.3599999999997"/>
    <n v="877.36"/>
    <m/>
    <m/>
    <n v="3598"/>
    <m/>
    <n v="89.51"/>
    <m/>
    <m/>
    <m/>
    <m/>
    <m/>
    <m/>
    <n v="27.05"/>
    <m/>
    <m/>
    <m/>
    <m/>
    <m/>
    <m/>
    <n v="89.51"/>
    <m/>
    <m/>
    <m/>
    <m/>
    <m/>
    <m/>
    <m/>
    <n v="27.05"/>
    <n v="300"/>
    <n v="533.12"/>
  </r>
  <r>
    <n v="11"/>
    <x v="11"/>
    <x v="0"/>
    <n v="142078"/>
    <s v="BUSTOS NORMA EDITH"/>
    <s v="27-34073776-3"/>
    <n v="42710"/>
    <n v="34073776"/>
    <s v="BUSTOS"/>
    <s v="NORMA EDITH"/>
    <s v="F"/>
    <m/>
    <d v="2016-08-26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GANDOLFO"/>
    <n v="240"/>
    <m/>
    <m/>
    <s v="TIGRE"/>
    <s v="Buenos Aires"/>
    <m/>
    <s v="U.O.San Isidro"/>
    <m/>
    <n v="1"/>
    <n v="1"/>
    <n v="15382.64"/>
    <n v="3076.53"/>
    <m/>
    <m/>
    <n v="12306.11"/>
    <m/>
    <n v="307.64999999999998"/>
    <m/>
    <m/>
    <m/>
    <m/>
    <m/>
    <m/>
    <n v="153.83000000000001"/>
    <m/>
    <m/>
    <m/>
    <m/>
    <m/>
    <m/>
    <n v="307.64999999999998"/>
    <m/>
    <m/>
    <m/>
    <m/>
    <m/>
    <m/>
    <m/>
    <n v="153.83000000000001"/>
    <n v="300"/>
    <n v="1222.96"/>
  </r>
  <r>
    <n v="11"/>
    <x v="11"/>
    <x v="0"/>
    <n v="177330"/>
    <s v="CABALLERO VICTOR MANUEL"/>
    <s v="20-33180549-2"/>
    <n v="42710"/>
    <n v="33180549"/>
    <s v="CABALLERO"/>
    <s v="VICTOR MANUEL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te Luis Saens Peña"/>
    <n v="1225"/>
    <m/>
    <n v="25"/>
    <s v="CAPITAL FEDERAL"/>
    <s v="Buenos Aires"/>
    <m/>
    <s v="U.O.Centro"/>
    <m/>
    <n v="2"/>
    <n v="1"/>
    <n v="15552.52"/>
    <n v="3110.49"/>
    <m/>
    <m/>
    <n v="12442.03"/>
    <m/>
    <n v="311.05"/>
    <m/>
    <m/>
    <m/>
    <m/>
    <m/>
    <m/>
    <n v="155.52000000000001"/>
    <m/>
    <m/>
    <m/>
    <m/>
    <m/>
    <m/>
    <n v="311.05"/>
    <m/>
    <m/>
    <m/>
    <m/>
    <m/>
    <m/>
    <m/>
    <n v="155.52000000000001"/>
    <n v="300"/>
    <n v="1233.1400000000001"/>
  </r>
  <r>
    <n v="11"/>
    <x v="11"/>
    <x v="1"/>
    <n v="173039"/>
    <s v="CABIATI ELIZABETH ANDREA"/>
    <s v="27-28132105-1"/>
    <n v="42695"/>
    <n v="28132105"/>
    <s v="CABIATI"/>
    <s v="ELIZABETH ANDREA"/>
    <s v="F"/>
    <m/>
    <d v="2016-10-23T00:00:00"/>
    <d v="2016-11-01T00:00:00"/>
    <m/>
    <s v="GASTRONOMICOS-Hoteles 4 y 5 Estrellas - 362/2003"/>
    <s v="Categoría 4"/>
    <x v="12"/>
    <s v="Unidad Principal"/>
    <s v="Centro"/>
    <s v="Tareas Generales"/>
    <n v="108803"/>
    <s v="O.S.P.Gastronomico"/>
    <s v="Capital Federal"/>
    <m/>
    <s v="C1129AAA"/>
    <s v="TELLIER"/>
    <n v="1891"/>
    <m/>
    <m/>
    <s v="CAPITAL FEDERAL"/>
    <s v="Capital Federal"/>
    <m/>
    <s v="U.O.Centro"/>
    <m/>
    <n v="1"/>
    <n v="1"/>
    <n v="832.64"/>
    <n v="166.53"/>
    <m/>
    <m/>
    <n v="666.11"/>
    <m/>
    <n v="16.649999999999999"/>
    <m/>
    <m/>
    <m/>
    <m/>
    <m/>
    <m/>
    <n v="8.33"/>
    <n v="8.3263999999999996"/>
    <m/>
    <m/>
    <m/>
    <m/>
    <m/>
    <n v="16.649999999999999"/>
    <m/>
    <m/>
    <m/>
    <m/>
    <m/>
    <m/>
    <m/>
    <n v="8.33"/>
    <n v="300"/>
    <n v="349.96"/>
  </r>
  <r>
    <n v="11"/>
    <x v="11"/>
    <x v="0"/>
    <n v="179169"/>
    <s v="CABRERA VALENCIA CESAR AUGUSTO"/>
    <s v="20-95362926-8"/>
    <n v="42710"/>
    <n v="95362926"/>
    <s v="CABRERA VALENCIA"/>
    <s v="CESAR AUGUSTO"/>
    <s v="M"/>
    <m/>
    <d v="2016-10-04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ECHEVERRIA"/>
    <n v="1225"/>
    <n v="6"/>
    <s v="D"/>
    <s v="CAPITAL FEDERAL"/>
    <s v="Buenos Aires"/>
    <m/>
    <s v="U.O.Centro"/>
    <m/>
    <n v="2"/>
    <n v="1"/>
    <n v="10996.06"/>
    <n v="2199.21"/>
    <m/>
    <m/>
    <n v="8796.85"/>
    <m/>
    <n v="219.92"/>
    <m/>
    <m/>
    <m/>
    <m/>
    <m/>
    <m/>
    <n v="109.96"/>
    <m/>
    <m/>
    <m/>
    <m/>
    <m/>
    <m/>
    <n v="219.92"/>
    <m/>
    <m/>
    <m/>
    <m/>
    <m/>
    <m/>
    <m/>
    <n v="109.96"/>
    <n v="300"/>
    <n v="959.76"/>
  </r>
  <r>
    <n v="11"/>
    <x v="11"/>
    <x v="0"/>
    <n v="171783"/>
    <s v="CACERES ANGEL ESTEBAN"/>
    <s v="20-38536806-3"/>
    <n v="42710"/>
    <n v="38536806"/>
    <s v="CACERES"/>
    <s v="ANGEL ESTEBAN"/>
    <s v="M"/>
    <m/>
    <d v="2016-04-14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2"/>
    <n v="1"/>
    <n v="13859.64"/>
    <n v="2771.9"/>
    <m/>
    <m/>
    <n v="11087.74"/>
    <m/>
    <n v="277.19"/>
    <m/>
    <m/>
    <m/>
    <m/>
    <m/>
    <m/>
    <n v="138.59"/>
    <m/>
    <m/>
    <m/>
    <m/>
    <m/>
    <m/>
    <n v="277.19"/>
    <m/>
    <m/>
    <m/>
    <m/>
    <m/>
    <m/>
    <m/>
    <n v="138.59"/>
    <n v="300"/>
    <n v="1131.56"/>
  </r>
  <r>
    <n v="11"/>
    <x v="11"/>
    <x v="0"/>
    <n v="161580"/>
    <s v="CAEIRO MAURO ALBERTO"/>
    <s v="20-30431921-7"/>
    <n v="42710"/>
    <n v="30431921"/>
    <s v="CAEIRO"/>
    <s v="MAURO ALBERTO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 SANTA FE"/>
    <n v="1225"/>
    <m/>
    <m/>
    <s v="CAPITAL FEDERAL"/>
    <s v="Buenos Aires"/>
    <m/>
    <s v="U.O.Centro"/>
    <m/>
    <n v="2"/>
    <n v="1"/>
    <n v="8323.18"/>
    <n v="1664.64"/>
    <m/>
    <m/>
    <n v="6658.54"/>
    <m/>
    <n v="166.46"/>
    <m/>
    <m/>
    <m/>
    <m/>
    <m/>
    <m/>
    <n v="83.23"/>
    <m/>
    <m/>
    <m/>
    <m/>
    <m/>
    <m/>
    <n v="166.46"/>
    <m/>
    <m/>
    <m/>
    <m/>
    <m/>
    <m/>
    <m/>
    <n v="83.23"/>
    <n v="300"/>
    <n v="799.38"/>
  </r>
  <r>
    <n v="11"/>
    <x v="11"/>
    <x v="1"/>
    <n v="182885"/>
    <s v="CALBIN ALBERTO ARIEL"/>
    <s v="20-27069812-4"/>
    <n v="42703"/>
    <n v="27069812"/>
    <s v="CALBIN"/>
    <s v="ALBERTO ARIEL"/>
    <s v="M"/>
    <m/>
    <d v="2016-11-13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YERBAL"/>
    <n v="764"/>
    <m/>
    <m/>
    <s v="CAPITAL FEDERAL"/>
    <s v="Capital Federal"/>
    <m/>
    <s v="U.O.Centro"/>
    <m/>
    <n v="1"/>
    <n v="1"/>
    <n v="501.98"/>
    <n v="100.4"/>
    <m/>
    <m/>
    <n v="401.58"/>
    <m/>
    <n v="10.039999999999999"/>
    <m/>
    <m/>
    <m/>
    <m/>
    <m/>
    <m/>
    <n v="5.0199999999999996"/>
    <n v="5.0198"/>
    <m/>
    <m/>
    <m/>
    <m/>
    <m/>
    <n v="10.039999999999999"/>
    <m/>
    <m/>
    <m/>
    <m/>
    <m/>
    <m/>
    <m/>
    <n v="5.0199999999999996"/>
    <n v="300"/>
    <n v="330.12"/>
  </r>
  <r>
    <n v="11"/>
    <x v="11"/>
    <x v="0"/>
    <n v="177803"/>
    <s v="CALDERON FLORES HELLIER GULLIT"/>
    <s v="20-95475210-1"/>
    <n v="42710"/>
    <n v="95475210"/>
    <s v="CALDERON FLORES"/>
    <s v="HELLIER GULLIT"/>
    <s v="M"/>
    <m/>
    <d v="2016-10-18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. SAN JUAN"/>
    <n v="1225"/>
    <n v="14"/>
    <s v="F"/>
    <s v="CAPITAL FEDERAL"/>
    <s v="Buenos Aires"/>
    <m/>
    <s v="U.O.Centro"/>
    <m/>
    <n v="2"/>
    <n v="1"/>
    <n v="12482.46"/>
    <n v="2496.5"/>
    <m/>
    <m/>
    <n v="9985.9599999999991"/>
    <m/>
    <n v="249.64"/>
    <m/>
    <m/>
    <m/>
    <m/>
    <m/>
    <m/>
    <n v="124.82"/>
    <m/>
    <m/>
    <m/>
    <m/>
    <m/>
    <m/>
    <n v="249.64"/>
    <m/>
    <m/>
    <m/>
    <m/>
    <m/>
    <m/>
    <m/>
    <n v="124.82"/>
    <n v="300"/>
    <n v="1048.92"/>
  </r>
  <r>
    <n v="11"/>
    <x v="11"/>
    <x v="1"/>
    <n v="182303"/>
    <s v="CAPELLARO NICOLAS AMERICO"/>
    <s v="20-38519934-2"/>
    <n v="42710"/>
    <n v="38519934"/>
    <s v="CAPELLARO"/>
    <s v="NICOLAS AMERICO"/>
    <s v="M"/>
    <m/>
    <d v="2016-11-04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LAGOS"/>
    <n v="507"/>
    <m/>
    <m/>
    <s v="CAPITAL FEDERAL"/>
    <s v="Capital Federal"/>
    <m/>
    <s v="U.O.Centro"/>
    <m/>
    <n v="1"/>
    <n v="1"/>
    <n v="9374.7999999999993"/>
    <n v="1874.96"/>
    <m/>
    <m/>
    <n v="7499.84"/>
    <m/>
    <n v="187.5"/>
    <m/>
    <m/>
    <m/>
    <m/>
    <m/>
    <m/>
    <n v="93.75"/>
    <n v="93.74799999999999"/>
    <m/>
    <m/>
    <m/>
    <m/>
    <m/>
    <n v="187.5"/>
    <m/>
    <m/>
    <m/>
    <m/>
    <m/>
    <m/>
    <m/>
    <n v="93.75"/>
    <n v="300"/>
    <n v="862.5"/>
  </r>
  <r>
    <n v="11"/>
    <x v="11"/>
    <x v="1"/>
    <n v="179421"/>
    <s v="CARCEDO NOEL FERNANDO MARIO"/>
    <s v="20-35056036-0"/>
    <n v="42703"/>
    <n v="35056036"/>
    <s v="CARCEDO"/>
    <s v="NOEL FERNANDO MARIO"/>
    <s v="M"/>
    <m/>
    <d v="2016-09-29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BILLINGHURST"/>
    <n v="764"/>
    <n v="5"/>
    <m/>
    <s v="CAPITAL FEDERAL"/>
    <s v="Capital Federal"/>
    <m/>
    <s v="U.O.Centro"/>
    <m/>
    <n v="1"/>
    <n v="1"/>
    <n v="2086.5300000000002"/>
    <n v="417.32"/>
    <m/>
    <m/>
    <n v="1669.21"/>
    <m/>
    <n v="41.73"/>
    <m/>
    <m/>
    <m/>
    <m/>
    <m/>
    <m/>
    <n v="20.87"/>
    <n v="20.865300000000001"/>
    <m/>
    <m/>
    <m/>
    <m/>
    <m/>
    <n v="41.73"/>
    <m/>
    <m/>
    <m/>
    <m/>
    <m/>
    <m/>
    <m/>
    <n v="20.87"/>
    <n v="300"/>
    <n v="425.2"/>
  </r>
  <r>
    <n v="11"/>
    <x v="11"/>
    <x v="1"/>
    <n v="183308"/>
    <s v="CARDOZO DAIANA SOLEDAD"/>
    <s v="27-31894455-0"/>
    <n v="42703"/>
    <n v="31894455"/>
    <s v="CARDOZO"/>
    <s v="DAIANA SOLEDAD"/>
    <s v="F"/>
    <m/>
    <d v="2016-11-19T00:00:00"/>
    <m/>
    <m/>
    <s v="GASTRONOMICOS-Hoteles 4 y 5 Estrellas - 362/2003"/>
    <s v="Categoría 4"/>
    <x v="3"/>
    <s v="Unidad Principal"/>
    <s v="Centro"/>
    <s v="Mucama"/>
    <n v="126908"/>
    <s v="OS DE LOS MEDICOS DE LA CIUDAD DE BUENOS AIRES"/>
    <s v="Capital Federal"/>
    <m/>
    <s v="C1002ABO"/>
    <s v="13 DE AGOSTO"/>
    <n v="764"/>
    <m/>
    <m/>
    <s v="CAPITAL FEDERAL"/>
    <s v="Capital Federal"/>
    <m/>
    <s v="U.O.San Justo"/>
    <m/>
    <n v="1"/>
    <n v="1"/>
    <n v="4129.3"/>
    <n v="825.86"/>
    <m/>
    <m/>
    <n v="3303.44"/>
    <m/>
    <n v="82.59"/>
    <m/>
    <m/>
    <m/>
    <m/>
    <m/>
    <m/>
    <n v="41.29"/>
    <n v="41.292999999999999"/>
    <m/>
    <m/>
    <m/>
    <m/>
    <m/>
    <n v="82.59"/>
    <m/>
    <m/>
    <m/>
    <m/>
    <m/>
    <m/>
    <m/>
    <n v="41.29"/>
    <n v="300"/>
    <n v="547.76"/>
  </r>
  <r>
    <n v="11"/>
    <x v="11"/>
    <x v="1"/>
    <n v="182767"/>
    <s v="CARDOZO GONZALO IVAN"/>
    <s v="20-39489757-5"/>
    <n v="42710"/>
    <n v="39489757"/>
    <s v="CARDOZO"/>
    <s v="GONZALO IVAN"/>
    <s v="M"/>
    <m/>
    <d v="2016-11-10T00:00:00"/>
    <m/>
    <m/>
    <s v="GASTRONOMICOS-Hoteles 4 y 5 Estrellas - 362/2003"/>
    <s v="Categoria 1"/>
    <x v="9"/>
    <s v="Unidad Principal"/>
    <s v="Centro"/>
    <s v="Ayudante de Cocina"/>
    <n v="108803"/>
    <s v="O.S.P.Gastronomico"/>
    <s v="Capital Federal"/>
    <m/>
    <n v="1049"/>
    <s v="SAN LORENZO CALLE 2 CASA 39"/>
    <n v="535"/>
    <m/>
    <m/>
    <s v="CAPITAL FEDERAL"/>
    <s v="Capital Federal"/>
    <m/>
    <s v="U.O.Centro"/>
    <m/>
    <n v="1"/>
    <n v="1"/>
    <n v="1942.14"/>
    <n v="388.42"/>
    <m/>
    <m/>
    <n v="1553.72"/>
    <m/>
    <n v="38.840000000000003"/>
    <m/>
    <m/>
    <m/>
    <m/>
    <m/>
    <m/>
    <n v="19.420000000000002"/>
    <n v="19.421400000000002"/>
    <m/>
    <m/>
    <m/>
    <m/>
    <m/>
    <n v="38.840000000000003"/>
    <m/>
    <m/>
    <m/>
    <m/>
    <m/>
    <m/>
    <m/>
    <n v="19.420000000000002"/>
    <n v="300"/>
    <n v="416.52"/>
  </r>
  <r>
    <n v="11"/>
    <x v="11"/>
    <x v="1"/>
    <n v="182892"/>
    <s v="CARDOZO SILVINA BEATRIZ"/>
    <s v="27-28176559-6"/>
    <n v="42703"/>
    <n v="28176559"/>
    <s v="CARDOZO"/>
    <s v="SILVINA BEATRIZ"/>
    <s v="F"/>
    <m/>
    <d v="2016-11-1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ORDOBA"/>
    <n v="764"/>
    <m/>
    <m/>
    <s v="CAPITAL FEDERAL"/>
    <s v="Capital Federal"/>
    <m/>
    <s v="U.O.Centro"/>
    <m/>
    <n v="1"/>
    <n v="1"/>
    <n v="1139.1199999999999"/>
    <n v="227.81"/>
    <m/>
    <m/>
    <n v="911.31"/>
    <m/>
    <n v="22.78"/>
    <m/>
    <m/>
    <m/>
    <m/>
    <m/>
    <m/>
    <n v="11.39"/>
    <n v="11.3912"/>
    <m/>
    <m/>
    <m/>
    <m/>
    <m/>
    <n v="22.78"/>
    <m/>
    <m/>
    <m/>
    <m/>
    <m/>
    <m/>
    <m/>
    <n v="11.39"/>
    <n v="300"/>
    <n v="368.34"/>
  </r>
  <r>
    <n v="11"/>
    <x v="11"/>
    <x v="0"/>
    <n v="179908"/>
    <s v="CARREÑO IGNACIO ESTEBAN"/>
    <s v="20-31519765-2"/>
    <n v="42710"/>
    <n v="31519765"/>
    <s v="CARREÑO"/>
    <s v="IGNACIO ESTEBAN"/>
    <s v="M"/>
    <m/>
    <d v="2016-10-04T00:00:00"/>
    <m/>
    <m/>
    <s v="GASTRONOMICOS-Hoteles 4 y 5 Estrellas - 362/2003"/>
    <s v="Categoria 5"/>
    <x v="17"/>
    <s v="Unidad Base-GL"/>
    <s v="San Isidro"/>
    <s v="Oficial"/>
    <n v="108803"/>
    <s v="O.S.P.Gastronomico"/>
    <s v="Buenos Aires - Gran Buenos Aires"/>
    <m/>
    <n v="1648"/>
    <s v="FORMOSA"/>
    <n v="240"/>
    <m/>
    <m/>
    <s v="TIGRE"/>
    <s v="Buenos Aires"/>
    <m/>
    <s v="U.O.San Isidro"/>
    <m/>
    <n v="1"/>
    <n v="1"/>
    <n v="12616.12"/>
    <n v="2523.21"/>
    <m/>
    <m/>
    <n v="10092.91"/>
    <m/>
    <n v="252.32"/>
    <m/>
    <m/>
    <m/>
    <m/>
    <m/>
    <m/>
    <n v="126.16"/>
    <m/>
    <m/>
    <m/>
    <m/>
    <m/>
    <m/>
    <n v="252.32"/>
    <m/>
    <m/>
    <m/>
    <m/>
    <m/>
    <m/>
    <m/>
    <n v="126.16"/>
    <n v="300"/>
    <n v="1056.96"/>
  </r>
  <r>
    <n v="11"/>
    <x v="11"/>
    <x v="0"/>
    <n v="181859"/>
    <s v="CARRERA DAIANA ELIZABETH"/>
    <s v="27-35110114-3"/>
    <n v="42705"/>
    <n v="35110114"/>
    <s v="CARRERA"/>
    <s v="DAIANA ELIZABETH"/>
    <s v="F"/>
    <m/>
    <d v="2016-10-27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s v="C1007AAA"/>
    <s v="COLONIA MONTE GRANDE"/>
    <n v="841"/>
    <m/>
    <m/>
    <s v="CAPITAL FEDERAL"/>
    <s v="Buenos Aires"/>
    <m/>
    <s v="U.O.Centro"/>
    <m/>
    <n v="1"/>
    <n v="1"/>
    <n v="15551.65"/>
    <n v="3110.33"/>
    <m/>
    <m/>
    <n v="12441.32"/>
    <m/>
    <n v="311.02999999999997"/>
    <m/>
    <m/>
    <m/>
    <m/>
    <m/>
    <m/>
    <n v="155.52000000000001"/>
    <m/>
    <m/>
    <m/>
    <m/>
    <m/>
    <m/>
    <n v="311.02999999999997"/>
    <m/>
    <m/>
    <m/>
    <m/>
    <m/>
    <m/>
    <m/>
    <n v="155.52000000000001"/>
    <n v="300"/>
    <n v="1233.0999999999999"/>
  </r>
  <r>
    <n v="11"/>
    <x v="11"/>
    <x v="0"/>
    <n v="163460"/>
    <s v="CASTRO JUAN MANUEL"/>
    <s v="20-34103204-1"/>
    <n v="42710"/>
    <n v="34103204"/>
    <s v="CASTRO"/>
    <s v="JUAN MANUEL"/>
    <s v="M"/>
    <m/>
    <d v="2015-12-17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NDARCO"/>
    <n v="1005"/>
    <m/>
    <m/>
    <s v="CAPITAL FEDERAL"/>
    <s v="Capital Federal"/>
    <m/>
    <s v="U.O.Centro"/>
    <m/>
    <n v="3"/>
    <n v="1"/>
    <n v="10139.25"/>
    <n v="2027.84"/>
    <m/>
    <m/>
    <n v="8111.41"/>
    <m/>
    <n v="202.78"/>
    <m/>
    <m/>
    <m/>
    <m/>
    <m/>
    <m/>
    <n v="101.39"/>
    <m/>
    <m/>
    <m/>
    <m/>
    <m/>
    <m/>
    <n v="202.78"/>
    <m/>
    <m/>
    <m/>
    <m/>
    <m/>
    <m/>
    <m/>
    <n v="101.39"/>
    <n v="300"/>
    <n v="908.34"/>
  </r>
  <r>
    <n v="11"/>
    <x v="11"/>
    <x v="0"/>
    <n v="183262"/>
    <s v="CASTRO TAMARA BELEN"/>
    <s v="27-36160602-2"/>
    <n v="42710"/>
    <n v="36160602"/>
    <s v="CASTRO"/>
    <s v="TAMARA BELEN"/>
    <s v="F"/>
    <m/>
    <d v="2016-11-17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MONROE"/>
    <n v="1005"/>
    <m/>
    <m/>
    <s v="CAPITAL FEDERAL"/>
    <s v="Capital Federal"/>
    <m/>
    <s v="U.O.Centro"/>
    <m/>
    <n v="1"/>
    <n v="1"/>
    <n v="5373.97"/>
    <n v="1074.8"/>
    <m/>
    <m/>
    <n v="4299.17"/>
    <m/>
    <n v="107.48"/>
    <m/>
    <m/>
    <m/>
    <m/>
    <m/>
    <m/>
    <n v="53.74"/>
    <m/>
    <m/>
    <m/>
    <m/>
    <m/>
    <m/>
    <n v="107.48"/>
    <m/>
    <m/>
    <m/>
    <m/>
    <m/>
    <m/>
    <m/>
    <n v="53.74"/>
    <n v="300"/>
    <n v="622.44000000000005"/>
  </r>
  <r>
    <n v="11"/>
    <x v="11"/>
    <x v="0"/>
    <n v="144180"/>
    <s v="CATALAN CRISTINA DEL CARMEN"/>
    <s v="27-31138041-4"/>
    <n v="42710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18857.830000000002"/>
    <n v="3771.56"/>
    <m/>
    <m/>
    <n v="15086.27"/>
    <m/>
    <n v="377.16"/>
    <m/>
    <m/>
    <m/>
    <m/>
    <m/>
    <m/>
    <n v="188.58"/>
    <m/>
    <m/>
    <m/>
    <m/>
    <m/>
    <m/>
    <n v="377.16"/>
    <m/>
    <m/>
    <m/>
    <m/>
    <m/>
    <m/>
    <m/>
    <n v="188.58"/>
    <n v="300"/>
    <n v="1431.48"/>
  </r>
  <r>
    <n v="11"/>
    <x v="11"/>
    <x v="0"/>
    <n v="158525"/>
    <s v="CELIBERTI YESICA ROMINA"/>
    <s v="27-35202883-0"/>
    <n v="42710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19715"/>
    <n v="4041.58"/>
    <m/>
    <m/>
    <n v="15673.42"/>
    <n v="492.88"/>
    <m/>
    <m/>
    <m/>
    <m/>
    <m/>
    <m/>
    <m/>
    <n v="197.15"/>
    <m/>
    <m/>
    <m/>
    <m/>
    <m/>
    <m/>
    <n v="394.3"/>
    <m/>
    <m/>
    <m/>
    <m/>
    <m/>
    <m/>
    <m/>
    <n v="197.15"/>
    <n v="300"/>
    <n v="1581.48"/>
  </r>
  <r>
    <n v="11"/>
    <x v="11"/>
    <x v="0"/>
    <n v="175082"/>
    <s v="CENTENO VARA SERGIO MEYER"/>
    <s v="20-94675854-0"/>
    <n v="42710"/>
    <n v="94675854"/>
    <s v="CENTENO VARA"/>
    <s v="SERGIO MEYER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ARTOLOME MITRE"/>
    <n v="1225"/>
    <n v="2"/>
    <s v="B"/>
    <s v="CAPITAL FEDERAL"/>
    <s v="Buenos Aires"/>
    <m/>
    <s v="U.O.Centro"/>
    <m/>
    <n v="2"/>
    <n v="1"/>
    <n v="11892.21"/>
    <n v="2378.4299999999998"/>
    <m/>
    <m/>
    <n v="9513.7800000000007"/>
    <m/>
    <n v="237.84"/>
    <m/>
    <m/>
    <m/>
    <m/>
    <m/>
    <m/>
    <n v="118.92"/>
    <m/>
    <m/>
    <m/>
    <m/>
    <m/>
    <m/>
    <n v="237.84"/>
    <m/>
    <m/>
    <m/>
    <m/>
    <m/>
    <m/>
    <m/>
    <n v="118.92"/>
    <n v="300"/>
    <n v="1013.52"/>
  </r>
  <r>
    <n v="11"/>
    <x v="11"/>
    <x v="0"/>
    <n v="175141"/>
    <s v="CENTURION AQUINO CRISTINA LEONOR"/>
    <s v="27-95065474-6"/>
    <n v="42705"/>
    <n v="95065474"/>
    <s v="CENTURION AQUINO"/>
    <s v="CRISTINA LEONOR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AV REGIMIENTO PATRICIOS"/>
    <n v="1334"/>
    <n v="3"/>
    <s v="C"/>
    <s v="CAPITAL FEDERAL"/>
    <s v="Capital Federal"/>
    <m/>
    <s v="U.O.Centro"/>
    <m/>
    <n v="1"/>
    <n v="1"/>
    <n v="18652.57"/>
    <n v="3730.52"/>
    <m/>
    <m/>
    <n v="14922.05"/>
    <m/>
    <n v="373.05"/>
    <m/>
    <m/>
    <m/>
    <m/>
    <m/>
    <m/>
    <n v="186.53"/>
    <m/>
    <m/>
    <m/>
    <m/>
    <m/>
    <m/>
    <n v="373.05"/>
    <m/>
    <m/>
    <m/>
    <m/>
    <m/>
    <m/>
    <m/>
    <n v="186.53"/>
    <n v="300"/>
    <n v="1419.16"/>
  </r>
  <r>
    <n v="11"/>
    <x v="11"/>
    <x v="0"/>
    <n v="170318"/>
    <s v="CERNEAZ JOANA"/>
    <s v="27-35043953-1"/>
    <n v="42710"/>
    <n v="35043953"/>
    <s v="CERNEAZ"/>
    <s v="JOANA"/>
    <s v="F"/>
    <m/>
    <d v="2016-03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. MEDRANO"/>
    <n v="1225"/>
    <s v="PB"/>
    <m/>
    <s v="CAPITAL FEDERAL"/>
    <s v="Buenos Aires"/>
    <m/>
    <s v="U.O.Centro"/>
    <m/>
    <n v="2"/>
    <n v="1"/>
    <n v="18784.939999999999"/>
    <n v="3757"/>
    <m/>
    <m/>
    <n v="15027.94"/>
    <m/>
    <n v="375.7"/>
    <m/>
    <m/>
    <m/>
    <m/>
    <m/>
    <m/>
    <n v="187.85"/>
    <m/>
    <m/>
    <m/>
    <m/>
    <m/>
    <m/>
    <n v="375.7"/>
    <m/>
    <m/>
    <m/>
    <m/>
    <m/>
    <m/>
    <m/>
    <n v="187.85"/>
    <n v="300"/>
    <n v="1427.1"/>
  </r>
  <r>
    <n v="11"/>
    <x v="11"/>
    <x v="0"/>
    <n v="171029"/>
    <s v="CERRANO PATRICIA VIVIANA"/>
    <s v="23-31509842-4"/>
    <n v="42710"/>
    <n v="31509842"/>
    <s v="CERRANO"/>
    <s v="PATRICIA VIVIANA"/>
    <s v="F"/>
    <m/>
    <d v="2016-07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PASAJE BOLAÑOS"/>
    <n v="474"/>
    <m/>
    <m/>
    <s v="CAPITAL FEDERAL"/>
    <s v="Buenos Aires"/>
    <m/>
    <s v="U.O.Centro"/>
    <m/>
    <n v="1"/>
    <n v="1"/>
    <n v="12410.31"/>
    <n v="2482.06"/>
    <m/>
    <m/>
    <n v="9928.25"/>
    <m/>
    <n v="248.21"/>
    <m/>
    <m/>
    <m/>
    <m/>
    <m/>
    <m/>
    <n v="124.1"/>
    <m/>
    <m/>
    <m/>
    <m/>
    <m/>
    <m/>
    <n v="248.21"/>
    <m/>
    <m/>
    <m/>
    <m/>
    <m/>
    <m/>
    <m/>
    <n v="124.1"/>
    <n v="300"/>
    <n v="1044.6199999999999"/>
  </r>
  <r>
    <n v="11"/>
    <x v="11"/>
    <x v="0"/>
    <n v="161041"/>
    <s v="CESANI LEONARDO ROBERTO"/>
    <s v="20-36155165-7"/>
    <n v="42710"/>
    <n v="36155165"/>
    <s v="CESANI"/>
    <s v="LEONARDO ROBERTO"/>
    <s v="M"/>
    <m/>
    <d v="2016-11-16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CASTAÑARES"/>
    <n v="1225"/>
    <m/>
    <m/>
    <s v="CAPITAL FEDERAL"/>
    <s v="Buenos Aires"/>
    <m/>
    <s v="U.O.Centro"/>
    <m/>
    <n v="1"/>
    <n v="1"/>
    <n v="7801.54"/>
    <n v="1560.32"/>
    <m/>
    <m/>
    <n v="6241.22"/>
    <m/>
    <n v="156.03"/>
    <m/>
    <m/>
    <m/>
    <m/>
    <m/>
    <m/>
    <n v="78.02"/>
    <m/>
    <m/>
    <m/>
    <m/>
    <m/>
    <m/>
    <n v="156.03"/>
    <m/>
    <m/>
    <m/>
    <m/>
    <m/>
    <m/>
    <m/>
    <n v="78.02"/>
    <n v="300"/>
    <n v="768.1"/>
  </r>
  <r>
    <n v="11"/>
    <x v="11"/>
    <x v="1"/>
    <n v="112977"/>
    <s v="CHACON NADIA DE LOS ANGELES"/>
    <s v="27-34151854-2"/>
    <n v="42710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1"/>
    <n v="1"/>
    <n v="12161.41"/>
    <n v="2493.09"/>
    <m/>
    <m/>
    <n v="9668.32"/>
    <n v="304.04000000000002"/>
    <m/>
    <m/>
    <m/>
    <m/>
    <m/>
    <m/>
    <m/>
    <n v="121.61"/>
    <n v="121.61410000000001"/>
    <m/>
    <m/>
    <m/>
    <m/>
    <m/>
    <n v="243.23"/>
    <m/>
    <m/>
    <m/>
    <m/>
    <m/>
    <m/>
    <m/>
    <n v="121.61"/>
    <n v="300"/>
    <n v="1090.49"/>
  </r>
  <r>
    <n v="11"/>
    <x v="11"/>
    <x v="0"/>
    <n v="177051"/>
    <s v="CICCHINI JULIAN"/>
    <s v="20-39764422-8"/>
    <n v="42710"/>
    <n v="39764422"/>
    <s v="CICCHINI"/>
    <s v="JULIAN"/>
    <s v="M"/>
    <m/>
    <d v="2016-09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QUITO"/>
    <n v="1225"/>
    <n v="5"/>
    <m/>
    <s v="CAPITAL FEDERAL"/>
    <s v="Buenos Aires"/>
    <m/>
    <s v="U.O.Centro"/>
    <m/>
    <n v="2"/>
    <n v="1"/>
    <n v="12780.6"/>
    <n v="2556.13"/>
    <m/>
    <m/>
    <n v="10224.469999999999"/>
    <m/>
    <n v="255.61"/>
    <m/>
    <m/>
    <m/>
    <m/>
    <m/>
    <m/>
    <n v="127.81"/>
    <m/>
    <m/>
    <m/>
    <m/>
    <m/>
    <m/>
    <n v="255.61"/>
    <m/>
    <m/>
    <m/>
    <m/>
    <m/>
    <m/>
    <m/>
    <n v="127.81"/>
    <n v="300"/>
    <n v="1066.8399999999999"/>
  </r>
  <r>
    <n v="11"/>
    <x v="11"/>
    <x v="0"/>
    <n v="182565"/>
    <s v="CLUTTERBUCK VERONICA MARCELA"/>
    <s v="23-24487332-4"/>
    <n v="42710"/>
    <n v="24487332"/>
    <s v="CLUTTERBUCK"/>
    <s v="VERONICA MARCELA"/>
    <s v="F"/>
    <m/>
    <d v="2016-11-0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ARCOS SUAREZ"/>
    <n v="1225"/>
    <m/>
    <m/>
    <s v="CAPITAL FEDERAL"/>
    <s v="Buenos Aires"/>
    <m/>
    <s v="U.O.Centro"/>
    <m/>
    <n v="3"/>
    <n v="1"/>
    <n v="8960.32"/>
    <n v="1792.1"/>
    <m/>
    <m/>
    <n v="7168.22"/>
    <m/>
    <n v="179.21"/>
    <m/>
    <m/>
    <m/>
    <m/>
    <m/>
    <m/>
    <n v="89.61"/>
    <m/>
    <m/>
    <m/>
    <m/>
    <m/>
    <m/>
    <n v="179.21"/>
    <m/>
    <m/>
    <m/>
    <m/>
    <m/>
    <m/>
    <m/>
    <n v="89.61"/>
    <n v="300"/>
    <n v="837.64"/>
  </r>
  <r>
    <n v="11"/>
    <x v="11"/>
    <x v="0"/>
    <n v="172187"/>
    <s v="CONDORI DANIEL"/>
    <s v="20-35216365-2"/>
    <n v="42705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9526.9500000000007"/>
    <n v="1905.39"/>
    <m/>
    <m/>
    <n v="7621.56"/>
    <m/>
    <n v="190.54"/>
    <m/>
    <m/>
    <m/>
    <m/>
    <m/>
    <m/>
    <n v="95.27"/>
    <m/>
    <m/>
    <m/>
    <m/>
    <m/>
    <m/>
    <n v="190.54"/>
    <m/>
    <m/>
    <m/>
    <m/>
    <m/>
    <m/>
    <m/>
    <n v="95.27"/>
    <n v="300"/>
    <n v="871.62"/>
  </r>
  <r>
    <n v="11"/>
    <x v="11"/>
    <x v="1"/>
    <n v="180394"/>
    <s v="CORDOBA EDUARDO GUILLERMO"/>
    <s v="20-25686201-9"/>
    <n v="42703"/>
    <n v="25686201"/>
    <s v="CORDOBA"/>
    <s v="EDUARDO GUILLERMO"/>
    <s v="M"/>
    <m/>
    <d v="2016-10-08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SALVGNY"/>
    <n v="764"/>
    <n v="5"/>
    <s v="D"/>
    <s v="CAPITAL FEDERAL"/>
    <s v="Capital Federal"/>
    <m/>
    <s v="U.O.Centro"/>
    <m/>
    <n v="1"/>
    <n v="1"/>
    <n v="2910.78"/>
    <n v="582.16"/>
    <m/>
    <m/>
    <n v="2328.62"/>
    <m/>
    <n v="58.22"/>
    <m/>
    <m/>
    <m/>
    <m/>
    <m/>
    <m/>
    <n v="29.11"/>
    <n v="29.107800000000001"/>
    <m/>
    <m/>
    <m/>
    <m/>
    <m/>
    <n v="58.22"/>
    <m/>
    <m/>
    <m/>
    <m/>
    <m/>
    <m/>
    <m/>
    <n v="29.11"/>
    <n v="300"/>
    <n v="474.66"/>
  </r>
  <r>
    <n v="11"/>
    <x v="11"/>
    <x v="0"/>
    <n v="181863"/>
    <s v="CORILLANO LUCAS EXEQUIEL"/>
    <s v="20-38433672-9"/>
    <n v="42703"/>
    <n v="38433672"/>
    <s v="CORILLANO"/>
    <s v="LUCAS EXEQUIEL"/>
    <s v="M"/>
    <m/>
    <d v="2016-10-26T00:00:00"/>
    <d v="2016-10-26T00:00:00"/>
    <n v="42669"/>
    <s v="GASTRONOMICOS-Hoteles 4 y 5 Estrellas - 362/2003"/>
    <s v="Categoría 4"/>
    <x v="3"/>
    <s v="Unidad Principal"/>
    <s v="Centro"/>
    <s v="Tareas Generales"/>
    <n v="123305"/>
    <s v="OS  DEL PERSONAL DE SOCIEDADES DE AUTORES Y AFINES"/>
    <s v="Capital Federal"/>
    <m/>
    <s v="C1002ABO"/>
    <s v="TUNEZ"/>
    <n v="764"/>
    <m/>
    <m/>
    <s v="CAPITAL FEDERAL"/>
    <s v="Capital Federal"/>
    <m/>
    <s v="U.O.Centro"/>
    <m/>
    <n v="1"/>
    <n v="1"/>
    <n v="474.63"/>
    <n v="94.93"/>
    <m/>
    <m/>
    <n v="379.7"/>
    <m/>
    <n v="9.49"/>
    <m/>
    <m/>
    <m/>
    <m/>
    <m/>
    <m/>
    <n v="4.75"/>
    <m/>
    <m/>
    <m/>
    <m/>
    <m/>
    <m/>
    <n v="9.49"/>
    <m/>
    <m/>
    <m/>
    <m/>
    <m/>
    <m/>
    <m/>
    <n v="4.75"/>
    <n v="300"/>
    <n v="328.48"/>
  </r>
  <r>
    <n v="11"/>
    <x v="11"/>
    <x v="0"/>
    <n v="177863"/>
    <s v="CORONEL VANESA VERONICA"/>
    <s v="27-30878233-1"/>
    <n v="42710"/>
    <n v="30878233"/>
    <s v="CORONEL"/>
    <s v="VANESA VERONIC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N IGNACIO"/>
    <n v="1225"/>
    <m/>
    <m/>
    <s v="CAPITAL FEDERAL"/>
    <s v="Buenos Aires"/>
    <m/>
    <s v="U.O.Centro"/>
    <m/>
    <n v="2"/>
    <n v="1"/>
    <n v="8136.78"/>
    <n v="1627.38"/>
    <m/>
    <m/>
    <n v="6509.4"/>
    <m/>
    <n v="162.74"/>
    <m/>
    <m/>
    <m/>
    <m/>
    <m/>
    <m/>
    <n v="81.37"/>
    <m/>
    <m/>
    <m/>
    <m/>
    <m/>
    <m/>
    <n v="162.74"/>
    <m/>
    <m/>
    <m/>
    <m/>
    <m/>
    <m/>
    <m/>
    <n v="81.37"/>
    <n v="300"/>
    <n v="788.22"/>
  </r>
  <r>
    <n v="11"/>
    <x v="11"/>
    <x v="0"/>
    <n v="172454"/>
    <s v="CORVALAN ANDREA"/>
    <s v="27-39467778-2"/>
    <n v="42710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NDEPENDENCIA"/>
    <n v="1225"/>
    <n v="9"/>
    <n v="1"/>
    <s v="CAPITAL FEDERAL"/>
    <s v="Buenos Aires"/>
    <m/>
    <s v="U.O.Centro"/>
    <m/>
    <n v="2"/>
    <n v="1"/>
    <n v="12518.13"/>
    <n v="2503.62"/>
    <m/>
    <m/>
    <n v="10014.51"/>
    <m/>
    <n v="250.36"/>
    <m/>
    <m/>
    <m/>
    <m/>
    <m/>
    <m/>
    <n v="125.18"/>
    <m/>
    <m/>
    <m/>
    <m/>
    <m/>
    <m/>
    <n v="250.36"/>
    <m/>
    <m/>
    <m/>
    <m/>
    <m/>
    <m/>
    <m/>
    <n v="125.18"/>
    <n v="300"/>
    <n v="1051.08"/>
  </r>
  <r>
    <n v="11"/>
    <x v="11"/>
    <x v="0"/>
    <n v="148946"/>
    <s v="COSTILLA LUCA IVAN EMMANUEL"/>
    <s v="20-37993495-2"/>
    <n v="42710"/>
    <n v="37993495"/>
    <s v="COSTILLA LUCA"/>
    <s v="IVAN EMMANUEL"/>
    <s v="M"/>
    <m/>
    <d v="2016-06-1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STILLO"/>
    <n v="1225"/>
    <n v="2"/>
    <s v="B"/>
    <s v="CAPITAL FEDERAL"/>
    <s v="Buenos Aires"/>
    <m/>
    <s v="U.O.Centro"/>
    <m/>
    <n v="4"/>
    <n v="1"/>
    <n v="7597.12"/>
    <n v="1477.45"/>
    <m/>
    <m/>
    <n v="6119.67"/>
    <m/>
    <n v="151.94"/>
    <m/>
    <m/>
    <m/>
    <m/>
    <m/>
    <m/>
    <n v="34.01"/>
    <m/>
    <m/>
    <m/>
    <m/>
    <m/>
    <m/>
    <n v="151.94"/>
    <m/>
    <m/>
    <m/>
    <m/>
    <m/>
    <m/>
    <m/>
    <n v="34.01"/>
    <n v="300"/>
    <n v="671.9"/>
  </r>
  <r>
    <n v="11"/>
    <x v="11"/>
    <x v="0"/>
    <n v="170608"/>
    <s v="COTSIFIS LEONARDO CRISTIAN"/>
    <s v="20-28488021-9"/>
    <n v="42710"/>
    <n v="28488021"/>
    <s v="COTSIFIS"/>
    <s v="LEONARDO CRISTIAN"/>
    <s v="M"/>
    <m/>
    <d v="2016-05-02T00:00:00"/>
    <m/>
    <m/>
    <s v="GASTRONOMICOS-Hoteles 4 y 5 Estrellas - 362/2003"/>
    <s v="Categoria 6"/>
    <x v="15"/>
    <s v="Camareros Outlet"/>
    <s v="Centro"/>
    <s v="Tareas Generales"/>
    <n v="108803"/>
    <s v="O.S.P.Gastronomico"/>
    <s v="Capital Federal"/>
    <m/>
    <s v="C1091AAX"/>
    <s v="HIPOLITO YRIGOYEN"/>
    <n v="809"/>
    <m/>
    <m/>
    <s v="CAPITAL FEDERAL"/>
    <s v="Capital Federal"/>
    <m/>
    <s v="U.O.Centro"/>
    <m/>
    <n v="3"/>
    <n v="1"/>
    <n v="28963.3"/>
    <n v="5792.64"/>
    <m/>
    <m/>
    <n v="23170.66"/>
    <m/>
    <n v="579.26"/>
    <m/>
    <m/>
    <m/>
    <m/>
    <m/>
    <m/>
    <n v="289.63"/>
    <m/>
    <m/>
    <m/>
    <m/>
    <m/>
    <m/>
    <n v="579.26"/>
    <m/>
    <m/>
    <m/>
    <m/>
    <m/>
    <m/>
    <m/>
    <n v="289.63"/>
    <n v="300"/>
    <n v="2037.78"/>
  </r>
  <r>
    <n v="11"/>
    <x v="11"/>
    <x v="0"/>
    <n v="169495"/>
    <s v="CRUZ ARIEL"/>
    <s v="20-23765623-8"/>
    <n v="42710"/>
    <n v="23765623"/>
    <s v="CRUZ"/>
    <s v="ARIEL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1"/>
    <n v="1"/>
    <n v="16459.03"/>
    <n v="3291.8"/>
    <m/>
    <m/>
    <n v="13167.23"/>
    <m/>
    <n v="329.18"/>
    <m/>
    <m/>
    <m/>
    <m/>
    <m/>
    <m/>
    <n v="164.59"/>
    <m/>
    <m/>
    <m/>
    <m/>
    <m/>
    <m/>
    <n v="329.18"/>
    <m/>
    <m/>
    <m/>
    <m/>
    <m/>
    <m/>
    <m/>
    <n v="164.59"/>
    <n v="300"/>
    <n v="1287.54"/>
  </r>
  <r>
    <n v="11"/>
    <x v="11"/>
    <x v="1"/>
    <n v="173595"/>
    <s v="D´AGOSTINO MARCO ALEN"/>
    <s v="20-40547087-0"/>
    <n v="42703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ALLE 17"/>
    <n v="764"/>
    <m/>
    <m/>
    <s v="CAPITAL FEDERAL"/>
    <s v="Capital Federal"/>
    <m/>
    <s v="U.O.Centro Paga Inplant"/>
    <m/>
    <n v="1"/>
    <n v="1"/>
    <n v="18696.849999999999"/>
    <n v="3739.38"/>
    <m/>
    <m/>
    <n v="14957.47"/>
    <m/>
    <n v="373.94"/>
    <m/>
    <m/>
    <m/>
    <m/>
    <m/>
    <m/>
    <n v="186.97"/>
    <n v="186.96849999999998"/>
    <m/>
    <m/>
    <m/>
    <m/>
    <m/>
    <n v="373.94"/>
    <m/>
    <m/>
    <m/>
    <m/>
    <m/>
    <m/>
    <m/>
    <n v="186.97"/>
    <n v="300"/>
    <n v="1421.82"/>
  </r>
  <r>
    <n v="11"/>
    <x v="11"/>
    <x v="0"/>
    <n v="175625"/>
    <s v="DANCOURT BERNUY TERRY ANDRES"/>
    <s v="20-94317177-8"/>
    <n v="42710"/>
    <n v="94317177"/>
    <s v="DANCOURT BERNUY"/>
    <s v="TERRY ANDRES"/>
    <s v="M"/>
    <m/>
    <d v="2016-11-29T00:00:00"/>
    <m/>
    <m/>
    <s v="GASTRONOMICOS-Hoteles 4 y 5 Estrellas - 362/2003"/>
    <s v="Categoria 3"/>
    <x v="15"/>
    <s v="Ayudante de Cocina"/>
    <s v="Centro"/>
    <s v="Tareas Generales"/>
    <n v="108803"/>
    <s v="O.S.P.Gastronomico"/>
    <s v="Capital Federal"/>
    <m/>
    <s v="C1070AAE"/>
    <s v="JUAN DE GARAY"/>
    <n v="265"/>
    <n v="2"/>
    <s v="F"/>
    <s v="CAPITAL FEDERAL"/>
    <s v="Capital Federal"/>
    <m/>
    <s v="U.O.Centro"/>
    <m/>
    <n v="1"/>
    <n v="1"/>
    <n v="1453.92"/>
    <n v="290.79000000000002"/>
    <m/>
    <m/>
    <n v="1163.1300000000001"/>
    <m/>
    <n v="29.08"/>
    <m/>
    <m/>
    <m/>
    <m/>
    <m/>
    <m/>
    <n v="14.54"/>
    <m/>
    <m/>
    <m/>
    <m/>
    <m/>
    <m/>
    <n v="29.08"/>
    <m/>
    <m/>
    <m/>
    <m/>
    <m/>
    <m/>
    <m/>
    <n v="14.54"/>
    <n v="300"/>
    <n v="387.24"/>
  </r>
  <r>
    <n v="11"/>
    <x v="11"/>
    <x v="1"/>
    <n v="182641"/>
    <s v="DANZE MAXIMILIANO JONATAN"/>
    <s v="20-34103212-2"/>
    <n v="42703"/>
    <n v="34103212"/>
    <s v="DANZE"/>
    <s v="MAXIMILIANO JONATAN"/>
    <s v="M"/>
    <m/>
    <d v="2016-11-08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OLON"/>
    <n v="764"/>
    <m/>
    <m/>
    <s v="CAPITAL FEDERAL"/>
    <s v="Capital Federal"/>
    <m/>
    <s v="U.O.Centro"/>
    <m/>
    <n v="1"/>
    <n v="1"/>
    <n v="5187.51"/>
    <n v="1037.52"/>
    <m/>
    <m/>
    <n v="4149.99"/>
    <m/>
    <n v="103.75"/>
    <m/>
    <m/>
    <m/>
    <m/>
    <m/>
    <m/>
    <n v="51.88"/>
    <n v="51.875100000000003"/>
    <m/>
    <m/>
    <m/>
    <m/>
    <m/>
    <n v="103.75"/>
    <m/>
    <m/>
    <m/>
    <m/>
    <m/>
    <m/>
    <m/>
    <n v="51.88"/>
    <n v="300"/>
    <n v="611.26"/>
  </r>
  <r>
    <n v="11"/>
    <x v="11"/>
    <x v="1"/>
    <n v="182766"/>
    <s v="DAVENIGNO MARIA EMILIA"/>
    <s v="27-34750282-6"/>
    <n v="42710"/>
    <n v="34750282"/>
    <s v="DAVENIGNO"/>
    <s v="MARIA EMILIA"/>
    <s v="F"/>
    <m/>
    <d v="2016-1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TUCUMAN"/>
    <n v="535"/>
    <n v="7"/>
    <s v="D"/>
    <s v="CAPITAL FEDERAL"/>
    <s v="Capital Federal"/>
    <m/>
    <s v="U.O.Centro"/>
    <m/>
    <n v="1"/>
    <n v="1"/>
    <n v="1525.87"/>
    <n v="305.19"/>
    <m/>
    <m/>
    <n v="1220.68"/>
    <m/>
    <n v="30.52"/>
    <m/>
    <m/>
    <m/>
    <m/>
    <m/>
    <m/>
    <n v="15.26"/>
    <n v="15.258699999999999"/>
    <m/>
    <m/>
    <m/>
    <m/>
    <m/>
    <n v="30.52"/>
    <m/>
    <m/>
    <m/>
    <m/>
    <m/>
    <m/>
    <m/>
    <n v="15.26"/>
    <n v="300"/>
    <n v="391.56"/>
  </r>
  <r>
    <n v="11"/>
    <x v="11"/>
    <x v="0"/>
    <n v="175739"/>
    <s v="DE BARY LUCIO"/>
    <s v="23-38498237-9"/>
    <n v="42710"/>
    <n v="38498237"/>
    <s v="DE BARY"/>
    <s v="LUCIO"/>
    <s v="M"/>
    <m/>
    <d v="2016-07-16T00:00:00"/>
    <d v="2016-10-25T00:00:00"/>
    <n v="42668"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s v="C1085ABP"/>
    <s v="SANTIAGO DEL ESTERO"/>
    <n v="1298"/>
    <m/>
    <m/>
    <s v="CAPITAL FEDERAL"/>
    <s v="Capital Federal"/>
    <m/>
    <s v="U.O.Centro"/>
    <m/>
    <n v="1"/>
    <n v="1"/>
    <n v="154.38999999999999"/>
    <n v="30.87"/>
    <m/>
    <m/>
    <n v="123.52"/>
    <m/>
    <n v="3.09"/>
    <m/>
    <m/>
    <m/>
    <m/>
    <m/>
    <m/>
    <n v="1.54"/>
    <m/>
    <m/>
    <m/>
    <m/>
    <m/>
    <m/>
    <n v="3.09"/>
    <m/>
    <m/>
    <m/>
    <m/>
    <m/>
    <m/>
    <m/>
    <n v="1.54"/>
    <m/>
    <n v="9.26"/>
  </r>
  <r>
    <n v="11"/>
    <x v="11"/>
    <x v="0"/>
    <n v="181601"/>
    <s v="DEL BARCO BELEN"/>
    <s v="27-38694762-2"/>
    <n v="42710"/>
    <n v="38694762"/>
    <s v="DEL BARCO"/>
    <s v="BELEN"/>
    <s v="F"/>
    <m/>
    <d v="2016-11-20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ARISTOBULO DEL VALLE"/>
    <n v="474"/>
    <n v="2"/>
    <m/>
    <s v="CAPITAL FEDERAL"/>
    <s v="Buenos Aires"/>
    <m/>
    <s v="U.O.Centro"/>
    <m/>
    <n v="2"/>
    <n v="1"/>
    <n v="1095.24"/>
    <n v="219.05"/>
    <m/>
    <m/>
    <n v="876.19"/>
    <m/>
    <n v="21.9"/>
    <m/>
    <m/>
    <m/>
    <m/>
    <m/>
    <m/>
    <n v="10.96"/>
    <m/>
    <m/>
    <m/>
    <m/>
    <m/>
    <m/>
    <n v="21.9"/>
    <n v="5.56"/>
    <n v="250"/>
    <m/>
    <m/>
    <m/>
    <m/>
    <m/>
    <n v="5.4"/>
    <n v="300"/>
    <n v="615.72"/>
  </r>
  <r>
    <n v="11"/>
    <x v="11"/>
    <x v="0"/>
    <n v="183435"/>
    <s v="DEL RIO CLAUDIO NICOLAS"/>
    <s v="23-37660613-9"/>
    <n v="42710"/>
    <n v="37660613"/>
    <s v="DEL RIO"/>
    <s v="CLAUDIO NICOLAS"/>
    <s v="M"/>
    <m/>
    <d v="2016-11-20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AVENIDA MARIANO ACOSTA"/>
    <n v="1225"/>
    <n v="6"/>
    <m/>
    <s v="CAPITAL FEDERAL"/>
    <s v="Buenos Aires"/>
    <m/>
    <s v="U.O.Centro"/>
    <m/>
    <n v="1"/>
    <n v="1"/>
    <n v="751.8"/>
    <n v="150.36000000000001"/>
    <m/>
    <m/>
    <n v="601.44000000000005"/>
    <m/>
    <n v="15.04"/>
    <m/>
    <m/>
    <m/>
    <m/>
    <m/>
    <m/>
    <n v="7.52"/>
    <m/>
    <m/>
    <m/>
    <m/>
    <m/>
    <m/>
    <n v="15.04"/>
    <m/>
    <m/>
    <m/>
    <m/>
    <m/>
    <m/>
    <m/>
    <n v="7.52"/>
    <n v="300"/>
    <n v="345.12"/>
  </r>
  <r>
    <n v="11"/>
    <x v="11"/>
    <x v="0"/>
    <n v="181858"/>
    <s v="DEMATTEIS ANDREA PAOLA"/>
    <s v="27-29758864-3"/>
    <n v="42710"/>
    <n v="29758864"/>
    <s v="DEMATTEIS"/>
    <s v="ANDREA PAOLA"/>
    <s v="F"/>
    <m/>
    <d v="2016-11-19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AVENIDA MITRE"/>
    <n v="1225"/>
    <n v="2"/>
    <s v="B"/>
    <s v="CAPITAL FEDERAL"/>
    <s v="Buenos Aires"/>
    <m/>
    <s v="U.O.Centro"/>
    <m/>
    <n v="3"/>
    <n v="1"/>
    <n v="7799.36"/>
    <n v="1556.16"/>
    <m/>
    <m/>
    <n v="6243.2"/>
    <m/>
    <n v="155.99"/>
    <m/>
    <m/>
    <m/>
    <m/>
    <m/>
    <m/>
    <n v="74.28"/>
    <m/>
    <m/>
    <m/>
    <m/>
    <m/>
    <m/>
    <n v="155.99"/>
    <m/>
    <m/>
    <m/>
    <m/>
    <m/>
    <m/>
    <m/>
    <n v="74.28"/>
    <n v="300"/>
    <n v="760.54"/>
  </r>
  <r>
    <n v="11"/>
    <x v="11"/>
    <x v="0"/>
    <n v="170691"/>
    <s v="DIAZ INGRID MANUELA"/>
    <s v="27-93051595-2"/>
    <n v="42710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ISANEWTON"/>
    <n v="1225"/>
    <m/>
    <m/>
    <s v="CAPITAL FEDERAL"/>
    <s v="Buenos Aires"/>
    <m/>
    <s v="U.O.Centro"/>
    <m/>
    <n v="2"/>
    <n v="1"/>
    <n v="13915.41"/>
    <n v="2783.08"/>
    <m/>
    <m/>
    <n v="11132.33"/>
    <m/>
    <n v="278.31"/>
    <m/>
    <m/>
    <m/>
    <m/>
    <m/>
    <m/>
    <n v="139.15"/>
    <m/>
    <m/>
    <m/>
    <m/>
    <m/>
    <m/>
    <n v="278.31"/>
    <m/>
    <m/>
    <m/>
    <m/>
    <m/>
    <m/>
    <m/>
    <n v="139.15"/>
    <n v="300"/>
    <n v="1134.92"/>
  </r>
  <r>
    <n v="11"/>
    <x v="11"/>
    <x v="0"/>
    <n v="182028"/>
    <s v="DIAZ MICAELA BELEN"/>
    <s v="27-38009858-5"/>
    <n v="42710"/>
    <n v="38009858"/>
    <s v="DIAZ"/>
    <s v="MICAELA BELEN"/>
    <s v="F"/>
    <m/>
    <d v="2016-11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RMIENTO"/>
    <n v="1225"/>
    <m/>
    <m/>
    <s v="CAPITAL FEDERAL"/>
    <s v="Buenos Aires"/>
    <m/>
    <s v="U.O.Centro"/>
    <m/>
    <n v="5"/>
    <n v="1"/>
    <n v="5788.91"/>
    <n v="1135.32"/>
    <m/>
    <m/>
    <n v="4653.59"/>
    <m/>
    <n v="115.78"/>
    <m/>
    <m/>
    <m/>
    <m/>
    <m/>
    <m/>
    <n v="35.43"/>
    <m/>
    <m/>
    <m/>
    <m/>
    <m/>
    <m/>
    <n v="115.78"/>
    <m/>
    <m/>
    <m/>
    <m/>
    <m/>
    <m/>
    <m/>
    <n v="35.43"/>
    <n v="300"/>
    <n v="602.41999999999996"/>
  </r>
  <r>
    <n v="11"/>
    <x v="11"/>
    <x v="0"/>
    <n v="169910"/>
    <s v="DIAZ NANCY"/>
    <s v="27-21949289-3"/>
    <n v="42710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1"/>
    <n v="1"/>
    <n v="18686.080000000002"/>
    <n v="3737.21"/>
    <m/>
    <m/>
    <n v="14948.87"/>
    <m/>
    <n v="373.72"/>
    <m/>
    <m/>
    <m/>
    <m/>
    <m/>
    <m/>
    <n v="186.86"/>
    <m/>
    <m/>
    <m/>
    <m/>
    <m/>
    <m/>
    <n v="373.72"/>
    <m/>
    <m/>
    <m/>
    <m/>
    <m/>
    <m/>
    <m/>
    <n v="186.86"/>
    <n v="300"/>
    <n v="1421.16"/>
  </r>
  <r>
    <n v="11"/>
    <x v="11"/>
    <x v="0"/>
    <n v="180694"/>
    <s v="DIAZ GERARDI MARIA LOURDES"/>
    <s v="27-38525993-5"/>
    <n v="42710"/>
    <n v="38525993"/>
    <s v="DIAZ GERARDI"/>
    <s v="MARIA LOURDES"/>
    <s v="F"/>
    <m/>
    <d v="2016-10-1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AVENIDA ANDES ROLON"/>
    <n v="240"/>
    <m/>
    <m/>
    <s v="TIGRE"/>
    <s v="Buenos Aires"/>
    <m/>
    <s v="U.O.San Isidro"/>
    <m/>
    <n v="1"/>
    <n v="1"/>
    <n v="9002.7099999999991"/>
    <n v="1800.54"/>
    <m/>
    <m/>
    <n v="7202.17"/>
    <m/>
    <n v="180.05"/>
    <m/>
    <m/>
    <m/>
    <m/>
    <m/>
    <m/>
    <n v="90.03"/>
    <m/>
    <m/>
    <m/>
    <m/>
    <m/>
    <m/>
    <n v="180.05"/>
    <m/>
    <m/>
    <m/>
    <m/>
    <m/>
    <m/>
    <m/>
    <n v="90.03"/>
    <n v="300"/>
    <n v="840.16"/>
  </r>
  <r>
    <n v="11"/>
    <x v="11"/>
    <x v="0"/>
    <n v="162205"/>
    <s v="DOMINGUEZ CABRERA CESAR FERNANDO"/>
    <s v="23-95304555-9"/>
    <n v="42710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 CORRIENTES"/>
    <n v="1225"/>
    <n v="3"/>
    <s v="D"/>
    <s v="CAPITAL FEDERAL"/>
    <s v="Buenos Aires"/>
    <m/>
    <s v="U.O.Centro"/>
    <m/>
    <n v="2"/>
    <n v="1"/>
    <n v="14959.76"/>
    <n v="2991.96"/>
    <m/>
    <m/>
    <n v="11967.8"/>
    <m/>
    <n v="299.19"/>
    <m/>
    <m/>
    <m/>
    <m/>
    <m/>
    <m/>
    <n v="149.6"/>
    <m/>
    <m/>
    <m/>
    <m/>
    <m/>
    <m/>
    <n v="299.19"/>
    <m/>
    <m/>
    <m/>
    <m/>
    <m/>
    <m/>
    <m/>
    <n v="149.6"/>
    <n v="300"/>
    <n v="1197.58"/>
  </r>
  <r>
    <n v="11"/>
    <x v="11"/>
    <x v="0"/>
    <n v="182545"/>
    <s v="DRAPPO JULIANA"/>
    <s v="27-29232775-2"/>
    <n v="42710"/>
    <n v="29232775"/>
    <s v="DRAPPO"/>
    <s v="JULIANA"/>
    <s v="F"/>
    <m/>
    <d v="2016-11-20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PASCO"/>
    <n v="1225"/>
    <n v="2"/>
    <s v="B"/>
    <s v="CAPITAL FEDERAL"/>
    <s v="Buenos Aires"/>
    <m/>
    <s v="U.O.Centro"/>
    <m/>
    <n v="3"/>
    <n v="1"/>
    <n v="1353.83"/>
    <n v="266.29000000000002"/>
    <m/>
    <m/>
    <n v="1087.54"/>
    <m/>
    <n v="27.07"/>
    <m/>
    <m/>
    <m/>
    <m/>
    <m/>
    <m/>
    <n v="9.08"/>
    <m/>
    <m/>
    <m/>
    <m/>
    <m/>
    <m/>
    <n v="27.07"/>
    <m/>
    <m/>
    <m/>
    <m/>
    <m/>
    <m/>
    <m/>
    <n v="9.08"/>
    <n v="300"/>
    <n v="372.3"/>
  </r>
  <r>
    <n v="11"/>
    <x v="11"/>
    <x v="0"/>
    <n v="183434"/>
    <s v="DUARTE CARLOS CESAR"/>
    <s v="20-34030052-2"/>
    <n v="42710"/>
    <n v="34030052"/>
    <s v="DUARTE"/>
    <s v="CARLOS CESAR"/>
    <s v="M"/>
    <m/>
    <d v="2016-11-21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EIPIDIO GONZALEZ"/>
    <n v="1225"/>
    <n v="6"/>
    <s v="A"/>
    <s v="CAPITAL FEDERAL"/>
    <s v="Buenos Aires"/>
    <m/>
    <s v="U.O.Centro"/>
    <m/>
    <n v="1"/>
    <n v="1"/>
    <n v="6508.14"/>
    <n v="1301.6199999999999"/>
    <m/>
    <m/>
    <n v="5206.5200000000004"/>
    <m/>
    <n v="130.16"/>
    <m/>
    <m/>
    <m/>
    <m/>
    <m/>
    <m/>
    <n v="65.08"/>
    <m/>
    <m/>
    <m/>
    <m/>
    <m/>
    <m/>
    <n v="130.16"/>
    <m/>
    <m/>
    <m/>
    <m/>
    <m/>
    <m/>
    <m/>
    <n v="65.08"/>
    <n v="300"/>
    <n v="690.48"/>
  </r>
  <r>
    <n v="11"/>
    <x v="11"/>
    <x v="0"/>
    <n v="166685"/>
    <s v="DUARTE PICO EVA CLARINA"/>
    <s v="27-94661310-5"/>
    <n v="42705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8323.68"/>
    <n v="3664.73"/>
    <m/>
    <m/>
    <n v="14658.95"/>
    <m/>
    <n v="366.47"/>
    <m/>
    <m/>
    <m/>
    <m/>
    <m/>
    <m/>
    <n v="183.24"/>
    <m/>
    <m/>
    <m/>
    <m/>
    <m/>
    <m/>
    <n v="366.47"/>
    <m/>
    <m/>
    <m/>
    <m/>
    <m/>
    <m/>
    <m/>
    <n v="183.24"/>
    <n v="300"/>
    <n v="1399.42"/>
  </r>
  <r>
    <n v="11"/>
    <x v="11"/>
    <x v="0"/>
    <n v="182618"/>
    <s v="DURE MARISA PAOLA"/>
    <s v="27-31101117-6"/>
    <n v="42710"/>
    <n v="31101117"/>
    <s v="DURE"/>
    <s v="MARISA PAOLA"/>
    <s v="F"/>
    <m/>
    <d v="2016-11-08T00:00:00"/>
    <m/>
    <m/>
    <s v="GASTRONOMICOS-Hoteles 4 y 5 Estrellas - 362/2003"/>
    <s v="Categoría 4"/>
    <x v="6"/>
    <s v="NUEVOS INGRESOS"/>
    <s v="Centro"/>
    <s v="Mucama"/>
    <n v="112004"/>
    <s v="OS  DEL PERSONAL SUPERIOR DE MERCEDES BENZ ARGENTINA"/>
    <s v="Capital Federal"/>
    <m/>
    <n v="1093"/>
    <s v="CALLE 898"/>
    <n v="1232"/>
    <m/>
    <m/>
    <s v="CAPITAL FEDERAL"/>
    <s v="Buenos Aires"/>
    <m/>
    <s v="U.O.Centro"/>
    <s v="Ama de Llaves"/>
    <n v="1"/>
    <n v="1"/>
    <n v="14439.24"/>
    <n v="2887.85"/>
    <m/>
    <m/>
    <n v="11551.39"/>
    <m/>
    <n v="288.77999999999997"/>
    <m/>
    <m/>
    <m/>
    <m/>
    <m/>
    <m/>
    <n v="144.38999999999999"/>
    <m/>
    <m/>
    <m/>
    <m/>
    <m/>
    <m/>
    <n v="288.77999999999997"/>
    <m/>
    <m/>
    <m/>
    <m/>
    <m/>
    <m/>
    <m/>
    <n v="144.38999999999999"/>
    <n v="300"/>
    <n v="1166.3399999999999"/>
  </r>
  <r>
    <n v="11"/>
    <x v="11"/>
    <x v="0"/>
    <n v="164241"/>
    <s v="ELISSAMBURU NICOLE"/>
    <s v="23-40563228-4"/>
    <n v="42710"/>
    <n v="40563228"/>
    <s v="ELISSAMBURU"/>
    <s v="NICOLE"/>
    <s v="F"/>
    <m/>
    <d v="2016-11-21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 PIEDRA BUENA"/>
    <n v="181"/>
    <m/>
    <m/>
    <s v="CAPITAL FEDERAL"/>
    <s v="Capital Federal"/>
    <m/>
    <s v="U.O.Centro"/>
    <m/>
    <n v="4"/>
    <n v="1"/>
    <n v="9844.59"/>
    <n v="1968.93"/>
    <m/>
    <m/>
    <n v="7875.66"/>
    <m/>
    <n v="196.9"/>
    <m/>
    <m/>
    <m/>
    <m/>
    <m/>
    <m/>
    <n v="98.44"/>
    <m/>
    <m/>
    <m/>
    <m/>
    <m/>
    <m/>
    <n v="196.9"/>
    <m/>
    <m/>
    <m/>
    <m/>
    <m/>
    <m/>
    <m/>
    <n v="98.44"/>
    <n v="300"/>
    <n v="890.68"/>
  </r>
  <r>
    <n v="11"/>
    <x v="11"/>
    <x v="0"/>
    <n v="178413"/>
    <s v="ESCOBAR VANESA ALEJANDRA"/>
    <s v="27-30516297-9"/>
    <n v="42710"/>
    <n v="30516297"/>
    <s v="ESCOBAR"/>
    <s v="VANESA ALEJANDR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CAMINO REAL MORON"/>
    <n v="240"/>
    <m/>
    <m/>
    <s v="TIGRE"/>
    <s v="Buenos Aires"/>
    <m/>
    <s v="U.O.San Isidro"/>
    <m/>
    <n v="1"/>
    <n v="1"/>
    <n v="8033.4"/>
    <n v="1606.67"/>
    <m/>
    <m/>
    <n v="6426.73"/>
    <m/>
    <n v="160.66999999999999"/>
    <m/>
    <m/>
    <m/>
    <m/>
    <m/>
    <m/>
    <n v="80.33"/>
    <m/>
    <m/>
    <m/>
    <m/>
    <m/>
    <m/>
    <n v="160.66999999999999"/>
    <m/>
    <m/>
    <m/>
    <m/>
    <m/>
    <m/>
    <m/>
    <n v="80.33"/>
    <n v="300"/>
    <n v="782"/>
  </r>
  <r>
    <n v="11"/>
    <x v="11"/>
    <x v="1"/>
    <n v="183312"/>
    <s v="ESPAÑA CAMERO DIEGO RICARDO"/>
    <s v="20-95221070-0"/>
    <n v="42703"/>
    <n v="95221070"/>
    <s v="ESPAÑA CAMERO"/>
    <s v="DIEGO RICARDO"/>
    <s v="M"/>
    <m/>
    <d v="2016-11-19T00:00:00"/>
    <m/>
    <m/>
    <s v="GASTRONOMICOS-Hoteles 4 y 5 Estrellas - 362/2003"/>
    <s v="Categoria 5"/>
    <x v="3"/>
    <s v="Unidad Principal"/>
    <s v="Centro"/>
    <s v="Comis de Cocina"/>
    <n v="108803"/>
    <s v="O.S.P.Gastronomico"/>
    <s v="Capital Federal"/>
    <m/>
    <s v="C1002ABO"/>
    <s v="RAWSON"/>
    <n v="764"/>
    <n v="6"/>
    <s v="D"/>
    <s v="CAPITAL FEDERAL"/>
    <s v="Capital Federal"/>
    <m/>
    <s v="U.O.Centro"/>
    <m/>
    <n v="1"/>
    <n v="1"/>
    <n v="439.34"/>
    <n v="87.87"/>
    <m/>
    <m/>
    <n v="351.47"/>
    <m/>
    <n v="8.7899999999999991"/>
    <m/>
    <m/>
    <m/>
    <m/>
    <m/>
    <m/>
    <n v="4.3899999999999997"/>
    <n v="4.3933999999999997"/>
    <m/>
    <m/>
    <m/>
    <m/>
    <m/>
    <n v="8.7899999999999991"/>
    <m/>
    <m/>
    <m/>
    <m/>
    <m/>
    <m/>
    <m/>
    <n v="4.3899999999999997"/>
    <n v="300"/>
    <n v="326.36"/>
  </r>
  <r>
    <n v="11"/>
    <x v="11"/>
    <x v="0"/>
    <n v="181424"/>
    <s v="ESPINDOLA ARIADNA STEPHANIE"/>
    <s v="27-36904815-0"/>
    <n v="42710"/>
    <n v="36904815"/>
    <s v="ESPINDOLA"/>
    <s v="ARIADNA STEPHANIE"/>
    <s v="F"/>
    <m/>
    <d v="2016-10-25T00:00:00"/>
    <d v="2016-10-28T00:00:00"/>
    <n v="42671"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AV CASEROS"/>
    <n v="507"/>
    <n v="1"/>
    <m/>
    <s v="CAPITAL FEDERAL"/>
    <s v="Capital Federal"/>
    <m/>
    <s v="U.O.Centro"/>
    <m/>
    <n v="1"/>
    <n v="1"/>
    <n v="5"/>
    <n v="1"/>
    <m/>
    <m/>
    <n v="4"/>
    <m/>
    <n v="0.1"/>
    <m/>
    <m/>
    <m/>
    <m/>
    <m/>
    <m/>
    <n v="0.05"/>
    <m/>
    <m/>
    <m/>
    <m/>
    <m/>
    <m/>
    <n v="0.1"/>
    <m/>
    <m/>
    <m/>
    <m/>
    <m/>
    <m/>
    <m/>
    <n v="0.05"/>
    <m/>
    <n v="0.3"/>
  </r>
  <r>
    <n v="11"/>
    <x v="11"/>
    <x v="0"/>
    <n v="181425"/>
    <s v="ESPINOLA NORBERTO BAUTISTA"/>
    <s v="20-34490199-7"/>
    <n v="42710"/>
    <n v="34490199"/>
    <s v="ESPINOLA"/>
    <s v="NORBERTO BAUTISTA"/>
    <s v="M"/>
    <m/>
    <d v="2016-10-21T00:00:00"/>
    <d v="2016-11-16T00:00:00"/>
    <n v="42690"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TILCARA"/>
    <n v="1225"/>
    <m/>
    <m/>
    <s v="CAPITAL FEDERAL"/>
    <s v="Buenos Aires"/>
    <m/>
    <s v="U.O.Centro"/>
    <m/>
    <n v="2"/>
    <n v="1"/>
    <n v="4911.32"/>
    <n v="982.27"/>
    <m/>
    <m/>
    <n v="3929.05"/>
    <m/>
    <n v="98.23"/>
    <m/>
    <m/>
    <m/>
    <m/>
    <m/>
    <m/>
    <n v="49.12"/>
    <m/>
    <m/>
    <m/>
    <m/>
    <m/>
    <m/>
    <n v="98.23"/>
    <m/>
    <m/>
    <m/>
    <m/>
    <m/>
    <m/>
    <m/>
    <n v="49.12"/>
    <n v="300"/>
    <n v="594.70000000000005"/>
  </r>
  <r>
    <n v="11"/>
    <x v="11"/>
    <x v="1"/>
    <n v="182311"/>
    <s v="ESQUIVEL LEONARDO ALEJANDRO"/>
    <s v="20-29153912-3"/>
    <n v="42710"/>
    <n v="29153912"/>
    <s v="ESQUIVEL"/>
    <s v="LEONARDO ALEJANDRO"/>
    <s v="M"/>
    <m/>
    <d v="2016-11-04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AV JUAN DE GARAY"/>
    <n v="507"/>
    <m/>
    <m/>
    <s v="CAPITAL FEDERAL"/>
    <s v="Capital Federal"/>
    <m/>
    <s v="U.O.Centro"/>
    <m/>
    <n v="1"/>
    <n v="1"/>
    <n v="5261.65"/>
    <n v="1052.33"/>
    <m/>
    <m/>
    <n v="4209.32"/>
    <m/>
    <n v="105.23"/>
    <m/>
    <m/>
    <m/>
    <m/>
    <m/>
    <m/>
    <n v="52.62"/>
    <n v="52.616499999999995"/>
    <m/>
    <m/>
    <m/>
    <m/>
    <m/>
    <n v="105.23"/>
    <m/>
    <m/>
    <m/>
    <m/>
    <m/>
    <m/>
    <m/>
    <n v="52.62"/>
    <n v="300"/>
    <n v="615.70000000000005"/>
  </r>
  <r>
    <n v="11"/>
    <x v="11"/>
    <x v="0"/>
    <n v="183318"/>
    <s v="ESTIGARRIBIA ROSA ISABEL"/>
    <s v="27-93962592-0"/>
    <n v="42710"/>
    <n v="93962592"/>
    <s v="ESTIGARRIBIA"/>
    <s v="ROSA ISABEL"/>
    <s v="F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GASCON"/>
    <n v="1225"/>
    <n v="9"/>
    <s v="C"/>
    <s v="CAPITAL FEDERAL"/>
    <s v="Buenos Aires"/>
    <m/>
    <s v="U.O.Centro"/>
    <m/>
    <n v="3"/>
    <n v="1"/>
    <n v="1802.18"/>
    <n v="355.97"/>
    <m/>
    <m/>
    <n v="1446.21"/>
    <m/>
    <n v="36.04"/>
    <m/>
    <m/>
    <m/>
    <m/>
    <m/>
    <m/>
    <n v="13.57"/>
    <m/>
    <m/>
    <m/>
    <m/>
    <m/>
    <m/>
    <n v="36.04"/>
    <m/>
    <m/>
    <m/>
    <m/>
    <m/>
    <m/>
    <m/>
    <n v="13.57"/>
    <n v="300"/>
    <n v="399.22"/>
  </r>
  <r>
    <n v="11"/>
    <x v="11"/>
    <x v="0"/>
    <n v="180753"/>
    <s v="FANOLA CHACON EDITH JESSICA"/>
    <s v="23-94570123-4"/>
    <n v="42710"/>
    <n v="94570123"/>
    <s v="FANOLA CHACON"/>
    <s v="EDITH JESSICA"/>
    <s v="F"/>
    <m/>
    <d v="2016-10-0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TUCION"/>
    <n v="1225"/>
    <n v="3"/>
    <s v="B"/>
    <s v="CAPITAL FEDERAL"/>
    <s v="Buenos Aires"/>
    <m/>
    <s v="U.O.Centro"/>
    <m/>
    <n v="3"/>
    <n v="1"/>
    <n v="8234.11"/>
    <n v="1642.38"/>
    <m/>
    <m/>
    <n v="6591.73"/>
    <m/>
    <n v="164.68"/>
    <m/>
    <m/>
    <m/>
    <m/>
    <m/>
    <m/>
    <n v="77.89"/>
    <m/>
    <m/>
    <m/>
    <m/>
    <m/>
    <m/>
    <n v="164.68"/>
    <m/>
    <m/>
    <m/>
    <m/>
    <m/>
    <m/>
    <m/>
    <n v="77.89"/>
    <n v="300"/>
    <n v="785.14"/>
  </r>
  <r>
    <n v="11"/>
    <x v="11"/>
    <x v="0"/>
    <n v="183656"/>
    <s v="FARIAS LEANDRO LUCAS"/>
    <s v="20-27316568-2"/>
    <n v="42710"/>
    <n v="27316568"/>
    <s v="FARIAS"/>
    <s v="LEANDRO LUCAS"/>
    <s v="M"/>
    <m/>
    <d v="2016-11-24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FACUNDO"/>
    <n v="1005"/>
    <m/>
    <m/>
    <s v="CAPITAL FEDERAL"/>
    <s v="Capital Federal"/>
    <m/>
    <s v="U.O.Centro"/>
    <m/>
    <n v="1"/>
    <n v="1"/>
    <n v="3988.72"/>
    <n v="797.74"/>
    <m/>
    <m/>
    <n v="3190.98"/>
    <m/>
    <n v="79.77"/>
    <m/>
    <m/>
    <m/>
    <m/>
    <m/>
    <m/>
    <n v="39.89"/>
    <m/>
    <m/>
    <m/>
    <m/>
    <m/>
    <m/>
    <n v="79.77"/>
    <m/>
    <m/>
    <m/>
    <m/>
    <m/>
    <m/>
    <m/>
    <n v="39.89"/>
    <n v="300"/>
    <n v="539.32000000000005"/>
  </r>
  <r>
    <n v="11"/>
    <x v="11"/>
    <x v="0"/>
    <n v="183436"/>
    <s v="FEMENIAS GUILLERMO EXEQUIEL"/>
    <s v="20-39520643-6"/>
    <n v="42710"/>
    <n v="39520643"/>
    <s v="FEMENIAS"/>
    <s v="GUILLERMO EXEQUIEL"/>
    <s v="M"/>
    <m/>
    <d v="2016-11-19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EVA PERON"/>
    <n v="1225"/>
    <n v="1"/>
    <s v="D"/>
    <s v="CAPITAL FEDERAL"/>
    <s v="Buenos Aires"/>
    <m/>
    <s v="U.O.Centro"/>
    <m/>
    <n v="1"/>
    <n v="1"/>
    <n v="2340.46"/>
    <n v="468.08"/>
    <m/>
    <m/>
    <n v="1872.38"/>
    <m/>
    <n v="46.81"/>
    <m/>
    <m/>
    <m/>
    <m/>
    <m/>
    <m/>
    <n v="23.4"/>
    <m/>
    <m/>
    <m/>
    <m/>
    <m/>
    <m/>
    <n v="46.81"/>
    <m/>
    <m/>
    <m/>
    <m/>
    <m/>
    <m/>
    <m/>
    <n v="23.4"/>
    <n v="300"/>
    <n v="440.42"/>
  </r>
  <r>
    <n v="11"/>
    <x v="11"/>
    <x v="0"/>
    <n v="138787"/>
    <s v="FERNANDEZ CLAUDIA"/>
    <s v="27-23472256-0"/>
    <n v="42710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18001.740000000002"/>
    <n v="3600.34"/>
    <m/>
    <m/>
    <n v="14401.4"/>
    <m/>
    <n v="360.03"/>
    <m/>
    <m/>
    <m/>
    <m/>
    <m/>
    <m/>
    <n v="180.02"/>
    <m/>
    <m/>
    <m/>
    <m/>
    <m/>
    <m/>
    <n v="360.03"/>
    <m/>
    <m/>
    <m/>
    <m/>
    <m/>
    <m/>
    <m/>
    <n v="180.02"/>
    <n v="300"/>
    <n v="1380.1"/>
  </r>
  <r>
    <n v="11"/>
    <x v="11"/>
    <x v="0"/>
    <n v="182057"/>
    <s v="FERNANDEZ FLORENCIA AYELEN"/>
    <s v="27-37375697-6"/>
    <n v="42710"/>
    <n v="37375697"/>
    <s v="FERNANDEZ"/>
    <s v="FLORENCIA AYELEN"/>
    <s v="F"/>
    <m/>
    <d v="2016-11-20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TORQUINTS"/>
    <n v="1225"/>
    <m/>
    <m/>
    <s v="CAPITAL FEDERAL"/>
    <s v="Buenos Aires"/>
    <m/>
    <s v="U.O.Centro"/>
    <m/>
    <n v="3"/>
    <n v="1"/>
    <n v="2678.55"/>
    <n v="526.44000000000005"/>
    <m/>
    <m/>
    <n v="2152.11"/>
    <m/>
    <n v="53.57"/>
    <m/>
    <m/>
    <m/>
    <m/>
    <m/>
    <m/>
    <n v="17.510000000000002"/>
    <m/>
    <m/>
    <m/>
    <m/>
    <m/>
    <m/>
    <n v="53.57"/>
    <m/>
    <m/>
    <m/>
    <m/>
    <m/>
    <m/>
    <m/>
    <n v="17.510000000000002"/>
    <n v="300"/>
    <n v="442.16"/>
  </r>
  <r>
    <n v="11"/>
    <x v="11"/>
    <x v="1"/>
    <n v="182308"/>
    <s v="FERNANDEZ GUSTAVO EDGAR"/>
    <s v="20-32386246-0"/>
    <n v="42703"/>
    <n v="32386246"/>
    <s v="FERNANDEZ"/>
    <s v="GUSTAVO EDGAR"/>
    <s v="M"/>
    <m/>
    <d v="2016-11-04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LLE 165 (DANTO HIPOLITO LUGO)"/>
    <n v="764"/>
    <m/>
    <m/>
    <s v="CAPITAL FEDERAL"/>
    <s v="Capital Federal"/>
    <m/>
    <s v="U.O.Centro"/>
    <m/>
    <n v="1"/>
    <n v="1"/>
    <n v="8826.27"/>
    <n v="1765.26"/>
    <m/>
    <m/>
    <n v="7061.01"/>
    <m/>
    <n v="176.53"/>
    <m/>
    <m/>
    <m/>
    <m/>
    <m/>
    <m/>
    <n v="88.26"/>
    <n v="88.262700000000009"/>
    <m/>
    <m/>
    <m/>
    <m/>
    <m/>
    <n v="176.53"/>
    <m/>
    <m/>
    <m/>
    <m/>
    <m/>
    <m/>
    <m/>
    <n v="88.26"/>
    <n v="300"/>
    <n v="829.58"/>
  </r>
  <r>
    <n v="11"/>
    <x v="11"/>
    <x v="0"/>
    <n v="156623"/>
    <s v="FERNANDEZ JULIO CESAR"/>
    <s v="20-26020864-1"/>
    <n v="42695"/>
    <n v="26020864"/>
    <s v="FERNANDEZ"/>
    <s v="JULIO CESAR"/>
    <s v="M"/>
    <m/>
    <d v="2015-08-14T00:00:00"/>
    <d v="2016-09-13T00:00:00"/>
    <n v="42655"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GODOY CRUZ"/>
    <n v="535"/>
    <m/>
    <m/>
    <s v="CAPITAL FEDERAL"/>
    <s v="Capital Federal"/>
    <m/>
    <s v="U.O.Casa Central"/>
    <m/>
    <n v="1"/>
    <n v="1"/>
    <n v="764.48"/>
    <n v="156.69999999999999"/>
    <m/>
    <m/>
    <n v="607.78"/>
    <n v="19.11"/>
    <m/>
    <m/>
    <m/>
    <m/>
    <m/>
    <m/>
    <m/>
    <n v="7.64"/>
    <m/>
    <m/>
    <m/>
    <m/>
    <m/>
    <m/>
    <n v="15.29"/>
    <m/>
    <m/>
    <m/>
    <m/>
    <m/>
    <m/>
    <m/>
    <n v="7.64"/>
    <m/>
    <n v="49.68"/>
  </r>
  <r>
    <n v="11"/>
    <x v="11"/>
    <x v="0"/>
    <n v="182737"/>
    <s v="FERNANDEZ MARIA DE LOS ANGELES EVELIN"/>
    <s v="27-36647084-6"/>
    <n v="42710"/>
    <n v="36647084"/>
    <s v="FERNANDEZ"/>
    <s v="MARIA DE LOS ANGELES EVELIN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GUATEMALA"/>
    <n v="240"/>
    <m/>
    <m/>
    <s v="TIGRE"/>
    <s v="Buenos Aires"/>
    <m/>
    <s v="U.O.San Isidro"/>
    <m/>
    <n v="1"/>
    <n v="1"/>
    <n v="6809.24"/>
    <n v="1361.85"/>
    <m/>
    <m/>
    <n v="5447.39"/>
    <m/>
    <n v="136.18"/>
    <m/>
    <m/>
    <m/>
    <m/>
    <m/>
    <m/>
    <n v="68.09"/>
    <m/>
    <m/>
    <m/>
    <m/>
    <m/>
    <m/>
    <n v="136.18"/>
    <m/>
    <m/>
    <m/>
    <m/>
    <m/>
    <m/>
    <m/>
    <n v="68.09"/>
    <n v="300"/>
    <n v="708.54"/>
  </r>
  <r>
    <n v="11"/>
    <x v="11"/>
    <x v="0"/>
    <n v="178412"/>
    <s v="FERNANDEZ MAYRA MELISA"/>
    <s v="27-36600791-7"/>
    <n v="42710"/>
    <n v="36600791"/>
    <s v="FERNANDEZ"/>
    <s v="MAYRA MELIS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Formosa"/>
    <n v="240"/>
    <m/>
    <m/>
    <s v="TIGRE"/>
    <s v="Buenos Aires"/>
    <m/>
    <s v="U.O.San Isidro"/>
    <m/>
    <n v="1"/>
    <n v="1"/>
    <n v="1559.14"/>
    <n v="311.82"/>
    <m/>
    <m/>
    <n v="1247.32"/>
    <m/>
    <n v="31.18"/>
    <m/>
    <m/>
    <m/>
    <m/>
    <m/>
    <m/>
    <n v="15.59"/>
    <m/>
    <m/>
    <m/>
    <m/>
    <m/>
    <m/>
    <n v="31.18"/>
    <m/>
    <m/>
    <m/>
    <m/>
    <m/>
    <m/>
    <m/>
    <n v="15.59"/>
    <n v="300"/>
    <n v="393.54"/>
  </r>
  <r>
    <n v="11"/>
    <x v="11"/>
    <x v="0"/>
    <n v="183290"/>
    <s v="FERRE PINTOS RUT ESTER"/>
    <s v="27-38708738-4"/>
    <n v="42710"/>
    <n v="38708738"/>
    <s v="FERRE PINTOS"/>
    <s v="RUT ESTER"/>
    <s v="F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CHARCAS"/>
    <n v="1225"/>
    <n v="5"/>
    <n v="14"/>
    <s v="CAPITAL FEDERAL"/>
    <s v="Buenos Aires"/>
    <m/>
    <s v="U.O.Centro"/>
    <m/>
    <n v="3"/>
    <n v="1"/>
    <n v="3993.08"/>
    <n v="798.62"/>
    <m/>
    <m/>
    <n v="3194.46"/>
    <m/>
    <n v="79.86"/>
    <m/>
    <m/>
    <m/>
    <m/>
    <m/>
    <m/>
    <n v="39.93"/>
    <m/>
    <m/>
    <m/>
    <m/>
    <m/>
    <m/>
    <n v="79.86"/>
    <m/>
    <m/>
    <m/>
    <m/>
    <m/>
    <m/>
    <m/>
    <n v="39.93"/>
    <n v="300"/>
    <n v="539.58000000000004"/>
  </r>
  <r>
    <n v="11"/>
    <x v="11"/>
    <x v="0"/>
    <n v="177331"/>
    <s v="FIGUEREDO MILCIDADES JOSE"/>
    <s v="20-29951754-4"/>
    <n v="42710"/>
    <n v="29951754"/>
    <s v="FIGUEREDO"/>
    <s v="MILCIDADES JOSE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OSE A.CASACUBERTA"/>
    <n v="1225"/>
    <m/>
    <m/>
    <s v="CAPITAL FEDERAL"/>
    <s v="Buenos Aires"/>
    <m/>
    <s v="U.O.Centro"/>
    <m/>
    <n v="2"/>
    <n v="1"/>
    <n v="12278.3"/>
    <n v="2455.67"/>
    <m/>
    <m/>
    <n v="9822.6299999999992"/>
    <m/>
    <n v="245.57"/>
    <m/>
    <m/>
    <m/>
    <m/>
    <m/>
    <m/>
    <n v="122.78"/>
    <m/>
    <m/>
    <m/>
    <m/>
    <m/>
    <m/>
    <n v="245.57"/>
    <m/>
    <m/>
    <m/>
    <m/>
    <m/>
    <m/>
    <m/>
    <n v="122.78"/>
    <n v="300"/>
    <n v="1036.7"/>
  </r>
  <r>
    <n v="11"/>
    <x v="11"/>
    <x v="0"/>
    <n v="173372"/>
    <s v="FILATOVA INNA"/>
    <s v="27-18845947-7"/>
    <n v="42710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UALEGUAY"/>
    <n v="1225"/>
    <m/>
    <m/>
    <s v="CAPITAL FEDERAL"/>
    <s v="Buenos Aires"/>
    <m/>
    <s v="U.O.Centro"/>
    <m/>
    <n v="3"/>
    <n v="1"/>
    <n v="10996.07"/>
    <n v="2199.23"/>
    <m/>
    <m/>
    <n v="8796.84"/>
    <m/>
    <n v="219.92"/>
    <m/>
    <m/>
    <m/>
    <m/>
    <m/>
    <m/>
    <n v="109.96"/>
    <m/>
    <m/>
    <m/>
    <m/>
    <m/>
    <m/>
    <n v="219.92"/>
    <m/>
    <m/>
    <m/>
    <m/>
    <m/>
    <m/>
    <m/>
    <n v="109.96"/>
    <n v="300"/>
    <n v="959.76"/>
  </r>
  <r>
    <n v="11"/>
    <x v="11"/>
    <x v="0"/>
    <n v="178410"/>
    <s v="FINAMORE PAULA GABRIELA"/>
    <s v="27-30335164-2"/>
    <n v="42710"/>
    <n v="30335164"/>
    <s v="FINAMORE"/>
    <s v="PAULA GABRIELA"/>
    <s v="F"/>
    <m/>
    <d v="2016-09-14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VUELTA DE OBLIGADO"/>
    <n v="240"/>
    <m/>
    <m/>
    <s v="TIGRE"/>
    <s v="Buenos Aires"/>
    <m/>
    <s v="U.O.San Isidro"/>
    <m/>
    <n v="1"/>
    <n v="1"/>
    <n v="2615.31"/>
    <n v="523.05999999999995"/>
    <m/>
    <m/>
    <n v="2092.25"/>
    <m/>
    <n v="52.31"/>
    <m/>
    <m/>
    <m/>
    <m/>
    <m/>
    <m/>
    <n v="26.15"/>
    <m/>
    <m/>
    <m/>
    <m/>
    <m/>
    <m/>
    <n v="52.31"/>
    <m/>
    <m/>
    <m/>
    <m/>
    <m/>
    <m/>
    <m/>
    <n v="26.15"/>
    <n v="300"/>
    <n v="456.92"/>
  </r>
  <r>
    <n v="11"/>
    <x v="11"/>
    <x v="0"/>
    <n v="183250"/>
    <s v="FLORENCIO LLANOS YERSON RONY"/>
    <s v="20-94932283-2"/>
    <n v="42710"/>
    <n v="94932283"/>
    <s v="FLORENCIO LLANOS"/>
    <s v="YERSON RONY"/>
    <s v="M"/>
    <m/>
    <d v="2016-11-19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JOSE CORTEJARENA"/>
    <n v="1225"/>
    <n v="2"/>
    <s v="C"/>
    <s v="CAPITAL FEDERAL"/>
    <s v="Buenos Aires"/>
    <m/>
    <s v="U.O.Centro"/>
    <m/>
    <n v="4"/>
    <n v="1"/>
    <n v="4607.91"/>
    <n v="921.59"/>
    <m/>
    <m/>
    <n v="3686.32"/>
    <m/>
    <n v="92.16"/>
    <m/>
    <m/>
    <m/>
    <m/>
    <m/>
    <m/>
    <n v="46.08"/>
    <m/>
    <m/>
    <m/>
    <m/>
    <m/>
    <m/>
    <n v="92.16"/>
    <m/>
    <m/>
    <m/>
    <m/>
    <m/>
    <m/>
    <m/>
    <n v="46.08"/>
    <n v="300"/>
    <n v="576.48"/>
  </r>
  <r>
    <n v="11"/>
    <x v="11"/>
    <x v="0"/>
    <n v="182726"/>
    <s v="FRANCINI NADIA GISELE"/>
    <s v="27-34741195-2"/>
    <n v="42710"/>
    <n v="34741195"/>
    <s v="FRANCINI"/>
    <s v="NADIA GISELE"/>
    <s v="F"/>
    <m/>
    <d v="2016-11-09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CORRIENTES"/>
    <n v="240"/>
    <m/>
    <m/>
    <s v="TIGRE"/>
    <s v="Buenos Aires"/>
    <m/>
    <s v="U.O.San Isidro"/>
    <m/>
    <n v="1"/>
    <n v="1"/>
    <n v="9461.5400000000009"/>
    <n v="1892.32"/>
    <m/>
    <m/>
    <n v="7569.22"/>
    <m/>
    <n v="189.23"/>
    <m/>
    <m/>
    <m/>
    <m/>
    <m/>
    <m/>
    <n v="94.62"/>
    <m/>
    <m/>
    <m/>
    <m/>
    <m/>
    <m/>
    <n v="189.23"/>
    <m/>
    <m/>
    <m/>
    <m/>
    <m/>
    <m/>
    <m/>
    <n v="94.62"/>
    <n v="300"/>
    <n v="867.7"/>
  </r>
  <r>
    <n v="11"/>
    <x v="11"/>
    <x v="0"/>
    <n v="178110"/>
    <s v="GALBAN MARIA LAURA"/>
    <s v="27-35083833-9"/>
    <n v="42710"/>
    <n v="35083833"/>
    <s v="GALBAN"/>
    <s v="MARIA LAURA"/>
    <s v="F"/>
    <m/>
    <d v="2016-09-02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Gran Buenos Aires"/>
    <m/>
    <n v="1648"/>
    <s v="pocitos"/>
    <n v="240"/>
    <m/>
    <m/>
    <s v="TIGRE"/>
    <s v="Buenos Aires"/>
    <m/>
    <s v="U.O.San Isidro"/>
    <m/>
    <n v="1"/>
    <n v="1"/>
    <n v="19111.900000000001"/>
    <n v="3822.39"/>
    <m/>
    <m/>
    <n v="15289.51"/>
    <m/>
    <n v="382.24"/>
    <m/>
    <m/>
    <m/>
    <m/>
    <m/>
    <m/>
    <n v="191.12"/>
    <m/>
    <m/>
    <m/>
    <m/>
    <m/>
    <m/>
    <n v="382.24"/>
    <m/>
    <m/>
    <m/>
    <m/>
    <m/>
    <m/>
    <m/>
    <n v="191.12"/>
    <n v="300"/>
    <n v="1446.72"/>
  </r>
  <r>
    <n v="11"/>
    <x v="11"/>
    <x v="0"/>
    <n v="177973"/>
    <s v="GALLARDO BRENDA NOELIA"/>
    <s v="27-34574227-7"/>
    <n v="42695"/>
    <n v="34574227"/>
    <s v="GALLARDO"/>
    <s v="BRENDA NOELI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UECIA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11"/>
    <x v="11"/>
    <x v="1"/>
    <n v="65418"/>
    <s v="GARAY ANGEL FAUSTINO"/>
    <s v="20-27725694-1"/>
    <n v="42710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2"/>
    <n v="1"/>
    <n v="20213.099999999999"/>
    <n v="4143.68"/>
    <m/>
    <m/>
    <n v="16069.42"/>
    <n v="505.33"/>
    <m/>
    <m/>
    <m/>
    <m/>
    <m/>
    <m/>
    <m/>
    <n v="202.13"/>
    <n v="202.131"/>
    <m/>
    <m/>
    <m/>
    <m/>
    <m/>
    <n v="404.26"/>
    <m/>
    <m/>
    <m/>
    <m/>
    <m/>
    <m/>
    <m/>
    <n v="202.13"/>
    <n v="300"/>
    <n v="1613.85"/>
  </r>
  <r>
    <n v="11"/>
    <x v="11"/>
    <x v="0"/>
    <n v="177859"/>
    <s v="GARAY NARA MARIANA"/>
    <s v="27-34750126-9"/>
    <n v="42710"/>
    <n v="34750126"/>
    <s v="GARAY"/>
    <s v="NARA MARIAN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n v="10"/>
    <n v="1225"/>
    <m/>
    <m/>
    <s v="CAPITAL FEDERAL"/>
    <s v="Buenos Aires"/>
    <m/>
    <s v="U.O.Centro"/>
    <m/>
    <n v="3"/>
    <n v="1"/>
    <n v="15417.02"/>
    <n v="3083.41"/>
    <m/>
    <m/>
    <n v="12333.61"/>
    <m/>
    <n v="308.33999999999997"/>
    <m/>
    <m/>
    <m/>
    <m/>
    <m/>
    <m/>
    <n v="154.16999999999999"/>
    <m/>
    <m/>
    <m/>
    <m/>
    <m/>
    <m/>
    <n v="308.33999999999997"/>
    <m/>
    <m/>
    <m/>
    <m/>
    <m/>
    <m/>
    <m/>
    <n v="154.16999999999999"/>
    <n v="300"/>
    <n v="1225.02"/>
  </r>
  <r>
    <n v="11"/>
    <x v="11"/>
    <x v="0"/>
    <n v="160167"/>
    <s v="GARCIA GRACIELA SUSANA"/>
    <s v="27-28071456-4"/>
    <n v="42710"/>
    <n v="28071456"/>
    <s v="GARCIA"/>
    <s v="GRACIELA SUSANA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ARZON"/>
    <n v="1225"/>
    <m/>
    <m/>
    <s v="CAPITAL FEDERAL"/>
    <s v="Buenos Aires"/>
    <m/>
    <s v="U.O.Centro"/>
    <m/>
    <n v="4"/>
    <n v="1"/>
    <n v="3100.08"/>
    <n v="615.54999999999995"/>
    <m/>
    <m/>
    <n v="2484.5300000000002"/>
    <m/>
    <n v="61.99"/>
    <m/>
    <m/>
    <m/>
    <m/>
    <m/>
    <m/>
    <n v="26.55"/>
    <m/>
    <m/>
    <m/>
    <m/>
    <m/>
    <m/>
    <n v="61.99"/>
    <m/>
    <m/>
    <m/>
    <m/>
    <m/>
    <m/>
    <m/>
    <n v="26.55"/>
    <n v="300"/>
    <n v="477.08"/>
  </r>
  <r>
    <n v="11"/>
    <x v="11"/>
    <x v="0"/>
    <n v="180498"/>
    <s v="GARCIA OFELIA JIMENA"/>
    <s v="27-28743447-8"/>
    <n v="42703"/>
    <n v="28743447"/>
    <s v="GARCIA"/>
    <s v="OFELIA JIMENA"/>
    <s v="F"/>
    <m/>
    <d v="2016-10-13T00:00:00"/>
    <d v="2016-10-31T00:00:00"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MISIONES"/>
    <n v="764"/>
    <m/>
    <m/>
    <s v="CAPITAL FEDERAL"/>
    <s v="Capital Federal"/>
    <m/>
    <s v="U.O.Quilmes"/>
    <m/>
    <n v="1"/>
    <n v="1"/>
    <n v="2895.27"/>
    <n v="579.05999999999995"/>
    <m/>
    <m/>
    <n v="2316.21"/>
    <m/>
    <n v="57.91"/>
    <m/>
    <m/>
    <m/>
    <m/>
    <m/>
    <m/>
    <n v="28.95"/>
    <m/>
    <m/>
    <m/>
    <m/>
    <m/>
    <m/>
    <n v="57.91"/>
    <m/>
    <m/>
    <m/>
    <m/>
    <m/>
    <m/>
    <m/>
    <n v="28.95"/>
    <n v="300"/>
    <n v="473.72"/>
  </r>
  <r>
    <n v="11"/>
    <x v="11"/>
    <x v="0"/>
    <n v="174037"/>
    <s v="GARCIA CZUJKO ANDREA LAURA"/>
    <s v="27-93769203-5"/>
    <n v="42710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2"/>
    <n v="1"/>
    <n v="9663.82"/>
    <n v="1932.77"/>
    <m/>
    <m/>
    <n v="7731.05"/>
    <m/>
    <n v="193.27"/>
    <m/>
    <m/>
    <m/>
    <m/>
    <m/>
    <m/>
    <n v="96.64"/>
    <m/>
    <m/>
    <m/>
    <m/>
    <m/>
    <m/>
    <n v="193.27"/>
    <m/>
    <m/>
    <m/>
    <m/>
    <m/>
    <m/>
    <m/>
    <n v="96.64"/>
    <n v="300"/>
    <n v="879.82"/>
  </r>
  <r>
    <n v="11"/>
    <x v="11"/>
    <x v="0"/>
    <n v="178303"/>
    <s v="GASTELU SANTIAGO IVAN NICOLAS"/>
    <s v="20-37667275-2"/>
    <n v="42705"/>
    <n v="37667275"/>
    <s v="GASTELU"/>
    <s v="SANTIAGO IVAN NICOLAS"/>
    <s v="M"/>
    <m/>
    <d v="2016-09-13T00:00:00"/>
    <m/>
    <m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TALCAHUANO"/>
    <n v="841"/>
    <n v="7"/>
    <s v="N"/>
    <s v="CAPITAL FEDERAL"/>
    <s v="Buenos Aires"/>
    <m/>
    <s v="U.O.Centro"/>
    <m/>
    <n v="1"/>
    <n v="1"/>
    <n v="17500.23"/>
    <n v="3500.05"/>
    <m/>
    <m/>
    <n v="14000.18"/>
    <m/>
    <n v="350"/>
    <m/>
    <m/>
    <m/>
    <m/>
    <m/>
    <m/>
    <n v="175"/>
    <m/>
    <m/>
    <m/>
    <m/>
    <m/>
    <m/>
    <n v="350"/>
    <m/>
    <m/>
    <m/>
    <m/>
    <m/>
    <m/>
    <m/>
    <n v="175"/>
    <n v="300"/>
    <n v="1350"/>
  </r>
  <r>
    <n v="11"/>
    <x v="11"/>
    <x v="0"/>
    <n v="183256"/>
    <s v="GAVILAN MARISOL ROSANA"/>
    <s v="23-26719411-4"/>
    <n v="42710"/>
    <n v="26719411"/>
    <s v="GAVILAN"/>
    <s v="MARISOL ROSANA"/>
    <s v="F"/>
    <m/>
    <d v="2016-11-18T00:00:00"/>
    <d v="2016-11-21T00:00:00"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INGENIERO PETTIS"/>
    <n v="181"/>
    <m/>
    <m/>
    <s v="CAPITAL FEDERAL"/>
    <s v="Capital Federal"/>
    <m/>
    <s v="U.O.Centro"/>
    <m/>
    <n v="1"/>
    <n v="1"/>
    <n v="636.62"/>
    <n v="127.33"/>
    <m/>
    <m/>
    <n v="509.29"/>
    <m/>
    <n v="12.73"/>
    <m/>
    <m/>
    <m/>
    <m/>
    <m/>
    <m/>
    <n v="6.37"/>
    <m/>
    <m/>
    <m/>
    <m/>
    <m/>
    <m/>
    <n v="12.73"/>
    <m/>
    <m/>
    <m/>
    <m/>
    <m/>
    <m/>
    <m/>
    <n v="6.37"/>
    <n v="300"/>
    <n v="338.2"/>
  </r>
  <r>
    <n v="11"/>
    <x v="11"/>
    <x v="0"/>
    <n v="181438"/>
    <s v="GIGANTE VIVIANA GIMENA"/>
    <s v="27-26965242-5"/>
    <n v="42710"/>
    <n v="26965242"/>
    <s v="GIGANTE"/>
    <s v="VIVIANA GIMENA"/>
    <s v="F"/>
    <m/>
    <d v="2016-10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ZAPIOLA"/>
    <n v="1225"/>
    <n v="5"/>
    <s v="C"/>
    <s v="CAPITAL FEDERAL"/>
    <s v="Buenos Aires"/>
    <m/>
    <s v="U.O.Centro"/>
    <m/>
    <n v="2"/>
    <n v="1"/>
    <n v="5039.8599999999997"/>
    <n v="1007.99"/>
    <m/>
    <m/>
    <n v="4031.87"/>
    <m/>
    <n v="100.8"/>
    <m/>
    <m/>
    <m/>
    <m/>
    <m/>
    <m/>
    <n v="50.4"/>
    <m/>
    <m/>
    <m/>
    <m/>
    <m/>
    <m/>
    <n v="100.8"/>
    <m/>
    <m/>
    <m/>
    <m/>
    <m/>
    <m/>
    <m/>
    <n v="50.4"/>
    <n v="300"/>
    <n v="602.4"/>
  </r>
  <r>
    <n v="11"/>
    <x v="11"/>
    <x v="0"/>
    <n v="180494"/>
    <s v="GIMENEZ ANA AGUSTINA"/>
    <s v="27-30212207-0"/>
    <n v="42710"/>
    <n v="30212207"/>
    <s v="GIMENEZ"/>
    <s v="ANA AGUSTINA"/>
    <s v="F"/>
    <m/>
    <d v="2016-10-13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OHIGGINS"/>
    <n v="474"/>
    <n v="2"/>
    <s v="A"/>
    <s v="CAPITAL FEDERAL"/>
    <s v="Buenos Aires"/>
    <m/>
    <s v="U.O.Centro"/>
    <m/>
    <n v="1"/>
    <n v="1"/>
    <n v="3777.05"/>
    <n v="755.41"/>
    <m/>
    <m/>
    <n v="3021.64"/>
    <m/>
    <n v="75.540000000000006"/>
    <m/>
    <m/>
    <m/>
    <m/>
    <m/>
    <m/>
    <n v="37.770000000000003"/>
    <m/>
    <m/>
    <m/>
    <m/>
    <m/>
    <m/>
    <n v="75.540000000000006"/>
    <m/>
    <m/>
    <m/>
    <m/>
    <m/>
    <m/>
    <m/>
    <n v="37.770000000000003"/>
    <n v="300"/>
    <n v="526.62"/>
  </r>
  <r>
    <n v="11"/>
    <x v="11"/>
    <x v="0"/>
    <n v="181426"/>
    <s v="GIORGI MATIAS HERNAN"/>
    <s v="20-34143611-8"/>
    <n v="42710"/>
    <n v="34143611"/>
    <s v="GIORGI"/>
    <s v="MATIAS HERNAN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AV. SAN AMRTIN"/>
    <n v="1225"/>
    <n v="1"/>
    <s v="A"/>
    <s v="CAPITAL FEDERAL"/>
    <s v="Buenos Aires"/>
    <m/>
    <s v="U.O.Centro"/>
    <m/>
    <n v="2"/>
    <n v="1"/>
    <n v="10641.2"/>
    <n v="2128.23"/>
    <m/>
    <m/>
    <n v="8512.9699999999993"/>
    <m/>
    <n v="212.82"/>
    <m/>
    <m/>
    <m/>
    <m/>
    <m/>
    <m/>
    <n v="106.41"/>
    <m/>
    <m/>
    <m/>
    <m/>
    <m/>
    <m/>
    <n v="212.82"/>
    <m/>
    <m/>
    <m/>
    <m/>
    <m/>
    <m/>
    <m/>
    <n v="106.41"/>
    <n v="300"/>
    <n v="938.46"/>
  </r>
  <r>
    <n v="11"/>
    <x v="11"/>
    <x v="0"/>
    <n v="175142"/>
    <s v="GODOY MARIA VALERIA"/>
    <s v="27-34006381-9"/>
    <n v="42705"/>
    <n v="34006381"/>
    <s v="GODOY"/>
    <s v="MARIA VALERIA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BARTOLOME MITRE"/>
    <n v="1334"/>
    <s v="9º"/>
    <s v="E"/>
    <s v="CAPITAL FEDERAL"/>
    <s v="Capital Federal"/>
    <m/>
    <s v="U.O.Centro"/>
    <m/>
    <n v="1"/>
    <n v="1"/>
    <n v="20220.88"/>
    <n v="4044.19"/>
    <m/>
    <m/>
    <n v="16176.69"/>
    <m/>
    <n v="404.42"/>
    <m/>
    <m/>
    <m/>
    <m/>
    <m/>
    <m/>
    <n v="202.21"/>
    <m/>
    <m/>
    <m/>
    <m/>
    <m/>
    <m/>
    <n v="404.42"/>
    <m/>
    <m/>
    <m/>
    <m/>
    <m/>
    <m/>
    <m/>
    <n v="202.21"/>
    <n v="300"/>
    <n v="1513.26"/>
  </r>
  <r>
    <n v="11"/>
    <x v="11"/>
    <x v="0"/>
    <n v="182729"/>
    <s v="GOMES DOS SANTOS FABIO"/>
    <s v="20-95584180-9"/>
    <n v="42710"/>
    <n v="95584180"/>
    <s v="GOMES DOS SANTOS"/>
    <s v="FABIO"/>
    <s v="M"/>
    <m/>
    <d v="2016-11-09T00:00:00"/>
    <m/>
    <m/>
    <s v="GASTRONOMICOS-Hoteles 4 y 5 Estrellas - 362/2003"/>
    <s v="Auxiliar"/>
    <x v="17"/>
    <s v="Unidad Base-GL"/>
    <s v="San Isidro"/>
    <s v="Lavadores"/>
    <n v="108803"/>
    <s v="O.S.P.Gastronomico"/>
    <s v="Buenos Aires - Tigre"/>
    <m/>
    <n v="1648"/>
    <s v="BELGRANO"/>
    <n v="240"/>
    <m/>
    <m/>
    <s v="TIGRE"/>
    <s v="Buenos Aires"/>
    <m/>
    <s v="U.O.San Isidro"/>
    <m/>
    <n v="1"/>
    <n v="1"/>
    <n v="3354.49"/>
    <n v="670.88"/>
    <m/>
    <m/>
    <n v="2683.61"/>
    <m/>
    <n v="67.09"/>
    <m/>
    <m/>
    <m/>
    <m/>
    <m/>
    <m/>
    <n v="33.54"/>
    <m/>
    <m/>
    <m/>
    <m/>
    <m/>
    <m/>
    <n v="67.09"/>
    <m/>
    <m/>
    <m/>
    <m/>
    <m/>
    <m/>
    <m/>
    <n v="33.54"/>
    <n v="300"/>
    <n v="501.26"/>
  </r>
  <r>
    <n v="11"/>
    <x v="11"/>
    <x v="0"/>
    <n v="183486"/>
    <s v="GOMEZ ALEX ESTEBAN"/>
    <s v="27-39367493-3"/>
    <n v="42710"/>
    <n v="39367493"/>
    <s v="GOMEZ"/>
    <s v="ALEX ESTEBAN"/>
    <s v="M"/>
    <m/>
    <d v="2016-11-19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SARMIENTO"/>
    <n v="1225"/>
    <m/>
    <m/>
    <s v="CAPITAL FEDERAL"/>
    <s v="Buenos Aires"/>
    <m/>
    <s v="U.O.Centro"/>
    <m/>
    <n v="1"/>
    <n v="1"/>
    <n v="2340.46"/>
    <n v="468.08"/>
    <m/>
    <m/>
    <n v="1872.38"/>
    <m/>
    <n v="46.81"/>
    <m/>
    <m/>
    <m/>
    <m/>
    <m/>
    <m/>
    <n v="23.4"/>
    <m/>
    <m/>
    <m/>
    <m/>
    <m/>
    <m/>
    <n v="46.81"/>
    <m/>
    <m/>
    <m/>
    <m/>
    <m/>
    <m/>
    <m/>
    <n v="23.4"/>
    <n v="300"/>
    <n v="440.42"/>
  </r>
  <r>
    <n v="11"/>
    <x v="11"/>
    <x v="0"/>
    <n v="180764"/>
    <s v="GOMEZ ELENA VANESA"/>
    <s v="27-28440399-7"/>
    <n v="42710"/>
    <n v="28440399"/>
    <s v="GOMEZ"/>
    <s v="ELENA VANESA"/>
    <s v="F"/>
    <m/>
    <d v="2016-10-14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Gran Buenos Aires"/>
    <m/>
    <n v="1648"/>
    <s v="SANTA MARTA"/>
    <n v="240"/>
    <m/>
    <m/>
    <s v="TIGRE"/>
    <s v="Buenos Aires"/>
    <m/>
    <s v="U.O.San Isidro"/>
    <m/>
    <n v="1"/>
    <n v="1"/>
    <n v="756.84"/>
    <n v="151.38"/>
    <m/>
    <m/>
    <n v="605.46"/>
    <m/>
    <n v="15.14"/>
    <m/>
    <m/>
    <m/>
    <m/>
    <m/>
    <m/>
    <n v="7.57"/>
    <m/>
    <m/>
    <m/>
    <m/>
    <m/>
    <m/>
    <n v="15.14"/>
    <m/>
    <m/>
    <m/>
    <m/>
    <m/>
    <m/>
    <m/>
    <n v="7.57"/>
    <n v="300"/>
    <n v="345.42"/>
  </r>
  <r>
    <n v="11"/>
    <x v="11"/>
    <x v="0"/>
    <n v="139720"/>
    <s v="GOMEZ JAVIER MANUEL"/>
    <s v="20-26419519-6"/>
    <n v="42710"/>
    <n v="26419519"/>
    <s v="GOMEZ"/>
    <s v="JAVIER MANUEL"/>
    <s v="M"/>
    <m/>
    <d v="2016-10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GENERAL VILLEGAS"/>
    <n v="181"/>
    <m/>
    <m/>
    <s v="CAPITAL FEDERAL"/>
    <s v="Capital Federal"/>
    <m/>
    <s v="U.O.Centro"/>
    <m/>
    <n v="2"/>
    <n v="1"/>
    <n v="5970.44"/>
    <n v="1189.21"/>
    <m/>
    <m/>
    <n v="4781.2299999999996"/>
    <m/>
    <n v="119.41"/>
    <m/>
    <m/>
    <m/>
    <m/>
    <m/>
    <m/>
    <n v="54.83"/>
    <m/>
    <m/>
    <m/>
    <m/>
    <m/>
    <m/>
    <n v="119.41"/>
    <m/>
    <m/>
    <m/>
    <m/>
    <m/>
    <m/>
    <m/>
    <n v="54.83"/>
    <n v="300"/>
    <n v="648.48"/>
  </r>
  <r>
    <n v="11"/>
    <x v="11"/>
    <x v="0"/>
    <n v="177475"/>
    <s v="GOMEZ LUCAS MARTIN"/>
    <s v="20-25647658-5"/>
    <n v="42710"/>
    <n v="25647658"/>
    <s v="GOMEZ"/>
    <s v="LUCAS MARTIN"/>
    <s v="M"/>
    <m/>
    <d v="2016-09-01T00:00:00"/>
    <m/>
    <m/>
    <s v="GASTRONOMICOS-Hoteles 4 y 5 Estrellas - 362/2003"/>
    <s v="Categoria 6"/>
    <x v="7"/>
    <s v="Unidad Base-GL"/>
    <s v="Centro"/>
    <s v="Tareas Generales"/>
    <n v="100601"/>
    <s v="OS  DEL PERSONAL DE AERONAVEGACION DE ENTES PRIVADOS"/>
    <s v="Capital Federal"/>
    <m/>
    <s v="C1022AAB"/>
    <s v="OLAZABAL"/>
    <n v="181"/>
    <n v="2"/>
    <s v="C"/>
    <s v="CAPITAL FEDERAL"/>
    <s v="Capital Federal"/>
    <m/>
    <s v="U.O.Centro"/>
    <m/>
    <n v="2"/>
    <n v="1"/>
    <n v="2871.96"/>
    <n v="574.4"/>
    <m/>
    <m/>
    <n v="2297.56"/>
    <m/>
    <n v="57.44"/>
    <m/>
    <m/>
    <m/>
    <m/>
    <m/>
    <m/>
    <n v="28.72"/>
    <m/>
    <m/>
    <m/>
    <m/>
    <m/>
    <m/>
    <n v="57.44"/>
    <m/>
    <m/>
    <m/>
    <m/>
    <m/>
    <m/>
    <m/>
    <n v="28.72"/>
    <n v="300"/>
    <n v="472.32"/>
  </r>
  <r>
    <n v="11"/>
    <x v="11"/>
    <x v="1"/>
    <n v="164986"/>
    <s v="GOMEZ MIGUEL ANGEL"/>
    <s v="20-40687394-4"/>
    <n v="42710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n v="9"/>
    <n v="507"/>
    <m/>
    <m/>
    <s v="CAPITAL FEDERAL"/>
    <s v="Capital Federal"/>
    <m/>
    <s v="U.O.Centro"/>
    <m/>
    <n v="3"/>
    <n v="1"/>
    <n v="17814.98"/>
    <n v="3652.08"/>
    <m/>
    <m/>
    <n v="14162.9"/>
    <n v="445.38"/>
    <m/>
    <m/>
    <m/>
    <m/>
    <m/>
    <m/>
    <m/>
    <n v="178.15"/>
    <n v="178.1498"/>
    <m/>
    <m/>
    <m/>
    <m/>
    <m/>
    <n v="356.3"/>
    <m/>
    <m/>
    <m/>
    <m/>
    <m/>
    <m/>
    <m/>
    <n v="178.15"/>
    <n v="300"/>
    <n v="1457.98"/>
  </r>
  <r>
    <n v="11"/>
    <x v="11"/>
    <x v="1"/>
    <n v="173612"/>
    <s v="GONZALEZ CRISTINA ALEJANDRA GRACIELA"/>
    <s v="27-17598323-1"/>
    <n v="42710"/>
    <n v="17598323"/>
    <s v="GONZALEZ"/>
    <s v="CRISTINA ALEJANDRA GRACIELA"/>
    <s v="F"/>
    <m/>
    <d v="2016-05-28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ALVARADO"/>
    <n v="1891"/>
    <m/>
    <m/>
    <s v="CAPITAL FEDERAL"/>
    <s v="Capital Federal"/>
    <m/>
    <s v="U.O.Centro"/>
    <s v="Alvear Palace"/>
    <n v="2"/>
    <n v="1"/>
    <n v="5842.25"/>
    <n v="1168.44"/>
    <m/>
    <m/>
    <n v="4673.8100000000004"/>
    <m/>
    <n v="116.85"/>
    <m/>
    <m/>
    <m/>
    <m/>
    <m/>
    <m/>
    <n v="58.42"/>
    <n v="58.422499999999999"/>
    <m/>
    <m/>
    <m/>
    <m/>
    <m/>
    <n v="116.85"/>
    <m/>
    <m/>
    <m/>
    <m/>
    <m/>
    <m/>
    <m/>
    <n v="58.42"/>
    <n v="300"/>
    <n v="650.54"/>
  </r>
  <r>
    <n v="11"/>
    <x v="11"/>
    <x v="0"/>
    <n v="48107"/>
    <s v="GONZALEZ KARINA ELIZABETH"/>
    <s v="27-23467821-9"/>
    <n v="42710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1"/>
    <n v="1"/>
    <n v="18858.97"/>
    <n v="3771.8"/>
    <m/>
    <m/>
    <n v="15087.17"/>
    <m/>
    <n v="377.18"/>
    <m/>
    <m/>
    <m/>
    <m/>
    <m/>
    <m/>
    <n v="188.59"/>
    <m/>
    <m/>
    <m/>
    <m/>
    <m/>
    <m/>
    <n v="377.18"/>
    <m/>
    <m/>
    <m/>
    <m/>
    <m/>
    <m/>
    <m/>
    <n v="188.59"/>
    <n v="300"/>
    <n v="1431.54"/>
  </r>
  <r>
    <n v="11"/>
    <x v="11"/>
    <x v="0"/>
    <n v="180750"/>
    <s v="GONZALEZ MARIANA EVANGELINA"/>
    <s v="27-26096089-5"/>
    <n v="42695"/>
    <n v="26096089"/>
    <s v="GONZALEZ"/>
    <s v="MARIANA EVANGELINA"/>
    <s v="F"/>
    <m/>
    <d v="2016-10-11T00:00:00"/>
    <m/>
    <n v="42685"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ZAÑARTU TORRE 2"/>
    <n v="1225"/>
    <n v="3"/>
    <s v="F"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n v="300"/>
    <n v="437.46"/>
  </r>
  <r>
    <n v="11"/>
    <x v="11"/>
    <x v="0"/>
    <n v="182739"/>
    <s v="GONZALEZ ROMINA DANIELA"/>
    <s v="27-38267529-6"/>
    <n v="42710"/>
    <n v="38267529"/>
    <s v="GONZALEZ"/>
    <s v="ROMINA DANIELA"/>
    <s v="F"/>
    <m/>
    <d v="2016-11-10T00:00:00"/>
    <m/>
    <m/>
    <s v="GASTRONOMICOS-Hoteles 4 y 5 Estrellas - 362/2003"/>
    <s v="Mozo"/>
    <x v="17"/>
    <s v="Unidad Base-GL"/>
    <s v="San Isidro"/>
    <s v="Mozo Eventos"/>
    <n v="126502"/>
    <s v="OS DE LA CONFEDERACION DE OBREROS Y EMPLEADOS MUNICIPALES ARGENTINA ( O.S.C.O.E.M.A)"/>
    <s v="Buenos Aires - Gran Buenos Aires"/>
    <m/>
    <n v="1648"/>
    <s v="SANTIAGO DE CHILE"/>
    <n v="240"/>
    <m/>
    <m/>
    <s v="TIGRE"/>
    <s v="Buenos Aires"/>
    <m/>
    <s v="U.O.San Isidro"/>
    <m/>
    <n v="1"/>
    <n v="1"/>
    <n v="1386.31"/>
    <n v="277.26"/>
    <m/>
    <m/>
    <n v="1109.05"/>
    <m/>
    <n v="27.73"/>
    <m/>
    <m/>
    <m/>
    <m/>
    <m/>
    <m/>
    <n v="13.86"/>
    <m/>
    <m/>
    <m/>
    <m/>
    <m/>
    <m/>
    <n v="27.73"/>
    <m/>
    <m/>
    <m/>
    <m/>
    <m/>
    <m/>
    <m/>
    <n v="13.86"/>
    <n v="300"/>
    <n v="383.18"/>
  </r>
  <r>
    <n v="11"/>
    <x v="11"/>
    <x v="1"/>
    <n v="164224"/>
    <s v="GONZALEZ SALOME NATALIA"/>
    <s v="27-35111714-7"/>
    <n v="42710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1"/>
    <n v="1"/>
    <n v="7324.16"/>
    <n v="1464.82"/>
    <m/>
    <m/>
    <n v="5859.34"/>
    <m/>
    <n v="146.47999999999999"/>
    <m/>
    <m/>
    <m/>
    <m/>
    <m/>
    <m/>
    <n v="73.239999999999995"/>
    <n v="73.241600000000005"/>
    <m/>
    <m/>
    <m/>
    <m/>
    <m/>
    <n v="146.47999999999999"/>
    <m/>
    <m/>
    <m/>
    <m/>
    <m/>
    <m/>
    <m/>
    <n v="73.239999999999995"/>
    <n v="300"/>
    <n v="739.44"/>
  </r>
  <r>
    <n v="11"/>
    <x v="11"/>
    <x v="1"/>
    <n v="136459"/>
    <s v="GONZALEZ VICTOR HUGO"/>
    <s v="20-37376573-3"/>
    <n v="42710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PERDRIEL"/>
    <n v="507"/>
    <m/>
    <m/>
    <s v="CAPITAL FEDERAL"/>
    <s v="Capital Federal"/>
    <m/>
    <s v="U.O.Centro Paga Inplant"/>
    <m/>
    <n v="2"/>
    <n v="1"/>
    <n v="14493.16"/>
    <n v="2898.65"/>
    <m/>
    <m/>
    <n v="11594.51"/>
    <m/>
    <n v="289.86"/>
    <m/>
    <m/>
    <m/>
    <m/>
    <m/>
    <m/>
    <n v="144.94"/>
    <n v="144.9316"/>
    <m/>
    <m/>
    <m/>
    <m/>
    <m/>
    <n v="289.86"/>
    <m/>
    <m/>
    <m/>
    <m/>
    <m/>
    <m/>
    <m/>
    <n v="144.94"/>
    <n v="300"/>
    <n v="1169.5999999999999"/>
  </r>
  <r>
    <n v="11"/>
    <x v="11"/>
    <x v="0"/>
    <n v="170277"/>
    <s v="GUTARRA MANRIQUE DANIEL DAGOBERTO"/>
    <s v="20-94635918-2"/>
    <n v="42710"/>
    <n v="94635918"/>
    <s v="GUTARRA MANRIQUE"/>
    <s v="DANIEL DAGOBERTO"/>
    <s v="M"/>
    <m/>
    <d v="2016-11-19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AVENIDA SAN MARTIN"/>
    <n v="1225"/>
    <n v="6"/>
    <m/>
    <s v="CAPITAL FEDERAL"/>
    <s v="Buenos Aires"/>
    <m/>
    <s v="U.O.Centro"/>
    <m/>
    <n v="3"/>
    <n v="1"/>
    <n v="1389.86"/>
    <n v="273.49"/>
    <m/>
    <m/>
    <n v="1116.3699999999999"/>
    <m/>
    <n v="27.79"/>
    <m/>
    <m/>
    <m/>
    <m/>
    <m/>
    <m/>
    <n v="9.44"/>
    <m/>
    <m/>
    <m/>
    <m/>
    <m/>
    <m/>
    <n v="27.79"/>
    <m/>
    <m/>
    <m/>
    <m/>
    <m/>
    <m/>
    <m/>
    <n v="9.44"/>
    <n v="300"/>
    <n v="374.46"/>
  </r>
  <r>
    <n v="11"/>
    <x v="11"/>
    <x v="0"/>
    <n v="179836"/>
    <s v="GUTIERREZ MARCELA FABIANA"/>
    <s v="27-22195577-9"/>
    <n v="42710"/>
    <n v="22195577"/>
    <s v="GUTIERREZ"/>
    <s v="MARCELA FABIANA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IGUEL SOLER"/>
    <n v="1225"/>
    <m/>
    <m/>
    <s v="CAPITAL FEDERAL"/>
    <s v="Buenos Aires"/>
    <m/>
    <s v="U.O.Centro"/>
    <m/>
    <n v="2"/>
    <n v="1"/>
    <n v="14395.84"/>
    <n v="2879.17"/>
    <m/>
    <m/>
    <n v="11516.67"/>
    <m/>
    <n v="287.92"/>
    <m/>
    <m/>
    <m/>
    <m/>
    <m/>
    <m/>
    <n v="143.96"/>
    <m/>
    <m/>
    <m/>
    <m/>
    <m/>
    <m/>
    <n v="287.92"/>
    <m/>
    <m/>
    <m/>
    <m/>
    <m/>
    <m/>
    <m/>
    <n v="143.96"/>
    <n v="300"/>
    <n v="1163.76"/>
  </r>
  <r>
    <n v="11"/>
    <x v="11"/>
    <x v="0"/>
    <n v="182182"/>
    <s v="GUTIERREZ MARIA FERNANDA"/>
    <s v="27-25362132-5"/>
    <n v="42710"/>
    <n v="25362132"/>
    <s v="GUTIERREZ"/>
    <s v="MARIA FERNANDA"/>
    <s v="F"/>
    <m/>
    <d v="2016-11-02T00:00:00"/>
    <m/>
    <m/>
    <s v="GASTRONOMICOS-Hoteles 4 y 5 Estrellas - 362/2003"/>
    <s v="Categoría 4"/>
    <x v="6"/>
    <s v="NUEVOS INGRESOS"/>
    <s v="Centro"/>
    <s v="Mucama"/>
    <n v="121705"/>
    <s v="OS  DEL PERSONAL DE LA ACTIVIDAD DEL TURF"/>
    <s v="Capital Federal"/>
    <m/>
    <n v="1093"/>
    <s v="YAPEYU"/>
    <n v="1232"/>
    <s v="PB"/>
    <m/>
    <s v="CAPITAL FEDERAL"/>
    <s v="Buenos Aires"/>
    <m/>
    <s v="U.O.Centro Paga Inplant"/>
    <s v="Ama de Llaves"/>
    <n v="1"/>
    <n v="1"/>
    <n v="18686.080000000002"/>
    <n v="3737.21"/>
    <m/>
    <m/>
    <n v="14948.87"/>
    <m/>
    <n v="373.72"/>
    <m/>
    <m/>
    <m/>
    <m/>
    <m/>
    <m/>
    <n v="186.86"/>
    <m/>
    <m/>
    <m/>
    <m/>
    <m/>
    <m/>
    <n v="373.72"/>
    <m/>
    <m/>
    <m/>
    <m/>
    <m/>
    <m/>
    <m/>
    <n v="186.86"/>
    <n v="300"/>
    <n v="1421.16"/>
  </r>
  <r>
    <n v="11"/>
    <x v="11"/>
    <x v="0"/>
    <n v="180496"/>
    <s v="GUTIERREZ PABLO DANIEL"/>
    <s v="23-25085183-9"/>
    <n v="42710"/>
    <n v="25085183"/>
    <s v="GUTIERREZ"/>
    <s v="PABLO DANIEL"/>
    <s v="M"/>
    <m/>
    <d v="2016-10-24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 JUAN B ALBERDI"/>
    <n v="181"/>
    <n v="1"/>
    <s v="C"/>
    <s v="CAPITAL FEDERAL"/>
    <s v="Capital Federal"/>
    <m/>
    <s v="U.O.Centro"/>
    <m/>
    <n v="3"/>
    <n v="1"/>
    <n v="14660.68"/>
    <n v="2927.64"/>
    <m/>
    <m/>
    <n v="11733.04"/>
    <m/>
    <n v="293.20999999999998"/>
    <m/>
    <m/>
    <m/>
    <m/>
    <m/>
    <m/>
    <n v="142.11000000000001"/>
    <m/>
    <m/>
    <m/>
    <m/>
    <m/>
    <m/>
    <n v="293.20999999999998"/>
    <m/>
    <m/>
    <m/>
    <m/>
    <m/>
    <m/>
    <m/>
    <n v="142.11000000000001"/>
    <n v="300"/>
    <n v="1170.6400000000001"/>
  </r>
  <r>
    <n v="11"/>
    <x v="11"/>
    <x v="1"/>
    <n v="77136"/>
    <s v="HAURET BELTRAN"/>
    <s v="20-31675095-9"/>
    <n v="42710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s v="C1009ABK"/>
    <s v="BILLINGHURST"/>
    <n v="507"/>
    <n v="2"/>
    <s v="C"/>
    <s v="CAPITAL FEDERAL"/>
    <s v="Capital Federal"/>
    <m/>
    <s v="U.O.Centro Paga Inplant"/>
    <s v="RECEPCIONISTA"/>
    <n v="2"/>
    <n v="1"/>
    <n v="20431.46"/>
    <n v="4086.29"/>
    <m/>
    <m/>
    <n v="16345.17"/>
    <m/>
    <n v="408.63"/>
    <m/>
    <m/>
    <m/>
    <m/>
    <m/>
    <m/>
    <n v="204.32"/>
    <n v="204.31459999999998"/>
    <m/>
    <m/>
    <m/>
    <m/>
    <m/>
    <n v="408.63"/>
    <m/>
    <m/>
    <m/>
    <m/>
    <m/>
    <m/>
    <m/>
    <n v="204.32"/>
    <n v="300"/>
    <n v="1525.9"/>
  </r>
  <r>
    <n v="11"/>
    <x v="11"/>
    <x v="0"/>
    <n v="177496"/>
    <s v="HINOJOSA CLAURE MAURICIO GABRIEL"/>
    <s v="20-38620142-1"/>
    <n v="42710"/>
    <n v="38620142"/>
    <s v="HINOJOSA CLAURE"/>
    <s v="MAURICIO GABRIEL"/>
    <s v="M"/>
    <m/>
    <d v="2016-09-04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RIVERA INDARTE"/>
    <n v="1225"/>
    <m/>
    <m/>
    <s v="CAPITAL FEDERAL"/>
    <s v="Buenos Aires"/>
    <m/>
    <s v="U.O.Centro"/>
    <m/>
    <n v="2"/>
    <n v="1"/>
    <n v="9773.42"/>
    <n v="1954.68"/>
    <m/>
    <m/>
    <n v="7818.74"/>
    <m/>
    <n v="195.47"/>
    <m/>
    <m/>
    <m/>
    <m/>
    <m/>
    <m/>
    <n v="97.73"/>
    <m/>
    <m/>
    <m/>
    <m/>
    <m/>
    <m/>
    <n v="195.47"/>
    <m/>
    <m/>
    <m/>
    <m/>
    <m/>
    <m/>
    <m/>
    <n v="97.73"/>
    <n v="300"/>
    <n v="886.4"/>
  </r>
  <r>
    <n v="11"/>
    <x v="11"/>
    <x v="1"/>
    <n v="171895"/>
    <s v="IBARRA LUISINA YASMIN"/>
    <s v="27-37039024-5"/>
    <n v="42703"/>
    <n v="37039024"/>
    <s v="IBARRA"/>
    <s v="LUISINA YASMIN"/>
    <s v="F"/>
    <m/>
    <d v="2016-04-19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PLUMERIZZO"/>
    <n v="764"/>
    <m/>
    <m/>
    <s v="CAPITAL FEDERAL"/>
    <s v="Capital Federal"/>
    <m/>
    <s v="U.O.Centro Paga Inplant"/>
    <m/>
    <n v="1"/>
    <n v="1"/>
    <n v="16232.41"/>
    <n v="3246.48"/>
    <m/>
    <m/>
    <n v="12985.93"/>
    <m/>
    <n v="324.64999999999998"/>
    <m/>
    <m/>
    <m/>
    <m/>
    <m/>
    <m/>
    <n v="162.32"/>
    <n v="162.32410000000002"/>
    <m/>
    <m/>
    <m/>
    <m/>
    <m/>
    <n v="324.64999999999998"/>
    <m/>
    <m/>
    <m/>
    <m/>
    <m/>
    <m/>
    <m/>
    <n v="162.32"/>
    <n v="300"/>
    <n v="1273.94"/>
  </r>
  <r>
    <n v="11"/>
    <x v="11"/>
    <x v="0"/>
    <n v="179830"/>
    <s v="INSFRAN JACQUELINE ELIZABETH"/>
    <s v="27-38989989-0"/>
    <n v="42710"/>
    <n v="38989989"/>
    <s v="INSFRAN"/>
    <s v="JACQUELINE ELIZABETH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LLE 12"/>
    <n v="1225"/>
    <m/>
    <m/>
    <s v="CAPITAL FEDERAL"/>
    <s v="Buenos Aires"/>
    <m/>
    <s v="U.O.Centro"/>
    <m/>
    <n v="2"/>
    <n v="1"/>
    <n v="11266.3"/>
    <n v="2253.2399999999998"/>
    <m/>
    <m/>
    <n v="9013.06"/>
    <m/>
    <n v="225.32"/>
    <m/>
    <m/>
    <m/>
    <m/>
    <m/>
    <m/>
    <n v="112.66"/>
    <m/>
    <m/>
    <m/>
    <m/>
    <m/>
    <m/>
    <n v="225.32"/>
    <m/>
    <m/>
    <m/>
    <m/>
    <m/>
    <m/>
    <m/>
    <n v="112.66"/>
    <n v="300"/>
    <n v="975.96"/>
  </r>
  <r>
    <n v="11"/>
    <x v="11"/>
    <x v="0"/>
    <n v="178270"/>
    <s v="JABIF MATEO"/>
    <s v="20-39352832-0"/>
    <n v="42710"/>
    <n v="39352832"/>
    <s v="JABIF"/>
    <s v="MATEO"/>
    <s v="M"/>
    <m/>
    <d v="2016-09-0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ODRIGUEZ PEÑA"/>
    <n v="1225"/>
    <n v="2"/>
    <s v="B"/>
    <s v="CAPITAL FEDERAL"/>
    <s v="Buenos Aires"/>
    <m/>
    <s v="U.O.Centro"/>
    <m/>
    <n v="2"/>
    <n v="1"/>
    <n v="5956.19"/>
    <n v="1191.26"/>
    <m/>
    <m/>
    <n v="4764.93"/>
    <m/>
    <n v="119.12"/>
    <m/>
    <m/>
    <m/>
    <m/>
    <m/>
    <m/>
    <n v="59.57"/>
    <m/>
    <m/>
    <m/>
    <m/>
    <m/>
    <m/>
    <n v="119.12"/>
    <m/>
    <m/>
    <m/>
    <m/>
    <m/>
    <m/>
    <m/>
    <n v="59.57"/>
    <n v="300"/>
    <n v="657.38"/>
  </r>
  <r>
    <n v="11"/>
    <x v="11"/>
    <x v="0"/>
    <n v="183602"/>
    <s v="JARAMILLO NUÑEZ CARLA VANESA"/>
    <s v="27-62782711-9"/>
    <n v="42710"/>
    <n v="62782711"/>
    <s v="JARAMILLO NUÑEZ"/>
    <s v="CARLA VANESA"/>
    <s v="F"/>
    <m/>
    <d v="2016-11-25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ZAPIOLA"/>
    <n v="1005"/>
    <n v="5"/>
    <m/>
    <s v="CAPITAL FEDERAL"/>
    <s v="Capital Federal"/>
    <m/>
    <s v="U.O.Centro"/>
    <m/>
    <n v="1"/>
    <n v="1"/>
    <n v="3479.86"/>
    <n v="695.98"/>
    <m/>
    <m/>
    <n v="2783.88"/>
    <m/>
    <n v="69.599999999999994"/>
    <m/>
    <m/>
    <m/>
    <m/>
    <m/>
    <m/>
    <n v="34.799999999999997"/>
    <m/>
    <m/>
    <m/>
    <m/>
    <m/>
    <m/>
    <n v="69.599999999999994"/>
    <m/>
    <m/>
    <m/>
    <m/>
    <m/>
    <m/>
    <m/>
    <n v="34.799999999999997"/>
    <n v="300"/>
    <n v="508.8"/>
  </r>
  <r>
    <n v="11"/>
    <x v="11"/>
    <x v="0"/>
    <n v="183491"/>
    <s v="JOFRE BERNAL LUIS ENRIQUE"/>
    <s v="20-95497593-3"/>
    <n v="42710"/>
    <n v="95497593"/>
    <s v="JOFRE BERNAL"/>
    <s v="LUIS ENRIQUE"/>
    <s v="M"/>
    <m/>
    <d v="2016-11-20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SOLIS"/>
    <n v="1225"/>
    <n v="2"/>
    <m/>
    <s v="CAPITAL FEDERAL"/>
    <s v="Buenos Aires"/>
    <m/>
    <s v="U.O.Centro"/>
    <m/>
    <n v="1"/>
    <n v="1"/>
    <n v="1832.68"/>
    <n v="366.53"/>
    <m/>
    <m/>
    <n v="1466.15"/>
    <m/>
    <n v="36.65"/>
    <m/>
    <m/>
    <m/>
    <m/>
    <m/>
    <m/>
    <n v="18.329999999999998"/>
    <m/>
    <m/>
    <m/>
    <m/>
    <m/>
    <m/>
    <n v="36.65"/>
    <m/>
    <m/>
    <m/>
    <m/>
    <m/>
    <m/>
    <m/>
    <n v="18.329999999999998"/>
    <n v="300"/>
    <n v="409.96"/>
  </r>
  <r>
    <n v="11"/>
    <x v="11"/>
    <x v="0"/>
    <n v="168403"/>
    <s v="JUAREZ LILIANA MARCELA"/>
    <s v="27-23887293-1"/>
    <n v="42705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s v="C1007AAA"/>
    <s v="LA RIOJA"/>
    <n v="841"/>
    <m/>
    <m/>
    <s v="CAPITAL FEDERAL"/>
    <s v="Buenos Aires"/>
    <m/>
    <s v="U.O.Centro"/>
    <m/>
    <n v="1"/>
    <n v="1"/>
    <n v="11792.94"/>
    <n v="2358.59"/>
    <m/>
    <m/>
    <n v="9434.35"/>
    <m/>
    <n v="235.86"/>
    <m/>
    <m/>
    <m/>
    <m/>
    <m/>
    <m/>
    <n v="117.93"/>
    <m/>
    <m/>
    <m/>
    <m/>
    <m/>
    <m/>
    <n v="235.86"/>
    <m/>
    <m/>
    <m/>
    <m/>
    <m/>
    <m/>
    <m/>
    <n v="117.93"/>
    <n v="300"/>
    <n v="1007.58"/>
  </r>
  <r>
    <n v="11"/>
    <x v="11"/>
    <x v="0"/>
    <n v="162207"/>
    <s v="KOLTOWSKI ALICIA ANDREA"/>
    <s v="27-24905826-8"/>
    <n v="42695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ENIDA MONTEVERDE"/>
    <n v="1225"/>
    <m/>
    <m/>
    <s v="CAPITAL FEDERAL"/>
    <s v="Buenos Aires"/>
    <m/>
    <s v="U.O.Centro"/>
    <m/>
    <n v="1"/>
    <n v="1"/>
    <n v="1387.19"/>
    <n v="277.44"/>
    <m/>
    <m/>
    <n v="1109.75"/>
    <m/>
    <n v="27.74"/>
    <m/>
    <m/>
    <m/>
    <m/>
    <m/>
    <m/>
    <n v="13.87"/>
    <m/>
    <m/>
    <m/>
    <m/>
    <m/>
    <m/>
    <n v="27.74"/>
    <m/>
    <m/>
    <m/>
    <m/>
    <m/>
    <m/>
    <m/>
    <n v="13.87"/>
    <n v="300"/>
    <n v="383.22"/>
  </r>
  <r>
    <n v="11"/>
    <x v="11"/>
    <x v="0"/>
    <n v="172052"/>
    <s v="KUMANI CINTHIA"/>
    <s v="27-36821956-3"/>
    <n v="42710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LUIS"/>
    <n v="1225"/>
    <m/>
    <m/>
    <s v="CAPITAL FEDERAL"/>
    <s v="Buenos Aires"/>
    <m/>
    <s v="U.O.Centro"/>
    <m/>
    <n v="2"/>
    <n v="1"/>
    <n v="17868.599999999999"/>
    <n v="3573.71"/>
    <m/>
    <m/>
    <n v="14294.89"/>
    <m/>
    <n v="357.37"/>
    <m/>
    <m/>
    <m/>
    <m/>
    <m/>
    <m/>
    <n v="178.68"/>
    <m/>
    <m/>
    <m/>
    <m/>
    <m/>
    <m/>
    <n v="357.37"/>
    <m/>
    <m/>
    <m/>
    <m/>
    <m/>
    <m/>
    <m/>
    <n v="178.68"/>
    <n v="300"/>
    <n v="1372.1"/>
  </r>
  <r>
    <n v="11"/>
    <x v="11"/>
    <x v="0"/>
    <n v="177722"/>
    <s v="LADERO VIVAS MARIA ANGELES"/>
    <s v="27-34889963-0"/>
    <n v="42710"/>
    <n v="34889963"/>
    <s v="LADERO VIVAS"/>
    <s v="MARIA ANGELES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GENERAL SAVIO"/>
    <n v="240"/>
    <n v="1"/>
    <m/>
    <s v="TIGRE"/>
    <s v="Buenos Aires"/>
    <m/>
    <s v="U.O.San Isidro"/>
    <m/>
    <n v="1"/>
    <n v="1"/>
    <n v="22067.79"/>
    <n v="4413.5600000000004"/>
    <m/>
    <m/>
    <n v="17654.23"/>
    <m/>
    <n v="441.36"/>
    <m/>
    <m/>
    <m/>
    <m/>
    <m/>
    <m/>
    <n v="220.68"/>
    <m/>
    <m/>
    <m/>
    <m/>
    <m/>
    <m/>
    <n v="441.36"/>
    <m/>
    <m/>
    <m/>
    <m/>
    <m/>
    <m/>
    <m/>
    <n v="220.68"/>
    <n v="300"/>
    <n v="1624.08"/>
  </r>
  <r>
    <n v="11"/>
    <x v="11"/>
    <x v="1"/>
    <n v="181860"/>
    <s v="LECCADITO CARLA MARLENE"/>
    <s v="27-39812579-2"/>
    <n v="42710"/>
    <n v="39812579"/>
    <s v="LECCADITO"/>
    <s v="CARLA MARLENE"/>
    <s v="F"/>
    <m/>
    <d v="2016-10-27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DIAGONAL THAMES"/>
    <n v="535"/>
    <m/>
    <m/>
    <s v="CAPITAL FEDERAL"/>
    <s v="Capital Federal"/>
    <m/>
    <s v="U.O.Centro"/>
    <m/>
    <n v="1"/>
    <n v="1"/>
    <n v="3865.54"/>
    <n v="773.12"/>
    <m/>
    <m/>
    <n v="3092.42"/>
    <m/>
    <n v="77.31"/>
    <m/>
    <m/>
    <m/>
    <m/>
    <m/>
    <m/>
    <n v="38.659999999999997"/>
    <n v="38.6554"/>
    <m/>
    <m/>
    <m/>
    <m/>
    <m/>
    <n v="77.31"/>
    <m/>
    <m/>
    <m/>
    <m/>
    <m/>
    <m/>
    <m/>
    <n v="38.659999999999997"/>
    <n v="300"/>
    <n v="531.94000000000005"/>
  </r>
  <r>
    <n v="11"/>
    <x v="11"/>
    <x v="0"/>
    <n v="183316"/>
    <s v="LEONARDEZ GENICI JOSE"/>
    <s v="27-62782328-8"/>
    <n v="42710"/>
    <n v="62782328"/>
    <s v="LEONARDEZ"/>
    <s v="GENICI JOSE"/>
    <s v="F"/>
    <m/>
    <d v="2016-11-20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RODRIGUEZ PEÑA"/>
    <n v="1225"/>
    <n v="5"/>
    <s v="A"/>
    <s v="CAPITAL FEDERAL"/>
    <s v="Buenos Aires"/>
    <m/>
    <s v="U.O.Centro"/>
    <m/>
    <n v="1"/>
    <n v="1"/>
    <n v="1832.68"/>
    <n v="366.53"/>
    <m/>
    <m/>
    <n v="1466.15"/>
    <m/>
    <n v="36.65"/>
    <m/>
    <m/>
    <m/>
    <m/>
    <m/>
    <m/>
    <n v="18.329999999999998"/>
    <m/>
    <m/>
    <m/>
    <m/>
    <m/>
    <m/>
    <n v="36.65"/>
    <m/>
    <m/>
    <m/>
    <m/>
    <m/>
    <m/>
    <m/>
    <n v="18.329999999999998"/>
    <n v="300"/>
    <n v="409.96"/>
  </r>
  <r>
    <n v="11"/>
    <x v="11"/>
    <x v="0"/>
    <n v="183788"/>
    <s v="LISCHETTI LUCAS GABRIEL"/>
    <s v="20-39749144-8"/>
    <n v="42710"/>
    <n v="39749144"/>
    <s v="LISCHETTI"/>
    <s v="LUCAS GABRIEL"/>
    <s v="M"/>
    <m/>
    <d v="2016-11-30T00:00:00"/>
    <d v="2016-12-01T00:00:00"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EVA DUARTE"/>
    <n v="1005"/>
    <m/>
    <m/>
    <s v="CAPITAL FEDERAL"/>
    <s v="Capital Federal"/>
    <m/>
    <s v="U.O.Centro"/>
    <m/>
    <n v="1"/>
    <n v="1"/>
    <n v="1292.8499999999999"/>
    <n v="258.58"/>
    <m/>
    <m/>
    <n v="1034.27"/>
    <m/>
    <n v="25.86"/>
    <m/>
    <m/>
    <m/>
    <m/>
    <m/>
    <m/>
    <n v="12.93"/>
    <m/>
    <m/>
    <m/>
    <m/>
    <m/>
    <m/>
    <n v="25.86"/>
    <m/>
    <m/>
    <m/>
    <m/>
    <m/>
    <m/>
    <m/>
    <n v="12.93"/>
    <n v="300"/>
    <n v="377.58"/>
  </r>
  <r>
    <n v="11"/>
    <x v="11"/>
    <x v="1"/>
    <n v="170264"/>
    <s v="LIZARRAGA ARIEL HERNAN"/>
    <s v="20-30593212-5"/>
    <n v="42710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martinto"/>
    <n v="1891"/>
    <m/>
    <m/>
    <s v="CAPITAL FEDERAL"/>
    <s v="Capital Federal"/>
    <m/>
    <s v="U.O.Centro"/>
    <s v="Alvear Palace"/>
    <n v="1"/>
    <n v="1"/>
    <n v="13437.25"/>
    <n v="2687.46"/>
    <m/>
    <m/>
    <n v="10749.79"/>
    <m/>
    <n v="268.75"/>
    <m/>
    <m/>
    <m/>
    <m/>
    <m/>
    <m/>
    <n v="134.37"/>
    <n v="134.3725"/>
    <m/>
    <m/>
    <m/>
    <m/>
    <m/>
    <n v="268.75"/>
    <m/>
    <m/>
    <m/>
    <m/>
    <m/>
    <m/>
    <m/>
    <n v="134.37"/>
    <n v="300"/>
    <n v="1106.24"/>
  </r>
  <r>
    <n v="11"/>
    <x v="11"/>
    <x v="0"/>
    <n v="152229"/>
    <s v="LLANES MIRIAM BEATRIZ"/>
    <s v="23-93959278-4"/>
    <n v="42710"/>
    <n v="93959278"/>
    <s v="LLANES"/>
    <s v="MIRIAM BEATRIZ"/>
    <s v="F"/>
    <m/>
    <d v="2016-10-2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BERUTI"/>
    <n v="181"/>
    <s v="1°"/>
    <s v="A"/>
    <s v="CAPITAL FEDERAL"/>
    <s v="Capital Federal"/>
    <m/>
    <s v="U.O.Centro"/>
    <m/>
    <n v="1"/>
    <n v="1"/>
    <n v="5533.45"/>
    <n v="1106.68"/>
    <m/>
    <m/>
    <n v="4426.7700000000004"/>
    <m/>
    <n v="110.67"/>
    <m/>
    <m/>
    <m/>
    <m/>
    <m/>
    <m/>
    <n v="55.33"/>
    <m/>
    <m/>
    <m/>
    <m/>
    <m/>
    <m/>
    <n v="110.67"/>
    <m/>
    <m/>
    <m/>
    <m/>
    <m/>
    <m/>
    <m/>
    <n v="55.33"/>
    <n v="300"/>
    <n v="632"/>
  </r>
  <r>
    <n v="11"/>
    <x v="11"/>
    <x v="0"/>
    <n v="180379"/>
    <s v="LOGIURATO SOLEDAD VANESA"/>
    <s v="27-28500921-4"/>
    <n v="42710"/>
    <n v="28500921"/>
    <s v="LOGIURATO"/>
    <s v="SOLEDAD VANESA"/>
    <s v="F"/>
    <m/>
    <d v="2016-10-12T00:00:00"/>
    <m/>
    <m/>
    <s v="GASTRONOMICOS-Hoteles 4 y 5 Estrellas - 362/2003"/>
    <s v="Categoría 4"/>
    <x v="17"/>
    <s v="Unidad Base-GL"/>
    <s v="San Isidro"/>
    <s v="Mucama"/>
    <n v="121705"/>
    <s v="OS  DEL PERSONAL DE LA ACTIVIDAD DEL TURF"/>
    <s v="Buenos Aires - Gran Buenos Aires"/>
    <m/>
    <n v="1648"/>
    <s v="SANSUCI"/>
    <n v="240"/>
    <m/>
    <m/>
    <s v="TIGRE"/>
    <s v="Buenos Aires"/>
    <m/>
    <s v="U.O.San Isidro"/>
    <m/>
    <n v="1"/>
    <n v="1"/>
    <n v="15916.87"/>
    <n v="3183.39"/>
    <m/>
    <m/>
    <n v="12733.48"/>
    <m/>
    <n v="318.33999999999997"/>
    <m/>
    <m/>
    <m/>
    <m/>
    <m/>
    <m/>
    <n v="159.16999999999999"/>
    <m/>
    <m/>
    <m/>
    <m/>
    <m/>
    <m/>
    <n v="318.33999999999997"/>
    <m/>
    <m/>
    <m/>
    <m/>
    <m/>
    <m/>
    <m/>
    <n v="159.16999999999999"/>
    <n v="300"/>
    <n v="1255.02"/>
  </r>
  <r>
    <n v="11"/>
    <x v="11"/>
    <x v="0"/>
    <n v="180742"/>
    <s v="LOPES NATALIA GISELE"/>
    <s v="27-37669421-1"/>
    <n v="42710"/>
    <n v="37669421"/>
    <s v="LOPES"/>
    <s v="NATALIA GISELE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RIO ATUEL"/>
    <n v="1225"/>
    <m/>
    <m/>
    <s v="CAPITAL FEDERAL"/>
    <s v="Buenos Aires"/>
    <m/>
    <s v="U.O.Centro"/>
    <m/>
    <n v="2"/>
    <n v="1"/>
    <n v="12831.09"/>
    <n v="2566.21"/>
    <m/>
    <m/>
    <n v="10264.879999999999"/>
    <m/>
    <n v="256.62"/>
    <m/>
    <m/>
    <m/>
    <m/>
    <m/>
    <m/>
    <n v="128.31"/>
    <m/>
    <m/>
    <m/>
    <m/>
    <m/>
    <m/>
    <n v="256.62"/>
    <m/>
    <m/>
    <m/>
    <m/>
    <m/>
    <m/>
    <m/>
    <n v="128.31"/>
    <n v="300"/>
    <n v="1069.8599999999999"/>
  </r>
  <r>
    <n v="11"/>
    <x v="11"/>
    <x v="1"/>
    <n v="174915"/>
    <s v="LOPEZ NANCY MARIA"/>
    <s v="27-21920721-8"/>
    <n v="42710"/>
    <n v="21920721"/>
    <s v="LOPEZ"/>
    <s v="NANCY MARIA"/>
    <s v="F"/>
    <m/>
    <d v="2016-10-07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San Vladimiro, Buenos Aires, Argentina"/>
    <n v="507"/>
    <n v="45"/>
    <s v="CASA"/>
    <s v="CAPITAL FEDERAL"/>
    <s v="Capital Federal"/>
    <m/>
    <s v="U.O.Centro"/>
    <m/>
    <n v="1"/>
    <n v="1"/>
    <n v="450.45"/>
    <n v="90.08"/>
    <m/>
    <m/>
    <n v="360.37"/>
    <m/>
    <n v="9.01"/>
    <m/>
    <m/>
    <m/>
    <m/>
    <m/>
    <m/>
    <n v="4.5"/>
    <n v="4.5045000000000002"/>
    <m/>
    <m/>
    <m/>
    <m/>
    <m/>
    <n v="9.01"/>
    <m/>
    <m/>
    <m/>
    <m/>
    <m/>
    <m/>
    <m/>
    <n v="4.5"/>
    <n v="300"/>
    <n v="327.02"/>
  </r>
  <r>
    <n v="11"/>
    <x v="11"/>
    <x v="1"/>
    <n v="183454"/>
    <s v="LOPEZ PEREZ CLARETS ALEXANDRA"/>
    <s v="27-62780235-3"/>
    <n v="42703"/>
    <n v="62780235"/>
    <s v="LOPEZ PEREZ"/>
    <s v="CLARETS ALEXANDRA"/>
    <s v="F"/>
    <m/>
    <d v="2016-11-2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HONDURAS"/>
    <n v="764"/>
    <s v="PB"/>
    <m/>
    <s v="CAPITAL FEDERAL"/>
    <s v="Capital Federal"/>
    <m/>
    <s v="U.O.Centro"/>
    <m/>
    <n v="1"/>
    <n v="1"/>
    <n v="392.45"/>
    <n v="78.48"/>
    <m/>
    <m/>
    <n v="313.97000000000003"/>
    <m/>
    <n v="7.85"/>
    <m/>
    <m/>
    <m/>
    <m/>
    <m/>
    <m/>
    <n v="3.92"/>
    <n v="3.9245000000000001"/>
    <m/>
    <m/>
    <m/>
    <m/>
    <m/>
    <n v="7.85"/>
    <m/>
    <m/>
    <m/>
    <m/>
    <m/>
    <m/>
    <m/>
    <n v="3.92"/>
    <n v="300"/>
    <n v="323.54000000000002"/>
  </r>
  <r>
    <n v="11"/>
    <x v="11"/>
    <x v="0"/>
    <n v="169947"/>
    <s v="LOPEZ ROMERO NESTOR DAMIAN"/>
    <s v="20-94770741-9"/>
    <n v="42710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RIO IGUAZU"/>
    <n v="1225"/>
    <m/>
    <m/>
    <s v="CAPITAL FEDERAL"/>
    <s v="Buenos Aires"/>
    <m/>
    <s v="U.O.Centro"/>
    <m/>
    <n v="2"/>
    <n v="1"/>
    <n v="8082.84"/>
    <n v="1616.56"/>
    <m/>
    <m/>
    <n v="6466.28"/>
    <m/>
    <n v="161.66"/>
    <m/>
    <m/>
    <m/>
    <m/>
    <m/>
    <m/>
    <n v="80.819999999999993"/>
    <m/>
    <m/>
    <m/>
    <m/>
    <m/>
    <m/>
    <n v="161.66"/>
    <m/>
    <m/>
    <m/>
    <m/>
    <m/>
    <m/>
    <m/>
    <n v="80.819999999999993"/>
    <n v="300"/>
    <n v="784.96"/>
  </r>
  <r>
    <n v="11"/>
    <x v="11"/>
    <x v="0"/>
    <n v="182765"/>
    <s v="LOSOWSKI SOFIA"/>
    <s v="27-39681897-9"/>
    <n v="42710"/>
    <n v="39681897"/>
    <s v="LOSOWSKI"/>
    <s v="SOFIA"/>
    <s v="F"/>
    <m/>
    <d v="2016-11-1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V CORDOBA"/>
    <n v="1005"/>
    <n v="3"/>
    <s v="A"/>
    <s v="CAPITAL FEDERAL"/>
    <s v="Capital Federal"/>
    <m/>
    <s v="U.O.Centro"/>
    <m/>
    <n v="3"/>
    <n v="1"/>
    <n v="10713.4"/>
    <n v="2142.69"/>
    <m/>
    <m/>
    <n v="8570.7099999999991"/>
    <m/>
    <n v="214.27"/>
    <m/>
    <m/>
    <m/>
    <m/>
    <m/>
    <m/>
    <n v="107.14"/>
    <m/>
    <m/>
    <m/>
    <m/>
    <m/>
    <m/>
    <n v="214.27"/>
    <m/>
    <m/>
    <m/>
    <m/>
    <m/>
    <m/>
    <m/>
    <n v="107.14"/>
    <n v="300"/>
    <n v="942.82"/>
  </r>
  <r>
    <n v="11"/>
    <x v="11"/>
    <x v="0"/>
    <n v="177167"/>
    <s v="LUNA ELIANA DENISE"/>
    <s v="27-37280303-2"/>
    <n v="42710"/>
    <n v="37280303"/>
    <s v="LUNA"/>
    <s v="ELIANA DENISE"/>
    <s v="F"/>
    <m/>
    <d v="2016-08-13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SANTIAGO DE CHILE"/>
    <n v="1225"/>
    <m/>
    <m/>
    <s v="CAPITAL FEDERAL"/>
    <s v="Buenos Aires"/>
    <m/>
    <s v="U.O.Centro"/>
    <m/>
    <n v="2"/>
    <n v="1"/>
    <n v="8345.41"/>
    <n v="1669.11"/>
    <m/>
    <m/>
    <n v="6676.3"/>
    <m/>
    <n v="166.91"/>
    <m/>
    <m/>
    <m/>
    <m/>
    <m/>
    <m/>
    <n v="83.46"/>
    <m/>
    <m/>
    <m/>
    <m/>
    <m/>
    <m/>
    <n v="166.91"/>
    <m/>
    <m/>
    <m/>
    <m/>
    <m/>
    <m/>
    <m/>
    <n v="83.46"/>
    <n v="300"/>
    <n v="800.74"/>
  </r>
  <r>
    <n v="11"/>
    <x v="11"/>
    <x v="1"/>
    <n v="147835"/>
    <s v="LUQUE JAVIER ANTONIO"/>
    <s v="20-37023577-6"/>
    <n v="42710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s v="C1009ABK"/>
    <s v="LILA"/>
    <n v="507"/>
    <m/>
    <m/>
    <s v="CAPITAL FEDERAL"/>
    <s v="Capital Federal"/>
    <m/>
    <s v="U.O.Centro Paga Inplant"/>
    <m/>
    <n v="2"/>
    <n v="1"/>
    <n v="10544.39"/>
    <n v="2108.88"/>
    <m/>
    <m/>
    <n v="8435.51"/>
    <m/>
    <n v="210.88"/>
    <m/>
    <m/>
    <m/>
    <m/>
    <m/>
    <m/>
    <n v="105.44"/>
    <n v="105.4439"/>
    <m/>
    <m/>
    <m/>
    <m/>
    <m/>
    <n v="210.88"/>
    <m/>
    <m/>
    <m/>
    <m/>
    <m/>
    <m/>
    <m/>
    <n v="105.44"/>
    <n v="300"/>
    <n v="932.64"/>
  </r>
  <r>
    <n v="11"/>
    <x v="11"/>
    <x v="0"/>
    <n v="172051"/>
    <s v="MACIEL DIEGO MAXIMILIANO"/>
    <s v="20-37179030-7"/>
    <n v="42710"/>
    <n v="37179030"/>
    <s v="MACIEL"/>
    <s v="DIEGO MAXIMILIANO"/>
    <s v="M"/>
    <m/>
    <d v="2016-04-22T00:00:00"/>
    <d v="2016-10-25T00:00:00"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CARLOS PELLEGRINI"/>
    <n v="507"/>
    <m/>
    <m/>
    <s v="CAPITAL FEDERAL"/>
    <s v="Capital Federal"/>
    <m/>
    <s v="U.O.Centro Paga Inplant"/>
    <m/>
    <n v="1"/>
    <n v="1"/>
    <n v="591.66999999999996"/>
    <n v="118.33"/>
    <m/>
    <m/>
    <n v="473.34"/>
    <m/>
    <n v="11.83"/>
    <m/>
    <m/>
    <m/>
    <m/>
    <m/>
    <m/>
    <n v="5.92"/>
    <m/>
    <m/>
    <m/>
    <m/>
    <m/>
    <m/>
    <n v="11.83"/>
    <m/>
    <m/>
    <m/>
    <m/>
    <m/>
    <m/>
    <m/>
    <n v="5.92"/>
    <m/>
    <n v="35.5"/>
  </r>
  <r>
    <n v="11"/>
    <x v="11"/>
    <x v="0"/>
    <n v="177958"/>
    <s v="MAIDANA LILIANA JAQUELINE"/>
    <s v="27-38494986-5"/>
    <n v="42710"/>
    <n v="38494986"/>
    <s v="MAIDANA"/>
    <s v="LILIANA JAQUELINE"/>
    <s v="F"/>
    <m/>
    <d v="2016-09-01T00:00:00"/>
    <m/>
    <m/>
    <s v="GASTRONOMICOS-Hoteles 4 y 5 Estrellas - 362/2003"/>
    <s v="Categoría 4"/>
    <x v="17"/>
    <s v="Unidad Base-GL"/>
    <s v="San Isidro"/>
    <s v="Mucama"/>
    <n v="108803"/>
    <s v="O.S.P.Gastronomico"/>
    <s v="Buenos Aires - Tigre"/>
    <m/>
    <n v="1648"/>
    <s v="AVENIDA VILLANUEVA"/>
    <n v="240"/>
    <m/>
    <m/>
    <s v="TIGRE"/>
    <s v="Buenos Aires"/>
    <m/>
    <s v="U.O.San Isidro"/>
    <m/>
    <n v="1"/>
    <n v="1"/>
    <n v="13400.37"/>
    <n v="2680.07"/>
    <m/>
    <m/>
    <n v="10720.3"/>
    <m/>
    <n v="268.01"/>
    <m/>
    <m/>
    <m/>
    <m/>
    <m/>
    <m/>
    <n v="134"/>
    <m/>
    <m/>
    <m/>
    <m/>
    <m/>
    <m/>
    <n v="268.01"/>
    <m/>
    <m/>
    <m/>
    <m/>
    <m/>
    <m/>
    <m/>
    <n v="134"/>
    <n v="300"/>
    <n v="1104.02"/>
  </r>
  <r>
    <n v="11"/>
    <x v="11"/>
    <x v="0"/>
    <n v="170140"/>
    <s v="MAIDANA OSCAR RODOLFO"/>
    <s v="20-12573728-6"/>
    <n v="42710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s v="C1104AKC"/>
    <s v="MARCO SASTRE"/>
    <n v="1225"/>
    <m/>
    <m/>
    <s v="CAPITAL FEDERAL"/>
    <s v="Buenos Aires"/>
    <m/>
    <s v="U.O.Centro"/>
    <m/>
    <n v="1"/>
    <n v="1"/>
    <n v="11063.85"/>
    <n v="2212.7800000000002"/>
    <m/>
    <m/>
    <n v="8851.07"/>
    <m/>
    <n v="221.28"/>
    <m/>
    <m/>
    <m/>
    <m/>
    <m/>
    <m/>
    <n v="110.64"/>
    <m/>
    <m/>
    <m/>
    <m/>
    <m/>
    <m/>
    <n v="221.28"/>
    <m/>
    <m/>
    <m/>
    <m/>
    <m/>
    <m/>
    <m/>
    <n v="110.64"/>
    <n v="300"/>
    <n v="963.84"/>
  </r>
  <r>
    <n v="11"/>
    <x v="11"/>
    <x v="0"/>
    <n v="171021"/>
    <s v="MAITA GISELLE ELIANA"/>
    <s v="27-34799549-0"/>
    <n v="42710"/>
    <n v="34799549"/>
    <s v="MAITA"/>
    <s v="GISELLE ELIANA"/>
    <s v="F"/>
    <m/>
    <d v="2016-03-3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RQUIMEDES"/>
    <n v="1005"/>
    <m/>
    <m/>
    <s v="CAPITAL FEDERAL"/>
    <s v="Capital Federal"/>
    <m/>
    <s v="U.O.Centro"/>
    <m/>
    <n v="2"/>
    <n v="1"/>
    <n v="22756.05"/>
    <n v="4551.22"/>
    <m/>
    <m/>
    <n v="18204.830000000002"/>
    <m/>
    <n v="455.13"/>
    <m/>
    <m/>
    <m/>
    <m/>
    <m/>
    <m/>
    <n v="227.56"/>
    <m/>
    <m/>
    <m/>
    <m/>
    <m/>
    <m/>
    <n v="455.13"/>
    <m/>
    <m/>
    <m/>
    <m/>
    <m/>
    <m/>
    <m/>
    <n v="227.56"/>
    <n v="300"/>
    <n v="1665.38"/>
  </r>
  <r>
    <n v="11"/>
    <x v="11"/>
    <x v="0"/>
    <n v="176964"/>
    <s v="MALCEÑIDO MARIANO RUBEN"/>
    <s v="20-26939242-9"/>
    <n v="42710"/>
    <n v="26939242"/>
    <s v="MALCEÑIDO"/>
    <s v="MARIANO RUBEN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MPOSTELA"/>
    <n v="1005"/>
    <m/>
    <m/>
    <s v="CAPITAL FEDERAL"/>
    <s v="Capital Federal"/>
    <m/>
    <s v="U.O.Centro"/>
    <m/>
    <n v="2"/>
    <n v="1"/>
    <n v="6298.32"/>
    <n v="1259.67"/>
    <m/>
    <m/>
    <n v="5038.6499999999996"/>
    <m/>
    <n v="125.96"/>
    <m/>
    <m/>
    <m/>
    <m/>
    <m/>
    <m/>
    <n v="62.99"/>
    <m/>
    <m/>
    <m/>
    <m/>
    <m/>
    <m/>
    <n v="125.96"/>
    <m/>
    <m/>
    <m/>
    <m/>
    <m/>
    <m/>
    <m/>
    <n v="62.99"/>
    <n v="300"/>
    <n v="677.9"/>
  </r>
  <r>
    <n v="11"/>
    <x v="11"/>
    <x v="0"/>
    <n v="177725"/>
    <s v="MARCASOLI JOAQUIN GASPAR"/>
    <s v="20-40060166-7"/>
    <n v="42710"/>
    <n v="40060166"/>
    <s v="MARCASOLI"/>
    <s v="JOAQUIN GASPAR"/>
    <s v="M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TENIENTE GENERAL LONARDI"/>
    <n v="240"/>
    <m/>
    <m/>
    <s v="TIGRE"/>
    <s v="Buenos Aires"/>
    <m/>
    <s v="U.O.San Isidro"/>
    <m/>
    <n v="1"/>
    <n v="1"/>
    <n v="24341.24"/>
    <n v="4868.25"/>
    <m/>
    <m/>
    <n v="19472.990000000002"/>
    <m/>
    <n v="486.82"/>
    <m/>
    <m/>
    <m/>
    <m/>
    <m/>
    <m/>
    <n v="243.41"/>
    <m/>
    <m/>
    <m/>
    <m/>
    <m/>
    <m/>
    <n v="486.82"/>
    <m/>
    <m/>
    <m/>
    <m/>
    <m/>
    <m/>
    <m/>
    <n v="243.41"/>
    <n v="300"/>
    <n v="1760.46"/>
  </r>
  <r>
    <n v="11"/>
    <x v="11"/>
    <x v="1"/>
    <n v="152233"/>
    <s v="MARGHETICH SERGIO VIRGILIO"/>
    <s v="20-21090363-2"/>
    <n v="42710"/>
    <n v="21090363"/>
    <s v="MARGHETICH"/>
    <s v="SERGIO VIRGILIO"/>
    <s v="M"/>
    <m/>
    <d v="2015-06-16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ATAMARCA"/>
    <n v="535"/>
    <m/>
    <m/>
    <s v="CAPITAL FEDERAL"/>
    <s v="Capital Federal"/>
    <m/>
    <s v="U.O.Centro Paga Inplant"/>
    <m/>
    <n v="2"/>
    <n v="1"/>
    <n v="21467.21"/>
    <n v="4293.43"/>
    <m/>
    <m/>
    <n v="17173.78"/>
    <m/>
    <n v="429.35"/>
    <m/>
    <m/>
    <m/>
    <m/>
    <m/>
    <m/>
    <n v="214.67"/>
    <n v="214.6721"/>
    <m/>
    <m/>
    <m/>
    <m/>
    <m/>
    <n v="429.35"/>
    <m/>
    <m/>
    <m/>
    <m/>
    <m/>
    <m/>
    <m/>
    <n v="214.67"/>
    <n v="300"/>
    <n v="1588.04"/>
  </r>
  <r>
    <n v="11"/>
    <x v="11"/>
    <x v="1"/>
    <n v="122290"/>
    <s v="MARTINEZ EZEQUIEL FACUNDO"/>
    <s v="20-28328215-6"/>
    <n v="42710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Peón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1"/>
    <n v="1"/>
    <n v="13537.95"/>
    <n v="2775.28"/>
    <m/>
    <m/>
    <n v="10762.67"/>
    <n v="338.45"/>
    <m/>
    <m/>
    <m/>
    <m/>
    <m/>
    <m/>
    <m/>
    <n v="135.38"/>
    <n v="135.37950000000001"/>
    <m/>
    <m/>
    <m/>
    <m/>
    <m/>
    <n v="270.76"/>
    <m/>
    <m/>
    <m/>
    <m/>
    <m/>
    <m/>
    <m/>
    <n v="135.38"/>
    <n v="300"/>
    <n v="1179.97"/>
  </r>
  <r>
    <n v="11"/>
    <x v="11"/>
    <x v="1"/>
    <n v="171586"/>
    <s v="MARTINEZ JONATHAN EZEQUIEL"/>
    <s v="20-31158376-0"/>
    <n v="42710"/>
    <n v="31158376"/>
    <s v="MARTINEZ"/>
    <s v="JONATHAN EZEQU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LAVALLOL"/>
    <n v="1891"/>
    <n v="1"/>
    <s v="D"/>
    <s v="CAPITAL FEDERAL"/>
    <s v="Capital Federal"/>
    <m/>
    <s v="U.O.Centro"/>
    <s v="Alvear Palace"/>
    <n v="1"/>
    <n v="1"/>
    <n v="13604.18"/>
    <n v="2720.84"/>
    <m/>
    <m/>
    <n v="10883.34"/>
    <m/>
    <n v="272.08"/>
    <m/>
    <m/>
    <m/>
    <m/>
    <m/>
    <m/>
    <n v="136.04"/>
    <n v="136.04179999999999"/>
    <m/>
    <m/>
    <m/>
    <m/>
    <m/>
    <n v="272.08"/>
    <m/>
    <m/>
    <m/>
    <m/>
    <m/>
    <m/>
    <m/>
    <n v="136.04"/>
    <n v="300"/>
    <n v="1116.24"/>
  </r>
  <r>
    <n v="11"/>
    <x v="11"/>
    <x v="1"/>
    <n v="152931"/>
    <s v="MARTINEZ KAREN"/>
    <s v="27-37827128-8"/>
    <n v="42710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1"/>
    <n v="1"/>
    <n v="16392.8"/>
    <n v="3360.52"/>
    <m/>
    <m/>
    <n v="13032.28"/>
    <n v="409.82"/>
    <m/>
    <m/>
    <m/>
    <m/>
    <m/>
    <m/>
    <m/>
    <n v="163.93"/>
    <n v="163.928"/>
    <m/>
    <m/>
    <m/>
    <m/>
    <m/>
    <n v="327.86"/>
    <m/>
    <m/>
    <m/>
    <m/>
    <m/>
    <m/>
    <m/>
    <n v="163.93"/>
    <n v="300"/>
    <n v="1365.54"/>
  </r>
  <r>
    <n v="11"/>
    <x v="11"/>
    <x v="0"/>
    <n v="169944"/>
    <s v="MARTINEZ MIGUEL ANGEL"/>
    <s v="20-35371989-1"/>
    <n v="42710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ZA 5  CASA 38"/>
    <n v="1225"/>
    <m/>
    <m/>
    <s v="CAPITAL FEDERAL"/>
    <s v="Buenos Aires"/>
    <m/>
    <s v="U.O.Centro"/>
    <m/>
    <n v="2"/>
    <n v="1"/>
    <n v="14284.21"/>
    <n v="2856.84"/>
    <m/>
    <m/>
    <n v="11427.37"/>
    <m/>
    <n v="285.69"/>
    <m/>
    <m/>
    <m/>
    <m/>
    <m/>
    <m/>
    <n v="142.84"/>
    <m/>
    <m/>
    <m/>
    <m/>
    <m/>
    <m/>
    <n v="285.69"/>
    <m/>
    <m/>
    <m/>
    <m/>
    <m/>
    <m/>
    <m/>
    <n v="142.84"/>
    <n v="300"/>
    <n v="1157.06"/>
  </r>
  <r>
    <n v="11"/>
    <x v="11"/>
    <x v="0"/>
    <n v="183594"/>
    <s v="MARTINEZ SABRINA EUGENIA"/>
    <s v="27-36942123-4"/>
    <n v="42710"/>
    <n v="36942123"/>
    <s v="MARTINEZ"/>
    <s v="SABRINA EUGENIA"/>
    <s v="F"/>
    <m/>
    <d v="2016-11-24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MARTIN CORONADO"/>
    <n v="240"/>
    <m/>
    <m/>
    <s v="TIGRE"/>
    <s v="Buenos Aires"/>
    <m/>
    <s v="U.O.San Isidro"/>
    <m/>
    <n v="1"/>
    <n v="1"/>
    <n v="693.16"/>
    <n v="138.62"/>
    <m/>
    <m/>
    <n v="554.54"/>
    <m/>
    <n v="13.86"/>
    <m/>
    <m/>
    <m/>
    <m/>
    <m/>
    <m/>
    <n v="6.93"/>
    <m/>
    <m/>
    <m/>
    <m/>
    <m/>
    <m/>
    <n v="13.86"/>
    <m/>
    <m/>
    <m/>
    <m/>
    <m/>
    <m/>
    <m/>
    <n v="6.93"/>
    <n v="300"/>
    <n v="341.58"/>
  </r>
  <r>
    <n v="11"/>
    <x v="11"/>
    <x v="0"/>
    <n v="181006"/>
    <s v="MASTELLONE MARIANA CECILIA"/>
    <s v="27-27861940-6"/>
    <n v="42710"/>
    <n v="27861940"/>
    <s v="MASTELLONE"/>
    <s v="MARIANA CECILIA"/>
    <s v="F"/>
    <m/>
    <d v="2016-11-19T00:00:00"/>
    <m/>
    <m/>
    <s v="GASTRONOMICOS-Hoteles 4 y 5 Estrellas - 362/2003"/>
    <s v="Categoria 6"/>
    <x v="5"/>
    <s v="Extra Dotación Mozos / Camareros - GL"/>
    <s v="Centro"/>
    <s v="Camarero/a"/>
    <n v="126205"/>
    <s v="O.S.Emp.Comercio y Act.Civiles"/>
    <s v="Capital Federal"/>
    <m/>
    <s v="C1104AKC"/>
    <s v="JUAN DE ZAMORA"/>
    <n v="1225"/>
    <s v="PB"/>
    <m/>
    <s v="CAPITAL FEDERAL"/>
    <s v="Buenos Aires"/>
    <m/>
    <s v="U.O.Centro"/>
    <m/>
    <n v="4"/>
    <n v="1"/>
    <n v="5602.13"/>
    <n v="1120.42"/>
    <m/>
    <m/>
    <n v="4481.71"/>
    <m/>
    <n v="112.04"/>
    <m/>
    <m/>
    <m/>
    <m/>
    <m/>
    <m/>
    <n v="56.02"/>
    <m/>
    <m/>
    <m/>
    <m/>
    <m/>
    <m/>
    <n v="112.04"/>
    <m/>
    <m/>
    <m/>
    <m/>
    <m/>
    <m/>
    <m/>
    <n v="56.02"/>
    <n v="300"/>
    <n v="636.12"/>
  </r>
  <r>
    <n v="11"/>
    <x v="11"/>
    <x v="0"/>
    <n v="183592"/>
    <s v="MATTERA IGNACIO NICOLAS"/>
    <s v="20-37941156-9"/>
    <n v="42710"/>
    <n v="37941156"/>
    <s v="MATTERA"/>
    <s v="IGNACIO NICOLAS"/>
    <s v="M"/>
    <m/>
    <d v="2016-11-24T00:00:00"/>
    <m/>
    <m/>
    <s v="GASTRONOMICOS-Hoteles 4 y 5 Estrellas - 362/2003"/>
    <s v="Auxiliar"/>
    <x v="17"/>
    <s v="Unidad Base-GL"/>
    <s v="San Isidro"/>
    <s v="Lavadores"/>
    <n v="108803"/>
    <s v="O.S.P.Gastronomico"/>
    <s v="Buenos Aires - Gran Buenos Aires"/>
    <m/>
    <n v="1648"/>
    <s v="LUIS RESSIO"/>
    <n v="240"/>
    <m/>
    <m/>
    <s v="TIGRE"/>
    <s v="Buenos Aires"/>
    <m/>
    <s v="U.O.San Isidro"/>
    <m/>
    <n v="1"/>
    <n v="1"/>
    <n v="1100.97"/>
    <n v="220.2"/>
    <m/>
    <m/>
    <n v="880.77"/>
    <m/>
    <n v="22.02"/>
    <m/>
    <m/>
    <m/>
    <m/>
    <m/>
    <m/>
    <n v="11.01"/>
    <m/>
    <m/>
    <m/>
    <m/>
    <m/>
    <m/>
    <n v="22.02"/>
    <m/>
    <m/>
    <m/>
    <m/>
    <m/>
    <m/>
    <m/>
    <n v="11.01"/>
    <n v="300"/>
    <n v="366.06"/>
  </r>
  <r>
    <n v="11"/>
    <x v="11"/>
    <x v="0"/>
    <n v="161583"/>
    <s v="MEDINA EMILSE RAQUEL"/>
    <s v="27-36216142-3"/>
    <n v="42710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ELO T DE ALVEAR"/>
    <n v="1225"/>
    <m/>
    <m/>
    <s v="CAPITAL FEDERAL"/>
    <s v="Buenos Aires"/>
    <m/>
    <s v="U.O.Quilmes"/>
    <m/>
    <n v="2"/>
    <n v="1"/>
    <n v="5548.79"/>
    <n v="1109.76"/>
    <m/>
    <m/>
    <n v="4439.03"/>
    <m/>
    <n v="110.98"/>
    <m/>
    <m/>
    <m/>
    <m/>
    <m/>
    <m/>
    <n v="55.49"/>
    <m/>
    <m/>
    <m/>
    <m/>
    <m/>
    <m/>
    <n v="110.98"/>
    <m/>
    <m/>
    <m/>
    <m/>
    <m/>
    <m/>
    <m/>
    <n v="55.49"/>
    <n v="300"/>
    <n v="632.94000000000005"/>
  </r>
  <r>
    <n v="11"/>
    <x v="11"/>
    <x v="0"/>
    <n v="176967"/>
    <s v="MEDINA ROLON ROSALIA ANGELA"/>
    <s v="23-26670442-9"/>
    <n v="42710"/>
    <n v="26670442"/>
    <s v="MEDINA ROLON"/>
    <s v="ROSALIA ANGELA"/>
    <s v="F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n v="891"/>
    <n v="1005"/>
    <m/>
    <m/>
    <s v="CAPITAL FEDERAL"/>
    <s v="Capital Federal"/>
    <m/>
    <s v="U.O.Centro"/>
    <m/>
    <n v="3"/>
    <n v="1"/>
    <n v="9399.84"/>
    <n v="1879.95"/>
    <m/>
    <m/>
    <n v="7519.89"/>
    <m/>
    <n v="188"/>
    <m/>
    <m/>
    <m/>
    <m/>
    <m/>
    <m/>
    <n v="93.99"/>
    <m/>
    <m/>
    <m/>
    <m/>
    <m/>
    <m/>
    <n v="188"/>
    <m/>
    <m/>
    <m/>
    <m/>
    <m/>
    <m/>
    <m/>
    <n v="93.99"/>
    <n v="300"/>
    <n v="863.98"/>
  </r>
  <r>
    <n v="11"/>
    <x v="11"/>
    <x v="1"/>
    <n v="183660"/>
    <s v="MELIS ROSSELLA"/>
    <s v="27-93575649-4"/>
    <n v="42703"/>
    <n v="93575649"/>
    <s v="MELIS"/>
    <s v="ROSSELLA"/>
    <s v="F"/>
    <m/>
    <d v="2016-11-22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MATHEU"/>
    <n v="764"/>
    <n v="1"/>
    <n v="5"/>
    <s v="CAPITAL FEDERAL"/>
    <s v="Capital Federal"/>
    <m/>
    <s v="U.O.Centro"/>
    <m/>
    <n v="1"/>
    <n v="1"/>
    <n v="390.53"/>
    <n v="78.12"/>
    <m/>
    <m/>
    <n v="312.41000000000003"/>
    <m/>
    <n v="7.81"/>
    <m/>
    <m/>
    <m/>
    <m/>
    <m/>
    <m/>
    <n v="3.91"/>
    <n v="3.9053"/>
    <m/>
    <m/>
    <m/>
    <m/>
    <m/>
    <n v="7.81"/>
    <m/>
    <m/>
    <m/>
    <m/>
    <m/>
    <m/>
    <m/>
    <n v="3.91"/>
    <n v="300"/>
    <n v="323.44"/>
  </r>
  <r>
    <n v="11"/>
    <x v="11"/>
    <x v="0"/>
    <n v="178957"/>
    <s v="MENDEZ MARTINEZ JOEL JOSE"/>
    <s v="20-95563588-5"/>
    <n v="42710"/>
    <n v="95563588"/>
    <s v="MENDEZ MARTINEZ"/>
    <s v="JOEL JOSE"/>
    <s v="M"/>
    <m/>
    <d v="2016-09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PARANA"/>
    <n v="1225"/>
    <n v="1"/>
    <n v="1"/>
    <s v="CAPITAL FEDERAL"/>
    <s v="Buenos Aires"/>
    <m/>
    <s v="U.O.Centro"/>
    <m/>
    <n v="4"/>
    <n v="1"/>
    <n v="17858.490000000002"/>
    <n v="3563.56"/>
    <m/>
    <m/>
    <n v="14294.93"/>
    <m/>
    <n v="357.16"/>
    <m/>
    <m/>
    <m/>
    <m/>
    <m/>
    <m/>
    <n v="170.42"/>
    <m/>
    <m/>
    <m/>
    <m/>
    <m/>
    <m/>
    <n v="357.16"/>
    <m/>
    <m/>
    <m/>
    <m/>
    <m/>
    <m/>
    <m/>
    <n v="170.42"/>
    <n v="300"/>
    <n v="1355.16"/>
  </r>
  <r>
    <n v="11"/>
    <x v="11"/>
    <x v="1"/>
    <n v="173714"/>
    <s v="MERCADO WALTER SAUL"/>
    <s v="24-32060645-0"/>
    <n v="42703"/>
    <n v="32060645"/>
    <s v="MERCADO"/>
    <s v="WALTER SAUL"/>
    <s v="M"/>
    <m/>
    <d v="2016-06-01T00:00:00"/>
    <d v="2016-11-18T00:00:00"/>
    <d v="2016-11-18T00:00:00"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LAUDIO DE ALAS"/>
    <n v="764"/>
    <m/>
    <m/>
    <s v="CAPITAL FEDERAL"/>
    <s v="Capital Federal"/>
    <m/>
    <s v="U.O.Centro"/>
    <m/>
    <n v="2"/>
    <n v="1"/>
    <n v="9162.35"/>
    <n v="1832.46"/>
    <m/>
    <n v="14995.75"/>
    <n v="22325.64"/>
    <m/>
    <n v="183.25"/>
    <m/>
    <m/>
    <m/>
    <m/>
    <m/>
    <m/>
    <n v="91.62"/>
    <n v="91.623500000000007"/>
    <m/>
    <m/>
    <m/>
    <m/>
    <m/>
    <n v="183.25"/>
    <m/>
    <m/>
    <m/>
    <m/>
    <m/>
    <m/>
    <m/>
    <n v="91.62"/>
    <n v="300"/>
    <n v="849.74"/>
  </r>
  <r>
    <n v="11"/>
    <x v="11"/>
    <x v="0"/>
    <n v="163371"/>
    <s v="MEZA PIZARRO CHRISTIAN MERVEN"/>
    <s v="20-92327011-7"/>
    <n v="42710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s v="C1104AKC"/>
    <s v="MANUEL OCAMPO"/>
    <n v="1225"/>
    <m/>
    <m/>
    <s v="CAPITAL FEDERAL"/>
    <s v="Buenos Aires"/>
    <m/>
    <s v="U.O.Centro"/>
    <m/>
    <n v="2"/>
    <n v="1"/>
    <n v="17321.830000000002"/>
    <n v="3464.38"/>
    <m/>
    <m/>
    <n v="13857.45"/>
    <m/>
    <n v="346.44"/>
    <m/>
    <m/>
    <m/>
    <m/>
    <m/>
    <m/>
    <n v="173.22"/>
    <m/>
    <m/>
    <m/>
    <m/>
    <m/>
    <m/>
    <n v="346.44"/>
    <m/>
    <m/>
    <m/>
    <m/>
    <m/>
    <m/>
    <m/>
    <n v="173.22"/>
    <n v="300"/>
    <n v="1339.32"/>
  </r>
  <r>
    <n v="11"/>
    <x v="11"/>
    <x v="1"/>
    <n v="181862"/>
    <s v="MILESSI PATRICIO NAHUEL"/>
    <s v="20-39580994-7"/>
    <n v="42710"/>
    <n v="39580994"/>
    <s v="MILESSI"/>
    <s v="PATRICIO NAHUEL"/>
    <s v="M"/>
    <m/>
    <d v="2016-10-26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GENERAL ALVEAR"/>
    <n v="507"/>
    <m/>
    <m/>
    <s v="CAPITAL FEDERAL"/>
    <s v="Capital Federal"/>
    <m/>
    <s v="U.O.Centro"/>
    <m/>
    <n v="2"/>
    <n v="1"/>
    <n v="4001.6"/>
    <n v="800.33"/>
    <m/>
    <m/>
    <n v="3201.27"/>
    <m/>
    <n v="80.03"/>
    <m/>
    <m/>
    <m/>
    <m/>
    <m/>
    <m/>
    <n v="40.020000000000003"/>
    <n v="40.015999999999998"/>
    <m/>
    <m/>
    <m/>
    <m/>
    <m/>
    <n v="80.03"/>
    <m/>
    <m/>
    <m/>
    <m/>
    <m/>
    <m/>
    <m/>
    <n v="40.020000000000003"/>
    <n v="300"/>
    <n v="540.1"/>
  </r>
  <r>
    <n v="11"/>
    <x v="11"/>
    <x v="0"/>
    <n v="179166"/>
    <s v="MIRANDA JONATAN HERNAN"/>
    <s v="20-34854740-3"/>
    <n v="42710"/>
    <n v="34854740"/>
    <s v="MIRANDA"/>
    <s v="JONATAN HERNAN"/>
    <s v="M"/>
    <m/>
    <d v="2016-11-22T00:00:00"/>
    <m/>
    <m/>
    <s v="GASTRONOMICOS-Hoteles 4 y 5 Estrellas - 362/2003"/>
    <s v="Categoria 6"/>
    <x v="5"/>
    <s v="Mozos / camareros - GL"/>
    <s v="Centro"/>
    <s v="Camarero/a"/>
    <n v="126908"/>
    <s v="OS DE LOS MEDICOS DE LA CIUDAD DE BUENOS AIRES"/>
    <s v="Capital Federal"/>
    <m/>
    <s v="C1104AKC"/>
    <s v="JOSE JUAN BIEDMA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11"/>
    <x v="11"/>
    <x v="0"/>
    <n v="177489"/>
    <s v="MISITI ANGELES LUCIA"/>
    <s v="27-33554155-9"/>
    <n v="42710"/>
    <n v="33554155"/>
    <s v="MISITI"/>
    <s v="ANGELES LUCI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HOMERO"/>
    <n v="1005"/>
    <m/>
    <m/>
    <s v="CAPITAL FEDERAL"/>
    <s v="Capital Federal"/>
    <m/>
    <s v="U.O.Centro"/>
    <m/>
    <n v="2"/>
    <n v="1"/>
    <n v="6542.36"/>
    <n v="1308.47"/>
    <m/>
    <m/>
    <n v="5233.8900000000003"/>
    <m/>
    <n v="130.85"/>
    <m/>
    <m/>
    <m/>
    <m/>
    <m/>
    <m/>
    <n v="65.42"/>
    <m/>
    <m/>
    <m/>
    <m/>
    <m/>
    <m/>
    <n v="130.85"/>
    <m/>
    <m/>
    <m/>
    <m/>
    <m/>
    <m/>
    <m/>
    <n v="65.42"/>
    <n v="300"/>
    <n v="692.54"/>
  </r>
  <r>
    <n v="11"/>
    <x v="11"/>
    <x v="0"/>
    <n v="178893"/>
    <s v="MONROY TERESA BEATRIZ"/>
    <s v="27-31014501-2"/>
    <n v="42705"/>
    <n v="31014501"/>
    <s v="MONROY"/>
    <s v="TERESA BEATRIZ"/>
    <s v="F"/>
    <m/>
    <d v="2016-09-16T00:00:00"/>
    <m/>
    <m/>
    <s v="GASTRONOMICOS-Hoteles 4 y 5 Estrellas - 362/2003"/>
    <s v="Categoria 6"/>
    <x v="10"/>
    <s v="SOFITEL HOUSEKEEPING"/>
    <s v="Centro"/>
    <s v="Gobernanta"/>
    <n v="103105"/>
    <s v="O.S.P.Ind.del Calzado"/>
    <s v="Capital Federal"/>
    <m/>
    <s v="C1007AAA"/>
    <s v="ALBARIÑOS"/>
    <n v="841"/>
    <m/>
    <m/>
    <s v="CAPITAL FEDERAL"/>
    <s v="Buenos Aires"/>
    <m/>
    <s v="U.O.Centro"/>
    <m/>
    <n v="1"/>
    <n v="1"/>
    <n v="20005.900000000001"/>
    <n v="4001.19"/>
    <m/>
    <m/>
    <n v="16004.71"/>
    <m/>
    <n v="400.12"/>
    <m/>
    <m/>
    <m/>
    <m/>
    <m/>
    <m/>
    <n v="200.06"/>
    <m/>
    <m/>
    <m/>
    <m/>
    <m/>
    <m/>
    <n v="400.12"/>
    <m/>
    <m/>
    <m/>
    <m/>
    <m/>
    <m/>
    <m/>
    <n v="200.06"/>
    <n v="300"/>
    <n v="1500.36"/>
  </r>
  <r>
    <n v="11"/>
    <x v="11"/>
    <x v="0"/>
    <n v="180748"/>
    <s v="MONTENEGRO MUÑOZ NADIA ROCIO"/>
    <s v="27-32741489-0"/>
    <n v="42710"/>
    <n v="32741489"/>
    <s v="MONTENEGRO MUÑOZ"/>
    <s v="NADIA ROCIO"/>
    <s v="F"/>
    <m/>
    <d v="2016-10-1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HERRERA"/>
    <n v="1225"/>
    <m/>
    <m/>
    <s v="CAPITAL FEDERAL"/>
    <s v="Buenos Aires"/>
    <m/>
    <s v="U.O.Centro"/>
    <m/>
    <n v="3"/>
    <n v="1"/>
    <n v="5306.42"/>
    <n v="1056.8399999999999"/>
    <m/>
    <m/>
    <n v="4249.58"/>
    <m/>
    <n v="106.13"/>
    <m/>
    <m/>
    <m/>
    <m/>
    <m/>
    <m/>
    <n v="48.61"/>
    <m/>
    <m/>
    <m/>
    <m/>
    <m/>
    <m/>
    <n v="106.13"/>
    <m/>
    <m/>
    <m/>
    <m/>
    <m/>
    <m/>
    <m/>
    <n v="48.61"/>
    <n v="300"/>
    <n v="609.48"/>
  </r>
  <r>
    <n v="11"/>
    <x v="11"/>
    <x v="0"/>
    <n v="170446"/>
    <s v="MONTES LORENA ANDREA"/>
    <s v="27-30914440-1"/>
    <n v="42710"/>
    <n v="30914440"/>
    <s v="MONTES"/>
    <s v="LORENA ANDREA"/>
    <s v="F"/>
    <m/>
    <d v="2016-03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UAREZ"/>
    <n v="1225"/>
    <s v="PB"/>
    <m/>
    <s v="CAPITAL FEDERAL"/>
    <s v="Buenos Aires"/>
    <m/>
    <s v="U.O.Centro"/>
    <m/>
    <n v="2"/>
    <n v="1"/>
    <n v="12518.13"/>
    <n v="2503.62"/>
    <m/>
    <m/>
    <n v="10014.51"/>
    <m/>
    <n v="250.36"/>
    <m/>
    <m/>
    <m/>
    <m/>
    <m/>
    <m/>
    <n v="125.18"/>
    <m/>
    <m/>
    <m/>
    <m/>
    <m/>
    <m/>
    <n v="250.36"/>
    <m/>
    <m/>
    <m/>
    <m/>
    <m/>
    <m/>
    <m/>
    <n v="125.18"/>
    <n v="300"/>
    <n v="1051.08"/>
  </r>
  <r>
    <n v="11"/>
    <x v="11"/>
    <x v="0"/>
    <n v="182775"/>
    <s v="MORALES INGRID IVONNE"/>
    <s v="27-38678109-0"/>
    <n v="42710"/>
    <n v="38678109"/>
    <s v="MORALES"/>
    <s v="INGRID IVONNE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JOSE MARIA GUTIERREZ"/>
    <n v="240"/>
    <m/>
    <m/>
    <s v="TIGRE"/>
    <s v="Buenos Aires"/>
    <m/>
    <s v="U.O.San Isidro"/>
    <m/>
    <n v="1"/>
    <n v="1"/>
    <n v="693.16"/>
    <n v="138.62"/>
    <m/>
    <m/>
    <n v="554.54"/>
    <m/>
    <n v="13.86"/>
    <m/>
    <m/>
    <m/>
    <m/>
    <m/>
    <m/>
    <n v="6.93"/>
    <m/>
    <m/>
    <m/>
    <m/>
    <m/>
    <m/>
    <n v="13.86"/>
    <m/>
    <m/>
    <m/>
    <m/>
    <m/>
    <m/>
    <m/>
    <n v="6.93"/>
    <n v="300"/>
    <n v="341.58"/>
  </r>
  <r>
    <n v="11"/>
    <x v="11"/>
    <x v="0"/>
    <n v="180222"/>
    <s v="MORALES MERCADO DEYSI"/>
    <s v="27-37390865-2"/>
    <n v="42710"/>
    <n v="37390865"/>
    <s v="MORALES MERCADO"/>
    <s v="DEYSI"/>
    <s v="F"/>
    <m/>
    <d v="2016-11-20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BUENOS AIRES"/>
    <n v="1225"/>
    <m/>
    <m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11"/>
    <x v="11"/>
    <x v="0"/>
    <n v="182733"/>
    <s v="MORENO ADRIANA LIDIA"/>
    <s v="27-28880426-0"/>
    <n v="42710"/>
    <n v="28880426"/>
    <s v="MORENO"/>
    <s v="ADRIANA LIDIA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GUARANI"/>
    <n v="240"/>
    <m/>
    <m/>
    <s v="TIGRE"/>
    <s v="Buenos Aires"/>
    <m/>
    <s v="U.O.San Isidro"/>
    <m/>
    <n v="1"/>
    <n v="1"/>
    <n v="693.16"/>
    <n v="138.62"/>
    <m/>
    <m/>
    <n v="554.54"/>
    <m/>
    <n v="13.86"/>
    <m/>
    <m/>
    <m/>
    <m/>
    <m/>
    <m/>
    <n v="6.93"/>
    <m/>
    <m/>
    <m/>
    <m/>
    <m/>
    <m/>
    <n v="13.86"/>
    <m/>
    <m/>
    <m/>
    <m/>
    <m/>
    <m/>
    <m/>
    <n v="6.93"/>
    <n v="300"/>
    <n v="341.58"/>
  </r>
  <r>
    <n v="11"/>
    <x v="11"/>
    <x v="0"/>
    <n v="170990"/>
    <s v="MORENO ALAN AGUSTIN"/>
    <s v="20-38998864-3"/>
    <n v="42710"/>
    <n v="38998864"/>
    <s v="MORENO"/>
    <s v="ALAN AGUSTIN"/>
    <s v="M"/>
    <m/>
    <d v="2016-11-20T00:00:00"/>
    <m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s v="C1070AAE"/>
    <s v="SOLIS"/>
    <n v="265"/>
    <m/>
    <m/>
    <s v="CAPITAL FEDERAL"/>
    <s v="Capital Federal"/>
    <m/>
    <s v="U.O.Centro"/>
    <m/>
    <n v="1"/>
    <n v="1"/>
    <n v="1057.4000000000001"/>
    <n v="211.47"/>
    <m/>
    <m/>
    <n v="845.93"/>
    <m/>
    <n v="21.15"/>
    <m/>
    <m/>
    <m/>
    <m/>
    <m/>
    <m/>
    <n v="10.57"/>
    <m/>
    <m/>
    <m/>
    <m/>
    <m/>
    <m/>
    <n v="21.15"/>
    <m/>
    <m/>
    <m/>
    <m/>
    <m/>
    <m/>
    <m/>
    <n v="10.57"/>
    <n v="300"/>
    <n v="363.44"/>
  </r>
  <r>
    <n v="11"/>
    <x v="11"/>
    <x v="1"/>
    <n v="182977"/>
    <s v="MORENO CUAREZ OSWALDO WANDERLINDER"/>
    <s v="20-62777461-4"/>
    <n v="42703"/>
    <n v="62777461"/>
    <s v="MORENO CUAREZ"/>
    <s v="OSWALDO WANDERLINDER"/>
    <s v="M"/>
    <m/>
    <d v="2016-11-15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USPALLATA"/>
    <n v="764"/>
    <n v="1"/>
    <m/>
    <s v="CAPITAL FEDERAL"/>
    <s v="Capital Federal"/>
    <m/>
    <s v="U.O.Centro"/>
    <m/>
    <n v="1"/>
    <n v="1"/>
    <n v="1803.61"/>
    <n v="360.73"/>
    <m/>
    <m/>
    <n v="1442.88"/>
    <m/>
    <n v="36.07"/>
    <m/>
    <m/>
    <m/>
    <m/>
    <m/>
    <m/>
    <n v="18.04"/>
    <n v="18.036100000000001"/>
    <m/>
    <m/>
    <m/>
    <m/>
    <m/>
    <n v="36.07"/>
    <m/>
    <m/>
    <m/>
    <m/>
    <m/>
    <m/>
    <m/>
    <n v="18.04"/>
    <n v="300"/>
    <n v="408.22"/>
  </r>
  <r>
    <n v="11"/>
    <x v="11"/>
    <x v="0"/>
    <n v="171266"/>
    <s v="MUJICA CLAUDIO"/>
    <s v="23-35353560-9"/>
    <n v="42710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MONTEVERDE"/>
    <n v="1225"/>
    <m/>
    <m/>
    <s v="CAPITAL FEDERAL"/>
    <s v="Buenos Aires"/>
    <m/>
    <s v="U.O.Centro"/>
    <m/>
    <n v="2"/>
    <n v="1"/>
    <n v="9458.11"/>
    <n v="1891.64"/>
    <m/>
    <m/>
    <n v="7566.47"/>
    <m/>
    <n v="189.16"/>
    <m/>
    <m/>
    <m/>
    <m/>
    <m/>
    <m/>
    <n v="94.58"/>
    <m/>
    <m/>
    <m/>
    <m/>
    <m/>
    <m/>
    <n v="189.16"/>
    <m/>
    <m/>
    <m/>
    <m/>
    <m/>
    <m/>
    <m/>
    <n v="94.58"/>
    <n v="300"/>
    <n v="867.48"/>
  </r>
  <r>
    <n v="11"/>
    <x v="11"/>
    <x v="0"/>
    <n v="169906"/>
    <s v="MULLER MADAI INES"/>
    <s v="27-33246587-8"/>
    <n v="42710"/>
    <n v="33246587"/>
    <s v="MULLER"/>
    <s v="MADAI INES"/>
    <s v="F"/>
    <m/>
    <d v="2016-09-0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ORIBE"/>
    <n v="1225"/>
    <m/>
    <m/>
    <s v="CAPITAL FEDERAL"/>
    <s v="Buenos Aires"/>
    <m/>
    <s v="U.O.Centro"/>
    <m/>
    <n v="4"/>
    <n v="1"/>
    <n v="5611.81"/>
    <n v="1122.3499999999999"/>
    <m/>
    <m/>
    <n v="4489.46"/>
    <m/>
    <n v="112.23"/>
    <m/>
    <m/>
    <m/>
    <m/>
    <m/>
    <m/>
    <n v="56.11"/>
    <m/>
    <m/>
    <m/>
    <m/>
    <m/>
    <m/>
    <n v="112.23"/>
    <m/>
    <m/>
    <m/>
    <m/>
    <m/>
    <m/>
    <m/>
    <n v="56.11"/>
    <n v="300"/>
    <n v="636.67999999999995"/>
  </r>
  <r>
    <n v="11"/>
    <x v="11"/>
    <x v="1"/>
    <n v="152586"/>
    <s v="MUSTAFA SILVIO ROBERTO"/>
    <s v="23-31539279-9"/>
    <n v="42710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s v="C1009ABK"/>
    <s v="ANCASTE"/>
    <n v="507"/>
    <m/>
    <m/>
    <s v="CAPITAL FEDERAL"/>
    <s v="Capital Federal"/>
    <m/>
    <s v="U.O.Centro Paga Inplant"/>
    <m/>
    <n v="2"/>
    <n v="1"/>
    <n v="9619.5"/>
    <n v="2177.9699999999998"/>
    <m/>
    <m/>
    <n v="7441.53"/>
    <n v="240.49"/>
    <m/>
    <m/>
    <m/>
    <m/>
    <m/>
    <m/>
    <m/>
    <n v="96.2"/>
    <n v="96.195000000000007"/>
    <m/>
    <m/>
    <m/>
    <m/>
    <m/>
    <n v="192.39"/>
    <m/>
    <m/>
    <m/>
    <m/>
    <m/>
    <m/>
    <m/>
    <n v="96.2"/>
    <n v="300"/>
    <n v="925.28"/>
  </r>
  <r>
    <n v="11"/>
    <x v="11"/>
    <x v="0"/>
    <n v="182741"/>
    <s v="NAVARRO ELISEO EMMANUEL"/>
    <s v="20-38433618-4"/>
    <n v="42710"/>
    <n v="38433618"/>
    <s v="NAVARRO"/>
    <s v="ELISEO EMMANUEL"/>
    <s v="M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CALLAO"/>
    <n v="240"/>
    <m/>
    <m/>
    <s v="TIGRE"/>
    <s v="Buenos Aires"/>
    <m/>
    <s v="U.O.San Isidro"/>
    <m/>
    <n v="1"/>
    <n v="1"/>
    <n v="9378"/>
    <n v="1875.6"/>
    <m/>
    <m/>
    <n v="7502.4"/>
    <m/>
    <n v="187.56"/>
    <m/>
    <m/>
    <m/>
    <m/>
    <m/>
    <m/>
    <n v="93.78"/>
    <m/>
    <m/>
    <m/>
    <m/>
    <m/>
    <m/>
    <n v="187.56"/>
    <m/>
    <m/>
    <m/>
    <m/>
    <m/>
    <m/>
    <m/>
    <n v="93.78"/>
    <n v="300"/>
    <n v="862.68"/>
  </r>
  <r>
    <n v="11"/>
    <x v="11"/>
    <x v="0"/>
    <n v="183926"/>
    <s v="NIETO MONICA GRACIELA"/>
    <s v="23-22687517-4"/>
    <n v="42710"/>
    <n v="22687517"/>
    <s v="NIETO"/>
    <s v="MONICA GRACIELA"/>
    <s v="F"/>
    <m/>
    <d v="2016-11-1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ELAUSTEGUI"/>
    <n v="1225"/>
    <s v="PB"/>
    <n v="2"/>
    <s v="CAPITAL FEDERAL"/>
    <s v="Buenos Aires"/>
    <m/>
    <s v="U.O.Centro"/>
    <m/>
    <n v="1"/>
    <n v="1"/>
    <n v="2701.26"/>
    <n v="540.26"/>
    <m/>
    <m/>
    <n v="2161"/>
    <m/>
    <n v="54.03"/>
    <m/>
    <m/>
    <m/>
    <m/>
    <m/>
    <m/>
    <n v="27.01"/>
    <m/>
    <m/>
    <m/>
    <m/>
    <m/>
    <m/>
    <n v="54.03"/>
    <m/>
    <m/>
    <m/>
    <m/>
    <m/>
    <m/>
    <m/>
    <n v="27.01"/>
    <n v="300"/>
    <n v="462.08"/>
  </r>
  <r>
    <n v="11"/>
    <x v="11"/>
    <x v="0"/>
    <n v="173661"/>
    <s v="OCANTO CHRISTIAN NAHUEL"/>
    <s v="20-36894544-8"/>
    <n v="42710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ULIAN AGUIRRE"/>
    <n v="1225"/>
    <m/>
    <m/>
    <s v="CAPITAL FEDERAL"/>
    <s v="Buenos Aires"/>
    <m/>
    <s v="U.O.Centro"/>
    <m/>
    <n v="2"/>
    <n v="1"/>
    <n v="6548.43"/>
    <n v="1309.67"/>
    <m/>
    <m/>
    <n v="5238.76"/>
    <m/>
    <n v="130.97"/>
    <m/>
    <m/>
    <m/>
    <m/>
    <m/>
    <m/>
    <n v="65.48"/>
    <m/>
    <m/>
    <m/>
    <m/>
    <m/>
    <m/>
    <n v="130.97"/>
    <m/>
    <m/>
    <m/>
    <m/>
    <m/>
    <m/>
    <m/>
    <n v="65.48"/>
    <n v="300"/>
    <n v="692.9"/>
  </r>
  <r>
    <n v="11"/>
    <x v="11"/>
    <x v="0"/>
    <n v="162167"/>
    <s v="OCANTOS MARIA FERNANDA"/>
    <s v="20-26587101-2"/>
    <n v="42710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LVEAR"/>
    <n v="1225"/>
    <m/>
    <m/>
    <s v="CAPITAL FEDERAL"/>
    <s v="Buenos Aires"/>
    <m/>
    <s v="U.O.San Justo"/>
    <m/>
    <n v="2"/>
    <n v="1"/>
    <n v="13409.55"/>
    <n v="2681.91"/>
    <m/>
    <m/>
    <n v="10727.64"/>
    <m/>
    <n v="268.2"/>
    <m/>
    <m/>
    <m/>
    <m/>
    <m/>
    <m/>
    <n v="134.1"/>
    <m/>
    <m/>
    <m/>
    <m/>
    <m/>
    <m/>
    <n v="268.2"/>
    <m/>
    <m/>
    <m/>
    <m/>
    <m/>
    <m/>
    <m/>
    <n v="134.1"/>
    <n v="300"/>
    <n v="1104.5999999999999"/>
  </r>
  <r>
    <n v="11"/>
    <x v="11"/>
    <x v="0"/>
    <n v="156371"/>
    <s v="OJEDA HECTOR ALBERTO"/>
    <s v="20-27373033-9"/>
    <n v="42710"/>
    <n v="27373033"/>
    <s v="OJEDA"/>
    <s v="HECTOR ALBERTO"/>
    <s v="M"/>
    <m/>
    <d v="2016-09-23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FINLANDIA"/>
    <n v="1232"/>
    <m/>
    <m/>
    <s v="CAPITAL FEDERAL"/>
    <s v="Buenos Aires"/>
    <m/>
    <s v="U.O.Centro"/>
    <s v="Cocina"/>
    <n v="1"/>
    <n v="1"/>
    <n v="11669.36"/>
    <n v="2333.87"/>
    <m/>
    <m/>
    <n v="9335.49"/>
    <m/>
    <n v="233.39"/>
    <m/>
    <m/>
    <m/>
    <m/>
    <m/>
    <m/>
    <n v="116.69"/>
    <m/>
    <m/>
    <m/>
    <m/>
    <m/>
    <m/>
    <n v="233.39"/>
    <m/>
    <m/>
    <m/>
    <m/>
    <m/>
    <m/>
    <m/>
    <n v="116.69"/>
    <n v="300"/>
    <n v="1000.16"/>
  </r>
  <r>
    <n v="11"/>
    <x v="11"/>
    <x v="0"/>
    <n v="171274"/>
    <s v="OJEDA LORENA SUSANA"/>
    <s v="27-34340810-8"/>
    <n v="42710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LTA"/>
    <n v="1225"/>
    <m/>
    <m/>
    <s v="CAPITAL FEDERAL"/>
    <s v="Buenos Aires"/>
    <m/>
    <s v="U.O.Centro"/>
    <m/>
    <n v="2"/>
    <n v="1"/>
    <n v="13144.03"/>
    <n v="2628.82"/>
    <m/>
    <m/>
    <n v="10515.21"/>
    <m/>
    <n v="262.89"/>
    <m/>
    <m/>
    <m/>
    <m/>
    <m/>
    <m/>
    <n v="131.44"/>
    <m/>
    <m/>
    <m/>
    <m/>
    <m/>
    <m/>
    <n v="262.89"/>
    <m/>
    <m/>
    <m/>
    <m/>
    <m/>
    <m/>
    <m/>
    <n v="131.44"/>
    <n v="300"/>
    <n v="1088.6600000000001"/>
  </r>
  <r>
    <n v="11"/>
    <x v="11"/>
    <x v="0"/>
    <n v="156032"/>
    <s v="OJEDA NOEMI VALERIA"/>
    <s v="27-33485754-4"/>
    <n v="42710"/>
    <n v="33485754"/>
    <s v="OJEDA"/>
    <s v="NOEMI VALERIA"/>
    <s v="F"/>
    <m/>
    <d v="2016-10-20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CILICIA"/>
    <n v="181"/>
    <m/>
    <m/>
    <s v="CAPITAL FEDERAL"/>
    <s v="Capital Federal"/>
    <m/>
    <s v="U.O.Centro"/>
    <m/>
    <n v="1"/>
    <n v="1"/>
    <n v="11110.92"/>
    <n v="2222.19"/>
    <m/>
    <m/>
    <n v="8888.73"/>
    <m/>
    <n v="222.22"/>
    <m/>
    <m/>
    <m/>
    <m/>
    <m/>
    <m/>
    <n v="111.11"/>
    <m/>
    <m/>
    <m/>
    <m/>
    <m/>
    <m/>
    <n v="222.22"/>
    <m/>
    <m/>
    <m/>
    <m/>
    <m/>
    <m/>
    <m/>
    <n v="111.11"/>
    <n v="300"/>
    <n v="966.66"/>
  </r>
  <r>
    <n v="11"/>
    <x v="11"/>
    <x v="0"/>
    <n v="182727"/>
    <s v="OLIVA JEREMIAS EZEQUIEL"/>
    <s v="20-38393106-2"/>
    <n v="42710"/>
    <n v="38393106"/>
    <s v="OLIVA"/>
    <s v="JEREMIAS EZEQUIEL"/>
    <s v="M"/>
    <m/>
    <d v="2016-11-09T00:00:00"/>
    <m/>
    <m/>
    <s v="GASTRONOMICOS-Hoteles 4 y 5 Estrellas - 362/2003"/>
    <s v="Auxiliar"/>
    <x v="17"/>
    <s v="Unidad Base-GL"/>
    <s v="San Isidro"/>
    <s v="Lavadores"/>
    <n v="108803"/>
    <s v="O.S.P.Gastronomico"/>
    <s v="Buenos Aires - Gran Buenos Aires"/>
    <m/>
    <n v="1648"/>
    <s v="GODOY CRUZ"/>
    <n v="240"/>
    <m/>
    <m/>
    <s v="TIGRE"/>
    <s v="Buenos Aires"/>
    <m/>
    <s v="U.O.San Isidro"/>
    <m/>
    <n v="1"/>
    <n v="1"/>
    <n v="6554.18"/>
    <n v="1310.84"/>
    <m/>
    <m/>
    <n v="5243.34"/>
    <m/>
    <n v="131.08000000000001"/>
    <m/>
    <m/>
    <m/>
    <m/>
    <m/>
    <m/>
    <n v="65.540000000000006"/>
    <m/>
    <m/>
    <m/>
    <m/>
    <m/>
    <m/>
    <n v="131.08000000000001"/>
    <m/>
    <m/>
    <m/>
    <m/>
    <m/>
    <m/>
    <m/>
    <n v="65.540000000000006"/>
    <n v="300"/>
    <n v="693.24"/>
  </r>
  <r>
    <n v="11"/>
    <x v="11"/>
    <x v="0"/>
    <n v="138789"/>
    <s v="OLIVA LILIANA ALEJANDRA"/>
    <s v="27-25730976-8"/>
    <n v="42710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1"/>
    <n v="1"/>
    <n v="18858.97"/>
    <n v="3771.8"/>
    <m/>
    <m/>
    <n v="15087.17"/>
    <m/>
    <n v="377.18"/>
    <m/>
    <m/>
    <m/>
    <m/>
    <m/>
    <m/>
    <n v="188.59"/>
    <m/>
    <m/>
    <m/>
    <m/>
    <m/>
    <m/>
    <n v="377.18"/>
    <m/>
    <m/>
    <m/>
    <m/>
    <m/>
    <m/>
    <m/>
    <n v="188.59"/>
    <n v="300"/>
    <n v="1431.54"/>
  </r>
  <r>
    <n v="11"/>
    <x v="11"/>
    <x v="1"/>
    <n v="182288"/>
    <s v="OLIVERA PATRICIA SOLEDAD"/>
    <s v="27-39222363-6"/>
    <n v="42710"/>
    <n v="39222363"/>
    <s v="OLIVERA"/>
    <s v="PATRICIA SOLEDAD"/>
    <s v="F"/>
    <m/>
    <d v="2016-11-03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TUCUMAN"/>
    <n v="507"/>
    <m/>
    <m/>
    <s v="CAPITAL FEDERAL"/>
    <s v="Capital Federal"/>
    <m/>
    <s v="U.O.Centro"/>
    <m/>
    <n v="1"/>
    <n v="1"/>
    <n v="5987.4"/>
    <n v="1197.47"/>
    <m/>
    <m/>
    <n v="4789.93"/>
    <m/>
    <n v="119.75"/>
    <m/>
    <m/>
    <m/>
    <m/>
    <m/>
    <m/>
    <n v="59.87"/>
    <n v="59.873999999999995"/>
    <m/>
    <m/>
    <m/>
    <m/>
    <m/>
    <n v="119.75"/>
    <m/>
    <m/>
    <m/>
    <m/>
    <m/>
    <m/>
    <m/>
    <n v="59.87"/>
    <n v="300"/>
    <n v="659.24"/>
  </r>
  <r>
    <n v="11"/>
    <x v="11"/>
    <x v="0"/>
    <n v="135237"/>
    <s v="ORELLANO JUANA MARIA"/>
    <s v="27-27696157-3"/>
    <n v="42710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20573.41"/>
    <n v="4217.55"/>
    <m/>
    <m/>
    <n v="16355.86"/>
    <n v="514.34"/>
    <m/>
    <m/>
    <m/>
    <m/>
    <m/>
    <m/>
    <m/>
    <n v="205.73"/>
    <m/>
    <m/>
    <m/>
    <m/>
    <m/>
    <m/>
    <n v="411.47"/>
    <m/>
    <m/>
    <m/>
    <m/>
    <m/>
    <m/>
    <m/>
    <n v="205.73"/>
    <n v="300"/>
    <n v="1637.27"/>
  </r>
  <r>
    <n v="11"/>
    <x v="11"/>
    <x v="0"/>
    <n v="172199"/>
    <s v="ORTIZ ANDRES NICOLAS"/>
    <s v="20-32769991-2"/>
    <n v="42710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LAVEL"/>
    <n v="1225"/>
    <m/>
    <m/>
    <s v="CAPITAL FEDERAL"/>
    <s v="Buenos Aires"/>
    <m/>
    <s v="U.O.Centro"/>
    <m/>
    <n v="2"/>
    <n v="1"/>
    <n v="19701.27"/>
    <n v="3940.25"/>
    <m/>
    <m/>
    <n v="15761.02"/>
    <m/>
    <n v="394.02"/>
    <m/>
    <m/>
    <m/>
    <m/>
    <m/>
    <m/>
    <n v="197.01"/>
    <m/>
    <m/>
    <m/>
    <m/>
    <m/>
    <m/>
    <n v="394.02"/>
    <m/>
    <m/>
    <m/>
    <m/>
    <m/>
    <m/>
    <m/>
    <n v="197.01"/>
    <n v="300"/>
    <n v="1482.06"/>
  </r>
  <r>
    <n v="11"/>
    <x v="11"/>
    <x v="1"/>
    <n v="182309"/>
    <s v="ORTIZ CARLA MELINA"/>
    <s v="27-32823218-4"/>
    <n v="42703"/>
    <n v="32823218"/>
    <s v="ORTIZ"/>
    <s v="CARLA MELINA"/>
    <s v="F"/>
    <m/>
    <d v="2016-11-04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LLE 123"/>
    <n v="764"/>
    <m/>
    <m/>
    <s v="CAPITAL FEDERAL"/>
    <s v="Capital Federal"/>
    <m/>
    <s v="U.O.Centro"/>
    <m/>
    <n v="1"/>
    <n v="1"/>
    <n v="13194.76"/>
    <n v="2638.95"/>
    <m/>
    <m/>
    <n v="10555.81"/>
    <m/>
    <n v="263.89999999999998"/>
    <m/>
    <m/>
    <m/>
    <m/>
    <m/>
    <m/>
    <n v="131.94999999999999"/>
    <n v="131.94759999999999"/>
    <m/>
    <m/>
    <m/>
    <m/>
    <m/>
    <n v="263.89999999999998"/>
    <m/>
    <m/>
    <m/>
    <m/>
    <m/>
    <m/>
    <m/>
    <n v="131.94999999999999"/>
    <n v="300"/>
    <n v="1091.7"/>
  </r>
  <r>
    <n v="11"/>
    <x v="11"/>
    <x v="1"/>
    <n v="169840"/>
    <s v="ORTIZ CARLOS ERNESTO"/>
    <s v="20-35113842-5"/>
    <n v="42710"/>
    <n v="35113842"/>
    <s v="ORTIZ"/>
    <s v="CARLOS ERNESTO"/>
    <s v="M"/>
    <m/>
    <d v="2016-03-13T00:00:00"/>
    <m/>
    <m/>
    <s v="GASTRONOMICOS-Hoteles 4 y 5 Estrellas - 362/2003"/>
    <s v="Categoria 1"/>
    <x v="12"/>
    <s v="Unidad Principal"/>
    <s v="Centro"/>
    <s v="Tareas Generales"/>
    <n v="100908"/>
    <s v="OS  DE EMPLEADOS DE AGENCIAS DE INFORMES (O.S.E.D.I.)"/>
    <s v="Capital Federal"/>
    <m/>
    <n v="1440"/>
    <s v="EMILIO BERISSO"/>
    <n v="1584"/>
    <m/>
    <m/>
    <s v="CAPITAL FEDERAL"/>
    <s v="Capital Federal"/>
    <m/>
    <s v="U.O.Centro"/>
    <s v="Alvear Palace"/>
    <n v="1"/>
    <n v="1"/>
    <n v="2670.75"/>
    <n v="534.15"/>
    <m/>
    <m/>
    <n v="2136.6"/>
    <m/>
    <n v="53.42"/>
    <m/>
    <m/>
    <m/>
    <m/>
    <m/>
    <m/>
    <n v="26.71"/>
    <n v="26.7075"/>
    <m/>
    <m/>
    <m/>
    <m/>
    <m/>
    <n v="53.42"/>
    <m/>
    <m/>
    <m/>
    <m/>
    <m/>
    <m/>
    <m/>
    <n v="26.71"/>
    <n v="300"/>
    <n v="460.26"/>
  </r>
  <r>
    <n v="11"/>
    <x v="11"/>
    <x v="0"/>
    <n v="157576"/>
    <s v="OVEJERO INES CRISTINA"/>
    <s v="27-22982574-2"/>
    <n v="42710"/>
    <n v="22982574"/>
    <s v="OVEJERO"/>
    <s v="INES CRISTINA"/>
    <s v="F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A. GIRARDOT"/>
    <n v="1225"/>
    <m/>
    <m/>
    <s v="CAPITAL FEDERAL"/>
    <s v="Buenos Aires"/>
    <m/>
    <s v="U.O.Centro"/>
    <m/>
    <n v="1"/>
    <n v="1"/>
    <n v="458.16"/>
    <n v="91.62"/>
    <m/>
    <m/>
    <n v="366.54"/>
    <m/>
    <n v="9.16"/>
    <m/>
    <m/>
    <m/>
    <m/>
    <m/>
    <m/>
    <n v="4.58"/>
    <m/>
    <m/>
    <m/>
    <m/>
    <m/>
    <m/>
    <n v="9.16"/>
    <m/>
    <m/>
    <m/>
    <m/>
    <m/>
    <m/>
    <m/>
    <n v="4.58"/>
    <n v="300"/>
    <n v="327.48"/>
  </r>
  <r>
    <n v="11"/>
    <x v="11"/>
    <x v="1"/>
    <n v="179319"/>
    <s v="PACHECO RODRIGUEZ MAX EZEQUIEL"/>
    <s v="20-94872815-0"/>
    <n v="42703"/>
    <n v="94872815"/>
    <s v="PACHECO RODRIGUEZ"/>
    <s v="MAX EZEQUIEL"/>
    <s v="F"/>
    <m/>
    <d v="2016-09-27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FRAGATA SARMIENTO"/>
    <n v="764"/>
    <n v="4"/>
    <s v="A"/>
    <s v="CAPITAL FEDERAL"/>
    <s v="Capital Federal"/>
    <m/>
    <s v="U.O.Centro"/>
    <m/>
    <n v="1"/>
    <n v="1"/>
    <n v="10683.04"/>
    <n v="2136.6"/>
    <m/>
    <m/>
    <n v="8546.44"/>
    <m/>
    <n v="213.66"/>
    <m/>
    <m/>
    <m/>
    <m/>
    <m/>
    <m/>
    <n v="106.83"/>
    <n v="106.83040000000001"/>
    <m/>
    <m/>
    <m/>
    <m/>
    <m/>
    <n v="213.66"/>
    <m/>
    <m/>
    <m/>
    <m/>
    <m/>
    <m/>
    <m/>
    <n v="106.83"/>
    <n v="300"/>
    <n v="940.98"/>
  </r>
  <r>
    <n v="11"/>
    <x v="11"/>
    <x v="0"/>
    <n v="170439"/>
    <s v="PAEZ DAIANA BEATRIZ"/>
    <s v="27-38350463-0"/>
    <n v="42710"/>
    <n v="38350463"/>
    <s v="PAEZ"/>
    <s v="DAIANA BEATRIZ"/>
    <s v="F"/>
    <m/>
    <d v="2016-03-18T00:00:00"/>
    <d v="2016-11-13T00:00:00"/>
    <m/>
    <s v="GASTRONOMICOS-Hoteles 4 y 5 Estrellas - 362/2003"/>
    <s v="Categoría 4"/>
    <x v="16"/>
    <s v="Back Office"/>
    <s v="Back Office"/>
    <s v="Mucama"/>
    <n v="108803"/>
    <s v="O.S.P.Gastronomico"/>
    <s v="Buenos Aires - Almte. Brown"/>
    <m/>
    <s v="C1019ABK"/>
    <s v="CARDENAS"/>
    <n v="513"/>
    <m/>
    <m/>
    <s v="CAPITAL FEDERAL"/>
    <s v="Buenos Aires"/>
    <m/>
    <m/>
    <m/>
    <n v="4"/>
    <n v="1"/>
    <n v="7178.37"/>
    <n v="1935.67"/>
    <m/>
    <n v="33425.449999999997"/>
    <n v="38668.15"/>
    <m/>
    <n v="143.57"/>
    <m/>
    <m/>
    <m/>
    <m/>
    <m/>
    <m/>
    <n v="71.78"/>
    <m/>
    <m/>
    <m/>
    <m/>
    <n v="500"/>
    <m/>
    <n v="143.57"/>
    <m/>
    <m/>
    <m/>
    <m/>
    <m/>
    <m/>
    <m/>
    <n v="71.78"/>
    <n v="300"/>
    <n v="1230.7"/>
  </r>
  <r>
    <n v="11"/>
    <x v="11"/>
    <x v="0"/>
    <n v="173398"/>
    <s v="PAIS DANIEL ESTEBAN ALEJANDRO"/>
    <s v="20-36894777-7"/>
    <n v="42710"/>
    <n v="36894777"/>
    <s v="PAIS"/>
    <s v="DANIEL ESTEBAN ALEJANDRO"/>
    <s v="M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BOEDO"/>
    <n v="1225"/>
    <m/>
    <m/>
    <s v="CAPITAL FEDERAL"/>
    <s v="Buenos Aires"/>
    <m/>
    <s v="U.O.Centro"/>
    <m/>
    <n v="4"/>
    <n v="1"/>
    <n v="5986.01"/>
    <n v="1153.06"/>
    <m/>
    <m/>
    <n v="4832.95"/>
    <m/>
    <n v="119.72"/>
    <m/>
    <m/>
    <m/>
    <m/>
    <m/>
    <m/>
    <n v="15.71"/>
    <m/>
    <m/>
    <m/>
    <m/>
    <m/>
    <m/>
    <n v="119.72"/>
    <m/>
    <m/>
    <m/>
    <m/>
    <m/>
    <m/>
    <m/>
    <n v="15.71"/>
    <n v="300"/>
    <n v="570.86"/>
  </r>
  <r>
    <n v="11"/>
    <x v="11"/>
    <x v="0"/>
    <n v="177492"/>
    <s v="PALOMINO LEONARDO"/>
    <s v="20-30666816-2"/>
    <n v="42703"/>
    <n v="30666816"/>
    <s v="PALOMINO"/>
    <s v="LEONARDO"/>
    <s v="M"/>
    <m/>
    <d v="2016-08-23T00:00:00"/>
    <d v="2016-10-30T00:00:00"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TERRANOVA"/>
    <n v="764"/>
    <m/>
    <m/>
    <s v="CAPITAL FEDERAL"/>
    <s v="Capital Federal"/>
    <m/>
    <s v="U.O.Centro"/>
    <m/>
    <n v="1"/>
    <n v="1"/>
    <n v="2515.56"/>
    <n v="503.12"/>
    <m/>
    <m/>
    <n v="2012.44"/>
    <m/>
    <n v="50.31"/>
    <m/>
    <m/>
    <m/>
    <m/>
    <m/>
    <m/>
    <n v="25.16"/>
    <m/>
    <m/>
    <m/>
    <m/>
    <m/>
    <m/>
    <n v="50.31"/>
    <m/>
    <m/>
    <m/>
    <m/>
    <m/>
    <m/>
    <m/>
    <n v="25.16"/>
    <n v="300"/>
    <n v="450.94"/>
  </r>
  <r>
    <n v="11"/>
    <x v="11"/>
    <x v="1"/>
    <n v="164251"/>
    <s v="PAREDES GAMARRA MAYELY"/>
    <s v="27-95085705-1"/>
    <n v="42710"/>
    <n v="95085705"/>
    <s v="PAREDES GAMARRA"/>
    <s v="MAYELY"/>
    <s v="F"/>
    <m/>
    <d v="2016-11-10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SALCEDO"/>
    <n v="1584"/>
    <m/>
    <n v="1"/>
    <s v="CAPITAL FEDERAL"/>
    <s v="Capital Federal"/>
    <m/>
    <s v="U.O.Centro"/>
    <s v="Alvear Palace"/>
    <n v="2"/>
    <n v="1"/>
    <n v="4148.6400000000003"/>
    <n v="829.72"/>
    <m/>
    <m/>
    <n v="3318.92"/>
    <m/>
    <n v="82.97"/>
    <m/>
    <m/>
    <m/>
    <m/>
    <m/>
    <m/>
    <n v="41.48"/>
    <n v="41.486400000000003"/>
    <m/>
    <m/>
    <m/>
    <m/>
    <m/>
    <n v="82.97"/>
    <m/>
    <m/>
    <m/>
    <m/>
    <m/>
    <m/>
    <m/>
    <n v="41.48"/>
    <n v="300"/>
    <n v="548.9"/>
  </r>
  <r>
    <n v="11"/>
    <x v="11"/>
    <x v="0"/>
    <n v="161159"/>
    <s v="PARISI GABRIEL DARIO"/>
    <s v="20-34384166-4"/>
    <n v="42710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TABORDA"/>
    <n v="1225"/>
    <m/>
    <m/>
    <s v="CAPITAL FEDERAL"/>
    <s v="Buenos Aires"/>
    <m/>
    <s v="U.O.Centro"/>
    <m/>
    <n v="2"/>
    <n v="1"/>
    <n v="10676.54"/>
    <n v="2135.31"/>
    <m/>
    <m/>
    <n v="8541.23"/>
    <m/>
    <n v="213.53"/>
    <m/>
    <m/>
    <m/>
    <m/>
    <m/>
    <m/>
    <n v="106.76"/>
    <m/>
    <m/>
    <m/>
    <m/>
    <m/>
    <m/>
    <n v="213.53"/>
    <m/>
    <m/>
    <m/>
    <m/>
    <m/>
    <m/>
    <m/>
    <n v="106.76"/>
    <n v="300"/>
    <n v="940.58"/>
  </r>
  <r>
    <n v="11"/>
    <x v="11"/>
    <x v="0"/>
    <n v="178269"/>
    <s v="PAZ JORGE FABIAN"/>
    <s v="20-21775564-7"/>
    <n v="42710"/>
    <n v="21775564"/>
    <s v="PAZ"/>
    <s v="JORGE FABIAN"/>
    <s v="M"/>
    <m/>
    <d v="2016-09-12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J.L SUAREZ"/>
    <n v="1225"/>
    <n v="1"/>
    <s v="A"/>
    <s v="CAPITAL FEDERAL"/>
    <s v="Buenos Aires"/>
    <m/>
    <s v="U.O.Centro"/>
    <m/>
    <n v="3"/>
    <n v="1"/>
    <n v="11526.93"/>
    <n v="2305.38"/>
    <m/>
    <m/>
    <n v="9221.5499999999993"/>
    <m/>
    <n v="230.55"/>
    <m/>
    <m/>
    <m/>
    <m/>
    <m/>
    <m/>
    <n v="115.27"/>
    <m/>
    <m/>
    <m/>
    <m/>
    <m/>
    <m/>
    <n v="230.55"/>
    <m/>
    <m/>
    <m/>
    <m/>
    <m/>
    <m/>
    <m/>
    <n v="115.27"/>
    <n v="300"/>
    <n v="991.64"/>
  </r>
  <r>
    <n v="11"/>
    <x v="11"/>
    <x v="0"/>
    <n v="164321"/>
    <s v="PAZ WALTER RICARDO"/>
    <s v="20-28305441-2"/>
    <n v="42710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2"/>
    <n v="1"/>
    <n v="15118.83"/>
    <n v="3779.65"/>
    <m/>
    <m/>
    <n v="11339.18"/>
    <m/>
    <n v="302.38"/>
    <m/>
    <m/>
    <m/>
    <m/>
    <m/>
    <m/>
    <n v="151.19"/>
    <m/>
    <m/>
    <m/>
    <m/>
    <m/>
    <m/>
    <n v="302.38"/>
    <m/>
    <m/>
    <m/>
    <m/>
    <m/>
    <m/>
    <m/>
    <n v="151.19"/>
    <n v="300"/>
    <n v="1207.1400000000001"/>
  </r>
  <r>
    <n v="11"/>
    <x v="11"/>
    <x v="0"/>
    <n v="173370"/>
    <s v="PEDICINO ROMACHUK YESICA NOEMI"/>
    <s v="27-30911440-5"/>
    <n v="42710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1ºDE MAYO"/>
    <n v="1225"/>
    <m/>
    <m/>
    <s v="CAPITAL FEDERAL"/>
    <s v="Buenos Aires"/>
    <m/>
    <s v="U.O.Centro"/>
    <m/>
    <n v="2"/>
    <n v="1"/>
    <n v="10014.48"/>
    <n v="2002.92"/>
    <m/>
    <m/>
    <n v="8011.56"/>
    <m/>
    <n v="200.29"/>
    <m/>
    <m/>
    <m/>
    <m/>
    <m/>
    <m/>
    <n v="100.15"/>
    <m/>
    <m/>
    <m/>
    <m/>
    <m/>
    <m/>
    <n v="200.29"/>
    <m/>
    <m/>
    <m/>
    <m/>
    <m/>
    <m/>
    <m/>
    <n v="100.15"/>
    <n v="300"/>
    <n v="900.88"/>
  </r>
  <r>
    <n v="11"/>
    <x v="11"/>
    <x v="0"/>
    <n v="179835"/>
    <s v="PEÑA PETROLI NADIA BELEN"/>
    <s v="27-37124429-3"/>
    <n v="42710"/>
    <n v="37124429"/>
    <s v="PEÑA PETROLI"/>
    <s v="NADIA BELEN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PABLO GIORELLO"/>
    <n v="1225"/>
    <m/>
    <m/>
    <s v="CAPITAL FEDERAL"/>
    <s v="Buenos Aires"/>
    <m/>
    <s v="U.O.Centro"/>
    <m/>
    <n v="2"/>
    <n v="1"/>
    <n v="12518.13"/>
    <n v="2503.62"/>
    <m/>
    <m/>
    <n v="10014.51"/>
    <m/>
    <n v="250.36"/>
    <m/>
    <m/>
    <m/>
    <m/>
    <m/>
    <m/>
    <n v="125.18"/>
    <m/>
    <m/>
    <m/>
    <m/>
    <m/>
    <m/>
    <n v="250.36"/>
    <m/>
    <m/>
    <m/>
    <m/>
    <m/>
    <m/>
    <m/>
    <n v="125.18"/>
    <n v="300"/>
    <n v="1051.08"/>
  </r>
  <r>
    <n v="11"/>
    <x v="11"/>
    <x v="0"/>
    <n v="164243"/>
    <s v="PEÑALVA LUCIANA"/>
    <s v="23-32439144-4"/>
    <n v="42695"/>
    <n v="32439144"/>
    <s v="PEÑALVA"/>
    <s v="LUCIANA"/>
    <s v="F"/>
    <m/>
    <d v="2015-12-17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LSINA"/>
    <n v="1005"/>
    <m/>
    <m/>
    <s v="CAPITAL FEDERAL"/>
    <s v="Capital Federal"/>
    <m/>
    <s v="U.O.Centro"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11"/>
    <x v="0"/>
    <n v="168239"/>
    <s v="PERALTA RICARDO FRANCISCO"/>
    <s v="20-35719331-2"/>
    <n v="42710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BOUCHARD"/>
    <n v="1225"/>
    <m/>
    <m/>
    <s v="CAPITAL FEDERAL"/>
    <s v="Buenos Aires"/>
    <m/>
    <s v="U.O.Centro"/>
    <m/>
    <n v="2"/>
    <n v="1"/>
    <n v="11127.19"/>
    <n v="2225.4499999999998"/>
    <m/>
    <m/>
    <n v="8901.74"/>
    <m/>
    <n v="222.54"/>
    <m/>
    <m/>
    <m/>
    <m/>
    <m/>
    <m/>
    <n v="111.27"/>
    <m/>
    <m/>
    <m/>
    <m/>
    <m/>
    <m/>
    <n v="222.54"/>
    <m/>
    <m/>
    <m/>
    <m/>
    <m/>
    <m/>
    <m/>
    <n v="111.27"/>
    <n v="300"/>
    <n v="967.62"/>
  </r>
  <r>
    <n v="11"/>
    <x v="11"/>
    <x v="0"/>
    <n v="155712"/>
    <s v="PERALTA DE KEMMETER PABLO ADRIAN"/>
    <s v="20-38404684-4"/>
    <n v="42710"/>
    <n v="38404684"/>
    <s v="PERALTA DE KEMMETER"/>
    <s v="PABLO ADRIAN"/>
    <s v="M"/>
    <m/>
    <d v="2016-08-16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BUENOS AIRES"/>
    <n v="1225"/>
    <m/>
    <m/>
    <s v="CAPITAL FEDERAL"/>
    <s v="Buenos Aires"/>
    <m/>
    <s v="U.O.Centro"/>
    <m/>
    <n v="2"/>
    <n v="1"/>
    <n v="9021.61"/>
    <n v="1804.33"/>
    <m/>
    <m/>
    <n v="7217.28"/>
    <m/>
    <n v="180.43"/>
    <m/>
    <m/>
    <m/>
    <m/>
    <m/>
    <m/>
    <n v="90.22"/>
    <m/>
    <m/>
    <m/>
    <m/>
    <m/>
    <m/>
    <n v="180.43"/>
    <m/>
    <m/>
    <m/>
    <m/>
    <m/>
    <m/>
    <m/>
    <n v="90.22"/>
    <n v="300"/>
    <n v="841.3"/>
  </r>
  <r>
    <n v="11"/>
    <x v="11"/>
    <x v="1"/>
    <n v="65369"/>
    <s v="PEREZ RUBEN HORACIO"/>
    <s v="20-28042935-0"/>
    <n v="42710"/>
    <n v="28042935"/>
    <s v="PEREZ"/>
    <s v="RUBEN HORACIO"/>
    <s v="M"/>
    <m/>
    <d v="2014-05-01T00:00:00"/>
    <m/>
    <d v="2011-04-14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MOZOS"/>
    <n v="1"/>
    <n v="1"/>
    <n v="4198.1499999999996"/>
    <n v="839.62"/>
    <m/>
    <m/>
    <n v="3358.53"/>
    <m/>
    <n v="83.96"/>
    <m/>
    <m/>
    <m/>
    <m/>
    <m/>
    <m/>
    <n v="41.98"/>
    <n v="41.981499999999997"/>
    <m/>
    <m/>
    <m/>
    <m/>
    <m/>
    <n v="83.96"/>
    <m/>
    <m/>
    <m/>
    <m/>
    <m/>
    <m/>
    <m/>
    <n v="41.98"/>
    <n v="300"/>
    <n v="551.88"/>
  </r>
  <r>
    <n v="11"/>
    <x v="11"/>
    <x v="0"/>
    <n v="173560"/>
    <s v="PEREZ VILLANI LUCIA"/>
    <s v="27-34755207-6"/>
    <n v="42710"/>
    <n v="34755207"/>
    <s v="PEREZ VILLANI"/>
    <s v="LUCI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ITRE"/>
    <n v="1225"/>
    <n v="21"/>
    <m/>
    <s v="CAPITAL FEDERAL"/>
    <s v="Buenos Aires"/>
    <m/>
    <s v="U.O.Centro"/>
    <m/>
    <n v="2"/>
    <n v="1"/>
    <n v="4581.68"/>
    <n v="916.36"/>
    <m/>
    <m/>
    <n v="3665.32"/>
    <m/>
    <n v="91.64"/>
    <m/>
    <m/>
    <m/>
    <m/>
    <m/>
    <m/>
    <n v="45.82"/>
    <m/>
    <m/>
    <m/>
    <m/>
    <m/>
    <m/>
    <n v="91.64"/>
    <m/>
    <m/>
    <m/>
    <m/>
    <m/>
    <m/>
    <m/>
    <n v="45.82"/>
    <n v="300"/>
    <n v="574.91999999999996"/>
  </r>
  <r>
    <n v="11"/>
    <x v="11"/>
    <x v="0"/>
    <n v="161870"/>
    <s v="PETRONE VICENTE"/>
    <s v="20-27146024-5"/>
    <n v="42710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MOL"/>
    <n v="1225"/>
    <m/>
    <m/>
    <s v="CAPITAL FEDERAL"/>
    <s v="Buenos Aires"/>
    <m/>
    <s v="U.O.Quilmes"/>
    <m/>
    <n v="2"/>
    <n v="1"/>
    <n v="13871.95"/>
    <n v="2774.39"/>
    <m/>
    <m/>
    <n v="11097.56"/>
    <m/>
    <n v="277.44"/>
    <m/>
    <m/>
    <m/>
    <m/>
    <m/>
    <m/>
    <n v="138.72"/>
    <m/>
    <m/>
    <m/>
    <m/>
    <m/>
    <m/>
    <n v="277.44"/>
    <m/>
    <m/>
    <m/>
    <m/>
    <m/>
    <m/>
    <m/>
    <n v="138.72"/>
    <n v="300"/>
    <n v="1132.32"/>
  </r>
  <r>
    <n v="11"/>
    <x v="11"/>
    <x v="0"/>
    <n v="173659"/>
    <s v="PIGNI EMANUEL"/>
    <s v="23-36874910-9"/>
    <n v="42710"/>
    <n v="36874910"/>
    <s v="PIGNI"/>
    <s v="EMANUEL"/>
    <s v="M"/>
    <m/>
    <d v="2016-08-09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ANZANA 2 EDIFICIO B 7"/>
    <n v="1225"/>
    <s v="PB"/>
    <s v="D"/>
    <s v="CAPITAL FEDERAL"/>
    <s v="Buenos Aires"/>
    <m/>
    <s v="U.O.Centro"/>
    <m/>
    <n v="2"/>
    <n v="1"/>
    <n v="5262.61"/>
    <n v="1052.53"/>
    <m/>
    <m/>
    <n v="4210.08"/>
    <m/>
    <n v="105.25"/>
    <m/>
    <m/>
    <m/>
    <m/>
    <m/>
    <m/>
    <n v="52.63"/>
    <m/>
    <m/>
    <m/>
    <m/>
    <m/>
    <m/>
    <n v="105.25"/>
    <m/>
    <m/>
    <m/>
    <m/>
    <m/>
    <m/>
    <m/>
    <n v="52.63"/>
    <n v="300"/>
    <n v="615.76"/>
  </r>
  <r>
    <n v="11"/>
    <x v="11"/>
    <x v="0"/>
    <n v="182530"/>
    <s v="PLANELLS JAVIER IGNACIO"/>
    <s v="20-27050500-8"/>
    <n v="42710"/>
    <n v="27050500"/>
    <s v="PLANELLS"/>
    <s v="JAVIER IGNACIO"/>
    <s v="M"/>
    <m/>
    <d v="2016-11-19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PASCO"/>
    <n v="1225"/>
    <n v="2"/>
    <s v="D"/>
    <s v="CAPITAL FEDERAL"/>
    <s v="Buenos Aires"/>
    <m/>
    <s v="U.O.Centro"/>
    <m/>
    <n v="3"/>
    <n v="1"/>
    <n v="1812.01"/>
    <n v="357.94"/>
    <m/>
    <m/>
    <n v="1454.07"/>
    <m/>
    <n v="36.24"/>
    <m/>
    <m/>
    <m/>
    <m/>
    <m/>
    <m/>
    <n v="13.66"/>
    <m/>
    <m/>
    <m/>
    <m/>
    <m/>
    <m/>
    <n v="36.24"/>
    <m/>
    <m/>
    <m/>
    <m/>
    <m/>
    <m/>
    <m/>
    <n v="13.66"/>
    <n v="300"/>
    <n v="399.8"/>
  </r>
  <r>
    <n v="11"/>
    <x v="11"/>
    <x v="1"/>
    <n v="62941"/>
    <s v="POGONZA ANDREA GISELLE"/>
    <s v="27-32522930-1"/>
    <n v="42710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2"/>
    <n v="1"/>
    <n v="12694.95"/>
    <n v="2602.44"/>
    <m/>
    <m/>
    <n v="10092.51"/>
    <n v="317.38"/>
    <m/>
    <m/>
    <m/>
    <m/>
    <m/>
    <m/>
    <m/>
    <n v="126.94"/>
    <n v="126.94950000000001"/>
    <m/>
    <m/>
    <m/>
    <m/>
    <m/>
    <n v="253.9"/>
    <n v="6.91"/>
    <n v="250"/>
    <m/>
    <m/>
    <m/>
    <m/>
    <m/>
    <n v="120.03"/>
    <n v="300"/>
    <n v="1375.16"/>
  </r>
  <r>
    <n v="11"/>
    <x v="11"/>
    <x v="0"/>
    <n v="176386"/>
    <s v="PORTILLO MACIEL JUAN RAMON"/>
    <s v="20-36896140-0"/>
    <n v="42710"/>
    <n v="36896140"/>
    <s v="PORTILLO MACIEL"/>
    <s v="JUAN RAMON"/>
    <s v="M"/>
    <m/>
    <d v="2016-07-2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QUINTINO BOCAYUVA"/>
    <n v="1225"/>
    <m/>
    <m/>
    <s v="CAPITAL FEDERAL"/>
    <s v="Buenos Aires"/>
    <m/>
    <s v="U.O.Centro"/>
    <m/>
    <n v="2"/>
    <n v="1"/>
    <n v="8067.22"/>
    <n v="1613.46"/>
    <m/>
    <m/>
    <n v="6453.76"/>
    <m/>
    <n v="161.35"/>
    <m/>
    <m/>
    <m/>
    <m/>
    <m/>
    <m/>
    <n v="80.67"/>
    <m/>
    <m/>
    <m/>
    <m/>
    <m/>
    <m/>
    <n v="161.35"/>
    <m/>
    <m/>
    <m/>
    <m/>
    <m/>
    <m/>
    <m/>
    <n v="80.67"/>
    <n v="300"/>
    <n v="784.04"/>
  </r>
  <r>
    <n v="11"/>
    <x v="11"/>
    <x v="0"/>
    <n v="172087"/>
    <s v="POSTERNAK ERIKA ELENA"/>
    <s v="27-38699581-3"/>
    <n v="42710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INGENIERO HUERGO"/>
    <n v="1225"/>
    <m/>
    <m/>
    <s v="CAPITAL FEDERAL"/>
    <s v="Buenos Aires"/>
    <m/>
    <s v="U.O.Centro"/>
    <m/>
    <n v="2"/>
    <n v="1"/>
    <n v="20617.62"/>
    <n v="4123.5200000000004"/>
    <m/>
    <m/>
    <n v="16494.099999999999"/>
    <m/>
    <n v="412.35"/>
    <m/>
    <m/>
    <m/>
    <m/>
    <m/>
    <m/>
    <n v="206.17"/>
    <m/>
    <m/>
    <m/>
    <m/>
    <m/>
    <m/>
    <n v="412.35"/>
    <m/>
    <m/>
    <m/>
    <m/>
    <m/>
    <m/>
    <m/>
    <n v="206.17"/>
    <n v="300"/>
    <n v="1537.04"/>
  </r>
  <r>
    <n v="11"/>
    <x v="11"/>
    <x v="0"/>
    <n v="182743"/>
    <s v="QUIROGA GOMEZ ALVARO GERMAN"/>
    <s v="20-38590259-0"/>
    <n v="42710"/>
    <n v="38590259"/>
    <s v="QUIROGA GOMEZ"/>
    <s v="ALVARO GERMAN"/>
    <s v="M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PABLO NOGUES"/>
    <n v="240"/>
    <m/>
    <m/>
    <s v="TIGRE"/>
    <s v="Buenos Aires"/>
    <m/>
    <s v="U.O.San Isidro"/>
    <m/>
    <n v="1"/>
    <n v="1"/>
    <n v="8929.49"/>
    <n v="1785.88"/>
    <m/>
    <m/>
    <n v="7143.61"/>
    <m/>
    <n v="178.59"/>
    <m/>
    <m/>
    <m/>
    <m/>
    <m/>
    <m/>
    <n v="89.29"/>
    <m/>
    <m/>
    <m/>
    <m/>
    <m/>
    <m/>
    <n v="178.59"/>
    <m/>
    <m/>
    <m/>
    <m/>
    <m/>
    <m/>
    <m/>
    <n v="89.29"/>
    <n v="300"/>
    <n v="835.76"/>
  </r>
  <r>
    <n v="11"/>
    <x v="11"/>
    <x v="0"/>
    <n v="182770"/>
    <s v="QUIROZ VALERIA ALEJANDRA"/>
    <s v="27-39345787-8"/>
    <n v="42710"/>
    <n v="39345787"/>
    <s v="QUIROZ"/>
    <s v="VALERIA ALEJANDRA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MARTIN RODRIGUEZ"/>
    <n v="240"/>
    <m/>
    <m/>
    <s v="TIGRE"/>
    <s v="Buenos Aires"/>
    <m/>
    <s v="U.O.San Isidro"/>
    <m/>
    <n v="1"/>
    <n v="1"/>
    <n v="5055.97"/>
    <n v="1011.2"/>
    <m/>
    <m/>
    <n v="4044.77"/>
    <m/>
    <n v="101.12"/>
    <m/>
    <m/>
    <m/>
    <m/>
    <m/>
    <m/>
    <n v="50.56"/>
    <m/>
    <m/>
    <m/>
    <m/>
    <m/>
    <m/>
    <n v="101.12"/>
    <m/>
    <m/>
    <m/>
    <m/>
    <m/>
    <m/>
    <m/>
    <n v="50.56"/>
    <n v="300"/>
    <n v="603.36"/>
  </r>
  <r>
    <n v="11"/>
    <x v="11"/>
    <x v="0"/>
    <n v="170302"/>
    <s v="RAMIREZ GABRIEL LEONARDO"/>
    <s v="20-37596484-9"/>
    <n v="42710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Barilari"/>
    <n v="1225"/>
    <m/>
    <m/>
    <s v="CAPITAL FEDERAL"/>
    <s v="Buenos Aires"/>
    <m/>
    <s v="U.O.Centro"/>
    <m/>
    <n v="2"/>
    <n v="1"/>
    <n v="17868.599999999999"/>
    <n v="3573.71"/>
    <m/>
    <m/>
    <n v="14294.89"/>
    <m/>
    <n v="357.37"/>
    <m/>
    <m/>
    <m/>
    <m/>
    <m/>
    <m/>
    <n v="178.68"/>
    <m/>
    <m/>
    <m/>
    <m/>
    <m/>
    <m/>
    <n v="357.37"/>
    <m/>
    <m/>
    <m/>
    <m/>
    <m/>
    <m/>
    <m/>
    <n v="178.68"/>
    <n v="300"/>
    <n v="1372.1"/>
  </r>
  <r>
    <n v="11"/>
    <x v="11"/>
    <x v="1"/>
    <n v="171689"/>
    <s v="RAMOS LEONEL ALBERTO"/>
    <s v="23-36484857-9"/>
    <n v="42703"/>
    <n v="36484857"/>
    <s v="RAMOS"/>
    <s v="LEONEL ALBERTO"/>
    <s v="M"/>
    <m/>
    <d v="2016-04-13T00:00:00"/>
    <m/>
    <d v="2016-11-12T00:00:00"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LORENZINI"/>
    <n v="764"/>
    <m/>
    <m/>
    <s v="CAPITAL FEDERAL"/>
    <s v="Capital Federal"/>
    <m/>
    <s v="U.O.Centro Paga Inplant"/>
    <m/>
    <n v="2"/>
    <n v="1"/>
    <n v="8081.5"/>
    <n v="1616.28"/>
    <m/>
    <m/>
    <n v="6465.22"/>
    <m/>
    <n v="161.63"/>
    <m/>
    <m/>
    <m/>
    <m/>
    <m/>
    <m/>
    <n v="80.81"/>
    <n v="80.814999999999998"/>
    <m/>
    <m/>
    <m/>
    <m/>
    <m/>
    <n v="161.63"/>
    <m/>
    <m/>
    <m/>
    <m/>
    <m/>
    <m/>
    <m/>
    <n v="80.81"/>
    <n v="300"/>
    <n v="784.88"/>
  </r>
  <r>
    <n v="11"/>
    <x v="11"/>
    <x v="0"/>
    <n v="182162"/>
    <s v="RAMOS LUCIA GISELE"/>
    <s v="23-32693694-4"/>
    <n v="42710"/>
    <n v="32693694"/>
    <s v="RAMOS"/>
    <s v="LUCIA GISELE"/>
    <s v="F"/>
    <m/>
    <d v="2016-10-2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SLA DE LOS ESTADOS"/>
    <n v="1225"/>
    <m/>
    <m/>
    <s v="CAPITAL FEDERAL"/>
    <s v="Buenos Aires"/>
    <m/>
    <s v="U.O.Centro"/>
    <m/>
    <n v="2"/>
    <n v="1"/>
    <n v="15021.74"/>
    <n v="3004.34"/>
    <m/>
    <m/>
    <n v="12017.4"/>
    <m/>
    <n v="300.43"/>
    <m/>
    <m/>
    <m/>
    <m/>
    <m/>
    <m/>
    <n v="150.22"/>
    <m/>
    <m/>
    <m/>
    <m/>
    <m/>
    <m/>
    <n v="300.43"/>
    <m/>
    <m/>
    <m/>
    <m/>
    <m/>
    <m/>
    <m/>
    <n v="150.22"/>
    <n v="300"/>
    <n v="1201.3"/>
  </r>
  <r>
    <n v="11"/>
    <x v="11"/>
    <x v="0"/>
    <n v="134996"/>
    <s v="RAVERA MARIA"/>
    <s v="27-27860600-2"/>
    <n v="42710"/>
    <n v="27860600"/>
    <s v="RAVERA"/>
    <s v="MARIA"/>
    <s v="F"/>
    <m/>
    <d v="2016-11-17T00:00:00"/>
    <m/>
    <m/>
    <s v="GASTRONOMICOS-Hoteles 4 y 5 Estrellas - 362/2003"/>
    <s v="Categoria 6"/>
    <x v="1"/>
    <s v="Banquetes Extra Eventual - GL"/>
    <s v="Centro"/>
    <s v="Tareas Generales"/>
    <n v="126205"/>
    <s v="O.S.Emp.Comercio y Act.Civiles"/>
    <s v="Capital Federal"/>
    <m/>
    <n v="1005"/>
    <s v="TACUARI"/>
    <n v="1005"/>
    <n v="1"/>
    <s v="C"/>
    <s v="CAPITAL FEDERAL"/>
    <s v="Capital Federal"/>
    <m/>
    <s v="U.O.Centro"/>
    <m/>
    <n v="1"/>
    <n v="1"/>
    <n v="3898.78"/>
    <n v="779.76"/>
    <m/>
    <m/>
    <n v="3119.02"/>
    <m/>
    <n v="77.98"/>
    <m/>
    <m/>
    <m/>
    <m/>
    <m/>
    <m/>
    <n v="38.99"/>
    <m/>
    <m/>
    <m/>
    <m/>
    <m/>
    <m/>
    <n v="77.98"/>
    <m/>
    <m/>
    <m/>
    <m/>
    <m/>
    <m/>
    <m/>
    <n v="38.99"/>
    <n v="300"/>
    <n v="533.94000000000005"/>
  </r>
  <r>
    <n v="11"/>
    <x v="11"/>
    <x v="1"/>
    <n v="182299"/>
    <s v="RENGEL CONTRERAS ANGEL JOSMAR"/>
    <s v="20-62785772-2"/>
    <n v="42703"/>
    <n v="62785772"/>
    <s v="RENGEL CONTRERAS"/>
    <s v="ANGEL JOSMAR"/>
    <s v="M"/>
    <m/>
    <d v="2016-11-0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AV HIPOLITO YIGOYEN"/>
    <n v="764"/>
    <m/>
    <m/>
    <s v="CAPITAL FEDERAL"/>
    <s v="Capital Federal"/>
    <m/>
    <s v="U.O.Centro"/>
    <m/>
    <n v="1"/>
    <n v="1"/>
    <n v="17417.79"/>
    <n v="3483.56"/>
    <m/>
    <m/>
    <n v="13934.23"/>
    <m/>
    <n v="348.36"/>
    <m/>
    <m/>
    <m/>
    <m/>
    <m/>
    <m/>
    <n v="174.18"/>
    <n v="174.17790000000002"/>
    <m/>
    <m/>
    <m/>
    <m/>
    <m/>
    <n v="348.36"/>
    <m/>
    <m/>
    <m/>
    <m/>
    <m/>
    <m/>
    <m/>
    <n v="174.18"/>
    <n v="300"/>
    <n v="1345.08"/>
  </r>
  <r>
    <n v="11"/>
    <x v="11"/>
    <x v="0"/>
    <n v="177862"/>
    <s v="REYNOSO RODRIGO SEBASTIAN"/>
    <s v="24-39341073-2"/>
    <n v="42710"/>
    <n v="39341073"/>
    <s v="REYNOSO"/>
    <s v="RODRIGO SEBASTIAN"/>
    <s v="M"/>
    <m/>
    <d v="2016-08-23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NOMEOLVIDES"/>
    <n v="1225"/>
    <m/>
    <m/>
    <s v="CAPITAL FEDERAL"/>
    <s v="Buenos Aires"/>
    <m/>
    <s v="U.O.Centro"/>
    <m/>
    <n v="2"/>
    <n v="1"/>
    <n v="15213"/>
    <n v="3042.6"/>
    <m/>
    <m/>
    <n v="12170.4"/>
    <m/>
    <n v="304.26"/>
    <m/>
    <m/>
    <m/>
    <m/>
    <m/>
    <m/>
    <n v="152.13"/>
    <m/>
    <m/>
    <m/>
    <m/>
    <m/>
    <m/>
    <n v="304.26"/>
    <m/>
    <m/>
    <m/>
    <m/>
    <m/>
    <m/>
    <m/>
    <n v="152.13"/>
    <n v="300"/>
    <n v="1212.78"/>
  </r>
  <r>
    <n v="11"/>
    <x v="11"/>
    <x v="0"/>
    <n v="162333"/>
    <s v="RIOS MARIA ROSA"/>
    <s v="27-26405230-6"/>
    <n v="42710"/>
    <n v="26405230"/>
    <s v="RIOS"/>
    <s v="MARIA ROSA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POLLEDO"/>
    <n v="1225"/>
    <m/>
    <m/>
    <s v="CAPITAL FEDERAL"/>
    <s v="Buenos Aires"/>
    <m/>
    <s v="U.O.Centro"/>
    <m/>
    <n v="5"/>
    <n v="1"/>
    <n v="11482.46"/>
    <n v="2250.39"/>
    <m/>
    <m/>
    <n v="9232.07"/>
    <m/>
    <n v="229.64"/>
    <m/>
    <m/>
    <m/>
    <m/>
    <m/>
    <m/>
    <n v="68.72"/>
    <m/>
    <m/>
    <m/>
    <m/>
    <m/>
    <m/>
    <n v="229.64"/>
    <m/>
    <m/>
    <m/>
    <m/>
    <m/>
    <m/>
    <m/>
    <n v="68.72"/>
    <n v="300"/>
    <n v="896.72"/>
  </r>
  <r>
    <n v="11"/>
    <x v="11"/>
    <x v="0"/>
    <n v="182568"/>
    <s v="RIVAS ELBA ROSA"/>
    <s v="27-30957710-3"/>
    <n v="42695"/>
    <n v="30957710"/>
    <s v="RIVAS"/>
    <s v="ELBA ROSA"/>
    <s v="F"/>
    <m/>
    <d v="2016-11-0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LLE 15"/>
    <n v="1225"/>
    <n v="3"/>
    <m/>
    <s v="CAPITAL FEDERAL"/>
    <s v="Buenos Aires"/>
    <m/>
    <s v="U.O.Centro"/>
    <m/>
    <n v="1"/>
    <n v="1"/>
    <n v="1877.72"/>
    <n v="375.54"/>
    <m/>
    <m/>
    <n v="1502.18"/>
    <m/>
    <n v="37.549999999999997"/>
    <m/>
    <m/>
    <m/>
    <m/>
    <m/>
    <m/>
    <n v="18.78"/>
    <m/>
    <m/>
    <m/>
    <m/>
    <m/>
    <m/>
    <n v="37.549999999999997"/>
    <m/>
    <m/>
    <m/>
    <m/>
    <m/>
    <m/>
    <m/>
    <n v="18.78"/>
    <n v="300"/>
    <n v="412.66"/>
  </r>
  <r>
    <n v="11"/>
    <x v="11"/>
    <x v="1"/>
    <n v="181061"/>
    <s v="RIVERO CRISTIAN ARIEL"/>
    <s v="20-31654860-2"/>
    <n v="42703"/>
    <n v="31654860"/>
    <s v="RIVERO"/>
    <s v="CRISTIAN ARIEL"/>
    <s v="M"/>
    <m/>
    <d v="2016-10-21T00:00:00"/>
    <m/>
    <m/>
    <s v="GASTRONOMICOS-Hoteles 4 y 5 Estrellas - 362/2003"/>
    <s v="Categoria 1"/>
    <x v="3"/>
    <s v="Unidad Principal"/>
    <s v="Centro"/>
    <s v="Tareas Generales"/>
    <n v="127208"/>
    <s v="O.S.de Mandos Medios de Telecomunicaciones"/>
    <s v="Capital Federal"/>
    <m/>
    <s v="C1002ABO"/>
    <s v="14 DE JULIO"/>
    <n v="764"/>
    <m/>
    <m/>
    <s v="CAPITAL FEDERAL"/>
    <s v="Capital Federal"/>
    <m/>
    <s v="U.O.Centro"/>
    <m/>
    <n v="1"/>
    <n v="1"/>
    <n v="8596.51"/>
    <n v="1719.32"/>
    <m/>
    <m/>
    <n v="6877.19"/>
    <m/>
    <n v="171.93"/>
    <m/>
    <m/>
    <m/>
    <m/>
    <m/>
    <m/>
    <n v="85.97"/>
    <n v="85.965100000000007"/>
    <m/>
    <m/>
    <m/>
    <m/>
    <m/>
    <n v="171.93"/>
    <m/>
    <m/>
    <m/>
    <m/>
    <m/>
    <m/>
    <m/>
    <n v="85.97"/>
    <n v="300"/>
    <n v="815.8"/>
  </r>
  <r>
    <n v="11"/>
    <x v="11"/>
    <x v="0"/>
    <n v="173299"/>
    <s v="RODRIGUEZ EMANUEL AGUSTIN"/>
    <s v="20-39165126-5"/>
    <n v="42710"/>
    <n v="39165126"/>
    <s v="RODRIGUEZ"/>
    <s v="EMANUEL AGUSTIN"/>
    <s v="M"/>
    <m/>
    <d v="2016-05-1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LFONSINA STORNI"/>
    <n v="1005"/>
    <m/>
    <m/>
    <s v="CAPITAL FEDERAL"/>
    <s v="Capital Federal"/>
    <m/>
    <s v="U.O.Centro"/>
    <m/>
    <n v="3"/>
    <n v="1"/>
    <n v="6928.03"/>
    <n v="1385.61"/>
    <m/>
    <m/>
    <n v="5542.42"/>
    <m/>
    <n v="138.57"/>
    <m/>
    <m/>
    <m/>
    <m/>
    <m/>
    <m/>
    <n v="69.28"/>
    <m/>
    <m/>
    <m/>
    <m/>
    <m/>
    <m/>
    <n v="138.57"/>
    <m/>
    <m/>
    <m/>
    <m/>
    <m/>
    <m/>
    <m/>
    <n v="69.28"/>
    <n v="300"/>
    <n v="715.7"/>
  </r>
  <r>
    <n v="11"/>
    <x v="11"/>
    <x v="0"/>
    <n v="183302"/>
    <s v="RODRIGUEZ DE LA CRUZ BETIANA LAURA"/>
    <s v="27-36465936-4"/>
    <n v="42710"/>
    <n v="36465936"/>
    <s v="RODRIGUEZ DE LA CRUZ"/>
    <s v="BETIANA LAURA"/>
    <s v="F"/>
    <m/>
    <d v="2016-11-19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n v="1104"/>
    <s v="PASAJE JUNIN"/>
    <n v="1225"/>
    <m/>
    <m/>
    <s v="CAPITAL FEDERAL"/>
    <s v="Buenos Aires"/>
    <m/>
    <s v="U.O.Centro"/>
    <m/>
    <n v="1"/>
    <n v="1"/>
    <n v="458.16"/>
    <n v="91.62"/>
    <m/>
    <m/>
    <n v="366.54"/>
    <m/>
    <n v="9.16"/>
    <m/>
    <m/>
    <m/>
    <m/>
    <m/>
    <m/>
    <n v="4.58"/>
    <m/>
    <m/>
    <m/>
    <m/>
    <m/>
    <m/>
    <n v="9.16"/>
    <m/>
    <m/>
    <m/>
    <m/>
    <m/>
    <m/>
    <m/>
    <n v="4.58"/>
    <n v="300"/>
    <n v="327.48"/>
  </r>
  <r>
    <n v="11"/>
    <x v="11"/>
    <x v="0"/>
    <n v="183280"/>
    <s v="RODRIGUEZ TRIA CHRISTIAN RODERIK"/>
    <s v="20-95486278-0"/>
    <n v="42710"/>
    <n v="95486278"/>
    <s v="RODRIGUEZ TRIA"/>
    <s v="CHRISTIAN RODERIK"/>
    <s v="M"/>
    <m/>
    <d v="2016-11-19T00:00:00"/>
    <d v="2016-11-21T00:00:00"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ESTADOS UNIDOS"/>
    <n v="181"/>
    <m/>
    <m/>
    <s v="CAPITAL FEDERAL"/>
    <s v="Capital Federal"/>
    <m/>
    <s v="U.O.Centro"/>
    <m/>
    <n v="1"/>
    <n v="1"/>
    <n v="828.82"/>
    <n v="165.76"/>
    <m/>
    <m/>
    <n v="663.06"/>
    <m/>
    <n v="16.579999999999998"/>
    <m/>
    <m/>
    <m/>
    <m/>
    <m/>
    <m/>
    <n v="8.2899999999999991"/>
    <m/>
    <m/>
    <m/>
    <m/>
    <m/>
    <m/>
    <n v="16.579999999999998"/>
    <m/>
    <m/>
    <m/>
    <m/>
    <m/>
    <m/>
    <m/>
    <n v="8.2899999999999991"/>
    <n v="300"/>
    <n v="349.74"/>
  </r>
  <r>
    <n v="11"/>
    <x v="11"/>
    <x v="0"/>
    <n v="182612"/>
    <s v="ROJAS APARICIO PEDRO LUIS JUNIOR"/>
    <s v="20-62789478-4"/>
    <n v="42710"/>
    <n v="62789478"/>
    <s v="ROJAS APARICIO"/>
    <s v="PEDRO LUIS JUNIOR"/>
    <s v="M"/>
    <m/>
    <d v="2016-11-21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AVENIDA BELGRANO"/>
    <n v="181"/>
    <n v="2"/>
    <s v="D"/>
    <s v="CAPITAL FEDERAL"/>
    <s v="Capital Federal"/>
    <m/>
    <s v="U.O.Centro"/>
    <m/>
    <n v="4"/>
    <n v="1"/>
    <n v="13976.39"/>
    <n v="2795.27"/>
    <m/>
    <m/>
    <n v="11181.12"/>
    <m/>
    <n v="279.52999999999997"/>
    <m/>
    <m/>
    <m/>
    <m/>
    <m/>
    <m/>
    <n v="139.76"/>
    <m/>
    <m/>
    <m/>
    <m/>
    <m/>
    <m/>
    <n v="279.52999999999997"/>
    <m/>
    <m/>
    <m/>
    <m/>
    <m/>
    <m/>
    <m/>
    <n v="139.76"/>
    <n v="300"/>
    <n v="1138.58"/>
  </r>
  <r>
    <n v="11"/>
    <x v="11"/>
    <x v="0"/>
    <n v="182477"/>
    <s v="ROLDAN CRISTIAN GUSTAVO"/>
    <s v="23-35393105-9"/>
    <n v="42710"/>
    <n v="35393105"/>
    <s v="ROLDAN"/>
    <s v="CRISTIAN GUSTAVO"/>
    <s v="M"/>
    <m/>
    <d v="2016-11-07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MIGUEL CANE"/>
    <n v="181"/>
    <m/>
    <m/>
    <s v="CAPITAL FEDERAL"/>
    <s v="Capital Federal"/>
    <m/>
    <s v="U.O.Centro"/>
    <m/>
    <n v="1"/>
    <n v="1"/>
    <n v="8074.23"/>
    <n v="1614.85"/>
    <m/>
    <m/>
    <n v="6459.38"/>
    <m/>
    <n v="161.47999999999999"/>
    <m/>
    <m/>
    <m/>
    <m/>
    <m/>
    <m/>
    <n v="80.739999999999995"/>
    <m/>
    <m/>
    <m/>
    <m/>
    <m/>
    <m/>
    <n v="161.47999999999999"/>
    <m/>
    <m/>
    <m/>
    <m/>
    <m/>
    <m/>
    <m/>
    <n v="80.739999999999995"/>
    <n v="300"/>
    <n v="784.44"/>
  </r>
  <r>
    <n v="11"/>
    <x v="11"/>
    <x v="0"/>
    <n v="177443"/>
    <s v="ROMERO CRISTIAN ADRIAN"/>
    <s v="20-35118709-4"/>
    <n v="42695"/>
    <n v="35118709"/>
    <s v="ROMERO"/>
    <s v="CRISTIAN ADRIAN"/>
    <s v="M"/>
    <m/>
    <d v="2016-08-17T00:00:00"/>
    <m/>
    <n v="42689"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GRAL URQUIZA"/>
    <n v="1225"/>
    <n v="2"/>
    <n v="6"/>
    <s v="CAPITAL FEDERAL"/>
    <s v="Buenos Aires"/>
    <m/>
    <s v="U.O.Centro"/>
    <m/>
    <n v="1"/>
    <n v="1"/>
    <n v="4510.8100000000004"/>
    <n v="902.16"/>
    <m/>
    <m/>
    <n v="3608.65"/>
    <m/>
    <n v="90.22"/>
    <m/>
    <m/>
    <m/>
    <m/>
    <m/>
    <m/>
    <n v="45.11"/>
    <m/>
    <m/>
    <m/>
    <m/>
    <m/>
    <m/>
    <n v="90.22"/>
    <m/>
    <m/>
    <m/>
    <m/>
    <m/>
    <m/>
    <m/>
    <n v="45.11"/>
    <n v="300"/>
    <n v="570.66"/>
  </r>
  <r>
    <n v="11"/>
    <x v="11"/>
    <x v="0"/>
    <n v="182178"/>
    <s v="ROMERO NATALIA SOLEDAD"/>
    <s v="23-28586694-4"/>
    <n v="42710"/>
    <n v="28586694"/>
    <s v="ROMERO"/>
    <s v="NATALIA SOLEDAD"/>
    <s v="F"/>
    <m/>
    <d v="2016-11-01T00:00:00"/>
    <m/>
    <m/>
    <s v="GASTRONOMICOS-Hoteles 4 y 5 Estrellas - 362/2003"/>
    <s v="Categoría 4"/>
    <x v="6"/>
    <s v="NUEVOS INGRESOS"/>
    <s v="Centro"/>
    <s v="Tareas Generales"/>
    <n v="108803"/>
    <s v="O.S.P.Gastronomico"/>
    <s v="Capital Federal"/>
    <m/>
    <n v="1093"/>
    <s v="CALLE 155"/>
    <n v="1232"/>
    <m/>
    <m/>
    <s v="CAPITAL FEDERAL"/>
    <s v="Buenos Aires"/>
    <m/>
    <s v="U.O.Quilmes"/>
    <s v="Ama de Llaves"/>
    <n v="1"/>
    <n v="1"/>
    <n v="18686.080000000002"/>
    <n v="3737.21"/>
    <m/>
    <m/>
    <n v="14948.87"/>
    <m/>
    <n v="373.72"/>
    <m/>
    <m/>
    <m/>
    <m/>
    <m/>
    <m/>
    <n v="186.86"/>
    <m/>
    <m/>
    <m/>
    <m/>
    <m/>
    <m/>
    <n v="373.72"/>
    <m/>
    <m/>
    <m/>
    <m/>
    <m/>
    <m/>
    <m/>
    <n v="186.86"/>
    <n v="300"/>
    <n v="1421.16"/>
  </r>
  <r>
    <n v="11"/>
    <x v="11"/>
    <x v="0"/>
    <n v="183804"/>
    <s v="ROSALES BRIAN EMILIANO"/>
    <s v="20-40255437-2"/>
    <n v="42710"/>
    <n v="40255437"/>
    <s v="ROSALES"/>
    <s v="BRIAN EMILIANO"/>
    <s v="M"/>
    <m/>
    <d v="2016-11-30T00:00:00"/>
    <m/>
    <m/>
    <s v="GASTRONOMICOS-Hoteles 4 y 5 Estrellas - 362/2003"/>
    <s v="Auxiliar"/>
    <x v="17"/>
    <s v="Unidad Base-GL"/>
    <s v="San Isidro"/>
    <s v="Lavadores"/>
    <n v="108803"/>
    <s v="O.S.P.Gastronomico"/>
    <s v="Buenos Aires - Gran Buenos Aires"/>
    <m/>
    <n v="1648"/>
    <s v="OMBU"/>
    <n v="240"/>
    <m/>
    <m/>
    <s v="TIGRE"/>
    <s v="Buenos Aires"/>
    <m/>
    <s v="U.O.San Isidro"/>
    <m/>
    <n v="1"/>
    <n v="1"/>
    <n v="344.06"/>
    <n v="68.81"/>
    <m/>
    <m/>
    <n v="275.25"/>
    <m/>
    <n v="6.88"/>
    <m/>
    <m/>
    <m/>
    <m/>
    <m/>
    <m/>
    <n v="3.44"/>
    <m/>
    <m/>
    <m/>
    <m/>
    <m/>
    <m/>
    <n v="6.88"/>
    <m/>
    <m/>
    <m/>
    <m/>
    <m/>
    <m/>
    <m/>
    <n v="3.44"/>
    <n v="300"/>
    <n v="320.64"/>
  </r>
  <r>
    <n v="11"/>
    <x v="11"/>
    <x v="0"/>
    <n v="170549"/>
    <s v="ROSALES MATIAS SEBASTIAN"/>
    <s v="20-38950370-4"/>
    <n v="42710"/>
    <n v="38950370"/>
    <s v="ROSALES"/>
    <s v="MATIAS SEBASTIAN"/>
    <s v="M"/>
    <m/>
    <d v="2016-03-22T00:00:00"/>
    <d v="2016-11-30T00:00:00"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RAMOS FRANCO"/>
    <n v="1005"/>
    <m/>
    <m/>
    <s v="CAPITAL FEDERAL"/>
    <s v="Capital Federal"/>
    <m/>
    <s v="U.O.Centro"/>
    <m/>
    <n v="2"/>
    <n v="1"/>
    <n v="9837.73"/>
    <n v="1967.54"/>
    <m/>
    <m/>
    <n v="7870.19"/>
    <m/>
    <n v="196.75"/>
    <m/>
    <m/>
    <m/>
    <m/>
    <m/>
    <m/>
    <n v="98.38"/>
    <m/>
    <m/>
    <m/>
    <m/>
    <m/>
    <m/>
    <n v="196.75"/>
    <m/>
    <m/>
    <m/>
    <m/>
    <m/>
    <m/>
    <m/>
    <n v="98.38"/>
    <n v="300"/>
    <n v="890.26"/>
  </r>
  <r>
    <n v="11"/>
    <x v="11"/>
    <x v="0"/>
    <n v="173747"/>
    <s v="RUIZ JUAN MARIO ESEQUIEL"/>
    <s v="20-36944344-6"/>
    <n v="42710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LERMA"/>
    <n v="1225"/>
    <n v="3"/>
    <s v="a"/>
    <s v="CAPITAL FEDERAL"/>
    <s v="Buenos Aires"/>
    <m/>
    <s v="U.O.Centro"/>
    <m/>
    <n v="3"/>
    <n v="1"/>
    <n v="13156.51"/>
    <n v="2631.3"/>
    <m/>
    <m/>
    <n v="10525.21"/>
    <m/>
    <n v="263.14"/>
    <m/>
    <m/>
    <m/>
    <m/>
    <m/>
    <m/>
    <n v="131.56"/>
    <m/>
    <m/>
    <m/>
    <m/>
    <m/>
    <m/>
    <n v="263.14"/>
    <m/>
    <m/>
    <m/>
    <m/>
    <m/>
    <m/>
    <m/>
    <n v="131.56"/>
    <n v="300"/>
    <n v="1089.4000000000001"/>
  </r>
  <r>
    <n v="11"/>
    <x v="11"/>
    <x v="0"/>
    <n v="179333"/>
    <s v="RUIZ BARRAZA ALEJANDRA SOLEDAD"/>
    <s v="27-36561496-8"/>
    <n v="42710"/>
    <n v="36561496"/>
    <s v="RUIZ BARRAZA"/>
    <s v="ALEJANDRA SOLEDAD"/>
    <s v="F"/>
    <m/>
    <d v="2016-09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LLE 887"/>
    <n v="1225"/>
    <m/>
    <m/>
    <s v="CAPITAL FEDERAL"/>
    <s v="Buenos Aires"/>
    <m/>
    <s v="U.O.Centro"/>
    <m/>
    <n v="2"/>
    <n v="1"/>
    <n v="12828.74"/>
    <n v="2565.7600000000002"/>
    <m/>
    <m/>
    <n v="10262.98"/>
    <m/>
    <n v="256.57"/>
    <m/>
    <m/>
    <m/>
    <m/>
    <m/>
    <m/>
    <n v="128.29"/>
    <m/>
    <m/>
    <m/>
    <m/>
    <m/>
    <m/>
    <n v="256.57"/>
    <m/>
    <m/>
    <m/>
    <m/>
    <m/>
    <m/>
    <m/>
    <n v="128.29"/>
    <n v="300"/>
    <n v="1069.72"/>
  </r>
  <r>
    <n v="11"/>
    <x v="11"/>
    <x v="0"/>
    <n v="177727"/>
    <s v="RUIZ DIAZ LUCIA"/>
    <s v="27-39707176-1"/>
    <n v="42710"/>
    <n v="39707176"/>
    <s v="RUIZ DIAZ"/>
    <s v="LUCIA"/>
    <s v="F"/>
    <m/>
    <d v="2016-08-26T00:00:00"/>
    <m/>
    <m/>
    <s v="GASTRONOMICOS-Hoteles 4 y 5 Estrellas - 362/2003"/>
    <s v="Camarera/o"/>
    <x v="17"/>
    <s v="Unidad Base-GL"/>
    <s v="San Isidro"/>
    <s v="Camarero/a"/>
    <n v="108803"/>
    <s v="O.S.P.Gastronomico"/>
    <s v="Buenos Aires - Tigre"/>
    <m/>
    <n v="1648"/>
    <s v="PERU"/>
    <n v="240"/>
    <m/>
    <m/>
    <s v="TIGRE"/>
    <s v="Buenos Aires"/>
    <m/>
    <s v="U.O.San Isidro"/>
    <m/>
    <n v="1"/>
    <n v="1"/>
    <n v="9103.31"/>
    <n v="1820.66"/>
    <m/>
    <m/>
    <n v="7282.65"/>
    <m/>
    <n v="182.07"/>
    <m/>
    <m/>
    <m/>
    <m/>
    <m/>
    <m/>
    <n v="91.03"/>
    <m/>
    <m/>
    <m/>
    <m/>
    <m/>
    <m/>
    <n v="182.07"/>
    <m/>
    <m/>
    <m/>
    <m/>
    <m/>
    <m/>
    <m/>
    <n v="91.03"/>
    <n v="300"/>
    <n v="846.2"/>
  </r>
  <r>
    <n v="11"/>
    <x v="11"/>
    <x v="1"/>
    <n v="183661"/>
    <s v="SABAN GABRIELA BELEN"/>
    <s v="27-37388150-9"/>
    <n v="42703"/>
    <n v="37388150"/>
    <s v="SABAN"/>
    <s v="GABRIELA BELEN"/>
    <s v="F"/>
    <m/>
    <d v="2016-11-23T00:00:00"/>
    <m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FRANCISCO MONTERO"/>
    <n v="764"/>
    <m/>
    <m/>
    <s v="CAPITAL FEDERAL"/>
    <s v="Capital Federal"/>
    <m/>
    <s v="U.O.Centro"/>
    <m/>
    <n v="1"/>
    <n v="1"/>
    <n v="1756.15"/>
    <n v="351.22"/>
    <m/>
    <m/>
    <n v="1404.93"/>
    <m/>
    <n v="35.119999999999997"/>
    <m/>
    <m/>
    <m/>
    <m/>
    <m/>
    <m/>
    <n v="17.559999999999999"/>
    <n v="17.561500000000002"/>
    <m/>
    <m/>
    <m/>
    <m/>
    <m/>
    <n v="35.119999999999997"/>
    <m/>
    <m/>
    <m/>
    <m/>
    <m/>
    <m/>
    <m/>
    <n v="17.559999999999999"/>
    <n v="300"/>
    <n v="405.36"/>
  </r>
  <r>
    <n v="11"/>
    <x v="11"/>
    <x v="0"/>
    <n v="180751"/>
    <s v="SACCONE SANDRA LORENA"/>
    <s v="27-30064110-0"/>
    <n v="42710"/>
    <n v="30064110"/>
    <s v="SACCONE"/>
    <s v="SANDRA LORENA"/>
    <s v="F"/>
    <m/>
    <d v="2016-10-0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TORQUINST"/>
    <n v="1225"/>
    <m/>
    <m/>
    <s v="CAPITAL FEDERAL"/>
    <s v="Buenos Aires"/>
    <m/>
    <s v="U.O.Centro"/>
    <m/>
    <n v="2"/>
    <n v="1"/>
    <n v="7330.7"/>
    <n v="1466.14"/>
    <m/>
    <m/>
    <n v="5864.56"/>
    <m/>
    <n v="146.61000000000001"/>
    <m/>
    <m/>
    <m/>
    <m/>
    <m/>
    <m/>
    <n v="73.31"/>
    <m/>
    <m/>
    <m/>
    <m/>
    <m/>
    <m/>
    <n v="146.61000000000001"/>
    <m/>
    <m/>
    <m/>
    <m/>
    <m/>
    <m/>
    <m/>
    <n v="73.31"/>
    <n v="300"/>
    <n v="739.84"/>
  </r>
  <r>
    <n v="11"/>
    <x v="11"/>
    <x v="0"/>
    <n v="172196"/>
    <s v="SAGARIA NORBERTO OSVALDO"/>
    <s v="20-24921184-3"/>
    <n v="42710"/>
    <n v="24921184"/>
    <s v="SAGARIA"/>
    <s v="NORBERTO OSVALDO"/>
    <s v="M"/>
    <m/>
    <d v="2016-04-25T00:00:00"/>
    <d v="2016-07-21T00:00:00"/>
    <n v="42572"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SAN LUIS"/>
    <n v="507"/>
    <m/>
    <m/>
    <s v="CAPITAL FEDERAL"/>
    <s v="Capital Federal"/>
    <m/>
    <s v="U.O.Centro Paga Inplant"/>
    <m/>
    <n v="1"/>
    <n v="1"/>
    <n v="229.16"/>
    <n v="45.82"/>
    <m/>
    <m/>
    <n v="183.34"/>
    <m/>
    <n v="4.58"/>
    <m/>
    <m/>
    <m/>
    <m/>
    <m/>
    <m/>
    <n v="2.29"/>
    <m/>
    <m/>
    <m/>
    <m/>
    <m/>
    <m/>
    <n v="4.58"/>
    <m/>
    <m/>
    <m/>
    <m/>
    <m/>
    <m/>
    <m/>
    <n v="2.29"/>
    <m/>
    <n v="13.74"/>
  </r>
  <r>
    <n v="11"/>
    <x v="11"/>
    <x v="0"/>
    <n v="170780"/>
    <s v="SANCHEZ JAVIER EDUARDO"/>
    <s v="20-29388721-8"/>
    <n v="42710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ONROE"/>
    <n v="181"/>
    <m/>
    <m/>
    <s v="CAPITAL FEDERAL"/>
    <s v="Capital Federal"/>
    <m/>
    <s v="U.O.Centro"/>
    <m/>
    <n v="1"/>
    <n v="1"/>
    <n v="4132.0600000000004"/>
    <n v="826.41"/>
    <m/>
    <m/>
    <n v="3305.65"/>
    <m/>
    <n v="82.64"/>
    <m/>
    <m/>
    <m/>
    <m/>
    <m/>
    <m/>
    <n v="41.32"/>
    <m/>
    <m/>
    <m/>
    <m/>
    <m/>
    <m/>
    <n v="82.64"/>
    <m/>
    <m/>
    <m/>
    <m/>
    <m/>
    <m/>
    <m/>
    <n v="41.32"/>
    <n v="300"/>
    <n v="547.91999999999996"/>
  </r>
  <r>
    <n v="11"/>
    <x v="11"/>
    <x v="0"/>
    <n v="156459"/>
    <s v="SANCHEZ MABEL ROSANA"/>
    <s v="27-23606497-8"/>
    <n v="42710"/>
    <n v="23606497"/>
    <s v="SANCHEZ"/>
    <s v="MABEL ROSANA"/>
    <s v="F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AV CORRIENTES"/>
    <n v="1225"/>
    <m/>
    <m/>
    <s v="CAPITAL FEDERAL"/>
    <s v="Buenos Aires"/>
    <m/>
    <s v="U.O.Centro"/>
    <m/>
    <n v="2"/>
    <n v="1"/>
    <n v="1568.43"/>
    <n v="313.68"/>
    <m/>
    <m/>
    <n v="1254.75"/>
    <m/>
    <n v="31.37"/>
    <m/>
    <m/>
    <m/>
    <m/>
    <m/>
    <m/>
    <n v="15.68"/>
    <m/>
    <m/>
    <m/>
    <m/>
    <m/>
    <m/>
    <n v="31.37"/>
    <m/>
    <m/>
    <m/>
    <m/>
    <m/>
    <m/>
    <m/>
    <n v="15.68"/>
    <n v="300"/>
    <n v="394.1"/>
  </r>
  <r>
    <n v="11"/>
    <x v="11"/>
    <x v="0"/>
    <n v="164903"/>
    <s v="SANTO LEANDRO"/>
    <s v="20-39458602-2"/>
    <n v="42695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MERICA"/>
    <n v="1225"/>
    <m/>
    <m/>
    <s v="CAPITAL FEDERAL"/>
    <s v="Buenos Aires"/>
    <m/>
    <s v="U.O.Centro"/>
    <m/>
    <n v="1"/>
    <n v="1"/>
    <n v="2290.84"/>
    <n v="458.18"/>
    <m/>
    <m/>
    <n v="1832.66"/>
    <m/>
    <n v="45.82"/>
    <m/>
    <m/>
    <m/>
    <m/>
    <m/>
    <m/>
    <n v="22.91"/>
    <m/>
    <m/>
    <m/>
    <m/>
    <m/>
    <m/>
    <n v="45.82"/>
    <m/>
    <m/>
    <m/>
    <m/>
    <m/>
    <m/>
    <m/>
    <n v="22.91"/>
    <n v="300"/>
    <n v="437.46"/>
  </r>
  <r>
    <n v="11"/>
    <x v="11"/>
    <x v="0"/>
    <n v="183787"/>
    <s v="SANTOS ANTHONY MANEL"/>
    <s v="20-38444189-1"/>
    <n v="42710"/>
    <n v="38444189"/>
    <s v="SANTOS"/>
    <s v="ANTHONY MANEL"/>
    <s v="M"/>
    <m/>
    <d v="2016-11-3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RANGUREN"/>
    <n v="1005"/>
    <m/>
    <s v="c"/>
    <s v="CAPITAL FEDERAL"/>
    <s v="Capital Federal"/>
    <m/>
    <s v="U.O.Centro"/>
    <m/>
    <n v="1"/>
    <n v="1"/>
    <n v="1406.51"/>
    <n v="281.32"/>
    <m/>
    <m/>
    <n v="1125.19"/>
    <m/>
    <n v="28.13"/>
    <m/>
    <m/>
    <m/>
    <m/>
    <m/>
    <m/>
    <n v="14.07"/>
    <m/>
    <m/>
    <m/>
    <m/>
    <m/>
    <m/>
    <n v="28.13"/>
    <m/>
    <m/>
    <m/>
    <m/>
    <m/>
    <m/>
    <m/>
    <n v="14.07"/>
    <n v="300"/>
    <n v="384.4"/>
  </r>
  <r>
    <n v="11"/>
    <x v="11"/>
    <x v="0"/>
    <n v="183922"/>
    <s v="SARAVIA GABRIEL DANIEL"/>
    <s v="20-37539821-5"/>
    <n v="42710"/>
    <n v="37539821"/>
    <s v="SARAVIA"/>
    <s v="GABRIEL DANIEL"/>
    <s v="M"/>
    <m/>
    <d v="2016-11-30T00:00:00"/>
    <m/>
    <m/>
    <s v="GASTRONOMICOS-Hoteles 4 y 5 Estrellas - 362/2003"/>
    <s v="Auxiliar"/>
    <x v="17"/>
    <s v="Unidad Base-GL"/>
    <s v="San Isidro"/>
    <s v="Lavadores"/>
    <n v="108803"/>
    <s v="O.S.P.Gastronomico"/>
    <s v="Buenos Aires - Gran Buenos Aires"/>
    <m/>
    <n v="1648"/>
    <s v="PEDRO LEON GALLO"/>
    <n v="240"/>
    <m/>
    <m/>
    <s v="TIGRE"/>
    <s v="Buenos Aires"/>
    <m/>
    <s v="U.O.San Isidro"/>
    <m/>
    <n v="1"/>
    <n v="1"/>
    <n v="464.43"/>
    <n v="92.88"/>
    <m/>
    <m/>
    <n v="371.55"/>
    <m/>
    <n v="9.2899999999999991"/>
    <m/>
    <m/>
    <m/>
    <m/>
    <m/>
    <m/>
    <n v="4.6399999999999997"/>
    <m/>
    <m/>
    <m/>
    <m/>
    <m/>
    <m/>
    <n v="9.2899999999999991"/>
    <m/>
    <m/>
    <m/>
    <m/>
    <m/>
    <m/>
    <m/>
    <n v="4.6399999999999997"/>
    <n v="300"/>
    <n v="327.86"/>
  </r>
  <r>
    <n v="11"/>
    <x v="11"/>
    <x v="0"/>
    <n v="163422"/>
    <s v="SAUCEDO BETIANA MAGALI"/>
    <s v="23-38354831-4"/>
    <n v="42710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ANCIO C VIGIL"/>
    <n v="1225"/>
    <m/>
    <m/>
    <s v="CAPITAL FEDERAL"/>
    <s v="Buenos Aires"/>
    <m/>
    <s v="U.O.Centro"/>
    <m/>
    <n v="2"/>
    <n v="1"/>
    <n v="9163.39"/>
    <n v="1832.67"/>
    <m/>
    <m/>
    <n v="7330.72"/>
    <m/>
    <n v="183.27"/>
    <m/>
    <m/>
    <m/>
    <m/>
    <m/>
    <m/>
    <n v="91.63"/>
    <m/>
    <m/>
    <m/>
    <m/>
    <m/>
    <m/>
    <n v="183.27"/>
    <m/>
    <m/>
    <m/>
    <m/>
    <m/>
    <m/>
    <m/>
    <n v="91.63"/>
    <n v="300"/>
    <n v="849.8"/>
  </r>
  <r>
    <n v="11"/>
    <x v="11"/>
    <x v="0"/>
    <n v="157784"/>
    <s v="SAUCEDO MARCELA"/>
    <s v="27-33197318-7"/>
    <n v="42710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8857.830000000002"/>
    <n v="3865.85"/>
    <m/>
    <m/>
    <n v="14991.98"/>
    <n v="471.45"/>
    <m/>
    <m/>
    <m/>
    <m/>
    <m/>
    <m/>
    <m/>
    <n v="188.58"/>
    <m/>
    <m/>
    <m/>
    <m/>
    <m/>
    <m/>
    <n v="377.16"/>
    <m/>
    <m/>
    <m/>
    <m/>
    <m/>
    <m/>
    <m/>
    <n v="188.58"/>
    <n v="300"/>
    <n v="1525.77"/>
  </r>
  <r>
    <n v="11"/>
    <x v="11"/>
    <x v="0"/>
    <n v="172826"/>
    <s v="SENA GABRIEL FABIAN"/>
    <s v="20-34705676-7"/>
    <n v="42710"/>
    <n v="34705676"/>
    <s v="SENA"/>
    <s v="GABRIEL FABIAN"/>
    <s v="M"/>
    <m/>
    <d v="2016-05-09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1"/>
    <n v="1"/>
    <n v="16459.03"/>
    <n v="3291.8"/>
    <m/>
    <m/>
    <n v="13167.23"/>
    <m/>
    <n v="329.18"/>
    <m/>
    <m/>
    <m/>
    <m/>
    <m/>
    <m/>
    <n v="164.59"/>
    <m/>
    <m/>
    <m/>
    <m/>
    <m/>
    <m/>
    <n v="329.18"/>
    <m/>
    <m/>
    <m/>
    <m/>
    <m/>
    <m/>
    <m/>
    <n v="164.59"/>
    <n v="300"/>
    <n v="1287.54"/>
  </r>
  <r>
    <n v="11"/>
    <x v="11"/>
    <x v="0"/>
    <n v="182772"/>
    <s v="SERVIDIO FLORENCIA DANIELA"/>
    <s v="27-40496349-5"/>
    <n v="42710"/>
    <n v="40496349"/>
    <s v="SERVIDIO"/>
    <s v="FLORENCIA DANIELA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HUMBOL"/>
    <n v="240"/>
    <m/>
    <m/>
    <s v="TIGRE"/>
    <s v="Buenos Aires"/>
    <m/>
    <s v="U.O.San Isidro"/>
    <m/>
    <n v="1"/>
    <n v="1"/>
    <n v="1630.95"/>
    <n v="326.19"/>
    <m/>
    <m/>
    <n v="1304.76"/>
    <m/>
    <n v="32.619999999999997"/>
    <m/>
    <m/>
    <m/>
    <m/>
    <m/>
    <m/>
    <n v="16.309999999999999"/>
    <m/>
    <m/>
    <m/>
    <m/>
    <m/>
    <m/>
    <n v="32.619999999999997"/>
    <m/>
    <m/>
    <m/>
    <m/>
    <m/>
    <m/>
    <m/>
    <n v="16.309999999999999"/>
    <n v="300"/>
    <n v="397.86"/>
  </r>
  <r>
    <n v="11"/>
    <x v="11"/>
    <x v="0"/>
    <n v="183786"/>
    <s v="SILVA ROSARIO RAFAEL EDUARDO"/>
    <s v="20-95595382-8"/>
    <n v="42710"/>
    <n v="95595382"/>
    <s v="SILVA ROSARIO"/>
    <s v="RAFAEL EDUARDO"/>
    <s v="M"/>
    <m/>
    <d v="2016-11-3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HILE"/>
    <n v="1005"/>
    <n v="1"/>
    <m/>
    <s v="CAPITAL FEDERAL"/>
    <s v="Capital Federal"/>
    <m/>
    <s v="U.O.Centro"/>
    <m/>
    <n v="1"/>
    <n v="1"/>
    <n v="1298.78"/>
    <n v="259.76"/>
    <m/>
    <m/>
    <n v="1039.02"/>
    <m/>
    <n v="25.98"/>
    <m/>
    <m/>
    <m/>
    <m/>
    <m/>
    <m/>
    <n v="12.99"/>
    <m/>
    <m/>
    <m/>
    <m/>
    <m/>
    <m/>
    <n v="25.98"/>
    <m/>
    <m/>
    <m/>
    <m/>
    <m/>
    <m/>
    <m/>
    <n v="12.99"/>
    <n v="300"/>
    <n v="377.94"/>
  </r>
  <r>
    <n v="11"/>
    <x v="11"/>
    <x v="0"/>
    <n v="162176"/>
    <s v="SOMMA GABRIELA ALEJANDRA"/>
    <s v="27-31822042-0"/>
    <n v="42710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HACABUCO"/>
    <n v="1225"/>
    <m/>
    <m/>
    <s v="CAPITAL FEDERAL"/>
    <s v="Buenos Aires"/>
    <m/>
    <s v="U.O.Centro"/>
    <m/>
    <n v="2"/>
    <n v="1"/>
    <n v="9710.3700000000008"/>
    <n v="1942.08"/>
    <m/>
    <m/>
    <n v="7768.29"/>
    <m/>
    <n v="194.21"/>
    <m/>
    <m/>
    <m/>
    <m/>
    <m/>
    <m/>
    <n v="97.11"/>
    <m/>
    <m/>
    <m/>
    <m/>
    <m/>
    <m/>
    <n v="194.21"/>
    <m/>
    <m/>
    <m/>
    <m/>
    <m/>
    <m/>
    <m/>
    <n v="97.11"/>
    <n v="300"/>
    <n v="882.64"/>
  </r>
  <r>
    <n v="11"/>
    <x v="11"/>
    <x v="0"/>
    <n v="170437"/>
    <s v="SOSA BLANCA NIEVES"/>
    <s v="27-28474500-6"/>
    <n v="42710"/>
    <n v="28474500"/>
    <s v="SOSA"/>
    <s v="BLANCA NIEVES"/>
    <s v="F"/>
    <m/>
    <d v="2016-10-31T00:00:00"/>
    <m/>
    <m/>
    <s v="GASTRONOMICOS-Hoteles 4 y 5 Estrellas - 362/2003"/>
    <s v="Categoría 4"/>
    <x v="6"/>
    <s v="NUEVOS INGRESOS"/>
    <s v="Centro"/>
    <s v="Mucama"/>
    <n v="127505"/>
    <s v="O.S.Asoc.Emp.Faramacia"/>
    <s v="Capital Federal"/>
    <m/>
    <n v="1093"/>
    <s v="VIRGENES"/>
    <n v="1232"/>
    <m/>
    <m/>
    <s v="CAPITAL FEDERAL"/>
    <s v="Buenos Aires"/>
    <m/>
    <s v="U.O.Centro"/>
    <s v="Ama de Llaves"/>
    <n v="1"/>
    <n v="1"/>
    <n v="19535.439999999999"/>
    <n v="3907.08"/>
    <m/>
    <m/>
    <n v="15628.36"/>
    <m/>
    <n v="390.71"/>
    <m/>
    <m/>
    <m/>
    <m/>
    <m/>
    <m/>
    <n v="195.35"/>
    <m/>
    <m/>
    <m/>
    <m/>
    <m/>
    <m/>
    <n v="390.71"/>
    <m/>
    <m/>
    <m/>
    <m/>
    <m/>
    <m/>
    <m/>
    <n v="195.35"/>
    <n v="300"/>
    <n v="1472.12"/>
  </r>
  <r>
    <n v="11"/>
    <x v="11"/>
    <x v="0"/>
    <n v="171851"/>
    <s v="SOSA GUSTAVO MATIAS"/>
    <s v="20-39468142-4"/>
    <n v="42710"/>
    <n v="39468142"/>
    <s v="SOSA"/>
    <s v="GUSTAVO MATIAS"/>
    <s v="M"/>
    <m/>
    <d v="2016-04-16T00:00:00"/>
    <d v="2016-04-30T00:00:00"/>
    <n v="42580"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Pasco"/>
    <n v="507"/>
    <s v="PB"/>
    <n v="4"/>
    <s v="CAPITAL FEDERAL"/>
    <s v="Capital Federal"/>
    <m/>
    <s v="U.O.Centro"/>
    <m/>
    <n v="1"/>
    <n v="1"/>
    <n v="41.67"/>
    <n v="8.33"/>
    <m/>
    <m/>
    <n v="33.340000000000003"/>
    <m/>
    <n v="0.83"/>
    <m/>
    <m/>
    <m/>
    <m/>
    <m/>
    <m/>
    <n v="0.42"/>
    <m/>
    <m/>
    <m/>
    <m/>
    <m/>
    <m/>
    <n v="0.83"/>
    <m/>
    <m/>
    <m/>
    <m/>
    <m/>
    <m/>
    <m/>
    <n v="0.42"/>
    <m/>
    <n v="2.5"/>
  </r>
  <r>
    <n v="11"/>
    <x v="11"/>
    <x v="1"/>
    <n v="176592"/>
    <s v="SOSA LEANDRO DAVID"/>
    <s v="20-34984061-9"/>
    <n v="42703"/>
    <n v="34984061"/>
    <s v="SOSA"/>
    <s v="LEANDRO DAVID"/>
    <s v="M"/>
    <m/>
    <d v="2016-10-29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MATHEU"/>
    <n v="764"/>
    <n v="5"/>
    <m/>
    <s v="CAPITAL FEDERAL"/>
    <s v="Capital Federal"/>
    <m/>
    <s v="U.O.Centro"/>
    <m/>
    <n v="1"/>
    <n v="1"/>
    <n v="1756.15"/>
    <n v="351.22"/>
    <m/>
    <m/>
    <n v="1404.93"/>
    <m/>
    <n v="35.119999999999997"/>
    <m/>
    <m/>
    <m/>
    <m/>
    <m/>
    <m/>
    <n v="17.559999999999999"/>
    <n v="17.561500000000002"/>
    <m/>
    <m/>
    <m/>
    <m/>
    <m/>
    <n v="35.119999999999997"/>
    <m/>
    <m/>
    <m/>
    <m/>
    <m/>
    <m/>
    <m/>
    <n v="17.559999999999999"/>
    <n v="300"/>
    <n v="405.36"/>
  </r>
  <r>
    <n v="11"/>
    <x v="11"/>
    <x v="0"/>
    <n v="182897"/>
    <s v="SOTELO YAMIL ALEXIS"/>
    <s v="20-35792066-4"/>
    <n v="42710"/>
    <n v="35792066"/>
    <s v="SOTELO"/>
    <s v="YAMIL ALEXIS"/>
    <s v="M"/>
    <m/>
    <d v="2016-11-10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n v="879"/>
    <n v="1225"/>
    <m/>
    <m/>
    <s v="CAPITAL FEDERAL"/>
    <s v="Buenos Aires"/>
    <m/>
    <s v="U.O.Centro"/>
    <m/>
    <n v="1"/>
    <n v="1"/>
    <n v="2298.33"/>
    <n v="459.67"/>
    <m/>
    <m/>
    <n v="1838.66"/>
    <m/>
    <n v="45.97"/>
    <m/>
    <m/>
    <m/>
    <m/>
    <m/>
    <m/>
    <n v="22.98"/>
    <m/>
    <m/>
    <m/>
    <m/>
    <m/>
    <m/>
    <n v="45.97"/>
    <m/>
    <m/>
    <m/>
    <m/>
    <m/>
    <m/>
    <m/>
    <n v="22.98"/>
    <n v="300"/>
    <n v="437.9"/>
  </r>
  <r>
    <n v="11"/>
    <x v="11"/>
    <x v="1"/>
    <n v="93346"/>
    <s v="SOTO JAVIER EDUARDO"/>
    <s v="20-37676002-3"/>
    <n v="42710"/>
    <n v="37676002"/>
    <s v="SOTO"/>
    <s v="JAVIER EDUARDO"/>
    <s v="M"/>
    <m/>
    <d v="2016-04-01T00:00:00"/>
    <m/>
    <m/>
    <s v="GASTRONOMICOS-Hoteles 4 y 5 Estrellas - 362/2003"/>
    <s v="Categoria 1"/>
    <x v="11"/>
    <s v="Unidad Principal"/>
    <s v="Centro"/>
    <s v="Peón"/>
    <n v="108803"/>
    <s v="O.S.P.Gastronomico"/>
    <s v="Capital Federal"/>
    <m/>
    <s v="C1009ABK"/>
    <s v="ALVARADO"/>
    <n v="507"/>
    <m/>
    <m/>
    <s v="CAPITAL FEDERAL"/>
    <s v="Capital Federal"/>
    <m/>
    <s v="U.O.Centro Paga Inplant"/>
    <m/>
    <n v="5"/>
    <n v="1"/>
    <n v="17895.36"/>
    <n v="3579.09"/>
    <m/>
    <m/>
    <n v="14316.27"/>
    <m/>
    <n v="357.91"/>
    <m/>
    <m/>
    <m/>
    <m/>
    <m/>
    <m/>
    <n v="178.96"/>
    <n v="178.95360000000002"/>
    <m/>
    <m/>
    <m/>
    <m/>
    <m/>
    <n v="357.91"/>
    <n v="12.34"/>
    <n v="250"/>
    <m/>
    <m/>
    <m/>
    <m/>
    <m/>
    <n v="166.62"/>
    <n v="300"/>
    <n v="1623.74"/>
  </r>
  <r>
    <n v="11"/>
    <x v="11"/>
    <x v="0"/>
    <n v="155979"/>
    <s v="SOULE ROMINA SOLEDAD"/>
    <s v="23-34390010-4"/>
    <n v="42710"/>
    <n v="34390010"/>
    <s v="SOULE"/>
    <s v="ROMINA SOLEDAD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HACO"/>
    <n v="1225"/>
    <n v="1"/>
    <s v="A"/>
    <s v="CAPITAL FEDERAL"/>
    <s v="Buenos Aires"/>
    <m/>
    <s v="U.O.Centro"/>
    <m/>
    <n v="3"/>
    <n v="1"/>
    <n v="5959.33"/>
    <n v="1191.8499999999999"/>
    <m/>
    <m/>
    <n v="4767.4799999999996"/>
    <m/>
    <n v="119.18"/>
    <m/>
    <m/>
    <m/>
    <m/>
    <m/>
    <m/>
    <n v="59.59"/>
    <m/>
    <m/>
    <m/>
    <m/>
    <m/>
    <m/>
    <n v="119.18"/>
    <m/>
    <m/>
    <m/>
    <m/>
    <m/>
    <m/>
    <m/>
    <n v="59.59"/>
    <n v="300"/>
    <n v="657.54"/>
  </r>
  <r>
    <n v="11"/>
    <x v="11"/>
    <x v="0"/>
    <n v="162209"/>
    <s v="STOCKL BRENDA JENNIFER"/>
    <s v="27-37769971-3"/>
    <n v="42710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ORENZENI Y SARMIENTO"/>
    <n v="1225"/>
    <s v="PB"/>
    <n v="3"/>
    <s v="CAPITAL FEDERAL"/>
    <s v="Buenos Aires"/>
    <m/>
    <s v="U.O.Centro"/>
    <m/>
    <n v="2"/>
    <n v="1"/>
    <n v="16183.95"/>
    <n v="3236.79"/>
    <m/>
    <m/>
    <n v="12947.16"/>
    <m/>
    <n v="323.68"/>
    <m/>
    <m/>
    <m/>
    <m/>
    <m/>
    <m/>
    <n v="161.84"/>
    <m/>
    <m/>
    <m/>
    <m/>
    <m/>
    <m/>
    <n v="323.68"/>
    <m/>
    <m/>
    <m/>
    <m/>
    <m/>
    <m/>
    <m/>
    <n v="161.84"/>
    <n v="300"/>
    <n v="1271.04"/>
  </r>
  <r>
    <n v="11"/>
    <x v="11"/>
    <x v="0"/>
    <n v="182151"/>
    <s v="SUAREZ REYNOSO MARIANA"/>
    <s v="27-25561647-7"/>
    <n v="42710"/>
    <n v="25561647"/>
    <s v="SUAREZ REYNOSO"/>
    <s v="MARIANA"/>
    <s v="F"/>
    <m/>
    <d v="2016-10-27T00:00:00"/>
    <d v="2016-11-21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INCON"/>
    <n v="1225"/>
    <n v="8"/>
    <s v="A"/>
    <s v="CAPITAL FEDERAL"/>
    <s v="Buenos Aires"/>
    <m/>
    <s v="U.O.Centro"/>
    <m/>
    <n v="2"/>
    <n v="1"/>
    <n v="2749"/>
    <n v="549.79999999999995"/>
    <m/>
    <m/>
    <n v="2199.1999999999998"/>
    <m/>
    <n v="54.98"/>
    <m/>
    <m/>
    <m/>
    <m/>
    <m/>
    <m/>
    <n v="27.49"/>
    <m/>
    <m/>
    <m/>
    <m/>
    <m/>
    <m/>
    <n v="54.98"/>
    <m/>
    <m/>
    <m/>
    <m/>
    <m/>
    <m/>
    <m/>
    <n v="27.49"/>
    <n v="300"/>
    <n v="464.94"/>
  </r>
  <r>
    <n v="11"/>
    <x v="11"/>
    <x v="0"/>
    <n v="182769"/>
    <s v="SVOBODA FLORENCIA BELEN"/>
    <s v="27-37915431-5"/>
    <n v="42710"/>
    <n v="37915431"/>
    <s v="SVOBODA"/>
    <s v="FLORENCIA BELEN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SERRANO"/>
    <n v="240"/>
    <m/>
    <m/>
    <s v="TIGRE"/>
    <s v="Buenos Aires"/>
    <m/>
    <s v="U.O.San Isidro"/>
    <m/>
    <n v="1"/>
    <n v="1"/>
    <n v="6156.86"/>
    <n v="1231.3800000000001"/>
    <m/>
    <m/>
    <n v="4925.4799999999996"/>
    <m/>
    <n v="123.14"/>
    <m/>
    <m/>
    <m/>
    <m/>
    <m/>
    <m/>
    <n v="61.57"/>
    <m/>
    <m/>
    <m/>
    <m/>
    <m/>
    <m/>
    <n v="123.14"/>
    <m/>
    <m/>
    <m/>
    <m/>
    <m/>
    <m/>
    <m/>
    <n v="61.57"/>
    <n v="300"/>
    <n v="669.42"/>
  </r>
  <r>
    <n v="11"/>
    <x v="11"/>
    <x v="0"/>
    <n v="162177"/>
    <s v="SZYCHOWSKI WALTER TADEO"/>
    <s v="23-20698069-9"/>
    <n v="42710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GDALENA"/>
    <n v="1225"/>
    <s v="PB"/>
    <m/>
    <s v="CAPITAL FEDERAL"/>
    <s v="Buenos Aires"/>
    <m/>
    <s v="U.O.Centro"/>
    <m/>
    <n v="2"/>
    <n v="1"/>
    <n v="1849.6"/>
    <n v="369.92"/>
    <m/>
    <m/>
    <n v="1479.68"/>
    <m/>
    <n v="37"/>
    <m/>
    <m/>
    <m/>
    <m/>
    <m/>
    <m/>
    <n v="18.5"/>
    <m/>
    <m/>
    <m/>
    <m/>
    <m/>
    <m/>
    <n v="37"/>
    <m/>
    <m/>
    <m/>
    <m/>
    <m/>
    <m/>
    <m/>
    <n v="18.5"/>
    <n v="300"/>
    <n v="411"/>
  </r>
  <r>
    <n v="11"/>
    <x v="11"/>
    <x v="1"/>
    <n v="177494"/>
    <s v="TABORDA JUAN PABLO"/>
    <s v="20-29711251-2"/>
    <n v="42703"/>
    <n v="29711251"/>
    <s v="TABORDA"/>
    <s v="JUAN PABL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STAÑARES"/>
    <n v="764"/>
    <n v="8"/>
    <n v="5"/>
    <s v="CAPITAL FEDERAL"/>
    <s v="Capital Federal"/>
    <m/>
    <s v="U.O.Centro"/>
    <m/>
    <n v="1"/>
    <n v="1"/>
    <n v="15117.33"/>
    <n v="3023.47"/>
    <m/>
    <m/>
    <n v="12093.86"/>
    <m/>
    <n v="302.35000000000002"/>
    <m/>
    <m/>
    <m/>
    <m/>
    <m/>
    <m/>
    <n v="151.16999999999999"/>
    <n v="151.17330000000001"/>
    <m/>
    <m/>
    <m/>
    <m/>
    <m/>
    <n v="302.35000000000002"/>
    <m/>
    <m/>
    <m/>
    <m/>
    <m/>
    <m/>
    <m/>
    <n v="151.16999999999999"/>
    <n v="300"/>
    <n v="1207.04"/>
  </r>
  <r>
    <n v="11"/>
    <x v="11"/>
    <x v="0"/>
    <n v="183562"/>
    <s v="TEJEDOR MARIA MERCEDES"/>
    <s v="27-29391900-9"/>
    <n v="42710"/>
    <n v="29391900"/>
    <s v="TEJEDOR"/>
    <s v="MARIA MERCEDES"/>
    <s v="F"/>
    <m/>
    <d v="2016-11-24T00:00:00"/>
    <m/>
    <m/>
    <s v="GASTRONOMICOS-Hoteles 4 y 5 Estrellas - 362/2003"/>
    <s v="Mozo"/>
    <x v="17"/>
    <s v="Unidad Base-GL"/>
    <s v="San Isidro"/>
    <s v="Mozo Eventos"/>
    <n v="101604"/>
    <s v="O.S.P.Automovil Club Argentino*"/>
    <s v="Buenos Aires - Gran Buenos Aires"/>
    <m/>
    <n v="1648"/>
    <s v="AGUERO"/>
    <n v="240"/>
    <m/>
    <m/>
    <s v="TIGRE"/>
    <s v="Buenos Aires"/>
    <m/>
    <s v="U.O.San Isidro"/>
    <m/>
    <n v="1"/>
    <n v="1"/>
    <n v="693.16"/>
    <n v="138.62"/>
    <m/>
    <m/>
    <n v="554.54"/>
    <m/>
    <n v="13.86"/>
    <m/>
    <m/>
    <m/>
    <m/>
    <m/>
    <m/>
    <n v="6.93"/>
    <m/>
    <m/>
    <m/>
    <m/>
    <m/>
    <m/>
    <n v="13.86"/>
    <m/>
    <m/>
    <m/>
    <m/>
    <m/>
    <m/>
    <m/>
    <n v="6.93"/>
    <n v="300"/>
    <n v="341.58"/>
  </r>
  <r>
    <n v="11"/>
    <x v="11"/>
    <x v="0"/>
    <n v="182580"/>
    <s v="THOMAS MANUELA ANTONELLA"/>
    <s v="27-31894749-5"/>
    <n v="42710"/>
    <n v="31894749"/>
    <s v="THOMAS"/>
    <s v="MANUELA ANTONELLA"/>
    <s v="F"/>
    <m/>
    <d v="2016-11-07T00:00:00"/>
    <d v="2016-11-2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RODOLFO COLLET"/>
    <n v="1225"/>
    <s v="PB"/>
    <m/>
    <s v="CAPITAL FEDERAL"/>
    <s v="Buenos Aires"/>
    <m/>
    <s v="U.O.Centro"/>
    <m/>
    <n v="3"/>
    <n v="1"/>
    <n v="4578.97"/>
    <n v="915.81"/>
    <m/>
    <m/>
    <n v="3663.16"/>
    <m/>
    <n v="91.58"/>
    <m/>
    <m/>
    <m/>
    <m/>
    <m/>
    <m/>
    <n v="45.8"/>
    <m/>
    <m/>
    <m/>
    <m/>
    <m/>
    <m/>
    <n v="91.58"/>
    <m/>
    <m/>
    <m/>
    <m/>
    <m/>
    <m/>
    <m/>
    <n v="45.8"/>
    <n v="300"/>
    <n v="574.76"/>
  </r>
  <r>
    <n v="11"/>
    <x v="11"/>
    <x v="0"/>
    <n v="181435"/>
    <s v="TOLEDO KEVIN AYRTON"/>
    <s v="20-40955765-2"/>
    <n v="42710"/>
    <n v="40955765"/>
    <s v="TOLEDO"/>
    <s v="KEVIN AYRTON"/>
    <s v="M"/>
    <m/>
    <d v="2016-10-16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LARGUIA"/>
    <n v="1225"/>
    <m/>
    <m/>
    <s v="CAPITAL FEDERAL"/>
    <s v="Buenos Aires"/>
    <m/>
    <s v="U.O.Pilar"/>
    <m/>
    <n v="2"/>
    <n v="1"/>
    <n v="11702.31"/>
    <n v="2340.46"/>
    <m/>
    <m/>
    <n v="9361.85"/>
    <m/>
    <n v="234.04"/>
    <m/>
    <m/>
    <m/>
    <m/>
    <m/>
    <m/>
    <n v="117.02"/>
    <m/>
    <m/>
    <m/>
    <m/>
    <m/>
    <m/>
    <n v="234.04"/>
    <m/>
    <m/>
    <m/>
    <m/>
    <m/>
    <m/>
    <m/>
    <n v="117.02"/>
    <n v="300"/>
    <n v="1002.12"/>
  </r>
  <r>
    <n v="11"/>
    <x v="11"/>
    <x v="1"/>
    <n v="182893"/>
    <s v="TOLEDO MIRTA GRACIELA"/>
    <s v="27-25320553-4"/>
    <n v="42703"/>
    <n v="25320553"/>
    <s v="TOLEDO"/>
    <s v="MIRTA GRACIELA"/>
    <s v="F"/>
    <m/>
    <d v="2016-11-12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ASUNCION"/>
    <n v="764"/>
    <m/>
    <m/>
    <s v="CAPITAL FEDERAL"/>
    <s v="Capital Federal"/>
    <m/>
    <s v="U.O.Centro"/>
    <m/>
    <n v="1"/>
    <n v="1"/>
    <n v="8638.31"/>
    <n v="1727.66"/>
    <m/>
    <m/>
    <n v="6910.65"/>
    <m/>
    <n v="172.77"/>
    <m/>
    <m/>
    <m/>
    <m/>
    <m/>
    <m/>
    <n v="86.38"/>
    <n v="86.383099999999999"/>
    <m/>
    <m/>
    <m/>
    <m/>
    <m/>
    <n v="172.77"/>
    <m/>
    <m/>
    <m/>
    <m/>
    <m/>
    <m/>
    <m/>
    <n v="86.38"/>
    <n v="300"/>
    <n v="818.3"/>
  </r>
  <r>
    <n v="11"/>
    <x v="11"/>
    <x v="0"/>
    <n v="170180"/>
    <s v="TORRES FERNANDO"/>
    <s v="23-36164521-9"/>
    <n v="42710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ICARDO ROJAS"/>
    <n v="265"/>
    <m/>
    <m/>
    <s v="CAPITAL FEDERAL"/>
    <s v="Capital Federal"/>
    <m/>
    <s v="U.O.Centro"/>
    <s v="Ayudantes"/>
    <n v="2"/>
    <n v="1"/>
    <n v="10349.19"/>
    <n v="2069.84"/>
    <m/>
    <m/>
    <n v="8279.35"/>
    <m/>
    <n v="206.98"/>
    <m/>
    <m/>
    <m/>
    <m/>
    <m/>
    <m/>
    <n v="103.49"/>
    <m/>
    <m/>
    <m/>
    <m/>
    <m/>
    <m/>
    <n v="206.98"/>
    <m/>
    <m/>
    <m/>
    <m/>
    <m/>
    <m/>
    <m/>
    <n v="103.49"/>
    <n v="300"/>
    <n v="920.94"/>
  </r>
  <r>
    <n v="11"/>
    <x v="11"/>
    <x v="0"/>
    <n v="165154"/>
    <s v="TORTORA ERIK"/>
    <s v="20-93621325-2"/>
    <n v="42710"/>
    <n v="93621325"/>
    <s v="TORTORA"/>
    <s v="ERIK"/>
    <s v="M"/>
    <m/>
    <d v="2016-01-04T00:00:00"/>
    <d v="2016-03-16T00:00:00"/>
    <n v="42445"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SOR JUANA INES DE LA CRUZ"/>
    <n v="507"/>
    <m/>
    <m/>
    <s v="CAPITAL FEDERAL"/>
    <s v="Capital Federal"/>
    <m/>
    <s v="U.O.Centro"/>
    <m/>
    <n v="1"/>
    <n v="1"/>
    <n v="37.5"/>
    <n v="7.52"/>
    <m/>
    <m/>
    <n v="29.98"/>
    <m/>
    <n v="0.75"/>
    <m/>
    <m/>
    <m/>
    <m/>
    <m/>
    <m/>
    <n v="0.38"/>
    <m/>
    <m/>
    <m/>
    <m/>
    <m/>
    <m/>
    <n v="0.75"/>
    <m/>
    <m/>
    <m/>
    <m/>
    <m/>
    <m/>
    <m/>
    <n v="0.38"/>
    <m/>
    <n v="2.2599999999999998"/>
  </r>
  <r>
    <n v="11"/>
    <x v="11"/>
    <x v="0"/>
    <n v="170203"/>
    <s v="TOTARO ALEJANDRO EZEQUIEL"/>
    <s v="20-34309566-0"/>
    <n v="42710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MATANZA"/>
    <n v="1225"/>
    <m/>
    <m/>
    <s v="CAPITAL FEDERAL"/>
    <s v="Buenos Aires"/>
    <m/>
    <s v="U.O.Centro"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11"/>
    <x v="0"/>
    <n v="177439"/>
    <s v="TRINIDAD LAURA ANTONELLA"/>
    <s v="27-35958277-9"/>
    <n v="42710"/>
    <n v="35958277"/>
    <s v="TRINIDAD"/>
    <s v="LAURA ANTONELL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EDRO CHUTRO"/>
    <n v="1005"/>
    <n v="4"/>
    <m/>
    <s v="CAPITAL FEDERAL"/>
    <s v="Capital Federal"/>
    <m/>
    <s v="U.O.Centro"/>
    <m/>
    <n v="2"/>
    <n v="1"/>
    <n v="6122.22"/>
    <n v="1224.46"/>
    <m/>
    <m/>
    <n v="4897.76"/>
    <m/>
    <n v="122.45"/>
    <m/>
    <m/>
    <m/>
    <m/>
    <m/>
    <m/>
    <n v="61.22"/>
    <m/>
    <m/>
    <m/>
    <m/>
    <m/>
    <m/>
    <n v="122.45"/>
    <m/>
    <m/>
    <m/>
    <m/>
    <m/>
    <m/>
    <m/>
    <n v="61.22"/>
    <n v="300"/>
    <n v="667.34"/>
  </r>
  <r>
    <n v="11"/>
    <x v="11"/>
    <x v="0"/>
    <n v="180196"/>
    <s v="TRIPI LAURA EDITH"/>
    <s v="27-31725330-9"/>
    <n v="42710"/>
    <n v="31725330"/>
    <s v="TRIPI"/>
    <s v="LAURA EDITH"/>
    <s v="F"/>
    <m/>
    <d v="2016-11-20T00:00:00"/>
    <m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s v="C1070AAE"/>
    <s v="AV. BEIRO"/>
    <n v="265"/>
    <n v="3"/>
    <s v="E"/>
    <s v="CAPITAL FEDERAL"/>
    <s v="Capital Federal"/>
    <m/>
    <s v="U.O.Centro"/>
    <m/>
    <n v="1"/>
    <n v="1"/>
    <n v="1057.4000000000001"/>
    <n v="211.47"/>
    <m/>
    <m/>
    <n v="845.93"/>
    <m/>
    <n v="21.15"/>
    <m/>
    <m/>
    <m/>
    <m/>
    <m/>
    <m/>
    <n v="10.57"/>
    <m/>
    <m/>
    <m/>
    <m/>
    <m/>
    <m/>
    <n v="21.15"/>
    <m/>
    <m/>
    <m/>
    <m/>
    <m/>
    <m/>
    <m/>
    <n v="10.57"/>
    <n v="300"/>
    <n v="363.44"/>
  </r>
  <r>
    <n v="11"/>
    <x v="11"/>
    <x v="1"/>
    <n v="170492"/>
    <s v="VALIENTE MARIA NAZARENA"/>
    <s v="27-23700239-9"/>
    <n v="42710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1"/>
    <n v="1"/>
    <n v="9890.16"/>
    <n v="1978.02"/>
    <m/>
    <m/>
    <n v="7912.14"/>
    <m/>
    <n v="197.8"/>
    <m/>
    <m/>
    <m/>
    <m/>
    <m/>
    <m/>
    <n v="98.9"/>
    <n v="98.901600000000002"/>
    <m/>
    <m/>
    <m/>
    <m/>
    <m/>
    <n v="197.8"/>
    <m/>
    <m/>
    <m/>
    <m/>
    <m/>
    <m/>
    <m/>
    <n v="98.9"/>
    <n v="300"/>
    <n v="893.4"/>
  </r>
  <r>
    <n v="11"/>
    <x v="11"/>
    <x v="0"/>
    <n v="163376"/>
    <s v="VARGAS BENITEZ KARINA LUJAN"/>
    <s v="27-37354725-0"/>
    <n v="42710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EPUBLICA DE CUBA"/>
    <n v="1225"/>
    <m/>
    <m/>
    <s v="CAPITAL FEDERAL"/>
    <s v="Buenos Aires"/>
    <m/>
    <s v="U.O.Quilmes"/>
    <m/>
    <n v="2"/>
    <n v="1"/>
    <n v="10079.73"/>
    <n v="2015.96"/>
    <m/>
    <m/>
    <n v="8063.77"/>
    <m/>
    <n v="201.59"/>
    <m/>
    <m/>
    <m/>
    <m/>
    <m/>
    <m/>
    <n v="100.8"/>
    <m/>
    <m/>
    <m/>
    <m/>
    <m/>
    <m/>
    <n v="201.59"/>
    <m/>
    <m/>
    <m/>
    <m/>
    <m/>
    <m/>
    <m/>
    <n v="100.8"/>
    <n v="300"/>
    <n v="904.78"/>
  </r>
  <r>
    <n v="11"/>
    <x v="11"/>
    <x v="1"/>
    <n v="177469"/>
    <s v="VAZQUEZ KARINA BEATRIZ"/>
    <s v="27-29039265-4"/>
    <n v="42710"/>
    <n v="29039265"/>
    <s v="VAZQUEZ"/>
    <s v="KARINA BEATRIZ"/>
    <s v="F"/>
    <m/>
    <d v="2016-10-20T00:00:00"/>
    <m/>
    <m/>
    <s v="GASTRONOMICOS-Hoteles 4 y 5 Estrellas - 362/2003"/>
    <s v="Categoria 5"/>
    <x v="3"/>
    <s v="Unidad Principal"/>
    <s v="Centro"/>
    <s v="Tareas Generales"/>
    <n v="113809"/>
    <s v="OS  DE COMISARIOS NAVALES"/>
    <s v="Capital Federal"/>
    <m/>
    <s v="C1002ABO"/>
    <s v="9 DE JULIO"/>
    <n v="764"/>
    <n v="1"/>
    <m/>
    <s v="CAPITAL FEDERAL"/>
    <s v="Capital Federal"/>
    <m/>
    <s v="U.O.Centro"/>
    <m/>
    <n v="1"/>
    <n v="1"/>
    <n v="48.81"/>
    <n v="9.76"/>
    <m/>
    <m/>
    <n v="39.049999999999997"/>
    <m/>
    <n v="0.98"/>
    <m/>
    <m/>
    <m/>
    <m/>
    <m/>
    <m/>
    <n v="0.49"/>
    <n v="0.48810000000000003"/>
    <m/>
    <m/>
    <m/>
    <m/>
    <m/>
    <n v="0.98"/>
    <m/>
    <m/>
    <m/>
    <m/>
    <m/>
    <m/>
    <m/>
    <n v="0.49"/>
    <n v="300"/>
    <n v="302.94"/>
  </r>
  <r>
    <n v="11"/>
    <x v="11"/>
    <x v="0"/>
    <n v="140009"/>
    <s v="VEGA JUAN JOSE"/>
    <s v="20-34339212-6"/>
    <n v="42710"/>
    <n v="34339212"/>
    <s v="VEGA"/>
    <s v="JUAN JOSE"/>
    <s v="M"/>
    <m/>
    <d v="2016-08-2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PRUDAN"/>
    <n v="1225"/>
    <n v="5"/>
    <n v="5"/>
    <s v="CAPITAL FEDERAL"/>
    <s v="Buenos Aires"/>
    <m/>
    <s v="U.O.Centro"/>
    <m/>
    <n v="3"/>
    <n v="1"/>
    <n v="14191.77"/>
    <n v="2909.32"/>
    <m/>
    <m/>
    <n v="11282.45"/>
    <n v="354.8"/>
    <m/>
    <m/>
    <m/>
    <m/>
    <m/>
    <m/>
    <m/>
    <n v="141.91999999999999"/>
    <m/>
    <m/>
    <m/>
    <m/>
    <m/>
    <m/>
    <n v="283.83"/>
    <m/>
    <m/>
    <m/>
    <m/>
    <m/>
    <m/>
    <m/>
    <n v="141.91999999999999"/>
    <n v="300"/>
    <n v="1222.47"/>
  </r>
  <r>
    <n v="11"/>
    <x v="11"/>
    <x v="0"/>
    <n v="176107"/>
    <s v="VEGA MARIANO EMANUEL"/>
    <s v="20-36845666-8"/>
    <n v="42710"/>
    <n v="36845666"/>
    <s v="VEGA"/>
    <s v="MARIANO EMANUEL"/>
    <s v="M"/>
    <m/>
    <d v="2016-07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DRE CARLOS MUGICA"/>
    <n v="1225"/>
    <m/>
    <m/>
    <s v="CAPITAL FEDERAL"/>
    <s v="Buenos Aires"/>
    <m/>
    <s v="U.O.Centro"/>
    <m/>
    <n v="1"/>
    <n v="1"/>
    <n v="3274.22"/>
    <n v="654.84"/>
    <m/>
    <m/>
    <n v="2619.38"/>
    <m/>
    <n v="65.48"/>
    <m/>
    <m/>
    <m/>
    <m/>
    <m/>
    <m/>
    <n v="32.74"/>
    <m/>
    <m/>
    <m/>
    <m/>
    <m/>
    <m/>
    <n v="65.48"/>
    <m/>
    <m/>
    <m/>
    <m/>
    <m/>
    <m/>
    <m/>
    <n v="32.74"/>
    <n v="300"/>
    <n v="496.44"/>
  </r>
  <r>
    <n v="11"/>
    <x v="11"/>
    <x v="0"/>
    <n v="174627"/>
    <s v="VEGA RAMONA CAROLINA"/>
    <s v="27-92893847-1"/>
    <n v="42710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MARGARITA WEILD"/>
    <n v="1225"/>
    <n v="7"/>
    <s v="A"/>
    <s v="CAPITAL FEDERAL"/>
    <s v="Buenos Aires"/>
    <m/>
    <s v="U.O.Centro"/>
    <m/>
    <n v="2"/>
    <n v="1"/>
    <n v="11546.92"/>
    <n v="2309.36"/>
    <m/>
    <m/>
    <n v="9237.56"/>
    <m/>
    <n v="230.94"/>
    <m/>
    <m/>
    <m/>
    <m/>
    <m/>
    <m/>
    <n v="115.46"/>
    <m/>
    <m/>
    <m/>
    <m/>
    <m/>
    <m/>
    <n v="230.94"/>
    <m/>
    <m/>
    <m/>
    <m/>
    <m/>
    <m/>
    <m/>
    <n v="115.46"/>
    <n v="300"/>
    <n v="992.8"/>
  </r>
  <r>
    <n v="11"/>
    <x v="11"/>
    <x v="0"/>
    <n v="182166"/>
    <s v="VELASQUEZ MIRIAM NELIDA"/>
    <s v="27-24009533-0"/>
    <n v="42710"/>
    <n v="24009533"/>
    <s v="VELASQUEZ"/>
    <s v="MIRIAM NELIDA"/>
    <s v="F"/>
    <m/>
    <d v="2016-10-30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BOLIVAR"/>
    <n v="1225"/>
    <n v="4"/>
    <s v="D4"/>
    <s v="CAPITAL FEDERAL"/>
    <s v="Buenos Aires"/>
    <m/>
    <s v="U.O.Centro"/>
    <m/>
    <n v="2"/>
    <n v="1"/>
    <n v="8660.2000000000007"/>
    <n v="1732.02"/>
    <m/>
    <m/>
    <n v="6928.18"/>
    <m/>
    <n v="173.2"/>
    <m/>
    <m/>
    <m/>
    <m/>
    <m/>
    <m/>
    <n v="86.6"/>
    <m/>
    <m/>
    <m/>
    <m/>
    <m/>
    <m/>
    <n v="173.2"/>
    <m/>
    <m/>
    <m/>
    <m/>
    <m/>
    <m/>
    <m/>
    <n v="86.6"/>
    <n v="300"/>
    <n v="819.6"/>
  </r>
  <r>
    <n v="11"/>
    <x v="11"/>
    <x v="0"/>
    <n v="143424"/>
    <s v="VELASQUEZ NESTOR IGNACIO"/>
    <s v="20-30830390-0"/>
    <n v="42710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OMANELLA"/>
    <n v="265"/>
    <m/>
    <m/>
    <s v="CAPITAL FEDERAL"/>
    <s v="Capital Federal"/>
    <m/>
    <s v="U.O.Centro"/>
    <s v="Ayudantes"/>
    <n v="2"/>
    <n v="1"/>
    <n v="15523.8"/>
    <n v="3182.37"/>
    <m/>
    <m/>
    <n v="12341.43"/>
    <n v="388.1"/>
    <m/>
    <m/>
    <m/>
    <m/>
    <m/>
    <m/>
    <m/>
    <n v="155.22999999999999"/>
    <m/>
    <m/>
    <m/>
    <m/>
    <m/>
    <m/>
    <n v="310.48"/>
    <m/>
    <m/>
    <m/>
    <m/>
    <m/>
    <m/>
    <m/>
    <n v="155.22999999999999"/>
    <n v="300"/>
    <n v="1309.04"/>
  </r>
  <r>
    <n v="11"/>
    <x v="11"/>
    <x v="0"/>
    <n v="169885"/>
    <s v="VELAZQUEZ NOELIA"/>
    <s v="27-28814358-2"/>
    <n v="42710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15288.6"/>
    <n v="3057.73"/>
    <m/>
    <m/>
    <n v="12230.87"/>
    <m/>
    <n v="305.77"/>
    <m/>
    <m/>
    <m/>
    <m/>
    <m/>
    <m/>
    <n v="152.88999999999999"/>
    <m/>
    <m/>
    <m/>
    <m/>
    <m/>
    <m/>
    <n v="305.77"/>
    <m/>
    <m/>
    <m/>
    <m/>
    <m/>
    <m/>
    <m/>
    <n v="152.88999999999999"/>
    <n v="300"/>
    <n v="1217.32"/>
  </r>
  <r>
    <n v="11"/>
    <x v="11"/>
    <x v="0"/>
    <n v="183731"/>
    <s v="VELAZQUEZ VERONICA VANESA"/>
    <s v="27-30642482-9"/>
    <n v="42710"/>
    <n v="30642482"/>
    <s v="VELAZQUEZ"/>
    <s v="VERONICA VANESA"/>
    <s v="F"/>
    <m/>
    <d v="2016-11-21T00:00:00"/>
    <m/>
    <m/>
    <s v="GASTRONOMICOS-Hoteles 4 y 5 Estrellas - 362/2003"/>
    <s v="Categoria 6"/>
    <x v="5"/>
    <s v="Mozos / camareros - GL"/>
    <s v="Centro"/>
    <s v="Tareas Generales"/>
    <n v="406"/>
    <s v="O.S.P.Org.Ctrl.Externo"/>
    <s v="Capital Federal"/>
    <m/>
    <s v="C1104AKC"/>
    <s v="GORRITI"/>
    <n v="1225"/>
    <s v="PB"/>
    <n v="2"/>
    <s v="CAPITAL FEDERAL"/>
    <s v="Buenos Aires"/>
    <m/>
    <s v="U.O.Avellaneda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n v="300"/>
    <n v="354.98"/>
  </r>
  <r>
    <n v="11"/>
    <x v="11"/>
    <x v="0"/>
    <n v="172595"/>
    <s v="VERA GUILLERMO EDUARDO"/>
    <s v="23-28162145-9"/>
    <n v="42710"/>
    <n v="28162145"/>
    <s v="VERA"/>
    <s v="GUILLERMO EDUARDO"/>
    <s v="M"/>
    <m/>
    <d v="2016-05-05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LUIS MARIA CAMPOS"/>
    <n v="1005"/>
    <m/>
    <m/>
    <s v="CAPITAL FEDERAL"/>
    <s v="Capital Federal"/>
    <m/>
    <s v="U.O.Centro"/>
    <m/>
    <n v="2"/>
    <n v="1"/>
    <n v="9042.7800000000007"/>
    <n v="1853.78"/>
    <m/>
    <m/>
    <n v="7189"/>
    <n v="226.07"/>
    <m/>
    <m/>
    <m/>
    <m/>
    <m/>
    <m/>
    <m/>
    <n v="90.43"/>
    <m/>
    <m/>
    <m/>
    <m/>
    <m/>
    <m/>
    <n v="180.86"/>
    <m/>
    <m/>
    <m/>
    <m/>
    <m/>
    <m/>
    <m/>
    <n v="90.43"/>
    <n v="300"/>
    <n v="887.79"/>
  </r>
  <r>
    <n v="11"/>
    <x v="11"/>
    <x v="0"/>
    <n v="179327"/>
    <s v="VERA JUAN MATIAS"/>
    <s v="20-32101122-6"/>
    <n v="42710"/>
    <n v="32101122"/>
    <s v="VERA"/>
    <s v="JUAN MATIAS"/>
    <s v="M"/>
    <m/>
    <d v="2016-09-25T00:00:00"/>
    <m/>
    <m/>
    <s v="GASTRONOMICOS-Hoteles 4 y 5 Estrellas - 362/2003"/>
    <s v="Categoria 2"/>
    <x v="5"/>
    <s v="Medio Oficial de lavanderia - GL"/>
    <s v="Centro"/>
    <s v="Medio Oficial de lavandería"/>
    <n v="127406"/>
    <s v="O.S.Obreros y empleados tintoreros, sombrerero y lavanderos"/>
    <s v="Capital Federal"/>
    <m/>
    <s v="C1104AKC"/>
    <s v="CALLE 333 BIS"/>
    <n v="1225"/>
    <m/>
    <m/>
    <s v="CAPITAL FEDERAL"/>
    <s v="Buenos Aires"/>
    <m/>
    <s v="U.O.Centro"/>
    <m/>
    <n v="3"/>
    <n v="1"/>
    <n v="12701.6"/>
    <n v="2540.3000000000002"/>
    <m/>
    <m/>
    <n v="10161.299999999999"/>
    <m/>
    <n v="254.04"/>
    <m/>
    <m/>
    <m/>
    <m/>
    <m/>
    <m/>
    <n v="127.01"/>
    <m/>
    <m/>
    <m/>
    <m/>
    <m/>
    <m/>
    <n v="254.04"/>
    <m/>
    <m/>
    <m/>
    <m/>
    <m/>
    <m/>
    <m/>
    <n v="127.01"/>
    <n v="300"/>
    <n v="1062.0999999999999"/>
  </r>
  <r>
    <n v="11"/>
    <x v="11"/>
    <x v="0"/>
    <n v="47397"/>
    <s v="VERA SANTIAGO DAVID"/>
    <s v="20-31462416-6"/>
    <n v="42705"/>
    <n v="31462416"/>
    <s v="VERA"/>
    <s v="SANTIAGO DAVID"/>
    <s v="F"/>
    <m/>
    <d v="2016-10-23T00:00:00"/>
    <m/>
    <m/>
    <s v="GASTRONOMICOS-Hoteles 4 y 5 Estrellas - 362/2003"/>
    <s v="Categoria 1"/>
    <x v="5"/>
    <s v="Áreas Públicas - GL"/>
    <s v="Centro"/>
    <s v="Áreas Públicas"/>
    <n v="121705"/>
    <s v="OS  DEL PERSONAL DE LA ACTIVIDAD DEL TURF"/>
    <s v="Capital Federal"/>
    <m/>
    <s v="C1104AKC"/>
    <s v="GOB ARIAS"/>
    <n v="1225"/>
    <m/>
    <m/>
    <s v="CAPITAL FEDERAL"/>
    <s v="Buenos Aires"/>
    <m/>
    <s v="U.O.Centro"/>
    <m/>
    <n v="1"/>
    <n v="1"/>
    <n v="3660.3"/>
    <n v="732.06"/>
    <m/>
    <m/>
    <n v="2928.24"/>
    <m/>
    <n v="73.209999999999994"/>
    <m/>
    <m/>
    <m/>
    <m/>
    <m/>
    <m/>
    <n v="36.6"/>
    <m/>
    <m/>
    <m/>
    <m/>
    <m/>
    <m/>
    <n v="73.209999999999994"/>
    <m/>
    <m/>
    <m/>
    <m/>
    <m/>
    <m/>
    <m/>
    <n v="36.6"/>
    <n v="300"/>
    <n v="519.62"/>
  </r>
  <r>
    <n v="11"/>
    <x v="11"/>
    <x v="0"/>
    <n v="180403"/>
    <s v="VERGARA AGUSTIN NICOLAS"/>
    <s v="20-39184241-9"/>
    <n v="42710"/>
    <n v="39184241"/>
    <s v="VERGARA"/>
    <s v="AGUSTIN NICOLAS"/>
    <s v="M"/>
    <m/>
    <d v="2016-11-19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LISANDRO DE LA TORRE"/>
    <n v="1225"/>
    <m/>
    <m/>
    <s v="CAPITAL FEDERAL"/>
    <s v="Buenos Aires"/>
    <m/>
    <s v="U.O.Centro"/>
    <m/>
    <n v="3"/>
    <n v="1"/>
    <n v="2204.7199999999998"/>
    <n v="431.29"/>
    <m/>
    <m/>
    <n v="1773.43"/>
    <m/>
    <n v="44.09"/>
    <m/>
    <m/>
    <m/>
    <m/>
    <m/>
    <m/>
    <n v="12.4"/>
    <m/>
    <m/>
    <m/>
    <m/>
    <m/>
    <m/>
    <n v="44.09"/>
    <n v="3.24"/>
    <n v="250"/>
    <m/>
    <m/>
    <m/>
    <m/>
    <m/>
    <n v="9.16"/>
    <n v="300"/>
    <n v="662.98"/>
  </r>
  <r>
    <n v="11"/>
    <x v="11"/>
    <x v="0"/>
    <n v="171020"/>
    <s v="VIEITES MAYRA ISIS"/>
    <s v="27-26427471-6"/>
    <n v="42710"/>
    <n v="26427471"/>
    <s v="VIEITES"/>
    <s v="MAYRA ISIS"/>
    <s v="F"/>
    <m/>
    <d v="2016-10-15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SAN IRINEO"/>
    <n v="181"/>
    <n v="5"/>
    <n v="16"/>
    <s v="CAPITAL FEDERAL"/>
    <s v="Capital Federal"/>
    <m/>
    <s v="U.O.Centro"/>
    <m/>
    <n v="1"/>
    <n v="1"/>
    <n v="4204.1400000000003"/>
    <n v="840.82"/>
    <m/>
    <m/>
    <n v="3363.32"/>
    <m/>
    <n v="84.08"/>
    <m/>
    <m/>
    <m/>
    <m/>
    <m/>
    <m/>
    <n v="42.04"/>
    <m/>
    <m/>
    <m/>
    <m/>
    <m/>
    <m/>
    <n v="84.08"/>
    <m/>
    <m/>
    <m/>
    <m/>
    <m/>
    <m/>
    <m/>
    <n v="42.04"/>
    <n v="300"/>
    <n v="552.24"/>
  </r>
  <r>
    <n v="11"/>
    <x v="11"/>
    <x v="0"/>
    <n v="174054"/>
    <s v="VILLAFAÑE CRISTIAN FABRICIO"/>
    <s v="20-36622446-8"/>
    <n v="42710"/>
    <n v="36622446"/>
    <s v="VILLAFAÑE"/>
    <s v="CRISTIAN FABRICIO"/>
    <s v="M"/>
    <m/>
    <d v="2016-07-14T00:00:00"/>
    <d v="2016-07-14T00:00:00"/>
    <n v="42655"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s v="C1009ABK"/>
    <s v="GOLETA ESPORA"/>
    <n v="507"/>
    <m/>
    <m/>
    <s v="CAPITAL FEDERAL"/>
    <s v="Capital Federal"/>
    <m/>
    <s v="U.O.Centro"/>
    <m/>
    <n v="1"/>
    <n v="1"/>
    <n v="2.5"/>
    <n v="0.52"/>
    <m/>
    <m/>
    <n v="1.98"/>
    <m/>
    <n v="0.05"/>
    <m/>
    <m/>
    <m/>
    <m/>
    <m/>
    <m/>
    <n v="0.03"/>
    <m/>
    <m/>
    <m/>
    <m/>
    <m/>
    <m/>
    <n v="0.05"/>
    <m/>
    <m/>
    <m/>
    <m/>
    <m/>
    <m/>
    <m/>
    <n v="0.03"/>
    <m/>
    <n v="0.16"/>
  </r>
  <r>
    <n v="11"/>
    <x v="11"/>
    <x v="0"/>
    <n v="170044"/>
    <s v="VILLANUEVA STELLA MARIS"/>
    <s v="27-24358222-4"/>
    <n v="42710"/>
    <n v="24358222"/>
    <s v="VILLANUEVA"/>
    <s v="STELLA MARIS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OLIVAR"/>
    <n v="1232"/>
    <m/>
    <m/>
    <s v="CAPITAL FEDERAL"/>
    <s v="Buenos Aires"/>
    <m/>
    <s v="U.O.Centro"/>
    <s v="Ama de Llaves"/>
    <n v="1"/>
    <n v="1"/>
    <n v="19535.439999999999"/>
    <n v="3907.08"/>
    <m/>
    <m/>
    <n v="15628.36"/>
    <m/>
    <n v="390.71"/>
    <m/>
    <m/>
    <m/>
    <m/>
    <m/>
    <m/>
    <n v="195.35"/>
    <m/>
    <m/>
    <m/>
    <m/>
    <m/>
    <m/>
    <n v="390.71"/>
    <m/>
    <m/>
    <m/>
    <m/>
    <m/>
    <m/>
    <m/>
    <n v="195.35"/>
    <n v="300"/>
    <n v="1472.12"/>
  </r>
  <r>
    <n v="11"/>
    <x v="11"/>
    <x v="1"/>
    <n v="165035"/>
    <s v="VILLAROEL BARRIOS WILMER OLIVER"/>
    <s v="20-95503977-8"/>
    <n v="42703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OMBATE DE LOS POZOS"/>
    <n v="764"/>
    <m/>
    <m/>
    <s v="CAPITAL FEDERAL"/>
    <s v="Capital Federal"/>
    <m/>
    <s v="U.O.Centro Paga Inplant"/>
    <m/>
    <n v="1"/>
    <n v="1"/>
    <n v="392.45"/>
    <n v="80.44"/>
    <m/>
    <m/>
    <n v="312.01"/>
    <n v="9.81"/>
    <m/>
    <m/>
    <m/>
    <m/>
    <m/>
    <m/>
    <m/>
    <n v="3.92"/>
    <n v="3.9245000000000001"/>
    <m/>
    <m/>
    <m/>
    <m/>
    <m/>
    <n v="7.85"/>
    <m/>
    <m/>
    <m/>
    <m/>
    <m/>
    <m/>
    <m/>
    <n v="3.92"/>
    <n v="300"/>
    <n v="325.5"/>
  </r>
  <r>
    <n v="11"/>
    <x v="11"/>
    <x v="0"/>
    <n v="180399"/>
    <s v="WINECKI KARINA ALEJANDRA"/>
    <s v="27-38357054-4"/>
    <n v="42710"/>
    <n v="38357054"/>
    <s v="WINECKI"/>
    <s v="KARINA ALEJANDRA"/>
    <s v="F"/>
    <m/>
    <d v="2016-10-12T00:00:00"/>
    <d v="2016-11-25T00:00:00"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ASAJE LA GARZA"/>
    <n v="1005"/>
    <m/>
    <m/>
    <s v="CAPITAL FEDERAL"/>
    <s v="Capital Federal"/>
    <m/>
    <s v="U.O.Centro"/>
    <m/>
    <n v="2"/>
    <n v="1"/>
    <n v="4094.05"/>
    <n v="818.81"/>
    <m/>
    <m/>
    <n v="3275.24"/>
    <m/>
    <n v="81.88"/>
    <m/>
    <m/>
    <m/>
    <m/>
    <m/>
    <m/>
    <n v="40.94"/>
    <m/>
    <m/>
    <m/>
    <m/>
    <m/>
    <m/>
    <n v="81.88"/>
    <m/>
    <m/>
    <m/>
    <m/>
    <m/>
    <m/>
    <m/>
    <n v="40.94"/>
    <n v="300"/>
    <n v="545.64"/>
  </r>
  <r>
    <n v="11"/>
    <x v="11"/>
    <x v="1"/>
    <n v="130773"/>
    <s v="WTOREK WALTER EZEQUIEL"/>
    <s v="20-30454246-3"/>
    <n v="42710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1"/>
    <n v="1"/>
    <n v="19124.2"/>
    <n v="3920.47"/>
    <m/>
    <m/>
    <n v="15203.73"/>
    <n v="478.11"/>
    <m/>
    <m/>
    <m/>
    <m/>
    <m/>
    <m/>
    <m/>
    <n v="191.24"/>
    <n v="191.24200000000002"/>
    <m/>
    <m/>
    <m/>
    <m/>
    <m/>
    <n v="382.48"/>
    <m/>
    <m/>
    <m/>
    <m/>
    <m/>
    <m/>
    <m/>
    <n v="191.24"/>
    <n v="300"/>
    <n v="1543.07"/>
  </r>
  <r>
    <n v="11"/>
    <x v="11"/>
    <x v="0"/>
    <n v="181422"/>
    <s v="ZACARIAS JOEL ADRIANO"/>
    <s v="20-31376823-7"/>
    <n v="42710"/>
    <n v="31376823"/>
    <s v="ZACARIAS"/>
    <s v="JOEL ADRIANO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SAJE ANIBAL TROILO"/>
    <n v="1225"/>
    <n v="1"/>
    <n v="3"/>
    <s v="CAPITAL FEDERAL"/>
    <s v="Buenos Aires"/>
    <m/>
    <s v="U.O.Centro"/>
    <m/>
    <n v="2"/>
    <n v="1"/>
    <n v="15961.78"/>
    <n v="3192.38"/>
    <m/>
    <m/>
    <n v="12769.4"/>
    <m/>
    <n v="319.24"/>
    <m/>
    <m/>
    <m/>
    <m/>
    <m/>
    <m/>
    <n v="159.62"/>
    <m/>
    <m/>
    <m/>
    <m/>
    <m/>
    <m/>
    <n v="319.24"/>
    <m/>
    <m/>
    <m/>
    <m/>
    <m/>
    <m/>
    <m/>
    <n v="159.62"/>
    <n v="300"/>
    <n v="1257.72"/>
  </r>
  <r>
    <n v="11"/>
    <x v="11"/>
    <x v="0"/>
    <n v="148949"/>
    <s v="ZACARIAS JOEL DANIEL"/>
    <s v="20-37744168-1"/>
    <n v="42710"/>
    <n v="37744168"/>
    <s v="ZACARIAS"/>
    <s v="JOEL DANIEL"/>
    <s v="M"/>
    <m/>
    <d v="2016-11-02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ZNA"/>
    <n v="181"/>
    <n v="1"/>
    <s v="A"/>
    <s v="CAPITAL FEDERAL"/>
    <s v="Capital Federal"/>
    <m/>
    <s v="U.O.Centro"/>
    <m/>
    <n v="1"/>
    <n v="1"/>
    <n v="8071.94"/>
    <n v="1614.39"/>
    <m/>
    <m/>
    <n v="6457.55"/>
    <m/>
    <n v="161.44"/>
    <m/>
    <m/>
    <m/>
    <m/>
    <m/>
    <m/>
    <n v="80.72"/>
    <m/>
    <m/>
    <m/>
    <m/>
    <m/>
    <m/>
    <n v="161.44"/>
    <m/>
    <m/>
    <m/>
    <m/>
    <m/>
    <m/>
    <m/>
    <n v="80.72"/>
    <n v="300"/>
    <n v="784.32"/>
  </r>
  <r>
    <n v="11"/>
    <x v="11"/>
    <x v="0"/>
    <n v="74589"/>
    <s v="ZACARIAS PAULA GABRIELA"/>
    <s v="27-27788768-7"/>
    <n v="42710"/>
    <n v="27788768"/>
    <s v="ZACARIAS"/>
    <s v="PAULA GABRIELA"/>
    <s v="F"/>
    <m/>
    <d v="2016-10-31T00:00:00"/>
    <m/>
    <m/>
    <s v="GASTRONOMICOS-Hoteles 4 y 5 Estrellas - 362/2003"/>
    <s v="Categoria 6"/>
    <x v="7"/>
    <s v="Unidad Base-GL"/>
    <s v="Centro"/>
    <s v="Tareas Generales"/>
    <n v="108803"/>
    <s v="O.S.P.Gastronomico"/>
    <s v="Capital Federal"/>
    <m/>
    <s v="C1022AAB"/>
    <s v="MANZANA 27 EDIF B10"/>
    <n v="181"/>
    <n v="1"/>
    <s v="D"/>
    <s v="CAPITAL FEDERAL"/>
    <s v="Capital Federal"/>
    <m/>
    <s v="U.O.Centro"/>
    <m/>
    <n v="1"/>
    <n v="1"/>
    <n v="12390.17"/>
    <n v="2478.04"/>
    <m/>
    <m/>
    <n v="9912.1299999999992"/>
    <m/>
    <n v="247.8"/>
    <m/>
    <m/>
    <m/>
    <m/>
    <m/>
    <m/>
    <n v="123.9"/>
    <m/>
    <m/>
    <m/>
    <m/>
    <m/>
    <m/>
    <n v="247.8"/>
    <m/>
    <m/>
    <m/>
    <m/>
    <m/>
    <m/>
    <m/>
    <n v="123.9"/>
    <n v="300"/>
    <n v="1043.4000000000001"/>
  </r>
  <r>
    <n v="11"/>
    <x v="11"/>
    <x v="0"/>
    <n v="172976"/>
    <s v="ZOZAYA GABRIELA ALICIA"/>
    <s v="27-36457426-1"/>
    <n v="42710"/>
    <n v="36457426"/>
    <s v="ZOZAYA"/>
    <s v="GABRIELA ALICIA"/>
    <s v="F"/>
    <m/>
    <d v="2016-05-1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ABO VERDE"/>
    <n v="1005"/>
    <m/>
    <m/>
    <s v="CAPITAL FEDERAL"/>
    <s v="Capital Federal"/>
    <m/>
    <s v="U.O.Centro"/>
    <m/>
    <n v="2"/>
    <n v="1"/>
    <n v="1912.08"/>
    <n v="382.42"/>
    <m/>
    <m/>
    <n v="1529.66"/>
    <m/>
    <n v="38.25"/>
    <m/>
    <m/>
    <m/>
    <m/>
    <m/>
    <m/>
    <n v="19.12"/>
    <m/>
    <m/>
    <m/>
    <m/>
    <m/>
    <m/>
    <n v="38.25"/>
    <m/>
    <m/>
    <m/>
    <m/>
    <m/>
    <m/>
    <m/>
    <n v="19.12"/>
    <n v="300"/>
    <n v="414.74"/>
  </r>
  <r>
    <n v="11"/>
    <x v="11"/>
    <x v="0"/>
    <n v="164888"/>
    <s v="ZURCO IRINA BELEN"/>
    <s v="27-35930307-1"/>
    <n v="42710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HENA"/>
    <n v="1225"/>
    <m/>
    <m/>
    <s v="CAPITAL FEDERAL"/>
    <s v="Buenos Aires"/>
    <m/>
    <s v="U.O.Centro"/>
    <m/>
    <n v="2"/>
    <n v="1"/>
    <n v="11912.4"/>
    <n v="2382.4699999999998"/>
    <m/>
    <m/>
    <n v="9529.93"/>
    <m/>
    <n v="238.25"/>
    <m/>
    <m/>
    <m/>
    <m/>
    <m/>
    <m/>
    <n v="119.12"/>
    <m/>
    <m/>
    <m/>
    <m/>
    <m/>
    <m/>
    <n v="238.25"/>
    <m/>
    <m/>
    <m/>
    <m/>
    <m/>
    <m/>
    <m/>
    <n v="119.12"/>
    <n v="300"/>
    <n v="1014.74"/>
  </r>
  <r>
    <n v="12"/>
    <x v="12"/>
    <x v="0"/>
    <n v="182786"/>
    <s v="ABUNDANCIA YESICA ROMINA"/>
    <s v="27-35820234-4"/>
    <n v="42744"/>
    <n v="35820234"/>
    <s v="ABUNDANCIA"/>
    <s v="YESICA ROMINA"/>
    <s v="F"/>
    <m/>
    <d v="2016-11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HELGUERA"/>
    <n v="474"/>
    <m/>
    <m/>
    <s v="CAPITAL FEDERAL"/>
    <s v="Buenos Aires"/>
    <m/>
    <s v="U.O.Centro"/>
    <m/>
    <n v="2"/>
    <n v="1"/>
    <n v="8343.36"/>
    <n v="1668.68"/>
    <m/>
    <m/>
    <n v="6674.68"/>
    <m/>
    <n v="166.87"/>
    <m/>
    <m/>
    <m/>
    <m/>
    <m/>
    <m/>
    <n v="83.44"/>
    <m/>
    <m/>
    <m/>
    <m/>
    <m/>
    <m/>
    <n v="166.87"/>
    <m/>
    <m/>
    <m/>
    <m/>
    <m/>
    <m/>
    <m/>
    <n v="83.44"/>
    <m/>
    <n v="500.62"/>
  </r>
  <r>
    <n v="12"/>
    <x v="12"/>
    <x v="0"/>
    <n v="177728"/>
    <s v="ABUSLAIMAN YESICA BELEN"/>
    <s v="27-34693898-1"/>
    <n v="42744"/>
    <n v="34693898"/>
    <s v="ABUSLAIMAN"/>
    <s v="YESICA BELEN"/>
    <s v="F"/>
    <m/>
    <d v="2016-08-26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Tigre"/>
    <m/>
    <n v="1648"/>
    <s v="COMBATE DE SAN LORENZO"/>
    <n v="240"/>
    <m/>
    <m/>
    <s v="TIGRE"/>
    <s v="Buenos Aires"/>
    <m/>
    <s v="U.O.San Isidro"/>
    <m/>
    <n v="1"/>
    <n v="1"/>
    <n v="15698.7"/>
    <n v="3139.74"/>
    <m/>
    <m/>
    <n v="12558.96"/>
    <m/>
    <n v="313.97000000000003"/>
    <m/>
    <m/>
    <m/>
    <m/>
    <m/>
    <m/>
    <n v="156.99"/>
    <m/>
    <m/>
    <m/>
    <m/>
    <m/>
    <m/>
    <n v="313.97000000000003"/>
    <m/>
    <m/>
    <m/>
    <m/>
    <m/>
    <m/>
    <m/>
    <n v="156.99"/>
    <m/>
    <n v="941.92"/>
  </r>
  <r>
    <n v="12"/>
    <x v="12"/>
    <x v="0"/>
    <n v="176112"/>
    <s v="ACEVEDO FLAVIA ANALIA"/>
    <s v="27-28987335-5"/>
    <n v="42744"/>
    <n v="28987335"/>
    <s v="ACEVEDO"/>
    <s v="FLAVIA ANALIA"/>
    <s v="F"/>
    <m/>
    <d v="2016-07-20T00:00:00"/>
    <d v="2016-12-30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NGALLO"/>
    <n v="1225"/>
    <m/>
    <m/>
    <s v="CAPITAL FEDERAL"/>
    <s v="Buenos Aires"/>
    <m/>
    <s v="U.O.Centro"/>
    <m/>
    <n v="3"/>
    <n v="1"/>
    <n v="8136.78"/>
    <n v="2127.38"/>
    <m/>
    <n v="500"/>
    <n v="6509.4"/>
    <m/>
    <n v="162.74"/>
    <m/>
    <m/>
    <m/>
    <m/>
    <m/>
    <m/>
    <n v="81.37"/>
    <m/>
    <m/>
    <m/>
    <m/>
    <n v="500"/>
    <m/>
    <n v="162.74"/>
    <m/>
    <m/>
    <m/>
    <m/>
    <m/>
    <m/>
    <m/>
    <n v="81.37"/>
    <m/>
    <n v="988.22"/>
  </r>
  <r>
    <n v="12"/>
    <x v="12"/>
    <x v="0"/>
    <n v="170882"/>
    <s v="ACOSTA ADRIAN JOSE"/>
    <s v="23-30887276-9"/>
    <n v="42744"/>
    <n v="30887276"/>
    <s v="ACOSTA"/>
    <s v="ADRIAN JOSE"/>
    <s v="M"/>
    <m/>
    <d v="2016-03-29T00:00:00"/>
    <d v="2016-12-18T00:00:00"/>
    <m/>
    <s v="GASTRONOMICOS-Hoteles 4 y 5 Estrellas - 362/2003"/>
    <s v="Categoria 3"/>
    <x v="16"/>
    <s v="Back Office"/>
    <s v="Back Office"/>
    <s v="Tareas Generales"/>
    <n v="108803"/>
    <s v="O.S.P.Gastronomico"/>
    <s v="Buenos Aires - Almte. Brown"/>
    <m/>
    <s v="C1019ABK"/>
    <s v="GRAL MOLINA"/>
    <n v="513"/>
    <m/>
    <m/>
    <s v="CAPITAL FEDERAL"/>
    <s v="Buenos Aires"/>
    <m/>
    <m/>
    <m/>
    <n v="3"/>
    <n v="1"/>
    <n v="20085.240000000002"/>
    <n v="4017.06"/>
    <m/>
    <n v="36406.660000000003"/>
    <n v="52474.84"/>
    <m/>
    <n v="401.71"/>
    <m/>
    <m/>
    <m/>
    <m/>
    <m/>
    <m/>
    <n v="200.85"/>
    <m/>
    <m/>
    <m/>
    <m/>
    <m/>
    <m/>
    <n v="401.71"/>
    <m/>
    <m/>
    <m/>
    <m/>
    <m/>
    <m/>
    <m/>
    <n v="200.85"/>
    <m/>
    <n v="1205.1199999999999"/>
  </r>
  <r>
    <n v="12"/>
    <x v="12"/>
    <x v="0"/>
    <n v="139738"/>
    <s v="ALEGRE FLAVIO RODRIGO"/>
    <s v="20-30462269-6"/>
    <n v="42744"/>
    <n v="30462269"/>
    <s v="ALEGRE"/>
    <s v="FLAVIO RODRIGO"/>
    <s v="M"/>
    <m/>
    <d v="2016-10-06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COMBAT. DE LOS POZOS"/>
    <n v="181"/>
    <n v="3"/>
    <m/>
    <s v="CAPITAL FEDERAL"/>
    <s v="Capital Federal"/>
    <m/>
    <s v="U.O.Centro"/>
    <m/>
    <n v="2"/>
    <n v="1"/>
    <n v="14860.05"/>
    <n v="2972"/>
    <m/>
    <m/>
    <n v="11888.05"/>
    <m/>
    <n v="297.2"/>
    <m/>
    <m/>
    <m/>
    <m/>
    <m/>
    <m/>
    <n v="148.6"/>
    <m/>
    <m/>
    <m/>
    <m/>
    <m/>
    <m/>
    <n v="297.2"/>
    <m/>
    <m/>
    <m/>
    <m/>
    <m/>
    <m/>
    <m/>
    <n v="148.6"/>
    <m/>
    <n v="891.6"/>
  </r>
  <r>
    <n v="12"/>
    <x v="12"/>
    <x v="0"/>
    <n v="185539"/>
    <s v="ALEGRE ROBERTO FLORENTINO"/>
    <s v="20-27356240-1"/>
    <n v="42744"/>
    <n v="27356240"/>
    <s v="ALEGRE"/>
    <s v="ROBERTO FLORENTINO"/>
    <s v="M"/>
    <m/>
    <d v="2016-12-20T00:00:00"/>
    <m/>
    <m/>
    <s v="GASTRONOMICOS-Hoteles 4 y 5 Estrellas - 362/2003"/>
    <s v="Categoría 4"/>
    <x v="5"/>
    <s v="Mucamas - GL"/>
    <s v="Centro"/>
    <s v="Mucama"/>
    <n v="406"/>
    <s v="O.S.P.Org.Ctrl.Externo"/>
    <s v="Capital Federal"/>
    <m/>
    <s v="C1104AKC"/>
    <s v="GABRIELA MISTRAL"/>
    <n v="1225"/>
    <m/>
    <m/>
    <s v="CAPITAL FEDERAL"/>
    <s v="Buenos Aires"/>
    <m/>
    <s v="U.O.Centro"/>
    <m/>
    <n v="1"/>
    <n v="1"/>
    <n v="1893.37"/>
    <n v="378.67"/>
    <m/>
    <m/>
    <n v="1514.7"/>
    <m/>
    <n v="37.869999999999997"/>
    <m/>
    <m/>
    <m/>
    <m/>
    <m/>
    <m/>
    <n v="18.93"/>
    <m/>
    <m/>
    <m/>
    <m/>
    <m/>
    <m/>
    <n v="37.869999999999997"/>
    <m/>
    <m/>
    <m/>
    <m/>
    <m/>
    <m/>
    <m/>
    <n v="18.93"/>
    <m/>
    <n v="113.6"/>
  </r>
  <r>
    <n v="12"/>
    <x v="12"/>
    <x v="0"/>
    <n v="185803"/>
    <s v="ALFARO NAHIR SHIRLEY"/>
    <s v="27-38499029-6"/>
    <n v="42744"/>
    <n v="38499029"/>
    <s v="ALFARO"/>
    <s v="NAHIR SHIRLEY"/>
    <s v="F"/>
    <m/>
    <d v="2016-12-3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USPALLATA"/>
    <n v="1225"/>
    <m/>
    <m/>
    <s v="CAPITAL FEDERAL"/>
    <s v="Buenos Aires"/>
    <m/>
    <s v="U.O.Centro"/>
    <m/>
    <n v="1"/>
    <n v="1"/>
    <n v="1832.68"/>
    <n v="366.53"/>
    <m/>
    <m/>
    <n v="1466.15"/>
    <m/>
    <n v="36.65"/>
    <m/>
    <m/>
    <m/>
    <m/>
    <m/>
    <m/>
    <n v="18.329999999999998"/>
    <m/>
    <m/>
    <m/>
    <m/>
    <m/>
    <m/>
    <n v="36.65"/>
    <m/>
    <m/>
    <m/>
    <m/>
    <m/>
    <m/>
    <m/>
    <n v="18.329999999999998"/>
    <m/>
    <n v="109.96"/>
  </r>
  <r>
    <n v="12"/>
    <x v="12"/>
    <x v="0"/>
    <n v="168236"/>
    <s v="ALFONZO SEBASTIAN ALEJANDRO"/>
    <s v="20-34553164-6"/>
    <n v="42744"/>
    <n v="34553164"/>
    <s v="ALFONZO"/>
    <s v="SEBASTIAN ALEJANDRO"/>
    <s v="M"/>
    <m/>
    <d v="2016-02-1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AVENIDA PUEYRREDON"/>
    <n v="1225"/>
    <m/>
    <m/>
    <s v="CAPITAL FEDERAL"/>
    <s v="Buenos Aires"/>
    <m/>
    <s v="U.O.Centro"/>
    <m/>
    <n v="2"/>
    <n v="1"/>
    <n v="14512.12"/>
    <n v="3597.63"/>
    <m/>
    <m/>
    <n v="10914.49"/>
    <m/>
    <n v="290.24"/>
    <m/>
    <m/>
    <m/>
    <m/>
    <m/>
    <m/>
    <n v="145.12"/>
    <m/>
    <m/>
    <m/>
    <m/>
    <m/>
    <m/>
    <n v="290.24"/>
    <m/>
    <m/>
    <m/>
    <m/>
    <m/>
    <m/>
    <m/>
    <n v="145.12"/>
    <m/>
    <n v="870.72"/>
  </r>
  <r>
    <n v="12"/>
    <x v="12"/>
    <x v="0"/>
    <n v="160165"/>
    <s v="ALONZO JAVIER ANTONIO"/>
    <s v="20-25146812-6"/>
    <n v="42744"/>
    <n v="25146812"/>
    <s v="ALONZO"/>
    <s v="JAVIER ANTONIO"/>
    <s v="M"/>
    <m/>
    <d v="2016-11-19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CALLAO"/>
    <n v="181"/>
    <m/>
    <m/>
    <s v="CAPITAL FEDERAL"/>
    <s v="Capital Federal"/>
    <m/>
    <s v="U.O.Centro"/>
    <m/>
    <n v="3"/>
    <n v="1"/>
    <n v="3118.4"/>
    <n v="623.70000000000005"/>
    <m/>
    <m/>
    <n v="2494.6999999999998"/>
    <m/>
    <n v="62.37"/>
    <m/>
    <m/>
    <m/>
    <m/>
    <m/>
    <m/>
    <n v="31.19"/>
    <m/>
    <m/>
    <m/>
    <m/>
    <m/>
    <m/>
    <n v="62.37"/>
    <m/>
    <m/>
    <m/>
    <m/>
    <m/>
    <m/>
    <m/>
    <n v="31.19"/>
    <m/>
    <n v="187.12"/>
  </r>
  <r>
    <n v="12"/>
    <x v="12"/>
    <x v="0"/>
    <n v="185186"/>
    <s v="ALTAMIRANO ANA MARIA"/>
    <s v="23-28970281-4"/>
    <n v="42744"/>
    <n v="28970281"/>
    <s v="ALTAMIRANO"/>
    <s v="ANA MARIA"/>
    <s v="F"/>
    <m/>
    <d v="2016-12-17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Gran Buenos Aires"/>
    <m/>
    <n v="1648"/>
    <s v="JAPON"/>
    <n v="240"/>
    <m/>
    <m/>
    <s v="TIGRE"/>
    <s v="Buenos Aires"/>
    <m/>
    <m/>
    <m/>
    <n v="1"/>
    <n v="1"/>
    <n v="712.31"/>
    <n v="142.46"/>
    <m/>
    <m/>
    <n v="569.85"/>
    <m/>
    <n v="14.25"/>
    <m/>
    <m/>
    <m/>
    <m/>
    <m/>
    <m/>
    <n v="7.12"/>
    <m/>
    <m/>
    <m/>
    <m/>
    <m/>
    <m/>
    <n v="14.25"/>
    <m/>
    <m/>
    <m/>
    <m/>
    <m/>
    <m/>
    <m/>
    <n v="7.12"/>
    <m/>
    <n v="42.74"/>
  </r>
  <r>
    <n v="12"/>
    <x v="12"/>
    <x v="0"/>
    <n v="183927"/>
    <s v="ALVARENGA ERICA CRISTINA"/>
    <s v="27-32825466-8"/>
    <n v="42725"/>
    <n v="32825466"/>
    <s v="ALVARENGA"/>
    <s v="ERICA CRISTINA"/>
    <s v="F"/>
    <m/>
    <d v="2016-11-17T00:00:00"/>
    <m/>
    <n v="42724"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TUCUMAN"/>
    <n v="1225"/>
    <m/>
    <m/>
    <s v="CAPITAL FEDERAL"/>
    <s v="Buenos Aires"/>
    <m/>
    <s v="U.O.Centro"/>
    <m/>
    <n v="1"/>
    <n v="1"/>
    <n v="2503.63"/>
    <n v="500.73"/>
    <m/>
    <m/>
    <n v="2002.9"/>
    <m/>
    <n v="50.07"/>
    <m/>
    <m/>
    <m/>
    <m/>
    <m/>
    <m/>
    <n v="25.04"/>
    <m/>
    <m/>
    <m/>
    <m/>
    <m/>
    <m/>
    <n v="50.07"/>
    <m/>
    <m/>
    <m/>
    <m/>
    <m/>
    <m/>
    <m/>
    <n v="25.04"/>
    <m/>
    <n v="150.22"/>
  </r>
  <r>
    <n v="12"/>
    <x v="12"/>
    <x v="0"/>
    <n v="156038"/>
    <s v="AMARILLA GLADIS NORMA"/>
    <s v="27-31471414-3"/>
    <n v="42744"/>
    <n v="31471414"/>
    <s v="AMARILLA"/>
    <s v="GLADIS NORM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JAVIER"/>
    <n v="1225"/>
    <m/>
    <m/>
    <s v="CAPITAL FEDERAL"/>
    <s v="Buenos Aires"/>
    <m/>
    <s v="U.O.Centro"/>
    <m/>
    <n v="2"/>
    <n v="1"/>
    <n v="8705.2099999999991"/>
    <n v="1741.04"/>
    <m/>
    <m/>
    <n v="6964.17"/>
    <m/>
    <n v="174.1"/>
    <m/>
    <m/>
    <m/>
    <m/>
    <m/>
    <m/>
    <n v="87.05"/>
    <m/>
    <m/>
    <m/>
    <m/>
    <m/>
    <m/>
    <n v="174.1"/>
    <m/>
    <m/>
    <m/>
    <m/>
    <m/>
    <m/>
    <m/>
    <n v="87.05"/>
    <m/>
    <n v="522.29999999999995"/>
  </r>
  <r>
    <n v="12"/>
    <x v="12"/>
    <x v="0"/>
    <n v="139740"/>
    <s v="AREVALO PABLO DAVID"/>
    <s v="20-37897359-8"/>
    <n v="42744"/>
    <n v="37897359"/>
    <s v="AREVALO"/>
    <s v="PABL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UJAN"/>
    <n v="1225"/>
    <m/>
    <m/>
    <s v="CAPITAL FEDERAL"/>
    <s v="Buenos Aires"/>
    <m/>
    <s v="U.O.Centro"/>
    <m/>
    <n v="4"/>
    <n v="1"/>
    <n v="26698.11"/>
    <n v="5339.59"/>
    <m/>
    <m/>
    <n v="21358.52"/>
    <m/>
    <n v="533.95000000000005"/>
    <m/>
    <m/>
    <m/>
    <m/>
    <m/>
    <m/>
    <n v="266.98"/>
    <m/>
    <m/>
    <m/>
    <m/>
    <m/>
    <m/>
    <n v="533.95000000000005"/>
    <m/>
    <m/>
    <m/>
    <m/>
    <m/>
    <m/>
    <m/>
    <n v="266.98"/>
    <m/>
    <n v="1601.86"/>
  </r>
  <r>
    <n v="12"/>
    <x v="12"/>
    <x v="1"/>
    <n v="157979"/>
    <s v="AREVALOS DANIELA GISELLE"/>
    <s v="27-37551283-7"/>
    <n v="42737"/>
    <n v="37551283"/>
    <s v="AREVALOS"/>
    <s v="DANIELA GISELLE"/>
    <s v="F"/>
    <m/>
    <d v="2016-11-08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MIGLIACCIO"/>
    <n v="764"/>
    <m/>
    <m/>
    <s v="CAPITAL FEDERAL"/>
    <s v="Capital Federal"/>
    <m/>
    <s v="U.O.Centro"/>
    <m/>
    <n v="1"/>
    <n v="1"/>
    <n v="13579.39"/>
    <n v="2715.87"/>
    <m/>
    <m/>
    <n v="10863.52"/>
    <m/>
    <n v="271.58999999999997"/>
    <m/>
    <m/>
    <m/>
    <m/>
    <m/>
    <m/>
    <n v="135.79"/>
    <m/>
    <m/>
    <m/>
    <m/>
    <m/>
    <m/>
    <n v="271.58999999999997"/>
    <m/>
    <m/>
    <m/>
    <m/>
    <m/>
    <m/>
    <m/>
    <n v="135.79"/>
    <m/>
    <n v="814.76"/>
  </r>
  <r>
    <n v="12"/>
    <x v="12"/>
    <x v="0"/>
    <n v="180397"/>
    <s v="ARIAS MARCIA EUGENIA"/>
    <s v="27-38287299-7"/>
    <n v="42744"/>
    <n v="38287299"/>
    <s v="ARIAS"/>
    <s v="MARCIA EUGENIA"/>
    <s v="F"/>
    <m/>
    <d v="2016-10-11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RIO CARAPACHAY"/>
    <n v="1005"/>
    <m/>
    <m/>
    <s v="CAPITAL FEDERAL"/>
    <s v="Capital Federal"/>
    <m/>
    <s v="U.O.Centro"/>
    <m/>
    <n v="2"/>
    <n v="1"/>
    <n v="18109.349999999999"/>
    <n v="3621.87"/>
    <m/>
    <m/>
    <n v="14487.48"/>
    <m/>
    <n v="362.19"/>
    <m/>
    <m/>
    <m/>
    <m/>
    <m/>
    <m/>
    <n v="181.09"/>
    <m/>
    <m/>
    <m/>
    <m/>
    <m/>
    <m/>
    <n v="362.19"/>
    <m/>
    <m/>
    <m/>
    <m/>
    <m/>
    <m/>
    <m/>
    <n v="181.09"/>
    <m/>
    <n v="1086.56"/>
  </r>
  <r>
    <n v="12"/>
    <x v="12"/>
    <x v="0"/>
    <n v="184188"/>
    <s v="ARO CINTIA ELIZABETH"/>
    <s v="27-30569048-7"/>
    <n v="42744"/>
    <n v="30569048"/>
    <s v="ARO"/>
    <s v="CINTIA ELIZABETH"/>
    <s v="F"/>
    <m/>
    <d v="2016-12-05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LUIS MARIA DRAGO"/>
    <n v="240"/>
    <m/>
    <m/>
    <s v="TIGRE"/>
    <s v="Buenos Aires"/>
    <m/>
    <m/>
    <m/>
    <n v="1"/>
    <n v="1"/>
    <n v="3877.5"/>
    <n v="775.52"/>
    <m/>
    <m/>
    <n v="3101.98"/>
    <m/>
    <n v="77.55"/>
    <m/>
    <m/>
    <m/>
    <m/>
    <m/>
    <m/>
    <n v="38.78"/>
    <m/>
    <m/>
    <m/>
    <m/>
    <m/>
    <m/>
    <n v="77.55"/>
    <m/>
    <m/>
    <m/>
    <m/>
    <m/>
    <m/>
    <m/>
    <n v="38.78"/>
    <m/>
    <n v="232.66"/>
  </r>
  <r>
    <n v="12"/>
    <x v="12"/>
    <x v="0"/>
    <n v="182638"/>
    <s v="ARREGUEZ EMANUEL RODRIGO"/>
    <s v="20-30403408-5"/>
    <n v="42744"/>
    <n v="30403408"/>
    <s v="ARREGUEZ"/>
    <s v="EMANUEL RODRIGO"/>
    <s v="M"/>
    <m/>
    <d v="2016-12-28T00:00:00"/>
    <m/>
    <m/>
    <s v="GASTRONOMICOS-Hoteles 4 y 5 Estrellas - 362/2003"/>
    <s v="Categoria 6"/>
    <x v="1"/>
    <s v="RESTAURANT"/>
    <s v="Centro"/>
    <s v="Tareas Generales"/>
    <n v="100304"/>
    <s v="OS  DE  TECNICOS DE VUELO DE LINEAS AEREAS"/>
    <s v="Capital Federal"/>
    <m/>
    <n v="1005"/>
    <s v="TENIENTE GENERAL PERON"/>
    <n v="1005"/>
    <n v="1"/>
    <n v="21"/>
    <s v="CAPITAL FEDERAL"/>
    <s v="Capital Federal"/>
    <m/>
    <s v="U.O.Centro"/>
    <m/>
    <n v="4"/>
    <n v="1"/>
    <n v="4231.26"/>
    <n v="846.26"/>
    <m/>
    <m/>
    <n v="3385"/>
    <m/>
    <n v="84.62"/>
    <m/>
    <m/>
    <m/>
    <m/>
    <m/>
    <m/>
    <n v="42.32"/>
    <m/>
    <m/>
    <m/>
    <m/>
    <m/>
    <m/>
    <n v="84.62"/>
    <m/>
    <m/>
    <m/>
    <m/>
    <m/>
    <m/>
    <m/>
    <n v="42.32"/>
    <m/>
    <n v="253.88"/>
  </r>
  <r>
    <n v="12"/>
    <x v="12"/>
    <x v="0"/>
    <n v="177462"/>
    <s v="ASPRES IGNACIO DAVID"/>
    <s v="23-39159959-9"/>
    <n v="42744"/>
    <n v="39159959"/>
    <s v="ASPRES"/>
    <s v="IGNACIO DAVID"/>
    <s v="M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VICTORICA"/>
    <n v="1225"/>
    <m/>
    <m/>
    <s v="CAPITAL FEDERAL"/>
    <s v="Buenos Aires"/>
    <m/>
    <s v="U.O.Centro"/>
    <m/>
    <n v="3"/>
    <n v="1"/>
    <n v="15625.73"/>
    <n v="3125.16"/>
    <m/>
    <m/>
    <n v="12500.57"/>
    <m/>
    <n v="312.51"/>
    <m/>
    <m/>
    <m/>
    <m/>
    <m/>
    <m/>
    <n v="156.26"/>
    <m/>
    <m/>
    <m/>
    <m/>
    <m/>
    <m/>
    <n v="312.51"/>
    <n v="7.27"/>
    <m/>
    <m/>
    <m/>
    <m/>
    <m/>
    <m/>
    <n v="148.99"/>
    <m/>
    <n v="937.54"/>
  </r>
  <r>
    <n v="12"/>
    <x v="12"/>
    <x v="0"/>
    <n v="173402"/>
    <s v="AUHAD MARIA DELFINA"/>
    <s v="27-33808278-4"/>
    <n v="42744"/>
    <n v="33808278"/>
    <s v="AUHAD"/>
    <s v="MARIA DELFINA"/>
    <s v="F"/>
    <m/>
    <d v="2016-05-21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ROSARIO"/>
    <n v="1005"/>
    <n v="2"/>
    <s v="A"/>
    <s v="CAPITAL FEDERAL"/>
    <s v="Capital Federal"/>
    <m/>
    <s v="U.O.Centro"/>
    <m/>
    <n v="2"/>
    <n v="1"/>
    <n v="20221.79"/>
    <n v="4044.35"/>
    <m/>
    <m/>
    <n v="16177.44"/>
    <m/>
    <n v="404.43"/>
    <m/>
    <m/>
    <m/>
    <m/>
    <m/>
    <m/>
    <n v="202.22"/>
    <m/>
    <m/>
    <m/>
    <m/>
    <m/>
    <m/>
    <n v="404.43"/>
    <m/>
    <m/>
    <m/>
    <m/>
    <m/>
    <m/>
    <m/>
    <n v="202.22"/>
    <m/>
    <n v="1213.3"/>
  </r>
  <r>
    <n v="12"/>
    <x v="12"/>
    <x v="0"/>
    <n v="184181"/>
    <s v="AVALOS ADRIANA ESTELA"/>
    <s v="27-22996707-5"/>
    <n v="42744"/>
    <n v="22996707"/>
    <s v="AVALOS"/>
    <s v="ADRIANA ESTELA"/>
    <s v="F"/>
    <m/>
    <d v="2016-12-25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Gran Buenos Aires"/>
    <m/>
    <n v="1648"/>
    <s v="URQUIZA"/>
    <n v="240"/>
    <m/>
    <m/>
    <s v="TIGRE"/>
    <s v="Buenos Aires"/>
    <m/>
    <m/>
    <m/>
    <n v="1"/>
    <n v="1"/>
    <n v="5475.91"/>
    <n v="1095.19"/>
    <m/>
    <m/>
    <n v="4380.72"/>
    <m/>
    <n v="109.52"/>
    <m/>
    <m/>
    <m/>
    <m/>
    <m/>
    <m/>
    <n v="54.76"/>
    <m/>
    <m/>
    <m/>
    <m/>
    <m/>
    <m/>
    <n v="109.52"/>
    <m/>
    <m/>
    <m/>
    <m/>
    <m/>
    <m/>
    <m/>
    <n v="54.76"/>
    <m/>
    <n v="328.56"/>
  </r>
  <r>
    <n v="12"/>
    <x v="12"/>
    <x v="0"/>
    <n v="180302"/>
    <s v="AYLLON BALLARDINI RITA LORENA"/>
    <s v="27-30473367-0"/>
    <n v="42744"/>
    <n v="30473367"/>
    <s v="AYLLON BALLARDINI"/>
    <s v="RITA LORENA"/>
    <s v="F"/>
    <m/>
    <d v="2016-10-10T00:00:00"/>
    <m/>
    <m/>
    <s v="GASTRONOMICOS-Hoteles 4 y 5 Estrellas - 362/2003"/>
    <s v="Categoria 6"/>
    <x v="5"/>
    <s v="Mozos / camareros - GL"/>
    <s v="Centro"/>
    <s v="Camarero/a"/>
    <n v="112608"/>
    <s v="OS  DEL PERSONAL DE LA INDUSTRIA MOLINERA"/>
    <s v="Capital Federal"/>
    <m/>
    <s v="C1104AKC"/>
    <s v="SUIPACHA"/>
    <n v="1225"/>
    <n v="4"/>
    <s v="D"/>
    <s v="CAPITAL FEDERAL"/>
    <s v="Buenos Aires"/>
    <m/>
    <s v="U.O.Centro"/>
    <m/>
    <n v="2"/>
    <n v="1"/>
    <n v="4819.47"/>
    <n v="963.88"/>
    <m/>
    <m/>
    <n v="3855.59"/>
    <m/>
    <n v="96.39"/>
    <m/>
    <m/>
    <m/>
    <m/>
    <m/>
    <m/>
    <n v="48.19"/>
    <m/>
    <m/>
    <m/>
    <m/>
    <m/>
    <m/>
    <n v="96.39"/>
    <m/>
    <m/>
    <m/>
    <m/>
    <m/>
    <m/>
    <m/>
    <n v="48.19"/>
    <m/>
    <n v="289.16000000000003"/>
  </r>
  <r>
    <n v="12"/>
    <x v="12"/>
    <x v="0"/>
    <n v="182774"/>
    <s v="BALBUENA ROCIO BELEN"/>
    <s v="27-36823753-7"/>
    <n v="42744"/>
    <n v="36823753"/>
    <s v="BALBUENA"/>
    <s v="ROCIO BELEN"/>
    <s v="F"/>
    <m/>
    <d v="2016-11-10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MANUELA GARCIA"/>
    <n v="240"/>
    <m/>
    <m/>
    <s v="TIGRE"/>
    <s v="Buenos Aires"/>
    <m/>
    <s v="U.O.San Isidro"/>
    <m/>
    <n v="2"/>
    <n v="1"/>
    <n v="9780.5400000000009"/>
    <n v="1956.11"/>
    <m/>
    <m/>
    <n v="7824.43"/>
    <m/>
    <n v="195.61"/>
    <m/>
    <m/>
    <m/>
    <m/>
    <m/>
    <m/>
    <n v="97.81"/>
    <m/>
    <m/>
    <m/>
    <m/>
    <m/>
    <m/>
    <n v="195.61"/>
    <m/>
    <m/>
    <m/>
    <m/>
    <m/>
    <m/>
    <m/>
    <n v="97.81"/>
    <m/>
    <n v="586.84"/>
  </r>
  <r>
    <n v="12"/>
    <x v="12"/>
    <x v="0"/>
    <n v="155970"/>
    <s v="BARRIONUEVO SILVIA NOEMI"/>
    <s v="27-22804897-1"/>
    <n v="42744"/>
    <n v="22804897"/>
    <s v="BARRIONUEVO"/>
    <s v="SILVIA NOEMI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 COBO CURAPALIGUE"/>
    <n v="1225"/>
    <s v="A"/>
    <m/>
    <s v="CAPITAL FEDERAL"/>
    <s v="Buenos Aires"/>
    <m/>
    <s v="U.O.Centro"/>
    <m/>
    <n v="2"/>
    <n v="1"/>
    <n v="10079.73"/>
    <n v="2015.96"/>
    <m/>
    <m/>
    <n v="8063.77"/>
    <m/>
    <n v="201.59"/>
    <m/>
    <m/>
    <m/>
    <m/>
    <m/>
    <m/>
    <n v="100.8"/>
    <m/>
    <m/>
    <m/>
    <m/>
    <m/>
    <m/>
    <n v="201.59"/>
    <m/>
    <m/>
    <m/>
    <m/>
    <m/>
    <m/>
    <m/>
    <n v="100.8"/>
    <m/>
    <n v="604.78"/>
  </r>
  <r>
    <n v="12"/>
    <x v="12"/>
    <x v="0"/>
    <n v="182305"/>
    <s v="BARRIOS MONICA SUSANA"/>
    <s v="27-27123291-3"/>
    <n v="42744"/>
    <n v="27123291"/>
    <s v="BARRIOS"/>
    <s v="MONICA SUSANA"/>
    <s v="F"/>
    <m/>
    <d v="2016-11-04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ITALIANI"/>
    <n v="1584"/>
    <m/>
    <m/>
    <s v="CAPITAL FEDERAL"/>
    <s v="Capital Federal"/>
    <m/>
    <s v="U.O.Centro"/>
    <s v="Alvear Palace"/>
    <n v="1"/>
    <n v="1"/>
    <n v="14.58"/>
    <n v="2.92"/>
    <m/>
    <m/>
    <n v="11.66"/>
    <m/>
    <n v="0.28999999999999998"/>
    <m/>
    <m/>
    <m/>
    <m/>
    <m/>
    <m/>
    <n v="0.15"/>
    <m/>
    <m/>
    <m/>
    <m/>
    <m/>
    <m/>
    <n v="0.28999999999999998"/>
    <m/>
    <m/>
    <m/>
    <m/>
    <m/>
    <m/>
    <m/>
    <n v="0.15"/>
    <m/>
    <n v="0.88"/>
  </r>
  <r>
    <n v="12"/>
    <x v="12"/>
    <x v="1"/>
    <n v="183904"/>
    <s v="BARRIOS PAOLA NOEMI"/>
    <s v="27-29647256-0"/>
    <n v="42737"/>
    <n v="29647256"/>
    <s v="BARRIOS"/>
    <s v="PAOLA NOEMI"/>
    <s v="F"/>
    <m/>
    <d v="2016-12-01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PEDRO ARBE"/>
    <n v="764"/>
    <m/>
    <m/>
    <s v="CAPITAL FEDERAL"/>
    <s v="Capital Federal"/>
    <m/>
    <s v="U.O.Centro"/>
    <m/>
    <n v="1"/>
    <n v="1"/>
    <n v="1671.33"/>
    <n v="334.27"/>
    <m/>
    <m/>
    <n v="1337.06"/>
    <m/>
    <n v="33.43"/>
    <m/>
    <m/>
    <m/>
    <m/>
    <m/>
    <m/>
    <n v="16.71"/>
    <m/>
    <m/>
    <m/>
    <m/>
    <m/>
    <m/>
    <n v="33.43"/>
    <m/>
    <m/>
    <m/>
    <m/>
    <m/>
    <m/>
    <m/>
    <n v="16.71"/>
    <m/>
    <n v="100.28"/>
  </r>
  <r>
    <n v="12"/>
    <x v="12"/>
    <x v="0"/>
    <n v="179832"/>
    <s v="BAZAN DANIELA SOLEDAD"/>
    <s v="27-30143380-3"/>
    <n v="42744"/>
    <n v="30143380"/>
    <s v="BAZAN"/>
    <s v="DANIELA SOLEDAD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VENEZUELA"/>
    <n v="1225"/>
    <m/>
    <m/>
    <s v="CAPITAL FEDERAL"/>
    <s v="Buenos Aires"/>
    <m/>
    <s v="U.O.Centro"/>
    <m/>
    <n v="2"/>
    <n v="1"/>
    <n v="11507.97"/>
    <n v="2301.58"/>
    <m/>
    <m/>
    <n v="9206.39"/>
    <m/>
    <n v="230.16"/>
    <m/>
    <m/>
    <m/>
    <m/>
    <m/>
    <m/>
    <n v="115.08"/>
    <m/>
    <m/>
    <m/>
    <m/>
    <m/>
    <m/>
    <n v="230.16"/>
    <m/>
    <m/>
    <m/>
    <m/>
    <m/>
    <m/>
    <m/>
    <n v="115.08"/>
    <m/>
    <n v="690.48"/>
  </r>
  <r>
    <n v="12"/>
    <x v="12"/>
    <x v="0"/>
    <n v="182625"/>
    <s v="BENICIO ANDREA FERNANDA"/>
    <s v="27-32045712-8"/>
    <n v="42744"/>
    <n v="32045712"/>
    <s v="BENICIO"/>
    <s v="ANDREA FERNANDA"/>
    <s v="F"/>
    <m/>
    <d v="2016-11-08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Gran Buenos Aires"/>
    <m/>
    <n v="1648"/>
    <s v="VIRREYES HENRY DUNANT"/>
    <n v="240"/>
    <m/>
    <m/>
    <s v="TIGRE"/>
    <s v="Buenos Aires"/>
    <m/>
    <s v="U.O.San Isidro"/>
    <m/>
    <n v="2"/>
    <n v="1"/>
    <n v="13616.57"/>
    <n v="2723.32"/>
    <m/>
    <m/>
    <n v="10893.25"/>
    <m/>
    <n v="272.33"/>
    <m/>
    <m/>
    <m/>
    <m/>
    <m/>
    <m/>
    <n v="136.16999999999999"/>
    <m/>
    <m/>
    <m/>
    <m/>
    <m/>
    <m/>
    <n v="272.33"/>
    <m/>
    <m/>
    <m/>
    <m/>
    <m/>
    <m/>
    <m/>
    <n v="136.16999999999999"/>
    <m/>
    <n v="817"/>
  </r>
  <r>
    <n v="12"/>
    <x v="12"/>
    <x v="0"/>
    <n v="173675"/>
    <s v="BORTOLUSSI RICARDO JAVIER"/>
    <s v="20-24749111-3"/>
    <n v="42725"/>
    <n v="24749111"/>
    <s v="BORTOLUSSI"/>
    <s v="RICARDO JAVIER"/>
    <s v="M"/>
    <m/>
    <d v="2016-05-3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GRAL PAZ"/>
    <n v="1225"/>
    <m/>
    <m/>
    <s v="CAPITAL FEDERAL"/>
    <s v="Buenos Aires"/>
    <m/>
    <s v="U.O.Centro"/>
    <m/>
    <n v="1"/>
    <n v="1"/>
    <n v="818.55"/>
    <n v="163.72"/>
    <m/>
    <m/>
    <n v="654.83000000000004"/>
    <m/>
    <n v="16.37"/>
    <m/>
    <m/>
    <m/>
    <m/>
    <m/>
    <m/>
    <n v="8.19"/>
    <m/>
    <m/>
    <m/>
    <m/>
    <m/>
    <m/>
    <n v="16.37"/>
    <m/>
    <m/>
    <m/>
    <m/>
    <m/>
    <m/>
    <m/>
    <n v="8.19"/>
    <m/>
    <n v="49.12"/>
  </r>
  <r>
    <n v="12"/>
    <x v="12"/>
    <x v="0"/>
    <n v="184186"/>
    <s v="BURGOS KAREN XENIA ELIZABETH"/>
    <s v="27-37601273-0"/>
    <n v="42744"/>
    <n v="37601273"/>
    <s v="BURGOS"/>
    <s v="KAREN XENIA ELIZABETH"/>
    <s v="F"/>
    <m/>
    <d v="2016-12-06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Gran Buenos Aires"/>
    <m/>
    <n v="1648"/>
    <s v="PONTEVEDRA"/>
    <n v="240"/>
    <m/>
    <m/>
    <s v="TIGRE"/>
    <s v="Buenos Aires"/>
    <m/>
    <m/>
    <m/>
    <n v="1"/>
    <n v="1"/>
    <n v="11087.64"/>
    <n v="2217.5300000000002"/>
    <m/>
    <m/>
    <n v="8870.11"/>
    <m/>
    <n v="221.75"/>
    <m/>
    <m/>
    <m/>
    <m/>
    <m/>
    <m/>
    <n v="110.88"/>
    <m/>
    <m/>
    <m/>
    <m/>
    <m/>
    <m/>
    <n v="221.75"/>
    <m/>
    <m/>
    <m/>
    <m/>
    <m/>
    <m/>
    <m/>
    <n v="110.88"/>
    <m/>
    <n v="665.26"/>
  </r>
  <r>
    <n v="12"/>
    <x v="12"/>
    <x v="0"/>
    <n v="177330"/>
    <s v="CABALLERO VICTOR MANUEL"/>
    <s v="20-33180549-2"/>
    <n v="42744"/>
    <n v="33180549"/>
    <s v="CABALLERO"/>
    <s v="VICTOR MANUEL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te Luis Saens Peña"/>
    <n v="1225"/>
    <m/>
    <n v="25"/>
    <s v="CAPITAL FEDERAL"/>
    <s v="Buenos Aires"/>
    <m/>
    <s v="U.O.Centro"/>
    <m/>
    <n v="2"/>
    <n v="1"/>
    <n v="18590.03"/>
    <n v="3718"/>
    <m/>
    <m/>
    <n v="14872.03"/>
    <m/>
    <n v="371.8"/>
    <m/>
    <m/>
    <m/>
    <m/>
    <m/>
    <m/>
    <n v="185.9"/>
    <m/>
    <m/>
    <m/>
    <m/>
    <m/>
    <m/>
    <n v="371.8"/>
    <m/>
    <m/>
    <m/>
    <m/>
    <m/>
    <m/>
    <m/>
    <n v="185.9"/>
    <m/>
    <n v="1115.4000000000001"/>
  </r>
  <r>
    <n v="12"/>
    <x v="12"/>
    <x v="0"/>
    <n v="173039"/>
    <s v="CABIATI ELIZABETH ANDREA"/>
    <s v="27-28132105-1"/>
    <n v="42744"/>
    <n v="28132105"/>
    <s v="CABIATI"/>
    <s v="ELIZABETH ANDREA"/>
    <s v="F"/>
    <m/>
    <d v="2016-10-23T00:00:00"/>
    <d v="2016-11-01T00:00:00"/>
    <d v="2016-11-01T00:00:00"/>
    <s v="GASTRONOMICOS-Hoteles 4 y 5 Estrellas - 362/2003"/>
    <s v="Categoría 4"/>
    <x v="12"/>
    <s v="Unidad Principal"/>
    <s v="Centro"/>
    <s v="Mucama"/>
    <n v="108803"/>
    <s v="O.S.P.Gastronomico"/>
    <s v="Capital Federal"/>
    <m/>
    <s v="C1129AAA"/>
    <s v="TELLIER"/>
    <n v="1891"/>
    <m/>
    <m/>
    <s v="CAPITAL FEDERAL"/>
    <s v="Capital Federal"/>
    <m/>
    <s v="U.O.Casa Central"/>
    <s v="Alvear Palace"/>
    <n v="1"/>
    <n v="1"/>
    <n v="3.24"/>
    <n v="0.65"/>
    <m/>
    <m/>
    <n v="2.59"/>
    <m/>
    <n v="0.06"/>
    <m/>
    <m/>
    <m/>
    <m/>
    <m/>
    <m/>
    <n v="0.03"/>
    <m/>
    <m/>
    <m/>
    <m/>
    <m/>
    <m/>
    <n v="0.06"/>
    <m/>
    <m/>
    <m/>
    <m/>
    <m/>
    <m/>
    <m/>
    <n v="0.03"/>
    <m/>
    <n v="0.18"/>
  </r>
  <r>
    <n v="12"/>
    <x v="12"/>
    <x v="0"/>
    <n v="185183"/>
    <s v="CABRERA ANABELLA VANESA"/>
    <s v="27-36647219-9"/>
    <n v="42744"/>
    <n v="36647219"/>
    <s v="CABRERA"/>
    <s v="ANABELLA VANESA"/>
    <s v="F"/>
    <m/>
    <d v="2016-12-17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Gran Buenos Aires"/>
    <m/>
    <n v="1648"/>
    <s v="FRAY LUIS BOLAÑOS"/>
    <n v="240"/>
    <m/>
    <m/>
    <s v="TIGRE"/>
    <s v="Buenos Aires"/>
    <m/>
    <m/>
    <m/>
    <n v="1"/>
    <n v="1"/>
    <n v="756.84"/>
    <n v="151.38"/>
    <m/>
    <m/>
    <n v="605.46"/>
    <m/>
    <n v="15.14"/>
    <m/>
    <m/>
    <m/>
    <m/>
    <m/>
    <m/>
    <n v="7.57"/>
    <m/>
    <m/>
    <m/>
    <m/>
    <m/>
    <m/>
    <n v="15.14"/>
    <m/>
    <m/>
    <m/>
    <m/>
    <m/>
    <m/>
    <m/>
    <n v="7.57"/>
    <m/>
    <n v="45.42"/>
  </r>
  <r>
    <n v="12"/>
    <x v="12"/>
    <x v="0"/>
    <n v="179169"/>
    <s v="CABRERA VALENCIA CESAR AUGUSTO"/>
    <s v="20-95362926-8"/>
    <n v="42725"/>
    <n v="95362926"/>
    <s v="CABRERA VALENCIA"/>
    <s v="CESAR AUGUSTO"/>
    <s v="M"/>
    <m/>
    <d v="2016-10-04T00:00:00"/>
    <d v="2016-12-05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ECHEVERRIA"/>
    <n v="1225"/>
    <n v="6"/>
    <s v="D"/>
    <s v="CAPITAL FEDERAL"/>
    <s v="Buenos Aires"/>
    <m/>
    <s v="U.O.Centro"/>
    <m/>
    <n v="1"/>
    <n v="1"/>
    <n v="916.34"/>
    <n v="183.27"/>
    <m/>
    <m/>
    <n v="733.07"/>
    <m/>
    <n v="18.329999999999998"/>
    <m/>
    <m/>
    <m/>
    <m/>
    <m/>
    <m/>
    <n v="9.16"/>
    <m/>
    <m/>
    <m/>
    <m/>
    <m/>
    <m/>
    <n v="18.329999999999998"/>
    <m/>
    <m/>
    <m/>
    <m/>
    <m/>
    <m/>
    <m/>
    <n v="9.16"/>
    <m/>
    <n v="54.98"/>
  </r>
  <r>
    <n v="12"/>
    <x v="12"/>
    <x v="0"/>
    <n v="171783"/>
    <s v="CACERES ANGEL ESTEBAN"/>
    <s v="20-38536806-3"/>
    <n v="42744"/>
    <n v="38536806"/>
    <s v="CACERES"/>
    <s v="ANGEL ESTEBAN"/>
    <s v="M"/>
    <m/>
    <d v="2016-04-14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BERUTTI"/>
    <n v="1005"/>
    <m/>
    <m/>
    <s v="CAPITAL FEDERAL"/>
    <s v="Capital Federal"/>
    <m/>
    <s v="U.O.Quilmes"/>
    <m/>
    <n v="2"/>
    <n v="1"/>
    <n v="18179.27"/>
    <n v="3635.84"/>
    <m/>
    <m/>
    <n v="14543.43"/>
    <m/>
    <n v="363.59"/>
    <m/>
    <m/>
    <m/>
    <m/>
    <m/>
    <m/>
    <n v="181.79"/>
    <m/>
    <m/>
    <m/>
    <m/>
    <m/>
    <m/>
    <n v="363.59"/>
    <m/>
    <m/>
    <m/>
    <m/>
    <m/>
    <m/>
    <m/>
    <n v="181.79"/>
    <m/>
    <n v="1090.76"/>
  </r>
  <r>
    <n v="12"/>
    <x v="12"/>
    <x v="0"/>
    <n v="169907"/>
    <s v="CACERES GLADYS GABRIELA"/>
    <s v="27-24114152-2"/>
    <n v="42744"/>
    <n v="24114152"/>
    <s v="CACERES"/>
    <s v="GLADYS GABRIELA"/>
    <s v="F"/>
    <m/>
    <d v="2016-10-28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H YRIGOYEN"/>
    <n v="1005"/>
    <m/>
    <m/>
    <s v="CAPITAL FEDERAL"/>
    <s v="Capital Federal"/>
    <m/>
    <s v="U.O.Centro"/>
    <m/>
    <n v="2"/>
    <n v="1"/>
    <n v="2248.06"/>
    <n v="449.62"/>
    <m/>
    <m/>
    <n v="1798.44"/>
    <m/>
    <n v="44.97"/>
    <m/>
    <m/>
    <m/>
    <m/>
    <m/>
    <m/>
    <n v="22.48"/>
    <m/>
    <m/>
    <m/>
    <m/>
    <m/>
    <m/>
    <n v="44.97"/>
    <m/>
    <m/>
    <m/>
    <m/>
    <m/>
    <m/>
    <m/>
    <n v="22.48"/>
    <m/>
    <n v="134.9"/>
  </r>
  <r>
    <n v="12"/>
    <x v="12"/>
    <x v="0"/>
    <n v="161580"/>
    <s v="CAEIRO MAURO ALBERTO"/>
    <s v="20-30431921-7"/>
    <n v="42744"/>
    <n v="30431921"/>
    <s v="CAEIRO"/>
    <s v="MAURO ALBERTO"/>
    <s v="M"/>
    <m/>
    <d v="2015-11-20T00:00:00"/>
    <d v="2017-01-03T00:00:00"/>
    <m/>
    <s v="GASTRONOMICOS-Hoteles 4 y 5 Estrellas - 362/2003"/>
    <s v="Categoria 6"/>
    <x v="5"/>
    <s v="Mozos / camareros - GL"/>
    <s v="Centro"/>
    <s v="Camarero/a"/>
    <n v="116105"/>
    <s v="OS  DE CAPATACES  ESTIBADORES PORTUARIOS"/>
    <s v="Capital Federal"/>
    <m/>
    <s v="C1104AKC"/>
    <s v="AV SANTA FE"/>
    <n v="1225"/>
    <m/>
    <m/>
    <s v="CAPITAL FEDERAL"/>
    <s v="Buenos Aires"/>
    <m/>
    <s v="U.O.Centro"/>
    <m/>
    <n v="4"/>
    <n v="1"/>
    <n v="15742.39"/>
    <n v="3148.5"/>
    <m/>
    <m/>
    <n v="12593.89"/>
    <m/>
    <n v="314.83999999999997"/>
    <m/>
    <m/>
    <m/>
    <m/>
    <m/>
    <m/>
    <n v="157.43"/>
    <m/>
    <m/>
    <m/>
    <m/>
    <m/>
    <m/>
    <n v="314.83999999999997"/>
    <m/>
    <m/>
    <m/>
    <m/>
    <m/>
    <m/>
    <m/>
    <n v="157.43"/>
    <m/>
    <n v="944.54"/>
  </r>
  <r>
    <n v="12"/>
    <x v="12"/>
    <x v="0"/>
    <n v="177803"/>
    <s v="CALDERON FLORES HELLIER GULLIT"/>
    <s v="20-95475210-1"/>
    <n v="42744"/>
    <n v="95475210"/>
    <s v="CALDERON FLORES"/>
    <s v="HELLIER GULLIT"/>
    <s v="M"/>
    <m/>
    <d v="2016-10-18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. SAN JUAN"/>
    <n v="1225"/>
    <n v="14"/>
    <s v="F"/>
    <s v="CAPITAL FEDERAL"/>
    <s v="Buenos Aires"/>
    <m/>
    <s v="U.O.Centro"/>
    <m/>
    <n v="2"/>
    <n v="1"/>
    <n v="8394.06"/>
    <n v="1678.81"/>
    <m/>
    <m/>
    <n v="6715.25"/>
    <m/>
    <n v="167.88"/>
    <m/>
    <m/>
    <m/>
    <m/>
    <m/>
    <m/>
    <n v="83.94"/>
    <m/>
    <m/>
    <m/>
    <m/>
    <m/>
    <m/>
    <n v="167.88"/>
    <m/>
    <m/>
    <m/>
    <m/>
    <m/>
    <m/>
    <m/>
    <n v="83.94"/>
    <m/>
    <n v="503.64"/>
  </r>
  <r>
    <n v="12"/>
    <x v="12"/>
    <x v="0"/>
    <n v="170314"/>
    <s v="CAMPOS ANIBAL EDUARDO"/>
    <s v="20-38361143-2"/>
    <n v="42744"/>
    <n v="38361143"/>
    <s v="CAMPOS"/>
    <s v="ANIBAL EDUARDO"/>
    <s v="M"/>
    <m/>
    <d v="2016-03-19T00:00:00"/>
    <d v="2016-06-10T00:00:00"/>
    <d v="2016-06-10T00:00:00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INGENIERO HUERGO"/>
    <n v="1891"/>
    <n v="1"/>
    <m/>
    <s v="CAPITAL FEDERAL"/>
    <s v="Capital Federal"/>
    <m/>
    <s v="U.O.Casa Central"/>
    <s v="Alvear Palace"/>
    <n v="1"/>
    <n v="1"/>
    <n v="13.38"/>
    <n v="2.67"/>
    <m/>
    <m/>
    <n v="10.71"/>
    <m/>
    <n v="0.27"/>
    <m/>
    <m/>
    <m/>
    <m/>
    <m/>
    <m/>
    <n v="0.13"/>
    <m/>
    <m/>
    <m/>
    <m/>
    <m/>
    <m/>
    <n v="0.27"/>
    <m/>
    <m/>
    <m/>
    <m/>
    <m/>
    <m/>
    <m/>
    <n v="0.13"/>
    <m/>
    <n v="0.8"/>
  </r>
  <r>
    <n v="12"/>
    <x v="12"/>
    <x v="0"/>
    <n v="173415"/>
    <s v="CAMPUZANO ARIEL ALEJANDRO"/>
    <s v="20-33373560-2"/>
    <n v="42744"/>
    <n v="33373560"/>
    <s v="CAMPUZANO"/>
    <s v="ARIEL ALEJANDRO"/>
    <s v="M"/>
    <m/>
    <d v="2016-04-29T00:00:00"/>
    <d v="2016-05-31T00:00:00"/>
    <d v="2016-08-29T00:00:00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SANTIAGO DEL ESTERO"/>
    <n v="1891"/>
    <m/>
    <m/>
    <s v="CAPITAL FEDERAL"/>
    <s v="Capital Federal"/>
    <m/>
    <s v="U.O.Casa Central"/>
    <m/>
    <n v="1"/>
    <n v="1"/>
    <n v="1.25"/>
    <n v="0.26"/>
    <m/>
    <m/>
    <n v="0.99"/>
    <m/>
    <n v="0.03"/>
    <m/>
    <m/>
    <m/>
    <m/>
    <m/>
    <m/>
    <n v="0.01"/>
    <m/>
    <m/>
    <m/>
    <m/>
    <m/>
    <m/>
    <n v="0.03"/>
    <m/>
    <m/>
    <m/>
    <m/>
    <m/>
    <m/>
    <m/>
    <n v="0.01"/>
    <m/>
    <n v="0.08"/>
  </r>
  <r>
    <n v="12"/>
    <x v="12"/>
    <x v="1"/>
    <n v="182303"/>
    <s v="CAPELLARO NICOLAS AMERICO"/>
    <s v="20-38519934-2"/>
    <n v="42744"/>
    <n v="38519934"/>
    <s v="CAPELLARO"/>
    <s v="NICOLAS AMERICO"/>
    <s v="M"/>
    <m/>
    <d v="2016-11-04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s v="LAGOS"/>
    <n v="507"/>
    <m/>
    <m/>
    <s v="CAPITAL FEDERAL"/>
    <s v="Capital Federal"/>
    <m/>
    <s v="U.O.Centro"/>
    <m/>
    <n v="2"/>
    <n v="1"/>
    <n v="989.56"/>
    <n v="197.9"/>
    <m/>
    <m/>
    <n v="791.66"/>
    <m/>
    <n v="19.79"/>
    <m/>
    <m/>
    <m/>
    <m/>
    <m/>
    <m/>
    <n v="9.9"/>
    <m/>
    <m/>
    <m/>
    <m/>
    <m/>
    <m/>
    <n v="19.79"/>
    <m/>
    <m/>
    <m/>
    <m/>
    <m/>
    <m/>
    <m/>
    <n v="9.9"/>
    <m/>
    <n v="59.38"/>
  </r>
  <r>
    <n v="12"/>
    <x v="12"/>
    <x v="0"/>
    <n v="171897"/>
    <s v="CAPURRO EDUARDO ADOLFO"/>
    <s v="20-31064205-4"/>
    <n v="42725"/>
    <n v="31064205"/>
    <s v="CAPURRO"/>
    <s v="EDUARDO ADOLFO"/>
    <s v="M"/>
    <m/>
    <d v="2016-10-04T00:00:00"/>
    <d v="2016-10-20T00:00:00"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CHILE"/>
    <n v="1225"/>
    <m/>
    <m/>
    <s v="CAPITAL FEDERAL"/>
    <s v="Buenos Aires"/>
    <m/>
    <s v="U.O.Quilmes"/>
    <m/>
    <n v="1"/>
    <n v="1"/>
    <n v="5138.04"/>
    <n v="1027.5999999999999"/>
    <m/>
    <m/>
    <n v="4110.4399999999996"/>
    <m/>
    <n v="102.76"/>
    <m/>
    <m/>
    <m/>
    <m/>
    <m/>
    <m/>
    <n v="51.38"/>
    <m/>
    <m/>
    <m/>
    <m/>
    <m/>
    <m/>
    <n v="102.76"/>
    <m/>
    <m/>
    <m/>
    <m/>
    <m/>
    <m/>
    <m/>
    <n v="51.38"/>
    <m/>
    <n v="308.27999999999997"/>
  </r>
  <r>
    <n v="12"/>
    <x v="12"/>
    <x v="1"/>
    <n v="179421"/>
    <s v="CARCEDO NOEL FERNANDO MARIO"/>
    <s v="20-35056036-0"/>
    <n v="42737"/>
    <n v="35056036"/>
    <s v="CARCEDO"/>
    <s v="NOEL FERNANDO MARIO"/>
    <s v="M"/>
    <m/>
    <d v="2016-09-29T00:00:00"/>
    <d v="2016-12-11T00:00:00"/>
    <d v="2016-12-11T00:00:00"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BILLINGHURST"/>
    <n v="764"/>
    <n v="5"/>
    <m/>
    <s v="CAPITAL FEDERAL"/>
    <s v="Capital Federal"/>
    <m/>
    <s v="U.O.Centro"/>
    <m/>
    <n v="1"/>
    <n v="1"/>
    <n v="7871.71"/>
    <n v="1574.34"/>
    <m/>
    <m/>
    <n v="6297.37"/>
    <m/>
    <n v="157.43"/>
    <m/>
    <m/>
    <m/>
    <m/>
    <m/>
    <m/>
    <n v="78.72"/>
    <m/>
    <m/>
    <m/>
    <m/>
    <m/>
    <m/>
    <n v="157.43"/>
    <m/>
    <m/>
    <m/>
    <m/>
    <m/>
    <m/>
    <m/>
    <n v="78.72"/>
    <m/>
    <n v="472.3"/>
  </r>
  <r>
    <n v="12"/>
    <x v="12"/>
    <x v="1"/>
    <n v="183308"/>
    <s v="CARDOZO DAIANA SOLEDAD"/>
    <s v="27-31894455-0"/>
    <n v="42737"/>
    <n v="31894455"/>
    <s v="CARDOZO"/>
    <s v="DAIANA SOLEDAD"/>
    <s v="F"/>
    <m/>
    <d v="2016-11-19T00:00:00"/>
    <m/>
    <m/>
    <s v="GASTRONOMICOS-Hoteles 4 y 5 Estrellas - 362/2003"/>
    <s v="Categoría 4"/>
    <x v="3"/>
    <s v="Unidad Principal"/>
    <s v="Centro"/>
    <s v="Mucama"/>
    <n v="126908"/>
    <s v="OS DE LOS MEDICOS DE LA CIUDAD DE BUENOS AIRES"/>
    <s v="Capital Federal"/>
    <m/>
    <s v="C1002ABO"/>
    <s v="13 DE AGOSTO"/>
    <n v="764"/>
    <m/>
    <m/>
    <s v="CAPITAL FEDERAL"/>
    <s v="Capital Federal"/>
    <m/>
    <s v="U.O.Centro"/>
    <m/>
    <n v="1"/>
    <n v="1"/>
    <n v="11309.79"/>
    <n v="2261.96"/>
    <m/>
    <m/>
    <n v="9047.83"/>
    <m/>
    <n v="226.2"/>
    <m/>
    <m/>
    <m/>
    <m/>
    <m/>
    <m/>
    <n v="113.1"/>
    <m/>
    <m/>
    <m/>
    <m/>
    <m/>
    <m/>
    <n v="226.2"/>
    <m/>
    <m/>
    <m/>
    <m/>
    <m/>
    <m/>
    <m/>
    <n v="113.1"/>
    <m/>
    <n v="678.6"/>
  </r>
  <r>
    <n v="12"/>
    <x v="12"/>
    <x v="1"/>
    <n v="182767"/>
    <s v="CARDOZO GONZALO IVAN"/>
    <s v="20-39489757-5"/>
    <n v="42744"/>
    <n v="39489757"/>
    <s v="CARDOZO"/>
    <s v="GONZALO IVAN"/>
    <s v="M"/>
    <m/>
    <d v="2016-12-05T00:00:00"/>
    <m/>
    <m/>
    <s v="GASTRONOMICOS-Hoteles 4 y 5 Estrellas - 362/2003"/>
    <s v="Categoria 3"/>
    <x v="11"/>
    <s v="Unidad Principal"/>
    <s v="Centro"/>
    <s v="Ayudante de Cocina"/>
    <n v="108803"/>
    <s v="O.S.P.Gastronomico"/>
    <s v="Capital Federal"/>
    <m/>
    <s v="C1009ABK"/>
    <s v="SAN LORENZO CALLE 2 CASA 39"/>
    <n v="507"/>
    <m/>
    <m/>
    <s v="CAPITAL FEDERAL"/>
    <s v="Capital Federal"/>
    <m/>
    <s v="U.O.Centro"/>
    <m/>
    <n v="3"/>
    <n v="1"/>
    <n v="9436.73"/>
    <n v="1887.35"/>
    <m/>
    <m/>
    <n v="7549.38"/>
    <m/>
    <n v="188.74"/>
    <m/>
    <m/>
    <m/>
    <m/>
    <m/>
    <m/>
    <n v="94.37"/>
    <m/>
    <m/>
    <m/>
    <m/>
    <m/>
    <m/>
    <n v="188.74"/>
    <m/>
    <m/>
    <m/>
    <m/>
    <m/>
    <m/>
    <m/>
    <n v="94.37"/>
    <m/>
    <n v="566.22"/>
  </r>
  <r>
    <n v="12"/>
    <x v="12"/>
    <x v="0"/>
    <n v="184045"/>
    <s v="CARRASCO ANTONIO"/>
    <s v="20-62792794-1"/>
    <n v="42744"/>
    <n v="62792794"/>
    <s v="CARRASCO"/>
    <s v="ANTONIO"/>
    <s v="M"/>
    <m/>
    <d v="2016-12-03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RODRIGUEZ PEÑA"/>
    <n v="181"/>
    <m/>
    <m/>
    <s v="CAPITAL FEDERAL"/>
    <s v="Capital Federal"/>
    <m/>
    <s v="U.O.Centro"/>
    <m/>
    <n v="1"/>
    <n v="1"/>
    <n v="600.59"/>
    <n v="120.12"/>
    <m/>
    <m/>
    <n v="480.47"/>
    <m/>
    <n v="12.01"/>
    <m/>
    <m/>
    <m/>
    <m/>
    <m/>
    <m/>
    <n v="6.01"/>
    <m/>
    <m/>
    <m/>
    <m/>
    <m/>
    <m/>
    <n v="12.01"/>
    <m/>
    <m/>
    <m/>
    <m/>
    <m/>
    <m/>
    <m/>
    <n v="6.01"/>
    <m/>
    <n v="36.04"/>
  </r>
  <r>
    <n v="12"/>
    <x v="12"/>
    <x v="0"/>
    <n v="179908"/>
    <s v="CARREÑO IGNACIO ESTEBAN"/>
    <s v="20-31519765-2"/>
    <n v="42744"/>
    <n v="31519765"/>
    <s v="CARREÑO"/>
    <s v="IGNACIO ESTEBAN"/>
    <s v="M"/>
    <m/>
    <d v="2016-10-04T00:00:00"/>
    <d v="2016-12-26T00:00:00"/>
    <n v="42730"/>
    <s v="GASTRONOMICOS-Hoteles 4 y 5 Estrellas - 362/2003"/>
    <s v="Oficial De Servicios Varios"/>
    <x v="17"/>
    <s v="Unidad Base-GL"/>
    <s v="San Isidro"/>
    <s v="Categoría 5"/>
    <n v="108803"/>
    <s v="O.S.P.Gastronomico"/>
    <s v="Buenos Aires - Gran Buenos Aires"/>
    <m/>
    <n v="1648"/>
    <s v="FORMOSA"/>
    <n v="240"/>
    <m/>
    <m/>
    <s v="TIGRE"/>
    <s v="Buenos Aires"/>
    <m/>
    <s v="U.O.San Isidro"/>
    <m/>
    <n v="1"/>
    <n v="1"/>
    <n v="14479.55"/>
    <n v="2895.92"/>
    <m/>
    <m/>
    <n v="11583.63"/>
    <m/>
    <n v="289.58999999999997"/>
    <m/>
    <m/>
    <m/>
    <m/>
    <m/>
    <m/>
    <n v="144.80000000000001"/>
    <m/>
    <m/>
    <m/>
    <m/>
    <m/>
    <m/>
    <n v="289.58999999999997"/>
    <m/>
    <m/>
    <m/>
    <m/>
    <m/>
    <m/>
    <m/>
    <n v="144.80000000000001"/>
    <m/>
    <n v="868.78"/>
  </r>
  <r>
    <n v="12"/>
    <x v="12"/>
    <x v="0"/>
    <n v="181859"/>
    <s v="CARRERA DAIANA ELIZABETH"/>
    <s v="27-35110114-3"/>
    <n v="42738"/>
    <n v="35110114"/>
    <s v="CARRERA"/>
    <s v="DAIANA ELIZABETH"/>
    <s v="F"/>
    <m/>
    <d v="2016-10-27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s v="C1007AAA"/>
    <s v="COLONIA MONTE GRANDE"/>
    <n v="841"/>
    <m/>
    <m/>
    <s v="CAPITAL FEDERAL"/>
    <s v="Buenos Aires"/>
    <m/>
    <s v="U.O.Centro"/>
    <m/>
    <n v="1"/>
    <n v="1"/>
    <n v="14019.61"/>
    <n v="2803.93"/>
    <m/>
    <m/>
    <n v="11215.68"/>
    <m/>
    <n v="280.39"/>
    <m/>
    <m/>
    <m/>
    <m/>
    <m/>
    <m/>
    <n v="140.19999999999999"/>
    <m/>
    <m/>
    <m/>
    <m/>
    <m/>
    <m/>
    <n v="280.39"/>
    <m/>
    <m/>
    <m/>
    <m/>
    <m/>
    <m/>
    <m/>
    <n v="140.19999999999999"/>
    <m/>
    <n v="841.18"/>
  </r>
  <r>
    <n v="12"/>
    <x v="12"/>
    <x v="0"/>
    <n v="175900"/>
    <s v="CARRION CECILIA FLORENCIA"/>
    <s v="27-40916782-4"/>
    <n v="42744"/>
    <n v="40916782"/>
    <s v="CARRION"/>
    <s v="CECILIA FLORENCIA"/>
    <s v="F"/>
    <m/>
    <d v="2016-07-22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CONDARCO"/>
    <n v="474"/>
    <m/>
    <m/>
    <s v="CAPITAL FEDERAL"/>
    <s v="Buenos Aires"/>
    <m/>
    <s v="U.O.Avellaneda"/>
    <m/>
    <n v="1"/>
    <n v="1"/>
    <n v="1844.01"/>
    <n v="368.8"/>
    <m/>
    <m/>
    <n v="1475.21"/>
    <m/>
    <n v="36.880000000000003"/>
    <m/>
    <m/>
    <m/>
    <m/>
    <m/>
    <m/>
    <n v="18.440000000000001"/>
    <m/>
    <m/>
    <m/>
    <m/>
    <m/>
    <m/>
    <n v="36.880000000000003"/>
    <m/>
    <m/>
    <m/>
    <m/>
    <m/>
    <m/>
    <m/>
    <n v="18.440000000000001"/>
    <m/>
    <n v="110.64"/>
  </r>
  <r>
    <n v="12"/>
    <x v="12"/>
    <x v="1"/>
    <n v="176378"/>
    <s v="CARRIZO GUSTAVO ARIEL"/>
    <s v="20-22907224-3"/>
    <n v="42744"/>
    <n v="22907224"/>
    <s v="CARRIZO"/>
    <s v="GUSTAVO ARIEL"/>
    <s v="M"/>
    <m/>
    <d v="2016-08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RODRIGO DE TRIANA"/>
    <n v="507"/>
    <n v="8"/>
    <m/>
    <s v="CAPITAL FEDERAL"/>
    <s v="Capital Federal"/>
    <m/>
    <s v="U.O.Centro"/>
    <m/>
    <n v="4"/>
    <n v="1"/>
    <n v="24638.27"/>
    <n v="6927.63"/>
    <m/>
    <n v="2000"/>
    <n v="19710.64"/>
    <m/>
    <n v="492.76"/>
    <m/>
    <m/>
    <m/>
    <m/>
    <m/>
    <m/>
    <n v="246.38"/>
    <m/>
    <m/>
    <m/>
    <m/>
    <n v="2000"/>
    <m/>
    <n v="492.76"/>
    <n v="120.18"/>
    <m/>
    <m/>
    <m/>
    <m/>
    <m/>
    <m/>
    <n v="126.2"/>
    <m/>
    <n v="3478.28"/>
  </r>
  <r>
    <n v="12"/>
    <x v="12"/>
    <x v="0"/>
    <n v="148864"/>
    <s v="CASTILLO VERONICA ISABEL"/>
    <s v="27-24767374-7"/>
    <n v="42744"/>
    <n v="24767374"/>
    <s v="CASTILLO"/>
    <s v="VERONICA ISABEL"/>
    <s v="F"/>
    <m/>
    <d v="2016-09-22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LOS ANDES"/>
    <n v="1584"/>
    <m/>
    <m/>
    <s v="CAPITAL FEDERAL"/>
    <s v="Capital Federal"/>
    <m/>
    <s v="U.O.Centro"/>
    <s v="Alvear Palace"/>
    <n v="1"/>
    <n v="1"/>
    <n v="1.92"/>
    <n v="0.39"/>
    <m/>
    <m/>
    <n v="1.53"/>
    <m/>
    <n v="0.04"/>
    <m/>
    <m/>
    <m/>
    <m/>
    <m/>
    <m/>
    <n v="0.02"/>
    <m/>
    <m/>
    <m/>
    <m/>
    <m/>
    <m/>
    <n v="0.04"/>
    <m/>
    <m/>
    <m/>
    <m/>
    <m/>
    <m/>
    <m/>
    <n v="0.02"/>
    <m/>
    <n v="0.12"/>
  </r>
  <r>
    <n v="12"/>
    <x v="12"/>
    <x v="0"/>
    <n v="163460"/>
    <s v="CASTRO JUAN MANUEL"/>
    <s v="20-34103204-1"/>
    <n v="42744"/>
    <n v="34103204"/>
    <s v="CASTRO"/>
    <s v="JUAN MANUEL"/>
    <s v="M"/>
    <m/>
    <d v="2015-12-17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NDARCO"/>
    <n v="1005"/>
    <m/>
    <m/>
    <s v="CAPITAL FEDERAL"/>
    <s v="Capital Federal"/>
    <m/>
    <s v="U.O.Centro"/>
    <m/>
    <n v="3"/>
    <n v="1"/>
    <n v="1424.76"/>
    <n v="284.93"/>
    <m/>
    <m/>
    <n v="1139.83"/>
    <m/>
    <n v="28.49"/>
    <m/>
    <m/>
    <m/>
    <m/>
    <m/>
    <m/>
    <n v="14.24"/>
    <m/>
    <m/>
    <m/>
    <m/>
    <m/>
    <m/>
    <n v="28.49"/>
    <n v="12.73"/>
    <m/>
    <m/>
    <m/>
    <m/>
    <m/>
    <m/>
    <n v="1.51"/>
    <m/>
    <n v="85.46"/>
  </r>
  <r>
    <n v="12"/>
    <x v="12"/>
    <x v="0"/>
    <n v="183262"/>
    <s v="CASTRO TAMARA BELEN"/>
    <s v="27-36160602-2"/>
    <n v="42744"/>
    <n v="36160602"/>
    <s v="CASTRO"/>
    <s v="TAMARA BELEN"/>
    <s v="F"/>
    <m/>
    <d v="2016-11-17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MONROE"/>
    <n v="1005"/>
    <m/>
    <m/>
    <s v="CAPITAL FEDERAL"/>
    <s v="Capital Federal"/>
    <m/>
    <s v="U.O.Centro"/>
    <m/>
    <n v="2"/>
    <n v="1"/>
    <n v="179.4"/>
    <n v="35.869999999999997"/>
    <m/>
    <m/>
    <n v="143.53"/>
    <m/>
    <n v="3.59"/>
    <m/>
    <m/>
    <m/>
    <m/>
    <m/>
    <m/>
    <n v="1.79"/>
    <m/>
    <m/>
    <m/>
    <m/>
    <m/>
    <m/>
    <n v="3.59"/>
    <m/>
    <m/>
    <m/>
    <m/>
    <m/>
    <m/>
    <m/>
    <n v="1.79"/>
    <m/>
    <n v="10.76"/>
  </r>
  <r>
    <n v="12"/>
    <x v="12"/>
    <x v="0"/>
    <n v="144180"/>
    <s v="CATALAN CRISTINA DEL CARMEN"/>
    <s v="27-31138041-4"/>
    <n v="42744"/>
    <n v="31138041"/>
    <s v="CATALAN"/>
    <s v="CRISTINA DEL CARMEN"/>
    <s v="F"/>
    <m/>
    <d v="2015-03-10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RIVADAVIA"/>
    <n v="1232"/>
    <s v="PB"/>
    <n v="1"/>
    <s v="CAPITAL FEDERAL"/>
    <s v="Buenos Aires"/>
    <m/>
    <s v="U.O.Centro"/>
    <s v="Ama de Llaves"/>
    <n v="1"/>
    <n v="1"/>
    <n v="18791.650000000001"/>
    <n v="3758.33"/>
    <m/>
    <m/>
    <n v="15033.32"/>
    <m/>
    <n v="375.83"/>
    <m/>
    <m/>
    <m/>
    <m/>
    <m/>
    <m/>
    <n v="187.92"/>
    <m/>
    <m/>
    <m/>
    <m/>
    <m/>
    <m/>
    <n v="375.83"/>
    <m/>
    <m/>
    <m/>
    <m/>
    <m/>
    <m/>
    <m/>
    <n v="187.92"/>
    <m/>
    <n v="1127.5"/>
  </r>
  <r>
    <n v="12"/>
    <x v="12"/>
    <x v="0"/>
    <n v="158525"/>
    <s v="CELIBERTI YESICA ROMINA"/>
    <s v="27-35202883-0"/>
    <n v="42744"/>
    <n v="35202883"/>
    <s v="CELIBERTI"/>
    <s v="YESICA ROMINA"/>
    <s v="F"/>
    <m/>
    <d v="2015-10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RASIL"/>
    <n v="1232"/>
    <m/>
    <m/>
    <s v="CAPITAL FEDERAL"/>
    <s v="Buenos Aires"/>
    <m/>
    <s v="U.O.Centro"/>
    <s v="Ama de Llaves"/>
    <n v="1"/>
    <n v="1"/>
    <n v="14520.82"/>
    <n v="2976.76"/>
    <m/>
    <m/>
    <n v="11544.06"/>
    <n v="363.02"/>
    <m/>
    <m/>
    <m/>
    <m/>
    <m/>
    <m/>
    <m/>
    <n v="145.21"/>
    <m/>
    <m/>
    <m/>
    <m/>
    <m/>
    <m/>
    <n v="290.42"/>
    <m/>
    <m/>
    <m/>
    <m/>
    <m/>
    <m/>
    <m/>
    <n v="145.21"/>
    <m/>
    <n v="943.86"/>
  </r>
  <r>
    <n v="12"/>
    <x v="12"/>
    <x v="0"/>
    <n v="175082"/>
    <s v="CENTENO VARA SERGIO MEYER"/>
    <s v="20-94675854-0"/>
    <n v="42744"/>
    <n v="94675854"/>
    <s v="CENTENO VARA"/>
    <s v="SERGIO MEYER"/>
    <s v="M"/>
    <m/>
    <d v="2016-07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ARTOLOME MITRE"/>
    <n v="1225"/>
    <n v="2"/>
    <s v="B"/>
    <s v="CAPITAL FEDERAL"/>
    <s v="Buenos Aires"/>
    <m/>
    <s v="U.O.Centro"/>
    <m/>
    <n v="2"/>
    <n v="1"/>
    <n v="10483.93"/>
    <n v="2096.79"/>
    <m/>
    <m/>
    <n v="8387.14"/>
    <m/>
    <n v="209.68"/>
    <m/>
    <m/>
    <m/>
    <m/>
    <m/>
    <m/>
    <n v="104.84"/>
    <m/>
    <m/>
    <m/>
    <m/>
    <m/>
    <m/>
    <n v="209.68"/>
    <m/>
    <m/>
    <m/>
    <m/>
    <m/>
    <m/>
    <m/>
    <n v="104.84"/>
    <m/>
    <n v="629.04"/>
  </r>
  <r>
    <n v="12"/>
    <x v="12"/>
    <x v="0"/>
    <n v="175141"/>
    <s v="CENTURION AQUINO CRISTINA LEONOR"/>
    <s v="27-95065474-6"/>
    <n v="42738"/>
    <n v="95065474"/>
    <s v="CENTURION AQUINO"/>
    <s v="CRISTINA LEONOR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AV REGIMIENTO PATRICIOS"/>
    <n v="1334"/>
    <n v="3"/>
    <s v="C"/>
    <s v="CAPITAL FEDERAL"/>
    <s v="Capital Federal"/>
    <m/>
    <s v="U.O.Centro"/>
    <m/>
    <n v="1"/>
    <n v="1"/>
    <n v="15417.83"/>
    <n v="3083.56"/>
    <m/>
    <m/>
    <n v="12334.27"/>
    <m/>
    <n v="308.36"/>
    <m/>
    <m/>
    <m/>
    <m/>
    <m/>
    <m/>
    <n v="154.18"/>
    <m/>
    <m/>
    <m/>
    <m/>
    <m/>
    <m/>
    <n v="308.36"/>
    <m/>
    <m/>
    <m/>
    <m/>
    <m/>
    <m/>
    <m/>
    <n v="154.18"/>
    <m/>
    <n v="925.08"/>
  </r>
  <r>
    <n v="12"/>
    <x v="12"/>
    <x v="0"/>
    <n v="170318"/>
    <s v="CERNEAZ JOANA"/>
    <s v="27-35043953-1"/>
    <n v="42744"/>
    <n v="35043953"/>
    <s v="CERNEAZ"/>
    <s v="JOANA"/>
    <s v="F"/>
    <m/>
    <d v="2016-03-16T00:00:00"/>
    <d v="2016-12-31T00:00:00"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. MEDRANO"/>
    <n v="1225"/>
    <s v="PB"/>
    <m/>
    <s v="CAPITAL FEDERAL"/>
    <s v="Buenos Aires"/>
    <m/>
    <s v="U.O.Centro"/>
    <m/>
    <n v="3"/>
    <n v="1"/>
    <n v="18326.77"/>
    <n v="3665.35"/>
    <m/>
    <m/>
    <n v="14661.42"/>
    <m/>
    <n v="366.53"/>
    <m/>
    <m/>
    <m/>
    <m/>
    <m/>
    <m/>
    <n v="183.27"/>
    <m/>
    <m/>
    <m/>
    <m/>
    <m/>
    <m/>
    <n v="366.53"/>
    <m/>
    <m/>
    <m/>
    <m/>
    <m/>
    <m/>
    <m/>
    <n v="183.27"/>
    <m/>
    <n v="1099.5999999999999"/>
  </r>
  <r>
    <n v="12"/>
    <x v="12"/>
    <x v="0"/>
    <n v="171029"/>
    <s v="CERRANO PATRICIA VIVIANA"/>
    <s v="23-31509842-4"/>
    <n v="42744"/>
    <n v="31509842"/>
    <s v="CERRANO"/>
    <s v="PATRICIA VIVIANA"/>
    <s v="F"/>
    <m/>
    <d v="2016-07-26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PASAJE BOLAÑOS"/>
    <n v="474"/>
    <m/>
    <m/>
    <s v="CAPITAL FEDERAL"/>
    <s v="Buenos Aires"/>
    <m/>
    <s v="U.O.Centro"/>
    <m/>
    <n v="1"/>
    <n v="1"/>
    <n v="12936.16"/>
    <n v="2587.2199999999998"/>
    <m/>
    <m/>
    <n v="10348.94"/>
    <m/>
    <n v="258.72000000000003"/>
    <m/>
    <m/>
    <m/>
    <m/>
    <m/>
    <m/>
    <n v="129.36000000000001"/>
    <m/>
    <m/>
    <m/>
    <m/>
    <m/>
    <m/>
    <n v="258.72000000000003"/>
    <m/>
    <m/>
    <m/>
    <m/>
    <m/>
    <m/>
    <m/>
    <n v="129.36000000000001"/>
    <m/>
    <n v="776.16"/>
  </r>
  <r>
    <n v="12"/>
    <x v="12"/>
    <x v="1"/>
    <n v="112977"/>
    <s v="CHACON NADIA DE LOS ANGELES"/>
    <s v="27-34151854-2"/>
    <n v="42744"/>
    <n v="34151854"/>
    <s v="CHACON"/>
    <s v="NADIA DE LOS ANGELES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ALPA 1850"/>
    <n v="535"/>
    <m/>
    <m/>
    <s v="CAPITAL FEDERAL"/>
    <s v="Capital Federal"/>
    <m/>
    <s v="U.O.Centro Paga Inplant"/>
    <s v="MOZOS"/>
    <n v="2"/>
    <n v="1"/>
    <n v="23564.15"/>
    <n v="4830.66"/>
    <m/>
    <m/>
    <n v="18733.490000000002"/>
    <n v="589.1"/>
    <m/>
    <m/>
    <m/>
    <m/>
    <m/>
    <m/>
    <m/>
    <n v="235.64"/>
    <m/>
    <m/>
    <m/>
    <m/>
    <m/>
    <m/>
    <n v="471.28"/>
    <m/>
    <m/>
    <m/>
    <m/>
    <m/>
    <m/>
    <m/>
    <n v="235.64"/>
    <m/>
    <n v="1531.66"/>
  </r>
  <r>
    <n v="12"/>
    <x v="12"/>
    <x v="0"/>
    <n v="177051"/>
    <s v="CICCHINI JULIAN"/>
    <s v="20-39764422-8"/>
    <n v="42725"/>
    <n v="39764422"/>
    <s v="CICCHINI"/>
    <s v="JULIAN"/>
    <s v="M"/>
    <m/>
    <d v="2016-09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QUITO"/>
    <n v="1225"/>
    <n v="5"/>
    <m/>
    <s v="CAPITAL FEDERAL"/>
    <s v="Buenos Aires"/>
    <m/>
    <s v="U.O.Centro"/>
    <m/>
    <n v="1"/>
    <n v="1"/>
    <n v="6766.21"/>
    <n v="1353.24"/>
    <m/>
    <m/>
    <n v="5412.97"/>
    <m/>
    <n v="135.32"/>
    <m/>
    <m/>
    <m/>
    <m/>
    <m/>
    <m/>
    <n v="67.66"/>
    <m/>
    <m/>
    <m/>
    <m/>
    <m/>
    <m/>
    <n v="135.32"/>
    <m/>
    <m/>
    <m/>
    <m/>
    <m/>
    <m/>
    <m/>
    <n v="67.66"/>
    <m/>
    <n v="405.96"/>
  </r>
  <r>
    <n v="12"/>
    <x v="12"/>
    <x v="0"/>
    <n v="182565"/>
    <s v="CLUTTERBUCK VERONICA MARCELA"/>
    <s v="23-24487332-4"/>
    <n v="42725"/>
    <n v="24487332"/>
    <s v="CLUTTERBUCK"/>
    <s v="VERONICA MARCELA"/>
    <s v="F"/>
    <m/>
    <d v="2016-11-07T00:00:00"/>
    <d v="2016-12-19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ARCOS SUAREZ"/>
    <n v="1225"/>
    <m/>
    <m/>
    <s v="CAPITAL FEDERAL"/>
    <s v="Buenos Aires"/>
    <m/>
    <s v="U.O.Centro"/>
    <m/>
    <n v="1"/>
    <n v="1"/>
    <n v="1877.72"/>
    <n v="375.54"/>
    <m/>
    <m/>
    <n v="1502.18"/>
    <m/>
    <n v="37.549999999999997"/>
    <m/>
    <m/>
    <m/>
    <m/>
    <m/>
    <m/>
    <n v="18.78"/>
    <m/>
    <m/>
    <m/>
    <m/>
    <m/>
    <m/>
    <n v="37.549999999999997"/>
    <m/>
    <m/>
    <m/>
    <m/>
    <m/>
    <m/>
    <m/>
    <n v="18.78"/>
    <m/>
    <n v="112.66"/>
  </r>
  <r>
    <n v="12"/>
    <x v="12"/>
    <x v="0"/>
    <n v="172187"/>
    <s v="CONDORI DANIEL"/>
    <s v="20-35216365-2"/>
    <n v="42738"/>
    <n v="35216365"/>
    <s v="CONDORI"/>
    <s v="DANIEL"/>
    <s v="M"/>
    <m/>
    <d v="2016-04-25T00:00:00"/>
    <m/>
    <m/>
    <s v="GASTRONOMICOS-Hoteles 4 y 5 Estrellas - 362/2003"/>
    <s v="Categoria 2"/>
    <x v="10"/>
    <s v="SOFITEL COCINA"/>
    <s v="Centro"/>
    <s v="Tareas Generales"/>
    <n v="108803"/>
    <s v="O.S.P.Gastronomico"/>
    <s v="Capital Federal"/>
    <m/>
    <n v="1089"/>
    <s v="ANA MARIA JANNER"/>
    <n v="841"/>
    <n v="2"/>
    <m/>
    <s v="CAPITAL FEDERAL"/>
    <s v="Buenos Aires"/>
    <m/>
    <s v="U.O.Centro"/>
    <m/>
    <n v="1"/>
    <n v="1"/>
    <n v="12428.32"/>
    <n v="2485.67"/>
    <m/>
    <m/>
    <n v="9942.65"/>
    <m/>
    <n v="248.57"/>
    <m/>
    <m/>
    <m/>
    <m/>
    <m/>
    <m/>
    <n v="124.28"/>
    <m/>
    <m/>
    <m/>
    <m/>
    <m/>
    <m/>
    <n v="248.57"/>
    <m/>
    <m/>
    <m/>
    <m/>
    <m/>
    <m/>
    <m/>
    <n v="124.28"/>
    <m/>
    <n v="745.7"/>
  </r>
  <r>
    <n v="12"/>
    <x v="12"/>
    <x v="0"/>
    <n v="177863"/>
    <s v="CORONEL VANESA VERONICA"/>
    <s v="27-30878233-1"/>
    <n v="42744"/>
    <n v="30878233"/>
    <s v="CORONEL"/>
    <s v="VANESA VERONICA"/>
    <s v="F"/>
    <m/>
    <d v="2016-08-26T00:00:00"/>
    <d v="2016-12-19T00:00:00"/>
    <m/>
    <s v="GASTRONOMICOS-Hoteles 4 y 5 Estrellas - 362/2003"/>
    <s v="Categoría 4"/>
    <x v="16"/>
    <s v="Back Office"/>
    <s v="Back Office"/>
    <s v="Mucama"/>
    <n v="108803"/>
    <s v="O.S.P.Gastronomico"/>
    <s v="Buenos Aires - Almte. Brown"/>
    <m/>
    <s v="C1019ABK"/>
    <s v="SAN IGNACIO"/>
    <n v="513"/>
    <m/>
    <m/>
    <s v="CAPITAL FEDERAL"/>
    <s v="Buenos Aires"/>
    <m/>
    <m/>
    <m/>
    <n v="3"/>
    <n v="1"/>
    <n v="5574.05"/>
    <n v="1114.81"/>
    <m/>
    <n v="26369.97"/>
    <n v="30829.21"/>
    <m/>
    <n v="111.48"/>
    <m/>
    <m/>
    <m/>
    <m/>
    <m/>
    <m/>
    <n v="55.74"/>
    <m/>
    <m/>
    <m/>
    <m/>
    <m/>
    <m/>
    <n v="111.48"/>
    <m/>
    <m/>
    <m/>
    <m/>
    <m/>
    <m/>
    <m/>
    <n v="55.74"/>
    <m/>
    <n v="334.44"/>
  </r>
  <r>
    <n v="12"/>
    <x v="12"/>
    <x v="0"/>
    <n v="172454"/>
    <s v="CORVALAN ANDREA"/>
    <s v="27-39467778-2"/>
    <n v="42744"/>
    <n v="39467778"/>
    <s v="CORVALAN"/>
    <s v="ANDREA"/>
    <s v="F"/>
    <m/>
    <d v="2016-04-1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NDEPENDENCIA"/>
    <n v="1225"/>
    <n v="9"/>
    <n v="1"/>
    <s v="CAPITAL FEDERAL"/>
    <s v="Buenos Aires"/>
    <m/>
    <s v="U.O.Centro"/>
    <m/>
    <n v="3"/>
    <n v="1"/>
    <n v="13909.04"/>
    <n v="2781.84"/>
    <m/>
    <m/>
    <n v="11127.2"/>
    <m/>
    <n v="278.19"/>
    <m/>
    <m/>
    <m/>
    <m/>
    <m/>
    <m/>
    <n v="139.09"/>
    <m/>
    <m/>
    <m/>
    <m/>
    <m/>
    <m/>
    <n v="278.19"/>
    <m/>
    <m/>
    <m/>
    <m/>
    <m/>
    <m/>
    <m/>
    <n v="139.09"/>
    <m/>
    <n v="834.56"/>
  </r>
  <r>
    <n v="12"/>
    <x v="12"/>
    <x v="0"/>
    <n v="148946"/>
    <s v="COSTILLA LUCA IVAN EMMANUEL"/>
    <s v="20-37993495-2"/>
    <n v="42744"/>
    <n v="37993495"/>
    <s v="COSTILLA LUCA"/>
    <s v="IVAN EMMANUEL"/>
    <s v="M"/>
    <m/>
    <d v="2016-06-1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STILLO"/>
    <n v="1225"/>
    <n v="2"/>
    <s v="B"/>
    <s v="CAPITAL FEDERAL"/>
    <s v="Buenos Aires"/>
    <m/>
    <s v="U.O.Centro"/>
    <m/>
    <n v="5"/>
    <n v="1"/>
    <n v="15656.48"/>
    <n v="3011.41"/>
    <m/>
    <m/>
    <n v="12645.07"/>
    <m/>
    <n v="313.14"/>
    <m/>
    <m/>
    <m/>
    <m/>
    <m/>
    <m/>
    <n v="36.65"/>
    <m/>
    <m/>
    <m/>
    <m/>
    <m/>
    <m/>
    <n v="313.14"/>
    <m/>
    <m/>
    <m/>
    <m/>
    <m/>
    <m/>
    <m/>
    <n v="36.65"/>
    <m/>
    <n v="699.58"/>
  </r>
  <r>
    <n v="12"/>
    <x v="12"/>
    <x v="0"/>
    <n v="170608"/>
    <s v="COTSIFIS LEONARDO CRISTIAN"/>
    <s v="20-28488021-9"/>
    <n v="42744"/>
    <n v="28488021"/>
    <s v="COTSIFIS"/>
    <s v="LEONARDO CRISTIAN"/>
    <s v="M"/>
    <m/>
    <d v="2016-05-02T00:00:00"/>
    <m/>
    <n v="42729"/>
    <s v="GASTRONOMICOS-Hoteles 4 y 5 Estrellas - 362/2003"/>
    <s v="Categoria 6"/>
    <x v="15"/>
    <s v="Camareros Outlet"/>
    <s v="Centro"/>
    <s v="Camarero/a"/>
    <n v="108803"/>
    <s v="O.S.P.Gastronomico"/>
    <s v="Capital Federal"/>
    <m/>
    <s v="C1091AAX"/>
    <s v="HIPOLITO YRIGOYEN"/>
    <n v="809"/>
    <m/>
    <m/>
    <s v="CAPITAL FEDERAL"/>
    <s v="Capital Federal"/>
    <m/>
    <s v="U.O.Centro"/>
    <m/>
    <n v="1"/>
    <n v="1"/>
    <n v="12578.71"/>
    <n v="2515.7399999999998"/>
    <m/>
    <m/>
    <n v="10062.969999999999"/>
    <m/>
    <n v="251.57"/>
    <m/>
    <m/>
    <m/>
    <m/>
    <m/>
    <m/>
    <n v="125.79"/>
    <m/>
    <m/>
    <m/>
    <m/>
    <m/>
    <m/>
    <n v="251.57"/>
    <m/>
    <m/>
    <m/>
    <m/>
    <m/>
    <m/>
    <m/>
    <n v="125.79"/>
    <m/>
    <n v="754.72"/>
  </r>
  <r>
    <n v="12"/>
    <x v="12"/>
    <x v="0"/>
    <n v="169495"/>
    <s v="CRUZ ARIEL HERNAN"/>
    <s v="20-23765623-8"/>
    <n v="42744"/>
    <n v="23765623"/>
    <s v="CRUZ"/>
    <s v="ARIEL HERNAN"/>
    <s v="M"/>
    <m/>
    <d v="2016-05-09T00:00:00"/>
    <d v="2016-12-31T00:00:00"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RETIRO"/>
    <n v="1232"/>
    <m/>
    <m/>
    <s v="CAPITAL FEDERAL"/>
    <s v="Buenos Aires"/>
    <m/>
    <s v="U.O.Centro"/>
    <s v="MANTENIMIENTO"/>
    <n v="2"/>
    <n v="1"/>
    <n v="15602.1"/>
    <n v="3120.41"/>
    <m/>
    <n v="1516.32"/>
    <n v="13998.01"/>
    <m/>
    <n v="312.04000000000002"/>
    <m/>
    <m/>
    <m/>
    <m/>
    <m/>
    <m/>
    <n v="156.02000000000001"/>
    <m/>
    <m/>
    <m/>
    <m/>
    <m/>
    <m/>
    <n v="312.04000000000002"/>
    <m/>
    <m/>
    <m/>
    <m/>
    <m/>
    <m/>
    <m/>
    <n v="156.02000000000001"/>
    <m/>
    <n v="936.12"/>
  </r>
  <r>
    <n v="12"/>
    <x v="12"/>
    <x v="1"/>
    <n v="173595"/>
    <s v="D´AGOSTINO MARCO ALEN"/>
    <s v="20-40547087-0"/>
    <n v="42737"/>
    <n v="40547087"/>
    <s v="D´AGOSTINO"/>
    <s v="MARCO ALEN"/>
    <s v="M"/>
    <m/>
    <d v="2016-05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ALLE 17"/>
    <n v="764"/>
    <m/>
    <m/>
    <s v="CAPITAL FEDERAL"/>
    <s v="Capital Federal"/>
    <m/>
    <s v="U.O.Centro Paga Inplant"/>
    <m/>
    <n v="1"/>
    <n v="1"/>
    <n v="16989.87"/>
    <n v="3397.99"/>
    <m/>
    <m/>
    <n v="13591.88"/>
    <m/>
    <n v="339.8"/>
    <m/>
    <m/>
    <m/>
    <m/>
    <m/>
    <m/>
    <n v="169.9"/>
    <m/>
    <m/>
    <m/>
    <m/>
    <m/>
    <m/>
    <n v="339.8"/>
    <m/>
    <m/>
    <m/>
    <m/>
    <m/>
    <m/>
    <m/>
    <n v="169.9"/>
    <m/>
    <n v="1019.4"/>
  </r>
  <r>
    <n v="12"/>
    <x v="12"/>
    <x v="0"/>
    <n v="175625"/>
    <s v="DANCOURT BERNUY TERRY ANDRES"/>
    <s v="20-94317177-8"/>
    <n v="42744"/>
    <n v="94317177"/>
    <s v="DANCOURT BERNUY"/>
    <s v="TERRY ANDRES"/>
    <s v="M"/>
    <m/>
    <d v="2016-11-29T00:00:00"/>
    <d v="2016-12-31T00:00:00"/>
    <n v="42735"/>
    <s v="GASTRONOMICOS-Hoteles 4 y 5 Estrellas - 362/2003"/>
    <s v="Categoria 3"/>
    <x v="15"/>
    <s v="Ayudante de Cocina"/>
    <s v="Centro"/>
    <s v="Tareas Generales"/>
    <n v="108803"/>
    <s v="O.S.P.Gastronomico"/>
    <s v="Capital Federal"/>
    <m/>
    <s v="C1070AAE"/>
    <s v="JUAN DE GARAY"/>
    <n v="265"/>
    <n v="2"/>
    <s v="F"/>
    <s v="CAPITAL FEDERAL"/>
    <s v="Capital Federal"/>
    <m/>
    <s v="U.O.Centro"/>
    <m/>
    <n v="2"/>
    <n v="1"/>
    <n v="10304.09"/>
    <n v="2060.8200000000002"/>
    <m/>
    <m/>
    <n v="8243.27"/>
    <m/>
    <n v="206.09"/>
    <m/>
    <m/>
    <m/>
    <m/>
    <m/>
    <m/>
    <n v="103.04"/>
    <m/>
    <m/>
    <m/>
    <m/>
    <m/>
    <m/>
    <n v="206.09"/>
    <m/>
    <m/>
    <m/>
    <m/>
    <m/>
    <m/>
    <m/>
    <n v="103.04"/>
    <m/>
    <n v="618.26"/>
  </r>
  <r>
    <n v="12"/>
    <x v="12"/>
    <x v="1"/>
    <n v="182641"/>
    <s v="DANZE MAXIMILIANO JONATAN"/>
    <s v="20-34103212-2"/>
    <n v="42737"/>
    <n v="34103212"/>
    <s v="DANZE"/>
    <s v="MAXIMILIANO JONATAN"/>
    <s v="M"/>
    <m/>
    <d v="2016-11-08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OLON"/>
    <n v="764"/>
    <m/>
    <m/>
    <s v="CAPITAL FEDERAL"/>
    <s v="Capital Federal"/>
    <m/>
    <s v="U.O.Centro"/>
    <m/>
    <n v="1"/>
    <n v="1"/>
    <n v="16640.939999999999"/>
    <n v="3411.39"/>
    <m/>
    <m/>
    <n v="13229.55"/>
    <n v="416.02"/>
    <m/>
    <m/>
    <m/>
    <m/>
    <m/>
    <m/>
    <m/>
    <n v="166.41"/>
    <m/>
    <m/>
    <m/>
    <m/>
    <m/>
    <m/>
    <n v="332.82"/>
    <m/>
    <m/>
    <m/>
    <m/>
    <m/>
    <m/>
    <m/>
    <n v="166.41"/>
    <m/>
    <n v="1081.6600000000001"/>
  </r>
  <r>
    <n v="12"/>
    <x v="12"/>
    <x v="0"/>
    <n v="175739"/>
    <s v="DE BARY LUCIO"/>
    <s v="23-38498237-9"/>
    <n v="42744"/>
    <n v="38498237"/>
    <s v="DE BARY"/>
    <s v="LUCIO"/>
    <s v="M"/>
    <m/>
    <d v="2016-07-16T00:00:00"/>
    <d v="2016-10-25T00:00:00"/>
    <d v="2016-10-25T00:00:00"/>
    <s v="GASTRONOMICOS-Hoteles 4 y 5 Estrellas - 362/2003"/>
    <s v="Categoria 3"/>
    <x v="11"/>
    <s v="Unidad Principal"/>
    <s v="Centro"/>
    <s v="Tareas Generales"/>
    <n v="108803"/>
    <s v="O.S.P.Gastronomico"/>
    <s v="Capital Federal"/>
    <m/>
    <s v="C1085ABP"/>
    <s v="SANTIAGO DEL ESTERO"/>
    <n v="1298"/>
    <m/>
    <m/>
    <s v="CAPITAL FEDERAL"/>
    <s v="Capital Federal"/>
    <m/>
    <s v="U.O.Centro"/>
    <m/>
    <n v="1"/>
    <n v="1"/>
    <n v="1761.15"/>
    <n v="352.22"/>
    <m/>
    <n v="1090"/>
    <n v="2498.9299999999998"/>
    <m/>
    <n v="35.22"/>
    <m/>
    <m/>
    <m/>
    <m/>
    <m/>
    <m/>
    <n v="17.61"/>
    <m/>
    <m/>
    <m/>
    <m/>
    <m/>
    <m/>
    <n v="35.22"/>
    <m/>
    <m/>
    <m/>
    <m/>
    <m/>
    <m/>
    <m/>
    <n v="17.61"/>
    <m/>
    <n v="105.66"/>
  </r>
  <r>
    <n v="12"/>
    <x v="12"/>
    <x v="0"/>
    <n v="180749"/>
    <s v="DI PAOLO JUAN ANDRES"/>
    <s v="20-35836127-8"/>
    <n v="42725"/>
    <n v="35836127"/>
    <s v="DI PAOLO"/>
    <s v="JUAN ANDRES"/>
    <s v="M"/>
    <m/>
    <d v="2016-12-06T00:00:00"/>
    <m/>
    <m/>
    <s v="GASTRONOMICOS-Hoteles 4 y 5 Estrellas - 362/2003"/>
    <s v="Categoria 6"/>
    <x v="18"/>
    <s v="Capital Federal (Gastronomicos) - GL"/>
    <s v="Centro"/>
    <s v="Camarero/a"/>
    <n v="108803"/>
    <s v="O.S.P.Gastronomico"/>
    <s v="Capital Federal"/>
    <m/>
    <n v="1007"/>
    <s v="ARAOZ"/>
    <n v="1366"/>
    <n v="16"/>
    <s v="D"/>
    <s v="CAPITAL FEDERAL"/>
    <s v="Capital Federal"/>
    <m/>
    <s v="U.O.Centro"/>
    <m/>
    <n v="1"/>
    <n v="1"/>
    <n v="712.04"/>
    <n v="142.4"/>
    <m/>
    <m/>
    <n v="569.64"/>
    <m/>
    <n v="14.24"/>
    <m/>
    <m/>
    <m/>
    <m/>
    <m/>
    <m/>
    <n v="7.12"/>
    <m/>
    <m/>
    <m/>
    <m/>
    <m/>
    <m/>
    <n v="14.24"/>
    <m/>
    <m/>
    <m/>
    <m/>
    <m/>
    <m/>
    <m/>
    <n v="7.12"/>
    <m/>
    <n v="42.72"/>
  </r>
  <r>
    <n v="12"/>
    <x v="12"/>
    <x v="0"/>
    <n v="170691"/>
    <s v="DIAZ INGRID MANUELA"/>
    <s v="27-93051595-2"/>
    <n v="42744"/>
    <n v="93051595"/>
    <s v="DIAZ"/>
    <s v="INGRID MANUELA"/>
    <s v="F"/>
    <m/>
    <d v="2016-03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ISANEWTON"/>
    <n v="1225"/>
    <m/>
    <m/>
    <s v="CAPITAL FEDERAL"/>
    <s v="Buenos Aires"/>
    <m/>
    <s v="U.O.Centro"/>
    <m/>
    <n v="2"/>
    <n v="1"/>
    <n v="16134.36"/>
    <n v="3226.88"/>
    <m/>
    <m/>
    <n v="12907.48"/>
    <m/>
    <n v="322.69"/>
    <m/>
    <m/>
    <m/>
    <m/>
    <m/>
    <m/>
    <n v="161.35"/>
    <m/>
    <m/>
    <m/>
    <m/>
    <m/>
    <m/>
    <n v="322.69"/>
    <m/>
    <m/>
    <m/>
    <m/>
    <m/>
    <m/>
    <m/>
    <n v="161.35"/>
    <m/>
    <n v="968.08"/>
  </r>
  <r>
    <n v="12"/>
    <x v="12"/>
    <x v="0"/>
    <n v="169910"/>
    <s v="DIAZ NANCY"/>
    <s v="27-21949289-3"/>
    <n v="42744"/>
    <n v="21949289"/>
    <s v="DIAZ"/>
    <s v="NANCY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21"/>
    <n v="1232"/>
    <m/>
    <m/>
    <s v="CAPITAL FEDERAL"/>
    <s v="Buenos Aires"/>
    <m/>
    <s v="U.O.Centro"/>
    <s v="Ama de Llaves"/>
    <n v="1"/>
    <n v="1"/>
    <n v="16068.46"/>
    <n v="3213.68"/>
    <m/>
    <m/>
    <n v="12854.78"/>
    <m/>
    <n v="321.37"/>
    <m/>
    <m/>
    <m/>
    <m/>
    <m/>
    <m/>
    <n v="160.68"/>
    <m/>
    <m/>
    <m/>
    <m/>
    <m/>
    <m/>
    <n v="321.37"/>
    <m/>
    <m/>
    <m/>
    <m/>
    <m/>
    <m/>
    <m/>
    <n v="160.68"/>
    <m/>
    <n v="964.1"/>
  </r>
  <r>
    <n v="12"/>
    <x v="12"/>
    <x v="0"/>
    <n v="180694"/>
    <s v="DIAZ GERARDI MARIA LOURDES"/>
    <s v="27-38525993-5"/>
    <n v="42744"/>
    <n v="38525993"/>
    <s v="DIAZ GERARDI"/>
    <s v="MARIA LOURDES"/>
    <s v="F"/>
    <m/>
    <d v="2016-10-12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AVENIDA ANDES ROLON"/>
    <n v="240"/>
    <m/>
    <m/>
    <s v="TIGRE"/>
    <s v="Buenos Aires"/>
    <m/>
    <s v="U.O.San Isidro"/>
    <m/>
    <n v="1"/>
    <n v="1"/>
    <n v="26368.65"/>
    <n v="5273.73"/>
    <m/>
    <m/>
    <n v="21094.92"/>
    <m/>
    <n v="527.37"/>
    <m/>
    <m/>
    <m/>
    <m/>
    <m/>
    <m/>
    <n v="263.69"/>
    <m/>
    <m/>
    <m/>
    <m/>
    <m/>
    <m/>
    <n v="527.37"/>
    <m/>
    <m/>
    <m/>
    <m/>
    <m/>
    <m/>
    <m/>
    <n v="263.69"/>
    <m/>
    <n v="1582.12"/>
  </r>
  <r>
    <n v="12"/>
    <x v="12"/>
    <x v="0"/>
    <n v="184664"/>
    <s v="DIONISI GIULIANA ELISABET"/>
    <s v="27-33346569-3"/>
    <n v="42725"/>
    <n v="33346569"/>
    <s v="DIONISI"/>
    <s v="GIULIANA ELISABET"/>
    <s v="F"/>
    <m/>
    <d v="2016-12-15T00:00:00"/>
    <m/>
    <m/>
    <s v="GASTRONOMICOS-Hoteles 4 y 5 Estrellas - 362/2003"/>
    <s v="Categoria 6"/>
    <x v="1"/>
    <s v="Banquetes Extra Eventual - GL"/>
    <s v="Centro"/>
    <s v="Camarero/a"/>
    <n v="108803"/>
    <s v="O.S.P.Gastronomico"/>
    <s v="Capital Federal"/>
    <m/>
    <n v="1005"/>
    <s v="1 DE MAYO"/>
    <n v="1005"/>
    <m/>
    <m/>
    <s v="CAPITAL FEDERAL"/>
    <s v="Capital Federal"/>
    <m/>
    <s v="U.O.Centro"/>
    <m/>
    <n v="1"/>
    <n v="1"/>
    <n v="760.09"/>
    <n v="152.01"/>
    <m/>
    <m/>
    <n v="608.08000000000004"/>
    <m/>
    <n v="15.2"/>
    <m/>
    <m/>
    <m/>
    <m/>
    <m/>
    <m/>
    <n v="7.6"/>
    <m/>
    <m/>
    <m/>
    <m/>
    <m/>
    <m/>
    <n v="15.2"/>
    <m/>
    <m/>
    <m/>
    <m/>
    <m/>
    <m/>
    <m/>
    <n v="7.6"/>
    <m/>
    <n v="45.6"/>
  </r>
  <r>
    <n v="12"/>
    <x v="12"/>
    <x v="0"/>
    <n v="162205"/>
    <s v="DOMINGUEZ CABRERA CESAR FERNANDO"/>
    <s v="23-95304555-9"/>
    <n v="42744"/>
    <n v="95304555"/>
    <s v="DOMINGUEZ CABRERA"/>
    <s v="CESAR FERNANDO"/>
    <s v="M"/>
    <m/>
    <d v="2015-11-21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AV CORRIENTES"/>
    <n v="1225"/>
    <n v="3"/>
    <s v="D"/>
    <s v="CAPITAL FEDERAL"/>
    <s v="Buenos Aires"/>
    <m/>
    <s v="U.O.Centro"/>
    <m/>
    <n v="2"/>
    <n v="1"/>
    <n v="15569.6"/>
    <n v="3113.93"/>
    <m/>
    <m/>
    <n v="12455.67"/>
    <m/>
    <n v="311.39"/>
    <m/>
    <m/>
    <m/>
    <m/>
    <m/>
    <m/>
    <n v="155.69999999999999"/>
    <m/>
    <m/>
    <m/>
    <m/>
    <m/>
    <m/>
    <n v="311.39"/>
    <m/>
    <m/>
    <m/>
    <m/>
    <m/>
    <m/>
    <m/>
    <n v="155.69999999999999"/>
    <m/>
    <n v="934.18"/>
  </r>
  <r>
    <n v="12"/>
    <x v="12"/>
    <x v="0"/>
    <n v="183434"/>
    <s v="DUARTE CARLOS CESAR"/>
    <s v="20-34030052-2"/>
    <n v="42744"/>
    <n v="34030052"/>
    <s v="DUARTE"/>
    <s v="CARLOS CESAR"/>
    <s v="M"/>
    <m/>
    <d v="2016-11-21T00:00:00"/>
    <d v="2016-12-12T00:00:00"/>
    <n v="42716"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s v="EIPIDIO GONZALEZ"/>
    <n v="1225"/>
    <n v="6"/>
    <s v="A"/>
    <s v="CAPITAL FEDERAL"/>
    <s v="Buenos Aires"/>
    <m/>
    <s v="U.O.Centro"/>
    <m/>
    <n v="1"/>
    <n v="1"/>
    <n v="3904.88"/>
    <n v="780.99"/>
    <m/>
    <m/>
    <n v="3123.89"/>
    <m/>
    <n v="78.099999999999994"/>
    <m/>
    <m/>
    <m/>
    <m/>
    <m/>
    <m/>
    <n v="39.049999999999997"/>
    <m/>
    <m/>
    <m/>
    <m/>
    <m/>
    <m/>
    <n v="78.099999999999994"/>
    <m/>
    <m/>
    <m/>
    <m/>
    <m/>
    <m/>
    <m/>
    <n v="39.049999999999997"/>
    <m/>
    <n v="234.3"/>
  </r>
  <r>
    <n v="12"/>
    <x v="12"/>
    <x v="0"/>
    <n v="166685"/>
    <s v="DUARTE PICO EVA CLARINA"/>
    <s v="27-94661310-5"/>
    <n v="42738"/>
    <n v="94661310"/>
    <s v="DUARTE PICO"/>
    <s v="EVA CLARINA"/>
    <s v="F"/>
    <m/>
    <d v="2016-01-19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089"/>
    <s v="RODRIGUEZ PEÑA RENISIO LOPEZ"/>
    <n v="841"/>
    <m/>
    <m/>
    <s v="CAPITAL FEDERAL"/>
    <s v="Buenos Aires"/>
    <m/>
    <s v="U.O.Centro"/>
    <m/>
    <n v="1"/>
    <n v="1"/>
    <n v="15370.85"/>
    <n v="3074.18"/>
    <m/>
    <m/>
    <n v="12296.67"/>
    <m/>
    <n v="307.42"/>
    <m/>
    <m/>
    <m/>
    <m/>
    <m/>
    <m/>
    <n v="153.71"/>
    <m/>
    <m/>
    <m/>
    <m/>
    <m/>
    <m/>
    <n v="307.42"/>
    <m/>
    <m/>
    <m/>
    <m/>
    <m/>
    <m/>
    <m/>
    <n v="153.71"/>
    <m/>
    <n v="922.26"/>
  </r>
  <r>
    <n v="12"/>
    <x v="12"/>
    <x v="0"/>
    <n v="182618"/>
    <s v="DURE MARISA PAOLA"/>
    <s v="27-31101117-6"/>
    <n v="42744"/>
    <n v="31101117"/>
    <s v="DURE"/>
    <s v="MARISA PAOLA"/>
    <s v="F"/>
    <m/>
    <d v="2016-11-08T00:00:00"/>
    <m/>
    <m/>
    <s v="GASTRONOMICOS-Hoteles 4 y 5 Estrellas - 362/2003"/>
    <s v="Categoría 4"/>
    <x v="6"/>
    <s v="NUEVOS INGRESOS"/>
    <s v="Centro"/>
    <s v="Mucama"/>
    <n v="112004"/>
    <s v="OS  DEL PERSONAL SUPERIOR DE MERCEDES BENZ ARGENTINA"/>
    <s v="Capital Federal"/>
    <m/>
    <n v="1093"/>
    <s v="CALLE 898"/>
    <n v="1232"/>
    <m/>
    <m/>
    <s v="CAPITAL FEDERAL"/>
    <s v="Buenos Aires"/>
    <m/>
    <s v="U.O.Centro"/>
    <s v="Ama de Llaves"/>
    <n v="1"/>
    <n v="1"/>
    <n v="13531.34"/>
    <n v="2706.27"/>
    <m/>
    <m/>
    <n v="10825.07"/>
    <m/>
    <n v="270.63"/>
    <m/>
    <m/>
    <m/>
    <m/>
    <m/>
    <m/>
    <n v="135.31"/>
    <m/>
    <m/>
    <m/>
    <m/>
    <m/>
    <m/>
    <n v="270.63"/>
    <m/>
    <m/>
    <m/>
    <m/>
    <m/>
    <m/>
    <m/>
    <n v="135.31"/>
    <m/>
    <n v="811.88"/>
  </r>
  <r>
    <n v="12"/>
    <x v="12"/>
    <x v="0"/>
    <n v="164241"/>
    <s v="ELISSAMBURU NICOLE"/>
    <s v="23-40563228-4"/>
    <n v="42744"/>
    <n v="40563228"/>
    <s v="ELISSAMBURU"/>
    <s v="NICOLE"/>
    <s v="F"/>
    <m/>
    <d v="2016-11-21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AV PIEDRA BUENA"/>
    <n v="181"/>
    <m/>
    <m/>
    <s v="CAPITAL FEDERAL"/>
    <s v="Capital Federal"/>
    <m/>
    <s v="U.O.Centro"/>
    <m/>
    <n v="3"/>
    <n v="1"/>
    <n v="905.64"/>
    <n v="181.1"/>
    <m/>
    <m/>
    <n v="724.54"/>
    <m/>
    <n v="18.11"/>
    <m/>
    <m/>
    <m/>
    <m/>
    <m/>
    <m/>
    <n v="9.0500000000000007"/>
    <m/>
    <m/>
    <m/>
    <m/>
    <m/>
    <m/>
    <n v="18.11"/>
    <m/>
    <m/>
    <m/>
    <m/>
    <m/>
    <m/>
    <m/>
    <n v="9.0500000000000007"/>
    <m/>
    <n v="54.32"/>
  </r>
  <r>
    <n v="12"/>
    <x v="12"/>
    <x v="0"/>
    <n v="178413"/>
    <s v="ESCOBAR VANESA ALEJANDRA"/>
    <s v="27-30516297-9"/>
    <n v="42744"/>
    <n v="30516297"/>
    <s v="ESCOBAR"/>
    <s v="VANESA ALEJANDRA"/>
    <s v="F"/>
    <m/>
    <d v="2016-09-14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CAMINO REAL MORON"/>
    <n v="240"/>
    <m/>
    <m/>
    <s v="TIGRE"/>
    <s v="Buenos Aires"/>
    <m/>
    <s v="U.O.San Isidro"/>
    <m/>
    <n v="1"/>
    <n v="1"/>
    <n v="3973.26"/>
    <n v="794.66"/>
    <m/>
    <m/>
    <n v="3178.6"/>
    <m/>
    <n v="79.47"/>
    <m/>
    <m/>
    <m/>
    <m/>
    <m/>
    <m/>
    <n v="39.729999999999997"/>
    <m/>
    <m/>
    <m/>
    <m/>
    <m/>
    <m/>
    <n v="79.47"/>
    <m/>
    <m/>
    <m/>
    <m/>
    <m/>
    <m/>
    <m/>
    <n v="39.729999999999997"/>
    <m/>
    <n v="238.4"/>
  </r>
  <r>
    <n v="12"/>
    <x v="12"/>
    <x v="0"/>
    <n v="185235"/>
    <s v="ESPONDA PAOLA BEATRIZ"/>
    <s v="27-27861906-6"/>
    <n v="42744"/>
    <n v="27861906"/>
    <s v="ESPONDA"/>
    <s v="PAOLA BEATRIZ"/>
    <s v="F"/>
    <m/>
    <d v="2016-12-21T00:00:00"/>
    <m/>
    <m/>
    <s v="GASTRONOMICOS-Hoteles 4 y 5 Estrellas - 362/2003"/>
    <s v="Categoría 4"/>
    <x v="4"/>
    <s v="Unidad Base-GL"/>
    <s v="Centro"/>
    <s v="Mucama"/>
    <n v="108803"/>
    <s v="O.S.P.Gastronomico"/>
    <s v="Capital Federal"/>
    <m/>
    <s v="C1004AAJ"/>
    <s v="GRAL. VENANCIO FLORES"/>
    <n v="474"/>
    <s v="PB"/>
    <m/>
    <s v="CAPITAL FEDERAL"/>
    <s v="Buenos Aires"/>
    <m/>
    <s v="U.O.Centro"/>
    <m/>
    <n v="1"/>
    <n v="1"/>
    <n v="541.08000000000004"/>
    <n v="108.21"/>
    <m/>
    <m/>
    <n v="432.87"/>
    <m/>
    <n v="10.82"/>
    <m/>
    <m/>
    <m/>
    <m/>
    <m/>
    <m/>
    <n v="5.41"/>
    <m/>
    <m/>
    <m/>
    <m/>
    <m/>
    <m/>
    <n v="10.82"/>
    <m/>
    <m/>
    <m/>
    <m/>
    <m/>
    <m/>
    <m/>
    <n v="5.41"/>
    <m/>
    <n v="32.46"/>
  </r>
  <r>
    <n v="12"/>
    <x v="12"/>
    <x v="0"/>
    <n v="180753"/>
    <s v="FANOLA CHACON EDITH JESSICA"/>
    <s v="23-94570123-4"/>
    <n v="42744"/>
    <n v="94570123"/>
    <s v="FANOLA CHACON"/>
    <s v="EDITH JESSICA"/>
    <s v="F"/>
    <m/>
    <d v="2016-10-0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TUCION"/>
    <n v="1225"/>
    <n v="3"/>
    <s v="B"/>
    <s v="CAPITAL FEDERAL"/>
    <s v="Buenos Aires"/>
    <m/>
    <s v="U.O.Centro"/>
    <m/>
    <n v="3"/>
    <n v="1"/>
    <n v="13092.72"/>
    <n v="2618.5700000000002"/>
    <m/>
    <m/>
    <n v="10474.15"/>
    <m/>
    <n v="261.86"/>
    <m/>
    <m/>
    <m/>
    <m/>
    <m/>
    <m/>
    <n v="130.93"/>
    <m/>
    <m/>
    <m/>
    <m/>
    <m/>
    <m/>
    <n v="261.86"/>
    <n v="4.84"/>
    <m/>
    <m/>
    <m/>
    <m/>
    <m/>
    <m/>
    <n v="126.09"/>
    <m/>
    <n v="785.58"/>
  </r>
  <r>
    <n v="12"/>
    <x v="12"/>
    <x v="0"/>
    <n v="183436"/>
    <s v="FEMENIAS GUILLERMO EXEQUIEL"/>
    <s v="20-39520643-6"/>
    <n v="42744"/>
    <n v="39520643"/>
    <s v="FEMENIAS"/>
    <s v="GUILLERMO EXEQUIEL"/>
    <s v="M"/>
    <m/>
    <d v="2016-11-19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EVA PERON"/>
    <n v="1225"/>
    <n v="1"/>
    <s v="D"/>
    <s v="CAPITAL FEDERAL"/>
    <s v="Buenos Aires"/>
    <m/>
    <s v="U.O.Centro"/>
    <m/>
    <n v="3"/>
    <n v="1"/>
    <n v="14822.92"/>
    <n v="2964.59"/>
    <m/>
    <m/>
    <n v="11858.33"/>
    <m/>
    <n v="296.45999999999998"/>
    <m/>
    <m/>
    <m/>
    <m/>
    <m/>
    <m/>
    <n v="148.22999999999999"/>
    <m/>
    <m/>
    <m/>
    <m/>
    <m/>
    <m/>
    <n v="296.45999999999998"/>
    <m/>
    <m/>
    <m/>
    <m/>
    <m/>
    <m/>
    <m/>
    <n v="148.22999999999999"/>
    <m/>
    <n v="889.38"/>
  </r>
  <r>
    <n v="12"/>
    <x v="12"/>
    <x v="0"/>
    <n v="138787"/>
    <s v="FERNANDEZ CLAUDIA"/>
    <s v="27-23472256-0"/>
    <n v="42744"/>
    <n v="23472256"/>
    <s v="FERNANDEZ"/>
    <s v="CLAUDI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AUSTRALIA"/>
    <n v="1232"/>
    <m/>
    <m/>
    <s v="CAPITAL FEDERAL"/>
    <s v="Buenos Aires"/>
    <m/>
    <s v="U.O.Centro"/>
    <s v="Ama de Llaves"/>
    <n v="1"/>
    <n v="1"/>
    <n v="14521.69"/>
    <n v="2904.34"/>
    <m/>
    <m/>
    <n v="11617.35"/>
    <m/>
    <n v="290.43"/>
    <m/>
    <m/>
    <m/>
    <m/>
    <m/>
    <m/>
    <n v="145.22"/>
    <m/>
    <m/>
    <m/>
    <m/>
    <m/>
    <m/>
    <n v="290.43"/>
    <m/>
    <m/>
    <m/>
    <m/>
    <m/>
    <m/>
    <m/>
    <n v="145.22"/>
    <m/>
    <n v="871.3"/>
  </r>
  <r>
    <n v="12"/>
    <x v="12"/>
    <x v="1"/>
    <n v="182308"/>
    <s v="FERNANDEZ GUSTAVO EDGAR"/>
    <s v="20-32386246-0"/>
    <n v="42737"/>
    <n v="32386246"/>
    <s v="FERNANDEZ"/>
    <s v="GUSTAVO EDGAR"/>
    <s v="M"/>
    <m/>
    <d v="2016-11-04T00:00:00"/>
    <d v="2016-12-04T00:00:00"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LLE 165 (DANTO HIPOLITO LUGO)"/>
    <n v="764"/>
    <m/>
    <m/>
    <s v="CAPITAL FEDERAL"/>
    <s v="Capital Federal"/>
    <m/>
    <s v="U.O.Centro"/>
    <m/>
    <n v="1"/>
    <n v="1"/>
    <n v="2040.92"/>
    <n v="408.19"/>
    <m/>
    <m/>
    <n v="1632.73"/>
    <m/>
    <n v="40.82"/>
    <m/>
    <m/>
    <m/>
    <m/>
    <m/>
    <m/>
    <n v="20.41"/>
    <m/>
    <m/>
    <m/>
    <m/>
    <m/>
    <m/>
    <n v="40.82"/>
    <m/>
    <m/>
    <m/>
    <m/>
    <m/>
    <m/>
    <m/>
    <n v="20.41"/>
    <m/>
    <n v="122.46"/>
  </r>
  <r>
    <n v="12"/>
    <x v="12"/>
    <x v="0"/>
    <n v="182737"/>
    <s v="FERNANDEZ MARIA DE LOS ANGELES EVELIN"/>
    <s v="27-36647084-6"/>
    <n v="42744"/>
    <n v="36647084"/>
    <s v="FERNANDEZ"/>
    <s v="MARIA DE LOS ANGELES EVELIN"/>
    <s v="F"/>
    <m/>
    <d v="2016-11-10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GUATEMALA"/>
    <n v="240"/>
    <m/>
    <m/>
    <s v="TIGRE"/>
    <s v="Buenos Aires"/>
    <m/>
    <s v="U.O.San Isidro"/>
    <m/>
    <n v="2"/>
    <n v="1"/>
    <n v="10887.04"/>
    <n v="2177.4"/>
    <m/>
    <m/>
    <n v="8709.64"/>
    <m/>
    <n v="217.74"/>
    <m/>
    <m/>
    <m/>
    <m/>
    <m/>
    <m/>
    <n v="108.87"/>
    <m/>
    <m/>
    <m/>
    <m/>
    <m/>
    <m/>
    <n v="217.74"/>
    <m/>
    <m/>
    <m/>
    <m/>
    <m/>
    <m/>
    <m/>
    <n v="108.87"/>
    <m/>
    <n v="653.22"/>
  </r>
  <r>
    <n v="12"/>
    <x v="12"/>
    <x v="0"/>
    <n v="184802"/>
    <s v="FERNANDEZ RUBEN ARIEL"/>
    <s v="20-33217280-9"/>
    <n v="42725"/>
    <n v="33217280"/>
    <s v="FERNANDEZ"/>
    <s v="RUBEN ARIEL"/>
    <s v="M"/>
    <m/>
    <d v="2016-12-03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BULNES"/>
    <n v="1225"/>
    <n v="6"/>
    <n v="24"/>
    <s v="CAPITAL FEDERAL"/>
    <s v="Buenos Aires"/>
    <m/>
    <s v="U.O.Centro"/>
    <m/>
    <n v="1"/>
    <n v="1"/>
    <n v="2455.67"/>
    <n v="491.13"/>
    <m/>
    <m/>
    <n v="1964.54"/>
    <m/>
    <n v="49.11"/>
    <m/>
    <m/>
    <m/>
    <m/>
    <m/>
    <m/>
    <n v="24.56"/>
    <m/>
    <m/>
    <m/>
    <m/>
    <m/>
    <m/>
    <n v="49.11"/>
    <m/>
    <m/>
    <m/>
    <m/>
    <m/>
    <m/>
    <m/>
    <n v="24.56"/>
    <m/>
    <n v="147.34"/>
  </r>
  <r>
    <n v="12"/>
    <x v="12"/>
    <x v="0"/>
    <n v="183290"/>
    <s v="FERRE PINTOS RUT ESTER"/>
    <s v="27-38708738-4"/>
    <n v="42744"/>
    <n v="38708738"/>
    <s v="FERRE PINTOS"/>
    <s v="RUT ESTER"/>
    <s v="F"/>
    <m/>
    <d v="2016-11-21T00:00:00"/>
    <m/>
    <m/>
    <s v="GASTRONOMICOS-Hoteles 4 y 5 Estrellas - 362/2003"/>
    <s v="Categoria 6"/>
    <x v="5"/>
    <s v="Extra Dotación Mozos / Camareros - GL"/>
    <s v="Centro"/>
    <s v="Camarero/a"/>
    <n v="108803"/>
    <s v="O.S.P.Gastronomico"/>
    <s v="Capital Federal"/>
    <m/>
    <s v="C1104AKC"/>
    <s v="CHARCAS"/>
    <n v="1225"/>
    <n v="5"/>
    <n v="14"/>
    <s v="CAPITAL FEDERAL"/>
    <s v="Buenos Aires"/>
    <m/>
    <s v="U.O.Centro"/>
    <m/>
    <n v="4"/>
    <n v="1"/>
    <n v="6534.44"/>
    <n v="1306.9100000000001"/>
    <m/>
    <m/>
    <n v="5227.53"/>
    <m/>
    <n v="130.69"/>
    <m/>
    <m/>
    <m/>
    <m/>
    <m/>
    <m/>
    <n v="65.349999999999994"/>
    <m/>
    <m/>
    <m/>
    <m/>
    <m/>
    <m/>
    <n v="130.69"/>
    <n v="7.27"/>
    <m/>
    <m/>
    <m/>
    <m/>
    <m/>
    <m/>
    <n v="58.08"/>
    <m/>
    <n v="392.08"/>
  </r>
  <r>
    <n v="12"/>
    <x v="12"/>
    <x v="0"/>
    <n v="177331"/>
    <s v="FIGUEREDO MILCIDADES JOSE"/>
    <s v="20-29951754-4"/>
    <n v="42744"/>
    <n v="29951754"/>
    <s v="FIGUEREDO"/>
    <s v="MILCIDADES JOSE"/>
    <s v="M"/>
    <m/>
    <d v="2016-08-17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OSE A.CASACUBERTA"/>
    <n v="1225"/>
    <m/>
    <m/>
    <s v="CAPITAL FEDERAL"/>
    <s v="Buenos Aires"/>
    <m/>
    <s v="U.O.Centro"/>
    <m/>
    <n v="2"/>
    <n v="1"/>
    <n v="13506.12"/>
    <n v="2701.25"/>
    <m/>
    <m/>
    <n v="10804.87"/>
    <m/>
    <n v="270.13"/>
    <m/>
    <m/>
    <m/>
    <m/>
    <m/>
    <m/>
    <n v="135.06"/>
    <m/>
    <m/>
    <m/>
    <m/>
    <m/>
    <m/>
    <n v="270.13"/>
    <m/>
    <m/>
    <m/>
    <m/>
    <m/>
    <m/>
    <m/>
    <n v="135.06"/>
    <m/>
    <n v="810.38"/>
  </r>
  <r>
    <n v="12"/>
    <x v="12"/>
    <x v="0"/>
    <n v="173372"/>
    <s v="FILATOVA INNA"/>
    <s v="27-18845947-7"/>
    <n v="42744"/>
    <n v="18845947"/>
    <s v="FILATOVA"/>
    <s v="INNA"/>
    <s v="F"/>
    <m/>
    <d v="2016-05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UALEGUAY"/>
    <n v="1225"/>
    <m/>
    <m/>
    <s v="CAPITAL FEDERAL"/>
    <s v="Buenos Aires"/>
    <m/>
    <s v="U.O.Centro"/>
    <m/>
    <n v="3"/>
    <n v="1"/>
    <n v="12828.74"/>
    <n v="2565.7600000000002"/>
    <m/>
    <m/>
    <n v="10262.98"/>
    <m/>
    <n v="256.57"/>
    <m/>
    <m/>
    <m/>
    <m/>
    <m/>
    <m/>
    <n v="128.29"/>
    <m/>
    <m/>
    <m/>
    <m/>
    <m/>
    <m/>
    <n v="256.57"/>
    <m/>
    <m/>
    <m/>
    <m/>
    <m/>
    <m/>
    <m/>
    <n v="128.29"/>
    <m/>
    <n v="769.72"/>
  </r>
  <r>
    <n v="12"/>
    <x v="12"/>
    <x v="0"/>
    <n v="178410"/>
    <s v="FINAMORE PAULA GABRIELA"/>
    <s v="27-30335164-2"/>
    <n v="42744"/>
    <n v="30335164"/>
    <s v="FINAMORE"/>
    <s v="PAULA GABRIELA"/>
    <s v="F"/>
    <m/>
    <d v="2016-09-14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VUELTA DE OBLIGADO"/>
    <n v="240"/>
    <m/>
    <m/>
    <s v="TIGRE"/>
    <s v="Buenos Aires"/>
    <m/>
    <s v="U.O.San Isidro"/>
    <m/>
    <n v="1"/>
    <n v="1"/>
    <n v="10953.32"/>
    <n v="2190.67"/>
    <m/>
    <m/>
    <n v="8762.65"/>
    <m/>
    <n v="219.07"/>
    <m/>
    <m/>
    <m/>
    <m/>
    <m/>
    <m/>
    <n v="109.53"/>
    <m/>
    <m/>
    <m/>
    <m/>
    <m/>
    <m/>
    <n v="219.07"/>
    <m/>
    <m/>
    <m/>
    <m/>
    <m/>
    <m/>
    <m/>
    <n v="109.53"/>
    <m/>
    <n v="657.2"/>
  </r>
  <r>
    <n v="12"/>
    <x v="12"/>
    <x v="0"/>
    <n v="182726"/>
    <s v="FRANCINI NADIA GISELE"/>
    <s v="27-34741195-2"/>
    <n v="42744"/>
    <n v="34741195"/>
    <s v="FRANCINI"/>
    <s v="NADIA GISELE"/>
    <s v="F"/>
    <m/>
    <d v="2016-11-09T00:00:00"/>
    <d v="2016-12-07T00:00:00"/>
    <n v="42719"/>
    <s v="GASTRONOMICOS-Hoteles 4 y 5 Estrellas - 362/2003"/>
    <s v="Mucama"/>
    <x v="17"/>
    <s v="Unidad Base-GL"/>
    <s v="San Isidro"/>
    <s v="Categoría 4"/>
    <n v="108803"/>
    <s v="O.S.P.Gastronomico"/>
    <s v="Buenos Aires - Tigre"/>
    <m/>
    <n v="1648"/>
    <s v="CORRIENTES"/>
    <n v="240"/>
    <m/>
    <m/>
    <s v="TIGRE"/>
    <s v="Buenos Aires"/>
    <m/>
    <s v="U.O.San Isidro"/>
    <m/>
    <n v="1"/>
    <n v="1"/>
    <n v="845.87"/>
    <n v="169.19"/>
    <m/>
    <m/>
    <n v="676.68"/>
    <m/>
    <n v="16.920000000000002"/>
    <m/>
    <m/>
    <m/>
    <m/>
    <m/>
    <m/>
    <n v="8.4600000000000009"/>
    <m/>
    <m/>
    <m/>
    <m/>
    <m/>
    <m/>
    <n v="16.920000000000002"/>
    <m/>
    <m/>
    <m/>
    <m/>
    <m/>
    <m/>
    <m/>
    <n v="8.4600000000000009"/>
    <m/>
    <n v="50.76"/>
  </r>
  <r>
    <n v="12"/>
    <x v="12"/>
    <x v="0"/>
    <n v="177254"/>
    <s v="FRANCO MATIAS EMANUEL"/>
    <s v="20-41929249-5"/>
    <n v="42744"/>
    <n v="41929249"/>
    <s v="FRANCO"/>
    <s v="MATIAS EMANUEL"/>
    <s v="M"/>
    <m/>
    <d v="2016-12-17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MARTINTO"/>
    <n v="1232"/>
    <m/>
    <m/>
    <s v="CAPITAL FEDERAL"/>
    <s v="Buenos Aires"/>
    <m/>
    <s v="U.O.Centro"/>
    <s v="Cocina"/>
    <n v="1"/>
    <n v="1"/>
    <n v="780.11"/>
    <n v="156.01"/>
    <m/>
    <m/>
    <n v="624.1"/>
    <m/>
    <n v="15.6"/>
    <m/>
    <m/>
    <m/>
    <m/>
    <m/>
    <m/>
    <n v="7.8"/>
    <m/>
    <m/>
    <m/>
    <m/>
    <m/>
    <m/>
    <n v="15.6"/>
    <m/>
    <m/>
    <m/>
    <m/>
    <m/>
    <m/>
    <m/>
    <n v="7.8"/>
    <m/>
    <n v="46.8"/>
  </r>
  <r>
    <n v="12"/>
    <x v="12"/>
    <x v="0"/>
    <n v="178110"/>
    <s v="GALBAN MARIA LAURA"/>
    <s v="27-35083833-9"/>
    <n v="42744"/>
    <n v="35083833"/>
    <s v="GALBAN"/>
    <s v="MARIA LAURA"/>
    <s v="F"/>
    <m/>
    <d v="2016-09-02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pocitos"/>
    <n v="240"/>
    <m/>
    <m/>
    <s v="TIGRE"/>
    <s v="Buenos Aires"/>
    <m/>
    <s v="U.O.San Isidro"/>
    <m/>
    <n v="1"/>
    <n v="1"/>
    <n v="16702.59"/>
    <n v="3340.52"/>
    <m/>
    <m/>
    <n v="13362.07"/>
    <m/>
    <n v="334.05"/>
    <m/>
    <m/>
    <m/>
    <m/>
    <m/>
    <m/>
    <n v="167.03"/>
    <m/>
    <m/>
    <m/>
    <m/>
    <m/>
    <m/>
    <n v="334.05"/>
    <m/>
    <m/>
    <m/>
    <m/>
    <m/>
    <m/>
    <m/>
    <n v="167.03"/>
    <m/>
    <n v="1002.16"/>
  </r>
  <r>
    <n v="12"/>
    <x v="12"/>
    <x v="1"/>
    <n v="65418"/>
    <s v="GARAY ANGEL FAUSTINO"/>
    <s v="20-27725694-1"/>
    <n v="42744"/>
    <n v="27725694"/>
    <s v="GARAY"/>
    <s v="ANGEL FAUSTINO"/>
    <s v="M"/>
    <m/>
    <d v="2010-12-0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ORRIENTES"/>
    <n v="535"/>
    <n v="9"/>
    <n v="6"/>
    <s v="CAPITAL FEDERAL"/>
    <s v="Capital Federal"/>
    <m/>
    <s v="U.O.Centro Paga Inplant"/>
    <s v="Jefe Partida"/>
    <n v="2"/>
    <n v="1"/>
    <n v="25035.08"/>
    <n v="5132.18"/>
    <m/>
    <m/>
    <n v="19902.900000000001"/>
    <n v="625.88"/>
    <m/>
    <m/>
    <m/>
    <m/>
    <m/>
    <m/>
    <m/>
    <n v="250.35"/>
    <m/>
    <m/>
    <m/>
    <m/>
    <m/>
    <m/>
    <n v="500.7"/>
    <m/>
    <m/>
    <m/>
    <m/>
    <m/>
    <m/>
    <m/>
    <n v="250.35"/>
    <m/>
    <n v="1627.28"/>
  </r>
  <r>
    <n v="12"/>
    <x v="12"/>
    <x v="0"/>
    <n v="177859"/>
    <s v="GARAY NARA MARIANA"/>
    <s v="27-34750126-9"/>
    <n v="42744"/>
    <n v="34750126"/>
    <s v="GARAY"/>
    <s v="NARA MARIANA"/>
    <s v="F"/>
    <m/>
    <d v="2016-08-26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n v="10"/>
    <n v="1225"/>
    <m/>
    <m/>
    <s v="CAPITAL FEDERAL"/>
    <s v="Buenos Aires"/>
    <m/>
    <s v="U.O.Centro"/>
    <m/>
    <n v="2"/>
    <n v="1"/>
    <n v="6752.84"/>
    <n v="1350.55"/>
    <m/>
    <m/>
    <n v="5402.29"/>
    <m/>
    <n v="135.05000000000001"/>
    <m/>
    <m/>
    <m/>
    <m/>
    <m/>
    <m/>
    <n v="67.53"/>
    <m/>
    <m/>
    <m/>
    <m/>
    <m/>
    <m/>
    <n v="135.05000000000001"/>
    <m/>
    <m/>
    <m/>
    <m/>
    <m/>
    <m/>
    <m/>
    <n v="67.53"/>
    <m/>
    <n v="405.16"/>
  </r>
  <r>
    <n v="12"/>
    <x v="12"/>
    <x v="0"/>
    <n v="160167"/>
    <s v="GARCIA GRACIELA SUSANA"/>
    <s v="27-28071456-4"/>
    <n v="42744"/>
    <n v="28071456"/>
    <s v="GARCIA"/>
    <s v="GRACIELA SUSANA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GARZON"/>
    <n v="1225"/>
    <m/>
    <m/>
    <s v="CAPITAL FEDERAL"/>
    <s v="Buenos Aires"/>
    <m/>
    <s v="U.O.Centro"/>
    <m/>
    <n v="4"/>
    <n v="1"/>
    <n v="7548.85"/>
    <n v="1509.78"/>
    <m/>
    <m/>
    <n v="6039.07"/>
    <m/>
    <n v="150.97999999999999"/>
    <m/>
    <m/>
    <m/>
    <m/>
    <m/>
    <m/>
    <n v="75.489999999999995"/>
    <m/>
    <m/>
    <m/>
    <m/>
    <m/>
    <m/>
    <n v="150.97999999999999"/>
    <n v="7.27"/>
    <m/>
    <m/>
    <m/>
    <m/>
    <m/>
    <m/>
    <n v="68.22"/>
    <m/>
    <n v="452.94"/>
  </r>
  <r>
    <n v="12"/>
    <x v="12"/>
    <x v="0"/>
    <n v="174037"/>
    <s v="GARCIA CZUJKO ANDREA LAURA"/>
    <s v="27-93769203-5"/>
    <n v="42744"/>
    <n v="93769203"/>
    <s v="GARCIA CZUJKO"/>
    <s v="ANDREA LAURA"/>
    <s v="F"/>
    <m/>
    <d v="2016-06-08T00:00:00"/>
    <m/>
    <m/>
    <s v="GASTRONOMICOS-Hoteles 4 y 5 Estrellas - 362/2003"/>
    <s v="Categoria 6"/>
    <x v="1"/>
    <s v="RESTAURANT"/>
    <s v="Centro"/>
    <s v="Tareas Generales"/>
    <n v="406"/>
    <s v="O.S.P.Org.Ctrl.Externo"/>
    <s v="Capital Federal"/>
    <m/>
    <n v="1005"/>
    <s v="AMENEDO"/>
    <n v="1005"/>
    <m/>
    <m/>
    <s v="CAPITAL FEDERAL"/>
    <s v="Capital Federal"/>
    <m/>
    <s v="U.O.Centro"/>
    <m/>
    <n v="2"/>
    <n v="1"/>
    <n v="12151.21"/>
    <n v="2430.2600000000002"/>
    <m/>
    <m/>
    <n v="9720.9500000000007"/>
    <m/>
    <n v="243.02"/>
    <m/>
    <m/>
    <m/>
    <m/>
    <m/>
    <m/>
    <n v="121.52"/>
    <m/>
    <m/>
    <m/>
    <m/>
    <m/>
    <m/>
    <n v="243.02"/>
    <m/>
    <m/>
    <m/>
    <m/>
    <m/>
    <m/>
    <m/>
    <n v="121.52"/>
    <m/>
    <n v="729.08"/>
  </r>
  <r>
    <n v="12"/>
    <x v="12"/>
    <x v="0"/>
    <n v="178303"/>
    <s v="GASTELU SANTIAGO IVAN NICOLAS"/>
    <s v="20-37667275-2"/>
    <n v="42738"/>
    <n v="37667275"/>
    <s v="GASTELU"/>
    <s v="SANTIAGO IVAN NICOLAS"/>
    <s v="M"/>
    <m/>
    <d v="2016-09-13T00:00:00"/>
    <m/>
    <m/>
    <s v="GASTRONOMICOS-Hoteles 4 y 5 Estrellas - 362/2003"/>
    <s v="Categoria 2"/>
    <x v="10"/>
    <s v="SOFITEL HOUSEKEEPING"/>
    <s v="Centro"/>
    <s v="Tareas Generales"/>
    <n v="108803"/>
    <s v="O.S.P.Gastronomico"/>
    <s v="Capital Federal"/>
    <m/>
    <n v="1089"/>
    <s v="TALCAHUANO"/>
    <n v="841"/>
    <n v="7"/>
    <s v="N"/>
    <s v="CAPITAL FEDERAL"/>
    <s v="Buenos Aires"/>
    <m/>
    <s v="U.O.Centro"/>
    <m/>
    <n v="1"/>
    <n v="1"/>
    <n v="16952.189999999999"/>
    <n v="3390.44"/>
    <m/>
    <m/>
    <n v="13561.75"/>
    <m/>
    <n v="339.04"/>
    <m/>
    <m/>
    <m/>
    <m/>
    <m/>
    <m/>
    <n v="169.52"/>
    <m/>
    <m/>
    <m/>
    <m/>
    <m/>
    <m/>
    <n v="339.04"/>
    <m/>
    <m/>
    <m/>
    <m/>
    <m/>
    <m/>
    <m/>
    <n v="169.52"/>
    <m/>
    <n v="1017.12"/>
  </r>
  <r>
    <n v="12"/>
    <x v="12"/>
    <x v="0"/>
    <n v="171840"/>
    <s v="GERON PABLO"/>
    <s v="20-34949635-7"/>
    <n v="42744"/>
    <n v="34949635"/>
    <s v="GERON"/>
    <s v="PABLO"/>
    <s v="M"/>
    <m/>
    <d v="2016-06-1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EL ARREO"/>
    <n v="1891"/>
    <m/>
    <m/>
    <s v="CAPITAL FEDERAL"/>
    <s v="Capital Federal"/>
    <m/>
    <s v="U.O.Centro"/>
    <s v="Alvear Palace"/>
    <n v="1"/>
    <n v="1"/>
    <n v="3.62"/>
    <n v="0.73"/>
    <m/>
    <m/>
    <n v="2.89"/>
    <m/>
    <n v="7.0000000000000007E-2"/>
    <m/>
    <m/>
    <m/>
    <m/>
    <m/>
    <m/>
    <n v="0.04"/>
    <m/>
    <m/>
    <m/>
    <m/>
    <m/>
    <m/>
    <n v="7.0000000000000007E-2"/>
    <m/>
    <m/>
    <m/>
    <m/>
    <m/>
    <m/>
    <m/>
    <n v="0.04"/>
    <m/>
    <n v="0.22"/>
  </r>
  <r>
    <n v="12"/>
    <x v="12"/>
    <x v="0"/>
    <n v="181438"/>
    <s v="GIGANTE VIVIANA GIMENA"/>
    <s v="27-26965242-5"/>
    <n v="42744"/>
    <n v="26965242"/>
    <s v="GIGANTE"/>
    <s v="VIVIANA GIMENA"/>
    <s v="F"/>
    <m/>
    <d v="2016-10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ZAPIOLA"/>
    <n v="1225"/>
    <n v="5"/>
    <s v="C"/>
    <s v="CAPITAL FEDERAL"/>
    <s v="Buenos Aires"/>
    <m/>
    <s v="U.O.Centro"/>
    <m/>
    <n v="4"/>
    <n v="1"/>
    <n v="15357.37"/>
    <n v="3071.48"/>
    <m/>
    <m/>
    <n v="12285.89"/>
    <m/>
    <n v="307.14999999999998"/>
    <m/>
    <m/>
    <m/>
    <m/>
    <m/>
    <m/>
    <n v="153.57"/>
    <m/>
    <m/>
    <m/>
    <m/>
    <m/>
    <m/>
    <n v="307.14999999999998"/>
    <m/>
    <m/>
    <m/>
    <m/>
    <m/>
    <m/>
    <m/>
    <n v="153.57"/>
    <m/>
    <n v="921.44"/>
  </r>
  <r>
    <n v="12"/>
    <x v="12"/>
    <x v="0"/>
    <n v="184986"/>
    <s v="GIMENEZ YESICA YANEL"/>
    <s v="27-34227901-0"/>
    <n v="42744"/>
    <n v="34227901"/>
    <s v="GIMENEZ"/>
    <s v="YESICA YANEL"/>
    <s v="F"/>
    <m/>
    <d v="2016-12-16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RIOJA"/>
    <n v="240"/>
    <m/>
    <m/>
    <s v="TIGRE"/>
    <s v="Buenos Aires"/>
    <m/>
    <m/>
    <m/>
    <n v="1"/>
    <n v="1"/>
    <n v="3973.26"/>
    <n v="794.66"/>
    <m/>
    <m/>
    <n v="3178.6"/>
    <m/>
    <n v="79.47"/>
    <m/>
    <m/>
    <m/>
    <m/>
    <m/>
    <m/>
    <n v="39.729999999999997"/>
    <m/>
    <m/>
    <m/>
    <m/>
    <m/>
    <m/>
    <n v="79.47"/>
    <m/>
    <m/>
    <m/>
    <m/>
    <m/>
    <m/>
    <m/>
    <n v="39.729999999999997"/>
    <m/>
    <n v="238.4"/>
  </r>
  <r>
    <n v="12"/>
    <x v="12"/>
    <x v="0"/>
    <n v="181426"/>
    <s v="GIORGI MATIAS HERNAN"/>
    <s v="20-34143611-8"/>
    <n v="42744"/>
    <n v="34143611"/>
    <s v="GIORGI"/>
    <s v="MATIAS HERNAN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AV. SAN AMRTIN"/>
    <n v="1225"/>
    <n v="1"/>
    <s v="A"/>
    <s v="CAPITAL FEDERAL"/>
    <s v="Buenos Aires"/>
    <m/>
    <s v="U.O.Centro"/>
    <m/>
    <n v="3"/>
    <n v="1"/>
    <n v="11869.02"/>
    <n v="2373.81"/>
    <m/>
    <m/>
    <n v="9495.2099999999991"/>
    <m/>
    <n v="237.38"/>
    <m/>
    <m/>
    <m/>
    <m/>
    <m/>
    <m/>
    <n v="118.69"/>
    <m/>
    <m/>
    <m/>
    <m/>
    <m/>
    <m/>
    <n v="237.38"/>
    <m/>
    <m/>
    <m/>
    <m/>
    <m/>
    <m/>
    <m/>
    <n v="118.69"/>
    <m/>
    <n v="712.14"/>
  </r>
  <r>
    <n v="12"/>
    <x v="12"/>
    <x v="1"/>
    <n v="179399"/>
    <s v="GODOY CARLOS HERNAN"/>
    <s v="20-32979364-9"/>
    <n v="42738"/>
    <n v="32979364"/>
    <s v="GODOY"/>
    <s v="CARLOS HERNAN"/>
    <s v="M"/>
    <m/>
    <d v="2016-12-15T00:00:00"/>
    <m/>
    <m/>
    <s v="GASTRONOMICOS-Hoteles 4 y 5 Estrellas - 362/2003"/>
    <s v="Categoria 5"/>
    <x v="3"/>
    <s v="Unidad Principal"/>
    <s v="Centro"/>
    <s v="Mantenimiento"/>
    <n v="124001"/>
    <s v="OS  DE BOXEADORES AGREMIADOS DE LA REPUBLICA ARGENTINA"/>
    <s v="Capital Federal"/>
    <m/>
    <s v="C1002ABO"/>
    <n v="9"/>
    <n v="764"/>
    <m/>
    <m/>
    <s v="CAPITAL FEDERAL"/>
    <s v="Capital Federal"/>
    <m/>
    <s v="U.O.Centro"/>
    <m/>
    <n v="4"/>
    <n v="1"/>
    <n v="13447.89"/>
    <n v="2979.47"/>
    <m/>
    <n v="2646.26"/>
    <n v="13114.68"/>
    <m/>
    <n v="223.64"/>
    <m/>
    <m/>
    <m/>
    <m/>
    <m/>
    <m/>
    <n v="73.89"/>
    <m/>
    <m/>
    <m/>
    <m/>
    <m/>
    <m/>
    <n v="147.79"/>
    <n v="75.849999999999994"/>
    <m/>
    <m/>
    <m/>
    <m/>
    <m/>
    <m/>
    <n v="73.89"/>
    <m/>
    <n v="595.05999999999995"/>
  </r>
  <r>
    <n v="12"/>
    <x v="12"/>
    <x v="0"/>
    <n v="175142"/>
    <s v="GODOY MARIA VALERIA"/>
    <s v="27-34006381-9"/>
    <n v="42738"/>
    <n v="34006381"/>
    <s v="GODOY"/>
    <s v="MARIA VALERIA"/>
    <s v="F"/>
    <m/>
    <d v="2016-07-04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n v="1430"/>
    <s v="BARTOLOME MITRE"/>
    <n v="1334"/>
    <s v="9º"/>
    <s v="E"/>
    <s v="CAPITAL FEDERAL"/>
    <s v="Capital Federal"/>
    <m/>
    <s v="U.O.Centro"/>
    <m/>
    <n v="1"/>
    <n v="1"/>
    <n v="14666.08"/>
    <n v="2933.21"/>
    <m/>
    <m/>
    <n v="11732.87"/>
    <m/>
    <n v="293.32"/>
    <m/>
    <m/>
    <m/>
    <m/>
    <m/>
    <m/>
    <n v="146.66"/>
    <m/>
    <m/>
    <m/>
    <m/>
    <m/>
    <m/>
    <n v="293.32"/>
    <m/>
    <m/>
    <m/>
    <m/>
    <m/>
    <m/>
    <m/>
    <n v="146.66"/>
    <m/>
    <n v="879.96"/>
  </r>
  <r>
    <n v="12"/>
    <x v="12"/>
    <x v="0"/>
    <n v="182729"/>
    <s v="GOMES DOS SANTOS FABIO"/>
    <s v="20-95584180-9"/>
    <n v="42744"/>
    <n v="95584180"/>
    <s v="GOMES DOS SANTOS"/>
    <s v="FABIO"/>
    <s v="M"/>
    <m/>
    <d v="2016-11-09T00:00:00"/>
    <m/>
    <m/>
    <s v="GASTRONOMICOS-Hoteles 4 y 5 Estrellas - 362/2003"/>
    <s v="Auxiliar De Steward"/>
    <x v="17"/>
    <s v="Unidad Base-GL"/>
    <s v="San Isidro"/>
    <s v="Categoría 2"/>
    <n v="108803"/>
    <s v="O.S.P.Gastronomico"/>
    <s v="Buenos Aires - Tigre"/>
    <m/>
    <n v="1648"/>
    <s v="BELGRANO"/>
    <n v="240"/>
    <m/>
    <m/>
    <s v="TIGRE"/>
    <s v="Buenos Aires"/>
    <m/>
    <s v="U.O.San Isidro"/>
    <m/>
    <n v="1"/>
    <n v="1"/>
    <n v="16634.919999999998"/>
    <n v="3326.99"/>
    <m/>
    <m/>
    <n v="13307.93"/>
    <m/>
    <n v="332.7"/>
    <m/>
    <m/>
    <m/>
    <m/>
    <m/>
    <m/>
    <n v="166.35"/>
    <m/>
    <m/>
    <m/>
    <m/>
    <m/>
    <m/>
    <n v="332.7"/>
    <m/>
    <m/>
    <m/>
    <m/>
    <m/>
    <m/>
    <m/>
    <n v="166.35"/>
    <m/>
    <n v="998.1"/>
  </r>
  <r>
    <n v="12"/>
    <x v="12"/>
    <x v="1"/>
    <n v="164986"/>
    <s v="GOMEZ MIGUEL ANGEL"/>
    <s v="20-40687394-4"/>
    <n v="42744"/>
    <n v="40687394"/>
    <s v="GOMEZ"/>
    <s v="MIGUEL ANGEL"/>
    <s v="M"/>
    <m/>
    <d v="2015-12-12T00:00:00"/>
    <m/>
    <m/>
    <s v="GASTRONOMICOS-Hoteles 4 y 5 Estrellas - 362/2003"/>
    <s v="Categoria 1"/>
    <x v="11"/>
    <s v="Unidad Principal"/>
    <s v="Centro"/>
    <s v="Tareas Generales"/>
    <n v="108803"/>
    <s v="O.S.P.Gastronomico"/>
    <s v="Capital Federal"/>
    <m/>
    <s v="C1009ABK"/>
    <n v="9"/>
    <n v="507"/>
    <m/>
    <m/>
    <s v="CAPITAL FEDERAL"/>
    <s v="Capital Federal"/>
    <m/>
    <s v="U.O.Centro"/>
    <m/>
    <n v="2"/>
    <n v="1"/>
    <n v="20791.669999999998"/>
    <n v="4262.29"/>
    <m/>
    <m/>
    <n v="16529.38"/>
    <n v="519.79999999999995"/>
    <m/>
    <m/>
    <m/>
    <m/>
    <m/>
    <m/>
    <m/>
    <n v="207.91"/>
    <m/>
    <m/>
    <m/>
    <m/>
    <m/>
    <m/>
    <n v="415.83"/>
    <m/>
    <m/>
    <m/>
    <m/>
    <m/>
    <m/>
    <m/>
    <n v="207.91"/>
    <m/>
    <n v="1351.45"/>
  </r>
  <r>
    <n v="12"/>
    <x v="12"/>
    <x v="0"/>
    <n v="184684"/>
    <s v="GOMEZ MONICA SOLEDAD"/>
    <s v="27-31881350-2"/>
    <n v="42744"/>
    <n v="31881350"/>
    <s v="GOMEZ"/>
    <s v="MONICA SOLEDAD"/>
    <s v="F"/>
    <m/>
    <d v="2016-12-16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Tigre"/>
    <m/>
    <n v="1648"/>
    <s v="PASAJE CENTRAL"/>
    <n v="240"/>
    <m/>
    <m/>
    <s v="TIGRE"/>
    <s v="Buenos Aires"/>
    <m/>
    <s v="U.O.San Isidro"/>
    <m/>
    <n v="1"/>
    <n v="1"/>
    <n v="855.02"/>
    <n v="171"/>
    <m/>
    <m/>
    <n v="684.02"/>
    <m/>
    <n v="17.100000000000001"/>
    <m/>
    <m/>
    <m/>
    <m/>
    <m/>
    <m/>
    <n v="8.5500000000000007"/>
    <m/>
    <m/>
    <m/>
    <m/>
    <m/>
    <m/>
    <n v="17.100000000000001"/>
    <m/>
    <m/>
    <m/>
    <m/>
    <m/>
    <m/>
    <m/>
    <n v="8.5500000000000007"/>
    <m/>
    <n v="51.3"/>
  </r>
  <r>
    <n v="12"/>
    <x v="12"/>
    <x v="1"/>
    <n v="173612"/>
    <s v="GONZALEZ CRISTINA ALEJANDRA GRACIELA"/>
    <s v="27-17598323-1"/>
    <n v="42744"/>
    <n v="17598323"/>
    <s v="GONZALEZ"/>
    <s v="CRISTINA ALEJANDRA GRACIELA"/>
    <s v="F"/>
    <m/>
    <d v="2016-05-28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ALVARADO"/>
    <n v="1891"/>
    <m/>
    <m/>
    <s v="CAPITAL FEDERAL"/>
    <s v="Capital Federal"/>
    <m/>
    <s v="U.O.Centro"/>
    <s v="Alvear Palace"/>
    <n v="2"/>
    <n v="1"/>
    <n v="2056.33"/>
    <n v="411.27"/>
    <m/>
    <m/>
    <n v="1645.06"/>
    <m/>
    <n v="41.13"/>
    <m/>
    <m/>
    <m/>
    <m/>
    <m/>
    <m/>
    <n v="20.56"/>
    <m/>
    <m/>
    <m/>
    <m/>
    <m/>
    <m/>
    <n v="41.13"/>
    <m/>
    <m/>
    <m/>
    <m/>
    <m/>
    <m/>
    <m/>
    <n v="20.56"/>
    <m/>
    <n v="123.38"/>
  </r>
  <r>
    <n v="12"/>
    <x v="12"/>
    <x v="0"/>
    <n v="48107"/>
    <s v="GONZALEZ KARINA ELIZABETH"/>
    <s v="27-23467821-9"/>
    <n v="42744"/>
    <n v="23467821"/>
    <s v="GONZALEZ"/>
    <s v="KARINA ELIZABETH"/>
    <s v="F"/>
    <m/>
    <d v="2014-12-01T00:00:00"/>
    <m/>
    <m/>
    <s v="GASTRONOMICOS-Hoteles 4 y 5 Estrellas - 362/2003"/>
    <s v="Categoría 4"/>
    <x v="6"/>
    <s v="Unidad Base-GL"/>
    <s v="Centro"/>
    <s v="Mucama"/>
    <n v="124001"/>
    <s v="OS  DE BOXEADORES AGREMIADOS DE LA REPUBLICA ARGENTINA"/>
    <s v="Capital Federal"/>
    <m/>
    <n v="1093"/>
    <s v="EL HORNERO"/>
    <n v="1232"/>
    <m/>
    <m/>
    <s v="CAPITAL FEDERAL"/>
    <s v="Buenos Aires"/>
    <m/>
    <s v="U.O.Centro"/>
    <s v="Ama de Llaves"/>
    <n v="1"/>
    <n v="1"/>
    <n v="11104.82"/>
    <n v="2220.96"/>
    <m/>
    <m/>
    <n v="8883.86"/>
    <m/>
    <n v="222.1"/>
    <m/>
    <m/>
    <m/>
    <m/>
    <m/>
    <m/>
    <n v="111.05"/>
    <m/>
    <m/>
    <m/>
    <m/>
    <m/>
    <m/>
    <n v="222.1"/>
    <m/>
    <m/>
    <m/>
    <m/>
    <m/>
    <m/>
    <m/>
    <n v="111.05"/>
    <m/>
    <n v="666.3"/>
  </r>
  <r>
    <n v="12"/>
    <x v="12"/>
    <x v="0"/>
    <n v="182739"/>
    <s v="GONZALEZ ROMINA DANIELA"/>
    <s v="27-38267529-6"/>
    <n v="42744"/>
    <n v="38267529"/>
    <s v="GONZALEZ"/>
    <s v="ROMINA DANIELA"/>
    <s v="F"/>
    <m/>
    <d v="2016-11-10T00:00:00"/>
    <m/>
    <m/>
    <s v="GASTRONOMICOS-Hoteles 4 y 5 Estrellas - 362/2003"/>
    <s v="Camarera/o"/>
    <x v="17"/>
    <s v="Unidad Base-GL"/>
    <s v="San Isidro"/>
    <s v="Categoría 6"/>
    <n v="126502"/>
    <s v="OS DE LA CONFEDERACION DE OBREROS Y EMPLEADOS MUNICIPALES ARGENTINA ( O.S.C.O.E.M.A)"/>
    <s v="Buenos Aires - Gran Buenos Aires"/>
    <m/>
    <n v="1648"/>
    <s v="SANTIAGO DE CHILE"/>
    <n v="240"/>
    <m/>
    <m/>
    <s v="TIGRE"/>
    <s v="Buenos Aires"/>
    <m/>
    <s v="U.O.San Isidro"/>
    <m/>
    <n v="2"/>
    <n v="1"/>
    <n v="6797.94"/>
    <n v="1359.59"/>
    <m/>
    <m/>
    <n v="5438.35"/>
    <m/>
    <n v="135.94999999999999"/>
    <m/>
    <m/>
    <m/>
    <m/>
    <m/>
    <m/>
    <n v="67.98"/>
    <m/>
    <m/>
    <m/>
    <m/>
    <m/>
    <m/>
    <n v="135.94999999999999"/>
    <m/>
    <m/>
    <m/>
    <m/>
    <m/>
    <m/>
    <m/>
    <n v="67.98"/>
    <m/>
    <n v="407.86"/>
  </r>
  <r>
    <n v="12"/>
    <x v="12"/>
    <x v="1"/>
    <n v="164224"/>
    <s v="GONZALEZ SALOME NATALIA"/>
    <s v="27-35111714-7"/>
    <n v="42744"/>
    <n v="35111714"/>
    <s v="GONZALEZ"/>
    <s v="SALOME NATALIA"/>
    <s v="F"/>
    <m/>
    <d v="2015-12-22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PERDRIEL"/>
    <n v="535"/>
    <m/>
    <m/>
    <s v="CAPITAL FEDERAL"/>
    <s v="Capital Federal"/>
    <m/>
    <s v="U.O.Centro"/>
    <m/>
    <n v="2"/>
    <n v="1"/>
    <n v="7568.37"/>
    <n v="1513.68"/>
    <m/>
    <m/>
    <n v="6054.69"/>
    <m/>
    <n v="151.37"/>
    <m/>
    <m/>
    <m/>
    <m/>
    <m/>
    <m/>
    <n v="75.680000000000007"/>
    <m/>
    <m/>
    <m/>
    <m/>
    <m/>
    <m/>
    <n v="151.37"/>
    <m/>
    <m/>
    <m/>
    <m/>
    <m/>
    <m/>
    <m/>
    <n v="75.680000000000007"/>
    <m/>
    <n v="454.1"/>
  </r>
  <r>
    <n v="12"/>
    <x v="12"/>
    <x v="0"/>
    <n v="185571"/>
    <s v="GONZALEZ SERGIO ROBERTO"/>
    <s v="20-31175924-9"/>
    <n v="42744"/>
    <n v="31175924"/>
    <s v="GONZALEZ"/>
    <s v="SERGIO ROBERTO"/>
    <s v="M"/>
    <m/>
    <d v="2016-12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CAZON"/>
    <n v="1225"/>
    <m/>
    <m/>
    <s v="CAPITAL FEDERAL"/>
    <s v="Buenos Aires"/>
    <m/>
    <s v="U.O.Centro"/>
    <m/>
    <n v="1"/>
    <n v="1"/>
    <n v="3970.26"/>
    <n v="794.06"/>
    <m/>
    <m/>
    <n v="3176.2"/>
    <m/>
    <n v="79.41"/>
    <m/>
    <m/>
    <m/>
    <m/>
    <m/>
    <m/>
    <n v="39.700000000000003"/>
    <m/>
    <m/>
    <m/>
    <m/>
    <m/>
    <m/>
    <n v="79.41"/>
    <m/>
    <m/>
    <m/>
    <m/>
    <m/>
    <m/>
    <m/>
    <n v="39.700000000000003"/>
    <m/>
    <n v="238.22"/>
  </r>
  <r>
    <n v="12"/>
    <x v="12"/>
    <x v="1"/>
    <n v="136459"/>
    <s v="GONZALEZ VICTOR HUGO"/>
    <s v="20-37376573-3"/>
    <n v="42744"/>
    <n v="37376573"/>
    <s v="GONZALEZ"/>
    <s v="VICTOR HUGO"/>
    <s v="M"/>
    <m/>
    <d v="2015-06-01T00:00:00"/>
    <m/>
    <m/>
    <s v="GASTRONOMICOS-Hoteles 4 y 5 Estrellas - 362/2003"/>
    <s v="Categoria 5"/>
    <x v="11"/>
    <s v="Unidad Principal"/>
    <s v="Centro"/>
    <s v="Tareas Generales"/>
    <n v="108803"/>
    <s v="O.S.P.Gastronomico"/>
    <s v="Capital Federal"/>
    <m/>
    <s v="C1009ABK"/>
    <s v="PERDRIEL"/>
    <n v="507"/>
    <m/>
    <m/>
    <s v="CAPITAL FEDERAL"/>
    <s v="Capital Federal"/>
    <m/>
    <s v="U.O.Centro Paga Inplant"/>
    <m/>
    <n v="3"/>
    <n v="1"/>
    <n v="29286.38"/>
    <n v="5857.26"/>
    <m/>
    <m/>
    <n v="23429.119999999999"/>
    <m/>
    <n v="585.72"/>
    <m/>
    <m/>
    <m/>
    <m/>
    <m/>
    <m/>
    <n v="292.86"/>
    <m/>
    <m/>
    <m/>
    <m/>
    <m/>
    <m/>
    <n v="585.72"/>
    <m/>
    <m/>
    <m/>
    <m/>
    <m/>
    <m/>
    <m/>
    <n v="292.86"/>
    <m/>
    <n v="1757.16"/>
  </r>
  <r>
    <n v="12"/>
    <x v="12"/>
    <x v="0"/>
    <n v="184769"/>
    <s v="GONZALEZ MARIN KELVIS ISAAC"/>
    <s v="20-62794220-7"/>
    <n v="42744"/>
    <n v="62794220"/>
    <s v="GONZALEZ MARIN"/>
    <s v="KELVIS ISAAC"/>
    <s v="M"/>
    <m/>
    <d v="2016-12-1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RAGUAY"/>
    <n v="1225"/>
    <n v="3"/>
    <s v="A"/>
    <s v="CAPITAL FEDERAL"/>
    <s v="Buenos Aires"/>
    <m/>
    <s v="U.O.Centro"/>
    <m/>
    <n v="3"/>
    <n v="1"/>
    <n v="11897.59"/>
    <n v="2379.5300000000002"/>
    <m/>
    <m/>
    <n v="9518.06"/>
    <m/>
    <n v="237.96"/>
    <m/>
    <m/>
    <m/>
    <m/>
    <m/>
    <m/>
    <n v="118.98"/>
    <m/>
    <m/>
    <m/>
    <m/>
    <m/>
    <m/>
    <n v="237.96"/>
    <m/>
    <m/>
    <m/>
    <m/>
    <m/>
    <m/>
    <m/>
    <n v="118.98"/>
    <m/>
    <n v="713.88"/>
  </r>
  <r>
    <n v="12"/>
    <x v="12"/>
    <x v="0"/>
    <n v="179836"/>
    <s v="GUTIERREZ MARCELA FABIANA"/>
    <s v="27-22195577-9"/>
    <n v="42744"/>
    <n v="22195577"/>
    <s v="GUTIERREZ"/>
    <s v="MARCELA FABIANA"/>
    <s v="F"/>
    <m/>
    <d v="2016-09-30T00:00:00"/>
    <d v="2016-12-30T00:00:00"/>
    <n v="42734"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IGUEL SOLER"/>
    <n v="1225"/>
    <m/>
    <m/>
    <s v="CAPITAL FEDERAL"/>
    <s v="Buenos Aires"/>
    <m/>
    <s v="U.O.Centro"/>
    <m/>
    <n v="2"/>
    <n v="1"/>
    <n v="7510.88"/>
    <n v="1502.19"/>
    <m/>
    <m/>
    <n v="6008.69"/>
    <m/>
    <n v="150.22"/>
    <m/>
    <m/>
    <m/>
    <m/>
    <m/>
    <m/>
    <n v="75.11"/>
    <m/>
    <m/>
    <m/>
    <m/>
    <m/>
    <m/>
    <n v="150.22"/>
    <m/>
    <m/>
    <m/>
    <m/>
    <m/>
    <m/>
    <m/>
    <n v="75.11"/>
    <m/>
    <n v="450.66"/>
  </r>
  <r>
    <n v="12"/>
    <x v="12"/>
    <x v="0"/>
    <n v="182182"/>
    <s v="GUTIERREZ MARIA FERNANDA"/>
    <s v="27-25362132-5"/>
    <n v="42744"/>
    <n v="25362132"/>
    <s v="GUTIERREZ"/>
    <s v="MARIA FERNANDA"/>
    <s v="F"/>
    <m/>
    <d v="2016-11-02T00:00:00"/>
    <m/>
    <m/>
    <s v="GASTRONOMICOS-Hoteles 4 y 5 Estrellas - 362/2003"/>
    <s v="Categoría 4"/>
    <x v="6"/>
    <s v="NUEVOS INGRESOS"/>
    <s v="Centro"/>
    <s v="Mucama"/>
    <n v="121705"/>
    <s v="OS  DEL PERSONAL DE LA ACTIVIDAD DEL TURF"/>
    <s v="Capital Federal"/>
    <m/>
    <n v="1093"/>
    <s v="YAPEYU"/>
    <n v="1232"/>
    <s v="PB"/>
    <m/>
    <s v="CAPITAL FEDERAL"/>
    <s v="Buenos Aires"/>
    <m/>
    <s v="U.O.Centro"/>
    <s v="Ama de Llaves"/>
    <n v="1"/>
    <n v="1"/>
    <n v="14377.05"/>
    <n v="2875.41"/>
    <m/>
    <m/>
    <n v="11501.64"/>
    <m/>
    <n v="287.54000000000002"/>
    <m/>
    <m/>
    <m/>
    <m/>
    <m/>
    <m/>
    <n v="143.77000000000001"/>
    <m/>
    <m/>
    <m/>
    <m/>
    <m/>
    <m/>
    <n v="287.54000000000002"/>
    <m/>
    <m/>
    <m/>
    <m/>
    <m/>
    <m/>
    <m/>
    <n v="143.77000000000001"/>
    <m/>
    <n v="862.62"/>
  </r>
  <r>
    <n v="12"/>
    <x v="12"/>
    <x v="0"/>
    <n v="180496"/>
    <s v="GUTIERREZ PABLO DANIEL"/>
    <s v="23-25085183-9"/>
    <n v="42744"/>
    <n v="25085183"/>
    <s v="GUTIERREZ"/>
    <s v="PABLO DANIEL"/>
    <s v="M"/>
    <m/>
    <d v="2016-10-24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AV JUAN B ALBERDI"/>
    <n v="181"/>
    <n v="1"/>
    <s v="C"/>
    <s v="CAPITAL FEDERAL"/>
    <s v="Capital Federal"/>
    <m/>
    <s v="U.O.Centro"/>
    <m/>
    <n v="2"/>
    <n v="1"/>
    <n v="11184.36"/>
    <n v="2236.5"/>
    <m/>
    <m/>
    <n v="8947.86"/>
    <m/>
    <n v="223.69"/>
    <m/>
    <m/>
    <m/>
    <m/>
    <m/>
    <m/>
    <n v="111.47"/>
    <m/>
    <m/>
    <m/>
    <m/>
    <m/>
    <m/>
    <n v="223.69"/>
    <m/>
    <m/>
    <m/>
    <m/>
    <m/>
    <m/>
    <m/>
    <n v="111.47"/>
    <m/>
    <n v="670.32"/>
  </r>
  <r>
    <n v="12"/>
    <x v="12"/>
    <x v="1"/>
    <n v="77136"/>
    <s v="HAURET BELTRAN"/>
    <s v="20-31675095-9"/>
    <n v="42744"/>
    <n v="31675095"/>
    <s v="HAURET"/>
    <s v="BELTRAN"/>
    <s v="M"/>
    <m/>
    <d v="2011-07-14T00:00:00"/>
    <m/>
    <m/>
    <s v="GASTRONOMICOS-Hoteles 4 y 5 Estrellas - 362/2003"/>
    <s v="Categoria 6"/>
    <x v="11"/>
    <s v="Unidad Principal"/>
    <s v="Centro"/>
    <s v="Recepcionista"/>
    <n v="106609"/>
    <s v="OS  ELECTRICISTAS NAVALES"/>
    <s v="Capital Federal"/>
    <m/>
    <s v="C1009ABK"/>
    <s v="BILLINGHURST"/>
    <n v="507"/>
    <n v="2"/>
    <s v="C"/>
    <s v="CAPITAL FEDERAL"/>
    <s v="Capital Federal"/>
    <m/>
    <s v="U.O.Centro Paga Inplant"/>
    <s v="RECEPCIONISTA"/>
    <n v="2"/>
    <n v="1"/>
    <n v="27816.92"/>
    <n v="5563.39"/>
    <m/>
    <m/>
    <n v="22253.53"/>
    <m/>
    <n v="556.34"/>
    <m/>
    <m/>
    <m/>
    <m/>
    <m/>
    <m/>
    <n v="278.17"/>
    <m/>
    <m/>
    <m/>
    <m/>
    <m/>
    <m/>
    <n v="556.34"/>
    <m/>
    <m/>
    <m/>
    <m/>
    <m/>
    <m/>
    <m/>
    <n v="278.17"/>
    <m/>
    <n v="1669.02"/>
  </r>
  <r>
    <n v="12"/>
    <x v="12"/>
    <x v="0"/>
    <n v="177496"/>
    <s v="HINOJOSA CLAURE MAURICIO GABRIEL"/>
    <s v="20-38620142-1"/>
    <n v="42744"/>
    <n v="38620142"/>
    <s v="HINOJOSA CLAURE"/>
    <s v="MAURICIO GABRIEL"/>
    <s v="M"/>
    <m/>
    <d v="2016-09-04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RIVERA INDARTE"/>
    <n v="1225"/>
    <m/>
    <m/>
    <s v="CAPITAL FEDERAL"/>
    <s v="Buenos Aires"/>
    <m/>
    <s v="U.O.Centro"/>
    <m/>
    <n v="2"/>
    <n v="1"/>
    <n v="15787.81"/>
    <n v="3157.57"/>
    <m/>
    <m/>
    <n v="12630.24"/>
    <m/>
    <n v="315.75"/>
    <m/>
    <m/>
    <m/>
    <m/>
    <m/>
    <m/>
    <n v="157.88"/>
    <m/>
    <m/>
    <m/>
    <m/>
    <m/>
    <m/>
    <n v="315.75"/>
    <m/>
    <m/>
    <m/>
    <m/>
    <m/>
    <m/>
    <m/>
    <n v="157.88"/>
    <m/>
    <n v="947.26"/>
  </r>
  <r>
    <n v="12"/>
    <x v="12"/>
    <x v="0"/>
    <n v="179830"/>
    <s v="INSFRAN JACQUELINE ELIZABETH"/>
    <s v="27-38989989-0"/>
    <n v="42744"/>
    <n v="38989989"/>
    <s v="INSFRAN"/>
    <s v="JACQUELINE ELIZABETH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CALLE 12"/>
    <n v="1225"/>
    <m/>
    <m/>
    <s v="CAPITAL FEDERAL"/>
    <s v="Buenos Aires"/>
    <m/>
    <s v="U.O.Centro"/>
    <m/>
    <n v="2"/>
    <n v="1"/>
    <n v="15911.95"/>
    <n v="3182.4"/>
    <m/>
    <m/>
    <n v="12729.55"/>
    <m/>
    <n v="318.24"/>
    <m/>
    <m/>
    <m/>
    <m/>
    <m/>
    <m/>
    <n v="159.12"/>
    <m/>
    <m/>
    <m/>
    <m/>
    <m/>
    <m/>
    <n v="318.24"/>
    <m/>
    <m/>
    <m/>
    <m/>
    <m/>
    <m/>
    <m/>
    <n v="159.12"/>
    <m/>
    <n v="954.72"/>
  </r>
  <r>
    <n v="12"/>
    <x v="12"/>
    <x v="0"/>
    <n v="183602"/>
    <s v="JARAMILLO NUÑEZ CARLA VANESA"/>
    <s v="27-95644036-5"/>
    <n v="42744"/>
    <n v="95644036"/>
    <s v="JARAMILLO NUÑEZ"/>
    <s v="CARLA VANESA"/>
    <s v="F"/>
    <m/>
    <d v="2016-11-25T00:00:00"/>
    <m/>
    <m/>
    <s v="GASTRONOMICOS-Hoteles 4 y 5 Estrellas - 362/2003"/>
    <s v="Categoria 5"/>
    <x v="1"/>
    <s v="COCINA"/>
    <s v="Centro"/>
    <s v="Tareas Generales"/>
    <n v="108803"/>
    <s v="O.S.P.Gastronomico"/>
    <s v="Capital Federal"/>
    <m/>
    <n v="1005"/>
    <s v="ZAPIOLA"/>
    <n v="1005"/>
    <n v="5"/>
    <m/>
    <s v="CAPITAL FEDERAL"/>
    <s v="Capital Federal"/>
    <m/>
    <s v="U.O.Centro"/>
    <m/>
    <n v="2"/>
    <n v="1"/>
    <n v="14957"/>
    <n v="2991.4"/>
    <m/>
    <m/>
    <n v="11965.6"/>
    <m/>
    <n v="299.14"/>
    <m/>
    <m/>
    <m/>
    <m/>
    <m/>
    <m/>
    <n v="149.57"/>
    <m/>
    <m/>
    <m/>
    <m/>
    <m/>
    <m/>
    <n v="299.14"/>
    <m/>
    <m/>
    <m/>
    <m/>
    <m/>
    <m/>
    <m/>
    <n v="149.57"/>
    <m/>
    <n v="897.42"/>
  </r>
  <r>
    <n v="12"/>
    <x v="12"/>
    <x v="0"/>
    <n v="168403"/>
    <s v="JUAREZ LILIANA MARCELA"/>
    <s v="27-23887293-1"/>
    <n v="42738"/>
    <n v="23887293"/>
    <s v="JUAREZ"/>
    <s v="LILIANA MARCELA"/>
    <s v="F"/>
    <m/>
    <d v="2016-03-28T00:00:00"/>
    <m/>
    <m/>
    <s v="GASTRONOMICOS-Hoteles 4 y 5 Estrellas - 362/2003"/>
    <s v="Categoría 4"/>
    <x v="10"/>
    <s v="SOFITEL HOUSEKEEPING"/>
    <s v="Centro"/>
    <s v="Mucama"/>
    <n v="108803"/>
    <s v="O.S.P.Gastronomico"/>
    <s v="Capital Federal"/>
    <m/>
    <s v="C1007AAA"/>
    <s v="LA RIOJA"/>
    <n v="841"/>
    <m/>
    <m/>
    <s v="CAPITAL FEDERAL"/>
    <s v="Buenos Aires"/>
    <m/>
    <s v="U.O.Centro"/>
    <m/>
    <n v="1"/>
    <n v="1"/>
    <n v="12410.86"/>
    <n v="2482.1799999999998"/>
    <m/>
    <m/>
    <n v="9928.68"/>
    <m/>
    <n v="248.22"/>
    <m/>
    <m/>
    <m/>
    <m/>
    <m/>
    <m/>
    <n v="124.11"/>
    <m/>
    <m/>
    <m/>
    <m/>
    <m/>
    <m/>
    <n v="248.22"/>
    <m/>
    <m/>
    <m/>
    <m/>
    <m/>
    <m/>
    <m/>
    <n v="124.11"/>
    <m/>
    <n v="744.66"/>
  </r>
  <r>
    <n v="12"/>
    <x v="12"/>
    <x v="0"/>
    <n v="162207"/>
    <s v="KOLTOWSKI ALICIA ANDREA"/>
    <s v="27-24905826-8"/>
    <n v="42744"/>
    <n v="24905826"/>
    <s v="KOLTOWSKI"/>
    <s v="ALICIA ANDRE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VENIDA MONTEVERDE"/>
    <n v="1225"/>
    <m/>
    <m/>
    <s v="CAPITAL FEDERAL"/>
    <s v="Buenos Aires"/>
    <m/>
    <s v="U.O.Centro"/>
    <m/>
    <n v="2"/>
    <n v="1"/>
    <n v="3702.02"/>
    <n v="740.44"/>
    <m/>
    <m/>
    <n v="2961.58"/>
    <m/>
    <n v="74.040000000000006"/>
    <m/>
    <m/>
    <m/>
    <m/>
    <m/>
    <m/>
    <n v="37.03"/>
    <m/>
    <m/>
    <m/>
    <m/>
    <m/>
    <m/>
    <n v="74.040000000000006"/>
    <m/>
    <m/>
    <m/>
    <m/>
    <m/>
    <m/>
    <m/>
    <n v="37.03"/>
    <m/>
    <n v="222.14"/>
  </r>
  <r>
    <n v="12"/>
    <x v="12"/>
    <x v="0"/>
    <n v="172052"/>
    <s v="KUMANI CINTHIA"/>
    <s v="27-36821956-3"/>
    <n v="42744"/>
    <n v="36821956"/>
    <s v="KUMANI"/>
    <s v="CINTHI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SAN LUIS"/>
    <n v="1225"/>
    <m/>
    <m/>
    <s v="CAPITAL FEDERAL"/>
    <s v="Buenos Aires"/>
    <m/>
    <s v="U.O.Centro"/>
    <m/>
    <n v="2"/>
    <n v="1"/>
    <n v="16273.7"/>
    <n v="3254.74"/>
    <m/>
    <m/>
    <n v="13018.96"/>
    <m/>
    <n v="325.47000000000003"/>
    <m/>
    <m/>
    <m/>
    <m/>
    <m/>
    <m/>
    <n v="162.74"/>
    <m/>
    <m/>
    <m/>
    <m/>
    <m/>
    <m/>
    <n v="325.47000000000003"/>
    <m/>
    <m/>
    <m/>
    <m/>
    <m/>
    <m/>
    <m/>
    <n v="162.74"/>
    <m/>
    <n v="976.42"/>
  </r>
  <r>
    <n v="12"/>
    <x v="12"/>
    <x v="0"/>
    <n v="177722"/>
    <s v="LADERO VIVAS MARIA ANGELES"/>
    <s v="27-34889963-0"/>
    <n v="42744"/>
    <n v="34889963"/>
    <s v="LADERO VIVAS"/>
    <s v="MARIA ANGELES"/>
    <s v="F"/>
    <m/>
    <d v="2016-08-26T00:00:00"/>
    <d v="2016-12-12T00:00:00"/>
    <m/>
    <s v="GASTRONOMICOS-Hoteles 4 y 5 Estrellas - 362/2003"/>
    <s v="Camarera/o"/>
    <x v="16"/>
    <s v="Back Office"/>
    <s v="Back Office"/>
    <s v="Camarero/a"/>
    <n v="108803"/>
    <s v="O.S.P.Gastronomico"/>
    <s v="Buenos Aires - Almte. Brown"/>
    <m/>
    <s v="C1019ABK"/>
    <s v="GENERAL SAVIO"/>
    <n v="513"/>
    <n v="1"/>
    <m/>
    <s v="CAPITAL FEDERAL"/>
    <s v="Buenos Aires"/>
    <m/>
    <m/>
    <m/>
    <n v="2"/>
    <n v="1"/>
    <n v="6054.23"/>
    <n v="1210.8499999999999"/>
    <m/>
    <n v="41150.81"/>
    <n v="45994.19"/>
    <m/>
    <n v="121.08"/>
    <m/>
    <m/>
    <m/>
    <m/>
    <m/>
    <m/>
    <n v="60.54"/>
    <m/>
    <m/>
    <m/>
    <m/>
    <m/>
    <m/>
    <n v="121.08"/>
    <m/>
    <m/>
    <m/>
    <m/>
    <m/>
    <m/>
    <m/>
    <n v="60.54"/>
    <m/>
    <n v="363.24"/>
  </r>
  <r>
    <n v="12"/>
    <x v="12"/>
    <x v="1"/>
    <n v="181860"/>
    <s v="LECCADITO CARLA MARLENE"/>
    <s v="27-39812579-2"/>
    <n v="42744"/>
    <n v="39812579"/>
    <s v="LECCADITO"/>
    <s v="CARLA MARLENE"/>
    <s v="F"/>
    <m/>
    <d v="2016-10-27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DIAGONAL THAMES"/>
    <n v="535"/>
    <m/>
    <m/>
    <s v="CAPITAL FEDERAL"/>
    <s v="Capital Federal"/>
    <m/>
    <s v="U.O.Centro"/>
    <m/>
    <n v="2"/>
    <n v="1"/>
    <n v="6186.68"/>
    <n v="1237.32"/>
    <m/>
    <m/>
    <n v="4949.3599999999997"/>
    <m/>
    <n v="123.73"/>
    <m/>
    <m/>
    <m/>
    <m/>
    <m/>
    <m/>
    <n v="61.86"/>
    <m/>
    <m/>
    <m/>
    <m/>
    <m/>
    <m/>
    <n v="123.73"/>
    <m/>
    <m/>
    <m/>
    <m/>
    <m/>
    <m/>
    <m/>
    <n v="61.86"/>
    <m/>
    <n v="371.18"/>
  </r>
  <r>
    <n v="12"/>
    <x v="12"/>
    <x v="0"/>
    <n v="184579"/>
    <s v="LENCINA YANINA ALEJANDRA"/>
    <s v="27-33643917-0"/>
    <n v="42725"/>
    <n v="33643917"/>
    <s v="LENCINA"/>
    <s v="YANINA ALEJANDRA"/>
    <s v="F"/>
    <m/>
    <d v="2016-12-07T00:00:00"/>
    <m/>
    <m/>
    <s v="GASTRONOMICOS-Hoteles 4 y 5 Estrellas - 362/2003"/>
    <s v="Categoría 4"/>
    <x v="18"/>
    <s v="Capital Federal (Gastronomicos) - GL"/>
    <s v="Centro"/>
    <s v="Mucama"/>
    <n v="108803"/>
    <s v="O.S.P.Gastronomico"/>
    <s v="Capital Federal"/>
    <m/>
    <n v="1007"/>
    <s v="CALLE 46"/>
    <n v="1366"/>
    <m/>
    <m/>
    <s v="CAPITAL FEDERAL"/>
    <s v="Capital Federal"/>
    <m/>
    <s v="U.O.Centro"/>
    <m/>
    <n v="1"/>
    <n v="1"/>
    <n v="751.13"/>
    <n v="150.21"/>
    <m/>
    <m/>
    <n v="600.91999999999996"/>
    <m/>
    <n v="15.02"/>
    <m/>
    <m/>
    <m/>
    <m/>
    <m/>
    <m/>
    <n v="7.51"/>
    <m/>
    <m/>
    <m/>
    <m/>
    <m/>
    <m/>
    <n v="15.02"/>
    <m/>
    <m/>
    <m/>
    <m/>
    <m/>
    <m/>
    <m/>
    <n v="7.51"/>
    <m/>
    <n v="45.06"/>
  </r>
  <r>
    <n v="12"/>
    <x v="12"/>
    <x v="0"/>
    <n v="185769"/>
    <s v="LEZCANO THIERY ABRAHAN OSCAR MANUEL"/>
    <s v="20-37215843-4"/>
    <n v="42744"/>
    <n v="37215843"/>
    <s v="LEZCANO THIERY"/>
    <s v="ABRAHAN OSCAR MANUEL"/>
    <s v="M"/>
    <m/>
    <d v="2016-12-31T00:00:00"/>
    <m/>
    <m/>
    <s v="GASTRONOMICOS-Hoteles 4 y 5 Estrellas - 362/2003"/>
    <s v="Categoria 3"/>
    <x v="5"/>
    <s v="Extra Dotacion Cocina - GL"/>
    <s v="Centro"/>
    <s v="Ayudante de Cocina"/>
    <n v="108803"/>
    <s v="O.S.P.Gastronomico"/>
    <s v="Capital Federal"/>
    <m/>
    <s v="C1104AKC"/>
    <s v="LYNCH"/>
    <n v="1225"/>
    <n v="3"/>
    <m/>
    <s v="CAPITAL FEDERAL"/>
    <s v="Buenos Aires"/>
    <m/>
    <m/>
    <m/>
    <n v="1"/>
    <n v="1"/>
    <n v="1534.1"/>
    <n v="306.81"/>
    <m/>
    <m/>
    <n v="1227.29"/>
    <m/>
    <n v="30.68"/>
    <m/>
    <m/>
    <m/>
    <m/>
    <m/>
    <m/>
    <n v="15.34"/>
    <m/>
    <m/>
    <m/>
    <m/>
    <m/>
    <m/>
    <n v="30.68"/>
    <m/>
    <m/>
    <m/>
    <m/>
    <m/>
    <m/>
    <m/>
    <n v="15.34"/>
    <m/>
    <n v="92.04"/>
  </r>
  <r>
    <n v="12"/>
    <x v="12"/>
    <x v="1"/>
    <n v="170264"/>
    <s v="LIZARRAGA ARIEL HERNAN"/>
    <s v="20-30593212-5"/>
    <n v="42744"/>
    <n v="30593212"/>
    <s v="LIZARRAGA"/>
    <s v="ARIEL HERNAN"/>
    <s v="M"/>
    <m/>
    <d v="2016-03-1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martinto"/>
    <n v="1891"/>
    <m/>
    <m/>
    <s v="CAPITAL FEDERAL"/>
    <s v="Capital Federal"/>
    <m/>
    <s v="U.O.Centro"/>
    <s v="Alvear Palace"/>
    <n v="2"/>
    <n v="1"/>
    <n v="12893.5"/>
    <n v="2578.6799999999998"/>
    <m/>
    <m/>
    <n v="10314.82"/>
    <m/>
    <n v="257.87"/>
    <m/>
    <m/>
    <m/>
    <m/>
    <m/>
    <m/>
    <n v="128.93"/>
    <m/>
    <m/>
    <m/>
    <m/>
    <m/>
    <m/>
    <n v="257.87"/>
    <m/>
    <m/>
    <m/>
    <m/>
    <m/>
    <m/>
    <m/>
    <n v="128.93"/>
    <m/>
    <n v="773.6"/>
  </r>
  <r>
    <n v="12"/>
    <x v="12"/>
    <x v="0"/>
    <n v="180379"/>
    <s v="LOGIURATO SOLEDAD VANESA"/>
    <s v="27-28500921-4"/>
    <n v="42744"/>
    <n v="28500921"/>
    <s v="LOGIURATO"/>
    <s v="SOLEDAD VANESA"/>
    <s v="F"/>
    <m/>
    <d v="2016-10-12T00:00:00"/>
    <m/>
    <m/>
    <s v="GASTRONOMICOS-Hoteles 4 y 5 Estrellas - 362/2003"/>
    <s v="Mucama"/>
    <x v="17"/>
    <s v="Unidad Base-GL"/>
    <s v="San Isidro"/>
    <s v="Categoría 4"/>
    <n v="121705"/>
    <s v="OS  DEL PERSONAL DE LA ACTIVIDAD DEL TURF"/>
    <s v="Buenos Aires - Gran Buenos Aires"/>
    <m/>
    <n v="1648"/>
    <s v="SANSUCI"/>
    <n v="240"/>
    <m/>
    <m/>
    <s v="TIGRE"/>
    <s v="Buenos Aires"/>
    <m/>
    <s v="U.O.San Isidro"/>
    <m/>
    <n v="1"/>
    <n v="1"/>
    <n v="11043.12"/>
    <n v="2208.61"/>
    <m/>
    <m/>
    <n v="8834.51"/>
    <m/>
    <n v="220.86"/>
    <m/>
    <m/>
    <m/>
    <m/>
    <m/>
    <m/>
    <n v="110.43"/>
    <m/>
    <m/>
    <m/>
    <m/>
    <m/>
    <m/>
    <n v="220.86"/>
    <m/>
    <m/>
    <m/>
    <m/>
    <m/>
    <m/>
    <m/>
    <n v="110.43"/>
    <m/>
    <n v="662.58"/>
  </r>
  <r>
    <n v="12"/>
    <x v="12"/>
    <x v="0"/>
    <n v="180742"/>
    <s v="LOPES NATALIA GISELE"/>
    <s v="27-37669421-1"/>
    <n v="42744"/>
    <n v="37669421"/>
    <s v="LOPES"/>
    <s v="NATALIA GISELE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RIO ATUEL"/>
    <n v="1225"/>
    <m/>
    <m/>
    <s v="CAPITAL FEDERAL"/>
    <s v="Buenos Aires"/>
    <m/>
    <s v="U.O.Centro"/>
    <m/>
    <n v="2"/>
    <n v="1"/>
    <n v="12547.24"/>
    <n v="2509.46"/>
    <m/>
    <m/>
    <n v="10037.780000000001"/>
    <m/>
    <n v="250.95"/>
    <m/>
    <m/>
    <m/>
    <m/>
    <m/>
    <m/>
    <n v="125.47"/>
    <m/>
    <m/>
    <m/>
    <m/>
    <m/>
    <m/>
    <n v="250.95"/>
    <m/>
    <m/>
    <m/>
    <m/>
    <m/>
    <m/>
    <m/>
    <n v="125.47"/>
    <m/>
    <n v="752.84"/>
  </r>
  <r>
    <n v="12"/>
    <x v="12"/>
    <x v="0"/>
    <n v="185017"/>
    <s v="LOPEZ DAIANA MARIEL"/>
    <s v="27-35990611-6"/>
    <n v="42744"/>
    <n v="35990611"/>
    <s v="LOPEZ"/>
    <s v="DAIANA MARIEL"/>
    <s v="F"/>
    <m/>
    <d v="2016-12-18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MONROE"/>
    <n v="240"/>
    <m/>
    <m/>
    <s v="TIGRE"/>
    <s v="Buenos Aires"/>
    <m/>
    <m/>
    <m/>
    <n v="1"/>
    <n v="1"/>
    <n v="1508.84"/>
    <n v="301.77999999999997"/>
    <m/>
    <m/>
    <n v="1207.06"/>
    <m/>
    <n v="30.18"/>
    <m/>
    <m/>
    <m/>
    <m/>
    <m/>
    <m/>
    <n v="15.09"/>
    <m/>
    <m/>
    <m/>
    <m/>
    <m/>
    <m/>
    <n v="30.18"/>
    <m/>
    <m/>
    <m/>
    <m/>
    <m/>
    <m/>
    <m/>
    <n v="15.09"/>
    <m/>
    <n v="90.54"/>
  </r>
  <r>
    <n v="12"/>
    <x v="12"/>
    <x v="0"/>
    <n v="169947"/>
    <s v="LOPEZ ROMERO NESTOR DAMIAN"/>
    <s v="20-94770741-9"/>
    <n v="42744"/>
    <n v="94770741"/>
    <s v="LOPEZ ROMERO"/>
    <s v="NESTOR DAMIAN"/>
    <s v="M"/>
    <m/>
    <d v="2016-03-05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RIO IGUAZU"/>
    <n v="1225"/>
    <m/>
    <m/>
    <s v="CAPITAL FEDERAL"/>
    <s v="Buenos Aires"/>
    <m/>
    <s v="U.O.Centro"/>
    <m/>
    <n v="2"/>
    <n v="1"/>
    <n v="8727.5400000000009"/>
    <n v="1745.5"/>
    <m/>
    <m/>
    <n v="6982.04"/>
    <m/>
    <n v="174.56"/>
    <m/>
    <m/>
    <m/>
    <m/>
    <m/>
    <m/>
    <n v="87.28"/>
    <m/>
    <m/>
    <m/>
    <m/>
    <m/>
    <m/>
    <n v="174.56"/>
    <m/>
    <m/>
    <m/>
    <m/>
    <m/>
    <m/>
    <m/>
    <n v="87.28"/>
    <m/>
    <n v="523.67999999999995"/>
  </r>
  <r>
    <n v="12"/>
    <x v="12"/>
    <x v="0"/>
    <n v="184762"/>
    <s v="LORENZO DE GREGORIO GONZALO EDUARDO"/>
    <s v="20-34796066-8"/>
    <n v="42744"/>
    <n v="34796066"/>
    <s v="LORENZO DE GREGORIO"/>
    <s v="GONZALO EDUARDO"/>
    <s v="M"/>
    <m/>
    <d v="2016-12-1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UNCAL"/>
    <n v="1225"/>
    <m/>
    <m/>
    <s v="CAPITAL FEDERAL"/>
    <s v="Buenos Aires"/>
    <m/>
    <s v="U.O.Centro"/>
    <m/>
    <n v="2"/>
    <n v="1"/>
    <n v="6311.74"/>
    <n v="1262.3399999999999"/>
    <m/>
    <m/>
    <n v="5049.3999999999996"/>
    <m/>
    <n v="126.23"/>
    <m/>
    <m/>
    <m/>
    <m/>
    <m/>
    <m/>
    <n v="63.12"/>
    <m/>
    <m/>
    <m/>
    <m/>
    <m/>
    <m/>
    <n v="126.23"/>
    <m/>
    <m/>
    <m/>
    <m/>
    <m/>
    <m/>
    <m/>
    <n v="63.12"/>
    <m/>
    <n v="378.7"/>
  </r>
  <r>
    <n v="12"/>
    <x v="12"/>
    <x v="1"/>
    <n v="182765"/>
    <s v="LOSOWSKI SOFIA"/>
    <s v="27-39681897-9"/>
    <n v="42744"/>
    <n v="39681897"/>
    <s v="LOSOWSKI"/>
    <s v="SOFIA"/>
    <s v="F"/>
    <m/>
    <d v="2016-11-10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AV CORDOBA"/>
    <n v="535"/>
    <n v="3"/>
    <s v="A"/>
    <s v="CAPITAL FEDERAL"/>
    <s v="Capital Federal"/>
    <m/>
    <s v="U.O.Centro"/>
    <m/>
    <n v="2"/>
    <n v="1"/>
    <n v="15612.24"/>
    <n v="3122.44"/>
    <m/>
    <m/>
    <n v="12489.8"/>
    <m/>
    <n v="312.25"/>
    <m/>
    <m/>
    <m/>
    <m/>
    <m/>
    <m/>
    <n v="156.12"/>
    <m/>
    <m/>
    <m/>
    <m/>
    <m/>
    <m/>
    <n v="312.25"/>
    <m/>
    <m/>
    <m/>
    <m/>
    <m/>
    <m/>
    <m/>
    <n v="156.12"/>
    <m/>
    <n v="936.74"/>
  </r>
  <r>
    <n v="12"/>
    <x v="12"/>
    <x v="0"/>
    <n v="184822"/>
    <s v="LOVERA TATIANA BEATRIZ"/>
    <s v="23-34551584-4"/>
    <n v="42744"/>
    <n v="34551584"/>
    <s v="LOVERA"/>
    <s v="TATIANA BEATRIZ"/>
    <s v="F"/>
    <m/>
    <d v="2016-12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VALLE"/>
    <n v="1225"/>
    <n v="2"/>
    <s v="C"/>
    <s v="CAPITAL FEDERAL"/>
    <s v="Buenos Aires"/>
    <m/>
    <s v="U.O.Centro"/>
    <m/>
    <n v="2"/>
    <n v="1"/>
    <n v="1689.01"/>
    <n v="337.8"/>
    <m/>
    <m/>
    <n v="1351.21"/>
    <m/>
    <n v="33.78"/>
    <m/>
    <m/>
    <m/>
    <m/>
    <m/>
    <m/>
    <n v="16.89"/>
    <m/>
    <m/>
    <m/>
    <m/>
    <m/>
    <m/>
    <n v="33.78"/>
    <m/>
    <m/>
    <m/>
    <m/>
    <m/>
    <m/>
    <m/>
    <n v="16.89"/>
    <m/>
    <n v="101.34"/>
  </r>
  <r>
    <n v="12"/>
    <x v="12"/>
    <x v="0"/>
    <n v="184984"/>
    <s v="LUCERO BARBARA GISELA"/>
    <s v="27-34879167-8"/>
    <n v="42744"/>
    <n v="34879167"/>
    <s v="LUCERO"/>
    <s v="BARBARA GISELA"/>
    <s v="F"/>
    <m/>
    <d v="2016-12-16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SANTA MARIA DE ORO"/>
    <n v="240"/>
    <m/>
    <m/>
    <s v="TIGRE"/>
    <s v="Buenos Aires"/>
    <m/>
    <m/>
    <m/>
    <n v="1"/>
    <n v="1"/>
    <n v="2816.49"/>
    <n v="563.28"/>
    <m/>
    <m/>
    <n v="2253.21"/>
    <m/>
    <n v="56.33"/>
    <m/>
    <m/>
    <m/>
    <m/>
    <m/>
    <m/>
    <n v="28.16"/>
    <m/>
    <m/>
    <m/>
    <m/>
    <m/>
    <m/>
    <n v="56.33"/>
    <m/>
    <m/>
    <m/>
    <m/>
    <m/>
    <m/>
    <m/>
    <n v="28.16"/>
    <m/>
    <n v="168.98"/>
  </r>
  <r>
    <n v="12"/>
    <x v="12"/>
    <x v="0"/>
    <n v="177167"/>
    <s v="LUNA ELIANA DENISE"/>
    <s v="27-37280303-2"/>
    <n v="42744"/>
    <n v="37280303"/>
    <s v="LUNA"/>
    <s v="ELIANA DENISE"/>
    <s v="F"/>
    <m/>
    <d v="2016-08-13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SANTIAGO DE CHILE"/>
    <n v="1225"/>
    <m/>
    <m/>
    <s v="CAPITAL FEDERAL"/>
    <s v="Buenos Aires"/>
    <m/>
    <s v="U.O.Centro"/>
    <m/>
    <n v="2"/>
    <n v="1"/>
    <n v="11556.36"/>
    <n v="2311.27"/>
    <m/>
    <m/>
    <n v="9245.09"/>
    <m/>
    <n v="231.13"/>
    <m/>
    <m/>
    <m/>
    <m/>
    <m/>
    <m/>
    <n v="115.56"/>
    <m/>
    <m/>
    <m/>
    <m/>
    <m/>
    <m/>
    <n v="231.13"/>
    <m/>
    <m/>
    <m/>
    <m/>
    <m/>
    <m/>
    <m/>
    <n v="115.56"/>
    <m/>
    <n v="693.38"/>
  </r>
  <r>
    <n v="12"/>
    <x v="12"/>
    <x v="1"/>
    <n v="147835"/>
    <s v="LUQUE JAVIER ANTONIO"/>
    <s v="20-37023577-6"/>
    <n v="42744"/>
    <n v="37023577"/>
    <s v="LUQUE"/>
    <s v="JAVIER ANTONIO"/>
    <s v="M"/>
    <m/>
    <d v="2015-03-01T00:00:00"/>
    <m/>
    <m/>
    <s v="GASTRONOMICOS-Hoteles 4 y 5 Estrellas - 362/2003"/>
    <s v="Categoria 6"/>
    <x v="11"/>
    <s v="Unidad Principal"/>
    <s v="Centro"/>
    <s v="Recepcionista"/>
    <n v="108803"/>
    <s v="O.S.P.Gastronomico"/>
    <s v="Capital Federal"/>
    <m/>
    <s v="C1009ABK"/>
    <s v="LILA"/>
    <n v="507"/>
    <m/>
    <m/>
    <s v="CAPITAL FEDERAL"/>
    <s v="Capital Federal"/>
    <m/>
    <s v="U.O.Centro Paga Inplant"/>
    <m/>
    <n v="2"/>
    <n v="1"/>
    <n v="15658.87"/>
    <n v="3131.78"/>
    <m/>
    <m/>
    <n v="12527.09"/>
    <m/>
    <n v="313.18"/>
    <m/>
    <m/>
    <m/>
    <m/>
    <m/>
    <m/>
    <n v="156.59"/>
    <m/>
    <m/>
    <m/>
    <m/>
    <m/>
    <m/>
    <n v="313.18"/>
    <m/>
    <m/>
    <m/>
    <m/>
    <m/>
    <m/>
    <m/>
    <n v="156.59"/>
    <m/>
    <n v="939.54"/>
  </r>
  <r>
    <n v="12"/>
    <x v="12"/>
    <x v="0"/>
    <n v="177958"/>
    <s v="MAIDANA LILIANA JAQUELINE"/>
    <s v="27-38494986-5"/>
    <n v="42744"/>
    <n v="38494986"/>
    <s v="MAIDANA"/>
    <s v="LILIANA JAQUELINE"/>
    <s v="F"/>
    <m/>
    <d v="2016-09-01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Tigre"/>
    <m/>
    <n v="1648"/>
    <s v="AVENIDA VILLANUEVA"/>
    <n v="240"/>
    <m/>
    <m/>
    <s v="TIGRE"/>
    <s v="Buenos Aires"/>
    <m/>
    <s v="U.O.San Isidro"/>
    <m/>
    <n v="1"/>
    <n v="1"/>
    <n v="10152.73"/>
    <n v="2030.54"/>
    <m/>
    <m/>
    <n v="8122.19"/>
    <m/>
    <n v="203.05"/>
    <m/>
    <m/>
    <m/>
    <m/>
    <m/>
    <m/>
    <n v="101.53"/>
    <m/>
    <m/>
    <m/>
    <m/>
    <m/>
    <m/>
    <n v="203.05"/>
    <m/>
    <m/>
    <m/>
    <m/>
    <m/>
    <m/>
    <m/>
    <n v="101.53"/>
    <m/>
    <n v="609.16"/>
  </r>
  <r>
    <n v="12"/>
    <x v="12"/>
    <x v="0"/>
    <n v="170140"/>
    <s v="MAIDANA OSCAR RODOLFO"/>
    <s v="20-12573728-6"/>
    <n v="42744"/>
    <n v="12573728"/>
    <s v="MAIDANA"/>
    <s v="OSCAR RODOLFO"/>
    <s v="M"/>
    <m/>
    <d v="2016-03-09T00:00:00"/>
    <m/>
    <m/>
    <s v="GASTRONOMICOS-Hoteles 4 y 5 Estrellas - 362/2003"/>
    <s v="Categoria 5"/>
    <x v="5"/>
    <s v="Mantenimiento - GL"/>
    <s v="Centro"/>
    <s v="Foguista"/>
    <n v="127208"/>
    <s v="O.S.de Mandos Medios de Telecomunicaciones"/>
    <s v="Capital Federal"/>
    <m/>
    <s v="C1104AKC"/>
    <s v="MARCO SASTRE"/>
    <n v="1225"/>
    <m/>
    <m/>
    <s v="CAPITAL FEDERAL"/>
    <s v="Buenos Aires"/>
    <m/>
    <s v="U.O.Centro"/>
    <m/>
    <n v="1"/>
    <n v="1"/>
    <n v="31038.6"/>
    <n v="6207.73"/>
    <m/>
    <m/>
    <n v="24830.87"/>
    <m/>
    <n v="620.77"/>
    <m/>
    <m/>
    <m/>
    <m/>
    <m/>
    <m/>
    <n v="310.39"/>
    <m/>
    <m/>
    <m/>
    <m/>
    <m/>
    <m/>
    <n v="620.77"/>
    <m/>
    <m/>
    <m/>
    <m/>
    <m/>
    <m/>
    <m/>
    <n v="310.39"/>
    <m/>
    <n v="1862.32"/>
  </r>
  <r>
    <n v="12"/>
    <x v="12"/>
    <x v="0"/>
    <n v="171021"/>
    <s v="MAITA GISELLE ELIANA"/>
    <s v="27-34799549-0"/>
    <n v="42744"/>
    <n v="34799549"/>
    <s v="MAITA"/>
    <s v="GISELLE ELIANA"/>
    <s v="F"/>
    <m/>
    <d v="2016-03-3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RQUIMEDES"/>
    <n v="1005"/>
    <m/>
    <m/>
    <s v="CAPITAL FEDERAL"/>
    <s v="Capital Federal"/>
    <m/>
    <s v="U.O.Centro"/>
    <m/>
    <n v="2"/>
    <n v="1"/>
    <n v="591.79999999999995"/>
    <n v="118.35"/>
    <m/>
    <m/>
    <n v="473.45"/>
    <m/>
    <n v="11.84"/>
    <m/>
    <m/>
    <m/>
    <m/>
    <m/>
    <m/>
    <n v="5.91"/>
    <m/>
    <m/>
    <m/>
    <m/>
    <m/>
    <m/>
    <n v="11.84"/>
    <m/>
    <m/>
    <m/>
    <m/>
    <m/>
    <m/>
    <m/>
    <n v="5.91"/>
    <m/>
    <n v="35.5"/>
  </r>
  <r>
    <n v="12"/>
    <x v="12"/>
    <x v="0"/>
    <n v="176964"/>
    <s v="MALCEÑIDO MARIANO RUBEN"/>
    <s v="20-26939242-9"/>
    <n v="42744"/>
    <n v="26939242"/>
    <s v="MALCEÑIDO"/>
    <s v="MARIANO RUBEN"/>
    <s v="M"/>
    <m/>
    <d v="2016-08-09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OMPOSTELA"/>
    <n v="1005"/>
    <m/>
    <m/>
    <s v="CAPITAL FEDERAL"/>
    <s v="Capital Federal"/>
    <m/>
    <s v="U.O.Centro"/>
    <m/>
    <n v="2"/>
    <n v="1"/>
    <n v="101.09"/>
    <n v="20.22"/>
    <m/>
    <m/>
    <n v="80.87"/>
    <m/>
    <n v="2.0299999999999998"/>
    <m/>
    <m/>
    <m/>
    <m/>
    <m/>
    <m/>
    <n v="1.01"/>
    <m/>
    <m/>
    <m/>
    <m/>
    <m/>
    <m/>
    <n v="2.0299999999999998"/>
    <m/>
    <m/>
    <m/>
    <m/>
    <m/>
    <m/>
    <m/>
    <n v="1.01"/>
    <m/>
    <n v="6.08"/>
  </r>
  <r>
    <n v="12"/>
    <x v="12"/>
    <x v="0"/>
    <n v="177725"/>
    <s v="MARCASOLI JOAQUIN GASPAR"/>
    <s v="20-40060166-7"/>
    <n v="42744"/>
    <n v="40060166"/>
    <s v="MARCASOLI"/>
    <s v="JOAQUIN GASPAR"/>
    <s v="M"/>
    <m/>
    <d v="2016-08-26T00:00:00"/>
    <d v="2016-11-30T00:00:00"/>
    <m/>
    <s v="GASTRONOMICOS-Hoteles 4 y 5 Estrellas - 362/2003"/>
    <s v="Camarera/o"/>
    <x v="16"/>
    <s v="Back Office"/>
    <s v="Back Office"/>
    <s v="Camarero/a"/>
    <n v="108803"/>
    <s v="O.S.P.Gastronomico"/>
    <s v="Buenos Aires - Almte. Brown"/>
    <m/>
    <s v="C1019ABK"/>
    <s v="TENIENTE GENERAL LONARDI"/>
    <n v="513"/>
    <m/>
    <m/>
    <s v="CAPITAL FEDERAL"/>
    <s v="Buenos Aires"/>
    <m/>
    <m/>
    <m/>
    <n v="2"/>
    <n v="1"/>
    <n v="3557.67"/>
    <n v="711.53"/>
    <m/>
    <n v="35710.870000000003"/>
    <n v="38557.01"/>
    <m/>
    <n v="71.150000000000006"/>
    <m/>
    <m/>
    <m/>
    <m/>
    <m/>
    <m/>
    <n v="35.58"/>
    <m/>
    <m/>
    <m/>
    <m/>
    <m/>
    <m/>
    <n v="71.150000000000006"/>
    <m/>
    <m/>
    <m/>
    <m/>
    <m/>
    <m/>
    <m/>
    <n v="35.58"/>
    <m/>
    <n v="213.46"/>
  </r>
  <r>
    <n v="12"/>
    <x v="12"/>
    <x v="1"/>
    <n v="152233"/>
    <s v="MARGHETICH SERGIO VIRGILIO"/>
    <s v="20-21090363-2"/>
    <n v="42744"/>
    <n v="21090363"/>
    <s v="MARGHETICH"/>
    <s v="SERGIO VIRGILIO"/>
    <s v="M"/>
    <m/>
    <d v="2015-12-01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ATAMARCA"/>
    <n v="535"/>
    <m/>
    <m/>
    <s v="CAPITAL FEDERAL"/>
    <s v="Capital Federal"/>
    <m/>
    <s v="U.O.Centro Paga Inplant"/>
    <s v="EXPLOTADORA CONCORDE - MOZOS Y PEONES"/>
    <n v="2"/>
    <n v="1"/>
    <n v="28859.78"/>
    <n v="5771.96"/>
    <m/>
    <m/>
    <n v="23087.82"/>
    <m/>
    <n v="577.20000000000005"/>
    <m/>
    <m/>
    <m/>
    <m/>
    <m/>
    <m/>
    <n v="288.60000000000002"/>
    <m/>
    <m/>
    <m/>
    <m/>
    <m/>
    <m/>
    <n v="577.20000000000005"/>
    <m/>
    <m/>
    <m/>
    <m/>
    <m/>
    <m/>
    <m/>
    <n v="288.60000000000002"/>
    <m/>
    <n v="1731.6"/>
  </r>
  <r>
    <n v="12"/>
    <x v="12"/>
    <x v="1"/>
    <n v="122290"/>
    <s v="MARTINEZ EZEQUIEL FACUNDO"/>
    <s v="20-28328215-6"/>
    <n v="42744"/>
    <n v="28328215"/>
    <s v="MARTINEZ"/>
    <s v="EZEQUIEL FACUNDO"/>
    <s v="M"/>
    <m/>
    <d v="2014-01-09T00:00:00"/>
    <m/>
    <m/>
    <s v="GASTRONOMICOS-Hoteles 4 y 5 Estrellas - 362/2003"/>
    <s v="Categoria 1"/>
    <x v="9"/>
    <s v="Unidad Principal"/>
    <s v="Centro"/>
    <s v="Tareas Generales"/>
    <n v="108803"/>
    <s v="O.S.P.Gastronomico"/>
    <s v="Capital Federal"/>
    <m/>
    <n v="1049"/>
    <s v="TUNUYAN"/>
    <n v="535"/>
    <m/>
    <m/>
    <s v="CAPITAL FEDERAL"/>
    <s v="Capital Federal"/>
    <m/>
    <s v="U.O.Centro Paga Inplant"/>
    <s v="PEONES"/>
    <n v="2"/>
    <n v="1"/>
    <n v="19704.68"/>
    <n v="4039.48"/>
    <m/>
    <m/>
    <n v="15665.2"/>
    <n v="492.62"/>
    <m/>
    <m/>
    <m/>
    <m/>
    <m/>
    <m/>
    <m/>
    <n v="197.05"/>
    <m/>
    <m/>
    <m/>
    <m/>
    <m/>
    <m/>
    <n v="394.1"/>
    <m/>
    <m/>
    <m/>
    <m/>
    <m/>
    <m/>
    <m/>
    <n v="197.05"/>
    <m/>
    <n v="1280.82"/>
  </r>
  <r>
    <n v="12"/>
    <x v="12"/>
    <x v="1"/>
    <n v="184848"/>
    <s v="MARTINEZ FACUNDO FABIAN"/>
    <s v="20-32480428-6"/>
    <n v="42737"/>
    <n v="32480428"/>
    <s v="MARTINEZ"/>
    <s v="FACUNDO FABIAN"/>
    <s v="M"/>
    <m/>
    <d v="2016-12-16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SARMIENTO"/>
    <n v="764"/>
    <n v="1"/>
    <m/>
    <s v="CAPITAL FEDERAL"/>
    <s v="Capital Federal"/>
    <m/>
    <s v="U.O.Centro"/>
    <m/>
    <n v="1"/>
    <n v="1"/>
    <n v="2899.84"/>
    <n v="579.98"/>
    <m/>
    <m/>
    <n v="2319.86"/>
    <m/>
    <n v="58"/>
    <m/>
    <m/>
    <m/>
    <m/>
    <m/>
    <m/>
    <n v="29"/>
    <m/>
    <m/>
    <m/>
    <m/>
    <m/>
    <m/>
    <n v="58"/>
    <m/>
    <m/>
    <m/>
    <m/>
    <m/>
    <m/>
    <m/>
    <n v="29"/>
    <m/>
    <n v="174"/>
  </r>
  <r>
    <n v="12"/>
    <x v="12"/>
    <x v="1"/>
    <n v="171586"/>
    <s v="MARTINEZ JONATHAN EZEQUIEL"/>
    <s v="20-31158376-0"/>
    <n v="42744"/>
    <n v="31158376"/>
    <s v="MARTINEZ"/>
    <s v="JONATHAN EZEQUIEL"/>
    <s v="M"/>
    <m/>
    <d v="2016-04-11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LAVALLOL"/>
    <n v="1891"/>
    <n v="1"/>
    <s v="D"/>
    <s v="CAPITAL FEDERAL"/>
    <s v="Capital Federal"/>
    <m/>
    <s v="U.O.Centro"/>
    <s v="Alvear Palace"/>
    <n v="2"/>
    <n v="1"/>
    <n v="12258.84"/>
    <n v="2451.7800000000002"/>
    <m/>
    <m/>
    <n v="9807.06"/>
    <m/>
    <n v="245.17"/>
    <m/>
    <m/>
    <m/>
    <m/>
    <m/>
    <m/>
    <n v="122.59"/>
    <m/>
    <m/>
    <m/>
    <m/>
    <m/>
    <m/>
    <n v="245.17"/>
    <m/>
    <m/>
    <m/>
    <m/>
    <m/>
    <m/>
    <m/>
    <n v="122.59"/>
    <m/>
    <n v="735.52"/>
  </r>
  <r>
    <n v="12"/>
    <x v="12"/>
    <x v="1"/>
    <n v="152931"/>
    <s v="MARTINEZ KAREN"/>
    <s v="27-37827128-8"/>
    <n v="42744"/>
    <n v="37827128"/>
    <s v="MARTINEZ"/>
    <s v="KAREN"/>
    <s v="F"/>
    <m/>
    <d v="2016-02-01T00:00:00"/>
    <m/>
    <m/>
    <s v="GASTRONOMICOS-Hoteles 4 y 5 Estrellas - 362/2003"/>
    <s v="Categoria 6"/>
    <x v="9"/>
    <s v="Unidad Principal"/>
    <s v="Centro"/>
    <s v="Tareas Generales"/>
    <n v="108803"/>
    <s v="O.S.P.Gastronomico"/>
    <s v="Capital Federal"/>
    <m/>
    <n v="1049"/>
    <s v="LATORRE"/>
    <n v="313"/>
    <m/>
    <m/>
    <s v="CAPITAL FEDERAL"/>
    <s v="Buenos Aires"/>
    <m/>
    <s v="U.O.Centro Paga Inplant"/>
    <m/>
    <n v="2"/>
    <n v="1"/>
    <n v="21061.18"/>
    <n v="4317.55"/>
    <m/>
    <m/>
    <n v="16743.63"/>
    <n v="526.53"/>
    <m/>
    <m/>
    <m/>
    <m/>
    <m/>
    <m/>
    <m/>
    <n v="210.61"/>
    <m/>
    <m/>
    <m/>
    <m/>
    <m/>
    <m/>
    <n v="421.23"/>
    <m/>
    <m/>
    <m/>
    <m/>
    <m/>
    <m/>
    <m/>
    <n v="210.61"/>
    <m/>
    <n v="1368.98"/>
  </r>
  <r>
    <n v="12"/>
    <x v="12"/>
    <x v="0"/>
    <n v="169944"/>
    <s v="MARTINEZ MIGUEL ANGEL"/>
    <s v="20-35371989-1"/>
    <n v="42744"/>
    <n v="35371989"/>
    <s v="MARTINEZ"/>
    <s v="MIGUEL ANGEL"/>
    <s v="M"/>
    <m/>
    <d v="2016-03-05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ZA 5  CASA 38"/>
    <n v="1225"/>
    <m/>
    <m/>
    <s v="CAPITAL FEDERAL"/>
    <s v="Buenos Aires"/>
    <m/>
    <s v="U.O.Centro"/>
    <m/>
    <n v="2"/>
    <n v="1"/>
    <n v="7518.01"/>
    <n v="1503.61"/>
    <m/>
    <m/>
    <n v="6014.4"/>
    <m/>
    <n v="150.36000000000001"/>
    <m/>
    <m/>
    <m/>
    <m/>
    <m/>
    <m/>
    <n v="75.180000000000007"/>
    <m/>
    <m/>
    <m/>
    <m/>
    <m/>
    <m/>
    <n v="150.36000000000001"/>
    <m/>
    <m/>
    <m/>
    <m/>
    <m/>
    <m/>
    <m/>
    <n v="75.180000000000007"/>
    <m/>
    <n v="451.08"/>
  </r>
  <r>
    <n v="12"/>
    <x v="12"/>
    <x v="0"/>
    <n v="183594"/>
    <s v="MARTINEZ SABRINA EUGENIA"/>
    <s v="27-36942123-4"/>
    <n v="42744"/>
    <n v="36942123"/>
    <s v="MARTINEZ"/>
    <s v="SABRINA EUGENIA"/>
    <s v="F"/>
    <m/>
    <d v="2016-11-24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MARTIN CORONADO"/>
    <n v="240"/>
    <m/>
    <m/>
    <s v="TIGRE"/>
    <s v="Buenos Aires"/>
    <m/>
    <s v="U.O.San Isidro"/>
    <m/>
    <n v="2"/>
    <n v="1"/>
    <n v="5699.06"/>
    <n v="1139.82"/>
    <m/>
    <m/>
    <n v="4559.24"/>
    <m/>
    <n v="113.98"/>
    <m/>
    <m/>
    <m/>
    <m/>
    <m/>
    <m/>
    <n v="56.99"/>
    <m/>
    <m/>
    <m/>
    <m/>
    <m/>
    <m/>
    <n v="113.98"/>
    <m/>
    <m/>
    <m/>
    <m/>
    <m/>
    <m/>
    <m/>
    <n v="56.99"/>
    <m/>
    <n v="341.94"/>
  </r>
  <r>
    <n v="12"/>
    <x v="12"/>
    <x v="0"/>
    <n v="181006"/>
    <s v="MASTELLONE MARIANA CECILIA"/>
    <s v="27-27861940-6"/>
    <n v="42744"/>
    <n v="27861940"/>
    <s v="MASTELLONE"/>
    <s v="MARIANA CECILIA"/>
    <s v="F"/>
    <m/>
    <d v="2016-10-20T00:00:00"/>
    <m/>
    <m/>
    <s v="GASTRONOMICOS-Hoteles 4 y 5 Estrellas - 362/2003"/>
    <s v="Categoria 6"/>
    <x v="9"/>
    <s v="Unidad Principal"/>
    <s v="Centro"/>
    <s v="Camarero/a"/>
    <n v="126205"/>
    <s v="O.S.Emp.Comercio y Act.Civiles"/>
    <s v="Capital Federal"/>
    <m/>
    <n v="1049"/>
    <s v="JUAN DE ZAMORA"/>
    <n v="535"/>
    <s v="PB"/>
    <m/>
    <s v="CAPITAL FEDERAL"/>
    <s v="Capital Federal"/>
    <m/>
    <s v="U.O.Centro"/>
    <m/>
    <n v="1"/>
    <n v="1"/>
    <n v="47.73"/>
    <n v="9.5399999999999991"/>
    <m/>
    <m/>
    <n v="38.19"/>
    <m/>
    <n v="0.95"/>
    <m/>
    <m/>
    <m/>
    <m/>
    <m/>
    <m/>
    <n v="0.48"/>
    <m/>
    <m/>
    <m/>
    <m/>
    <m/>
    <m/>
    <n v="0.95"/>
    <m/>
    <m/>
    <m/>
    <m/>
    <m/>
    <m/>
    <m/>
    <n v="0.48"/>
    <m/>
    <n v="2.86"/>
  </r>
  <r>
    <n v="12"/>
    <x v="12"/>
    <x v="0"/>
    <n v="183592"/>
    <s v="MATTERA IGNACIO NICOLAS"/>
    <s v="20-37941156-9"/>
    <n v="42744"/>
    <n v="37941156"/>
    <s v="MATTERA"/>
    <s v="IGNACIO NICOLAS"/>
    <s v="M"/>
    <m/>
    <d v="2016-11-24T00:00:00"/>
    <d v="2016-12-16T00:00:00"/>
    <m/>
    <s v="GASTRONOMICOS-Hoteles 4 y 5 Estrellas - 362/2003"/>
    <s v="Auxiliar De Steward"/>
    <x v="17"/>
    <s v="Unidad Base-GL"/>
    <s v="San Isidro"/>
    <s v="Categoría 2"/>
    <n v="108803"/>
    <s v="O.S.P.Gastronomico"/>
    <s v="Buenos Aires - Gran Buenos Aires"/>
    <m/>
    <n v="1648"/>
    <s v="LUIS RESSIO"/>
    <n v="240"/>
    <m/>
    <m/>
    <s v="TIGRE"/>
    <s v="Buenos Aires"/>
    <m/>
    <s v="U.O.San Isidro"/>
    <m/>
    <n v="1"/>
    <n v="1"/>
    <n v="2614.77"/>
    <n v="522.95000000000005"/>
    <m/>
    <m/>
    <n v="2091.8200000000002"/>
    <m/>
    <n v="52.3"/>
    <m/>
    <m/>
    <m/>
    <m/>
    <m/>
    <m/>
    <n v="26.15"/>
    <m/>
    <m/>
    <m/>
    <m/>
    <m/>
    <m/>
    <n v="52.3"/>
    <m/>
    <m/>
    <m/>
    <m/>
    <m/>
    <m/>
    <m/>
    <n v="26.15"/>
    <m/>
    <n v="156.9"/>
  </r>
  <r>
    <n v="12"/>
    <x v="12"/>
    <x v="0"/>
    <n v="161583"/>
    <s v="MEDINA EMILSE RAQUEL"/>
    <s v="27-36216142-3"/>
    <n v="42744"/>
    <n v="36216142"/>
    <s v="MEDINA"/>
    <s v="EMILSE RAQUEL"/>
    <s v="F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ELO T DE ALVEAR"/>
    <n v="1225"/>
    <m/>
    <m/>
    <s v="CAPITAL FEDERAL"/>
    <s v="Buenos Aires"/>
    <m/>
    <s v="U.O.Quilmes"/>
    <m/>
    <n v="2"/>
    <n v="1"/>
    <n v="2313.75"/>
    <n v="462.74"/>
    <m/>
    <m/>
    <n v="1851.01"/>
    <m/>
    <n v="46.27"/>
    <m/>
    <m/>
    <m/>
    <m/>
    <m/>
    <m/>
    <n v="23.14"/>
    <m/>
    <m/>
    <m/>
    <m/>
    <m/>
    <m/>
    <n v="46.27"/>
    <m/>
    <m/>
    <m/>
    <m/>
    <m/>
    <m/>
    <m/>
    <n v="23.14"/>
    <m/>
    <n v="138.82"/>
  </r>
  <r>
    <n v="12"/>
    <x v="12"/>
    <x v="0"/>
    <n v="184824"/>
    <s v="MEDINA YESICA MARIA DE LOS MILAGROS"/>
    <s v="27-31263045-7"/>
    <n v="42725"/>
    <n v="31263045"/>
    <s v="MEDINA"/>
    <s v="YESICA MARIA DE LOS MILAGROS"/>
    <s v="F"/>
    <m/>
    <d v="2016-12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GRAL PEDERNERA"/>
    <n v="1225"/>
    <m/>
    <m/>
    <s v="CAPITAL FEDERAL"/>
    <s v="Buenos Aires"/>
    <m/>
    <s v="U.O.Centro"/>
    <m/>
    <n v="1"/>
    <n v="1"/>
    <n v="708.27"/>
    <n v="141.66"/>
    <m/>
    <m/>
    <n v="566.61"/>
    <m/>
    <n v="14.17"/>
    <m/>
    <m/>
    <m/>
    <m/>
    <m/>
    <m/>
    <n v="7.08"/>
    <m/>
    <m/>
    <m/>
    <m/>
    <m/>
    <m/>
    <n v="14.17"/>
    <m/>
    <m/>
    <m/>
    <m/>
    <m/>
    <m/>
    <m/>
    <n v="7.08"/>
    <m/>
    <n v="42.5"/>
  </r>
  <r>
    <n v="12"/>
    <x v="12"/>
    <x v="0"/>
    <n v="178957"/>
    <s v="MENDEZ MARTINEZ JOEL JOSE"/>
    <s v="20-95563588-5"/>
    <n v="42744"/>
    <n v="95563588"/>
    <s v="MENDEZ MARTINEZ"/>
    <s v="JOEL JOSE"/>
    <s v="M"/>
    <m/>
    <d v="2016-09-1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PARANA"/>
    <n v="1225"/>
    <n v="1"/>
    <n v="1"/>
    <s v="CAPITAL FEDERAL"/>
    <s v="Buenos Aires"/>
    <m/>
    <s v="U.O.Centro"/>
    <m/>
    <n v="4"/>
    <n v="1"/>
    <n v="16663.740000000002"/>
    <n v="3332.75"/>
    <m/>
    <m/>
    <n v="13330.99"/>
    <m/>
    <n v="333.28"/>
    <m/>
    <m/>
    <m/>
    <m/>
    <m/>
    <m/>
    <n v="166.64"/>
    <m/>
    <m/>
    <m/>
    <m/>
    <m/>
    <m/>
    <n v="333.28"/>
    <n v="4.84"/>
    <m/>
    <m/>
    <m/>
    <m/>
    <m/>
    <m/>
    <n v="161.80000000000001"/>
    <m/>
    <n v="999.84"/>
  </r>
  <r>
    <n v="12"/>
    <x v="12"/>
    <x v="1"/>
    <n v="172224"/>
    <s v="MEZA MAXIMILIANO OMAR"/>
    <s v="20-37205496-5"/>
    <n v="42737"/>
    <n v="37205496"/>
    <s v="MEZA"/>
    <s v="MAXIMILIANO OMAR"/>
    <s v="M"/>
    <m/>
    <d v="2016-03-27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MALVINAS ARGENTINAS"/>
    <n v="764"/>
    <m/>
    <m/>
    <s v="CAPITAL FEDERAL"/>
    <s v="Capital Federal"/>
    <m/>
    <s v="U.O.Centro Paga Inplant"/>
    <m/>
    <n v="1"/>
    <n v="1"/>
    <n v="1488.28"/>
    <n v="297.66000000000003"/>
    <m/>
    <m/>
    <n v="1190.6199999999999"/>
    <m/>
    <n v="29.77"/>
    <m/>
    <m/>
    <m/>
    <m/>
    <m/>
    <m/>
    <n v="14.88"/>
    <m/>
    <m/>
    <m/>
    <m/>
    <m/>
    <m/>
    <n v="29.77"/>
    <m/>
    <m/>
    <m/>
    <m/>
    <m/>
    <m/>
    <m/>
    <n v="14.88"/>
    <m/>
    <n v="89.3"/>
  </r>
  <r>
    <n v="12"/>
    <x v="12"/>
    <x v="0"/>
    <n v="163371"/>
    <s v="MEZA PIZARRO CHRISTIAN MERVEN"/>
    <s v="20-92327011-7"/>
    <n v="42744"/>
    <n v="92327011"/>
    <s v="MEZA PIZARRO"/>
    <s v="CHRISTIAN MERVEN"/>
    <s v="M"/>
    <m/>
    <d v="2015-11-20T00:00:00"/>
    <m/>
    <m/>
    <s v="GASTRONOMICOS-Hoteles 4 y 5 Estrellas - 362/2003"/>
    <s v="Categoria 2"/>
    <x v="5"/>
    <s v="Bacheros - GL"/>
    <s v="Centro"/>
    <s v="Bachero"/>
    <n v="108803"/>
    <s v="O.S.P.Gastronomico"/>
    <s v="Buenos Aires - Lanús"/>
    <m/>
    <s v="C1104AKC"/>
    <s v="MANUEL OCAMPO"/>
    <n v="1225"/>
    <m/>
    <m/>
    <s v="CAPITAL FEDERAL"/>
    <s v="Buenos Aires"/>
    <m/>
    <s v="U.O.Centro"/>
    <m/>
    <n v="2"/>
    <n v="1"/>
    <n v="18721.41"/>
    <n v="3744.27"/>
    <m/>
    <m/>
    <n v="14977.14"/>
    <m/>
    <n v="374.43"/>
    <m/>
    <m/>
    <m/>
    <m/>
    <m/>
    <m/>
    <n v="187.21"/>
    <m/>
    <m/>
    <m/>
    <m/>
    <m/>
    <m/>
    <n v="374.43"/>
    <m/>
    <m/>
    <m/>
    <m/>
    <m/>
    <m/>
    <m/>
    <n v="187.21"/>
    <m/>
    <n v="1123.28"/>
  </r>
  <r>
    <n v="12"/>
    <x v="12"/>
    <x v="1"/>
    <n v="181862"/>
    <s v="MILESSI PATRICIO NAHUEL"/>
    <s v="20-39580994-7"/>
    <n v="42744"/>
    <n v="39580994"/>
    <s v="MILESSI"/>
    <s v="PATRICIO NAHUEL"/>
    <s v="M"/>
    <m/>
    <d v="2016-10-26T00:00:00"/>
    <m/>
    <m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GENERAL ALVEAR"/>
    <n v="507"/>
    <m/>
    <m/>
    <s v="CAPITAL FEDERAL"/>
    <s v="Capital Federal"/>
    <m/>
    <s v="U.O.Centro"/>
    <m/>
    <n v="2"/>
    <n v="1"/>
    <n v="3686.68"/>
    <n v="737.34"/>
    <m/>
    <m/>
    <n v="2949.34"/>
    <m/>
    <n v="73.73"/>
    <m/>
    <m/>
    <m/>
    <m/>
    <m/>
    <m/>
    <n v="36.869999999999997"/>
    <m/>
    <m/>
    <m/>
    <m/>
    <m/>
    <m/>
    <n v="73.73"/>
    <m/>
    <m/>
    <m/>
    <m/>
    <m/>
    <m/>
    <m/>
    <n v="36.869999999999997"/>
    <m/>
    <n v="221.2"/>
  </r>
  <r>
    <n v="12"/>
    <x v="12"/>
    <x v="0"/>
    <n v="179166"/>
    <s v="MIRANDA JONATAN HERNAN"/>
    <s v="20-34854740-3"/>
    <n v="42744"/>
    <n v="34854740"/>
    <s v="MIRANDA"/>
    <s v="JONATAN HERNAN"/>
    <s v="M"/>
    <m/>
    <d v="2016-11-22T00:00:00"/>
    <d v="2017-01-03T00:00:00"/>
    <m/>
    <s v="GASTRONOMICOS-Hoteles 4 y 5 Estrellas - 362/2003"/>
    <s v="Categoria 6"/>
    <x v="5"/>
    <s v="Mozos / camareros - GL"/>
    <s v="Centro"/>
    <s v="Camarero/a"/>
    <n v="126908"/>
    <s v="OS DE LOS MEDICOS DE LA CIUDAD DE BUENOS AIRES"/>
    <s v="Capital Federal"/>
    <m/>
    <s v="C1104AKC"/>
    <s v="JOSE JUAN BIEDMA"/>
    <n v="1225"/>
    <m/>
    <m/>
    <s v="CAPITAL FEDERAL"/>
    <s v="Buenos Aires"/>
    <m/>
    <s v="U.O.Centro"/>
    <m/>
    <n v="2"/>
    <n v="1"/>
    <n v="2290.84"/>
    <n v="458.19"/>
    <m/>
    <m/>
    <n v="1832.65"/>
    <m/>
    <n v="45.82"/>
    <m/>
    <m/>
    <m/>
    <m/>
    <m/>
    <m/>
    <n v="22.91"/>
    <m/>
    <m/>
    <m/>
    <m/>
    <m/>
    <m/>
    <n v="45.82"/>
    <m/>
    <m/>
    <m/>
    <m/>
    <m/>
    <m/>
    <m/>
    <n v="22.91"/>
    <m/>
    <n v="137.46"/>
  </r>
  <r>
    <n v="12"/>
    <x v="12"/>
    <x v="0"/>
    <n v="177489"/>
    <s v="MISITI ANGELES LUCIA"/>
    <s v="27-33554155-9"/>
    <n v="42725"/>
    <n v="33554155"/>
    <s v="MISITI"/>
    <s v="ANGELES LUCI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HOMERO"/>
    <n v="1005"/>
    <m/>
    <m/>
    <s v="CAPITAL FEDERAL"/>
    <s v="Capital Federal"/>
    <m/>
    <s v="U.O.Centro"/>
    <m/>
    <n v="1"/>
    <n v="1"/>
    <n v="18.309999999999999"/>
    <n v="3.66"/>
    <m/>
    <m/>
    <n v="14.65"/>
    <m/>
    <n v="0.37"/>
    <m/>
    <m/>
    <m/>
    <m/>
    <m/>
    <m/>
    <n v="0.18"/>
    <m/>
    <m/>
    <m/>
    <m/>
    <m/>
    <m/>
    <n v="0.37"/>
    <m/>
    <m/>
    <m/>
    <m/>
    <m/>
    <m/>
    <m/>
    <n v="0.18"/>
    <m/>
    <n v="1.1000000000000001"/>
  </r>
  <r>
    <n v="12"/>
    <x v="12"/>
    <x v="0"/>
    <n v="178893"/>
    <s v="MONROY TERESA BEATRIZ"/>
    <s v="27-31014501-2"/>
    <n v="42738"/>
    <n v="31014501"/>
    <s v="MONROY"/>
    <s v="TERESA BEATRIZ"/>
    <s v="F"/>
    <m/>
    <d v="2016-09-16T00:00:00"/>
    <m/>
    <m/>
    <s v="GASTRONOMICOS-Hoteles 4 y 5 Estrellas - 362/2003"/>
    <s v="Categoria 6"/>
    <x v="10"/>
    <s v="SOFITEL HOUSEKEEPING"/>
    <s v="Centro"/>
    <s v="Gobernanta"/>
    <n v="103105"/>
    <s v="O.S.P.Ind.del Calzado"/>
    <s v="Capital Federal"/>
    <m/>
    <s v="C1007AAA"/>
    <s v="ALBARIÑOS"/>
    <n v="841"/>
    <m/>
    <m/>
    <s v="CAPITAL FEDERAL"/>
    <s v="Buenos Aires"/>
    <m/>
    <s v="U.O.Centro"/>
    <m/>
    <n v="1"/>
    <n v="1"/>
    <n v="19300.95"/>
    <n v="3860.19"/>
    <m/>
    <m/>
    <n v="15440.76"/>
    <m/>
    <n v="386.02"/>
    <m/>
    <m/>
    <m/>
    <m/>
    <m/>
    <m/>
    <n v="193.01"/>
    <m/>
    <m/>
    <m/>
    <m/>
    <m/>
    <m/>
    <n v="386.02"/>
    <m/>
    <m/>
    <m/>
    <m/>
    <m/>
    <m/>
    <m/>
    <n v="193.01"/>
    <m/>
    <n v="1158.06"/>
  </r>
  <r>
    <n v="12"/>
    <x v="12"/>
    <x v="0"/>
    <n v="180748"/>
    <s v="MONTENEGRO MUÑOZ NADIA ROCIO"/>
    <s v="27-32741489-0"/>
    <n v="42744"/>
    <n v="32741489"/>
    <s v="MONTENEGRO MUÑOZ"/>
    <s v="NADIA ROCIO"/>
    <s v="F"/>
    <m/>
    <d v="2016-10-1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HERRERA"/>
    <n v="1225"/>
    <m/>
    <m/>
    <s v="CAPITAL FEDERAL"/>
    <s v="Buenos Aires"/>
    <m/>
    <s v="U.O.Centro"/>
    <m/>
    <n v="3"/>
    <n v="1"/>
    <n v="4463.84"/>
    <n v="892.77"/>
    <m/>
    <m/>
    <n v="3571.07"/>
    <m/>
    <n v="89.27"/>
    <m/>
    <m/>
    <m/>
    <m/>
    <m/>
    <m/>
    <n v="44.64"/>
    <m/>
    <m/>
    <m/>
    <m/>
    <m/>
    <m/>
    <n v="89.27"/>
    <m/>
    <m/>
    <m/>
    <m/>
    <m/>
    <m/>
    <m/>
    <n v="44.64"/>
    <m/>
    <n v="267.82"/>
  </r>
  <r>
    <n v="12"/>
    <x v="12"/>
    <x v="0"/>
    <n v="170446"/>
    <s v="MONTES LORENA ANDREA"/>
    <s v="27-30914440-1"/>
    <n v="42725"/>
    <n v="30914440"/>
    <s v="MONTES"/>
    <s v="LORENA ANDREA"/>
    <s v="F"/>
    <m/>
    <d v="2016-03-18T00:00:00"/>
    <d v="2016-12-06T00:00:00"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UAREZ"/>
    <n v="1225"/>
    <s v="PB"/>
    <m/>
    <s v="CAPITAL FEDERAL"/>
    <s v="Buenos Aires"/>
    <m/>
    <s v="U.O.Centro"/>
    <m/>
    <n v="1"/>
    <n v="1"/>
    <n v="1877.72"/>
    <n v="375.54"/>
    <m/>
    <m/>
    <n v="1502.18"/>
    <m/>
    <n v="37.549999999999997"/>
    <m/>
    <m/>
    <m/>
    <m/>
    <m/>
    <m/>
    <n v="18.78"/>
    <m/>
    <m/>
    <m/>
    <m/>
    <m/>
    <m/>
    <n v="37.549999999999997"/>
    <m/>
    <m/>
    <m/>
    <m/>
    <m/>
    <m/>
    <m/>
    <n v="18.78"/>
    <m/>
    <n v="112.66"/>
  </r>
  <r>
    <n v="12"/>
    <x v="12"/>
    <x v="0"/>
    <n v="182775"/>
    <s v="MORALES INGRID IVONNE"/>
    <s v="27-38678109-0"/>
    <n v="42725"/>
    <n v="38678109"/>
    <s v="MORALES"/>
    <s v="INGRID IVONNE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JOSE MARIA GUTIERREZ"/>
    <n v="240"/>
    <m/>
    <m/>
    <s v="TIGRE"/>
    <s v="Buenos Aires"/>
    <m/>
    <s v="U.O.San Isidro"/>
    <m/>
    <n v="1"/>
    <n v="1"/>
    <n v="161.85"/>
    <n v="32.380000000000003"/>
    <m/>
    <m/>
    <n v="129.47"/>
    <m/>
    <n v="3.24"/>
    <m/>
    <m/>
    <m/>
    <m/>
    <m/>
    <m/>
    <n v="1.62"/>
    <m/>
    <m/>
    <m/>
    <m/>
    <m/>
    <m/>
    <n v="3.24"/>
    <m/>
    <m/>
    <m/>
    <m/>
    <m/>
    <m/>
    <m/>
    <n v="1.62"/>
    <m/>
    <n v="9.7200000000000006"/>
  </r>
  <r>
    <n v="12"/>
    <x v="12"/>
    <x v="0"/>
    <n v="185189"/>
    <s v="MORALES SANDRA NOEMI"/>
    <s v="27-28034601-8"/>
    <n v="42744"/>
    <n v="28034601"/>
    <s v="MORALES"/>
    <s v="SANDRA NOEMI"/>
    <s v="F"/>
    <m/>
    <d v="2016-12-17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GRAN COLOMBIA"/>
    <n v="240"/>
    <m/>
    <m/>
    <s v="TIGRE"/>
    <s v="Buenos Aires"/>
    <m/>
    <m/>
    <m/>
    <n v="1"/>
    <n v="1"/>
    <n v="855.02"/>
    <n v="171"/>
    <m/>
    <m/>
    <n v="684.02"/>
    <m/>
    <n v="17.100000000000001"/>
    <m/>
    <m/>
    <m/>
    <m/>
    <m/>
    <m/>
    <n v="8.5500000000000007"/>
    <m/>
    <m/>
    <m/>
    <m/>
    <m/>
    <m/>
    <n v="17.100000000000001"/>
    <m/>
    <m/>
    <m/>
    <m/>
    <m/>
    <m/>
    <m/>
    <n v="8.5500000000000007"/>
    <m/>
    <n v="51.3"/>
  </r>
  <r>
    <n v="12"/>
    <x v="12"/>
    <x v="0"/>
    <n v="182733"/>
    <s v="MORENO ADRIANA LIDIA"/>
    <s v="27-28880426-0"/>
    <n v="42725"/>
    <n v="28880426"/>
    <s v="MORENO"/>
    <s v="ADRIANA LIDIA"/>
    <s v="F"/>
    <m/>
    <d v="2016-11-10T00:00:00"/>
    <m/>
    <n v="42717"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GUARANI"/>
    <n v="240"/>
    <m/>
    <m/>
    <s v="TIGRE"/>
    <s v="Buenos Aires"/>
    <m/>
    <s v="U.O.San Isidro"/>
    <m/>
    <n v="1"/>
    <n v="1"/>
    <n v="161.85"/>
    <n v="32.380000000000003"/>
    <m/>
    <m/>
    <n v="129.47"/>
    <m/>
    <n v="3.24"/>
    <m/>
    <m/>
    <m/>
    <m/>
    <m/>
    <m/>
    <n v="1.62"/>
    <m/>
    <m/>
    <m/>
    <m/>
    <m/>
    <m/>
    <n v="3.24"/>
    <m/>
    <m/>
    <m/>
    <m/>
    <m/>
    <m/>
    <m/>
    <n v="1.62"/>
    <m/>
    <n v="9.7200000000000006"/>
  </r>
  <r>
    <n v="12"/>
    <x v="12"/>
    <x v="0"/>
    <n v="170990"/>
    <s v="MORENO ALAN AGUSTIN"/>
    <s v="20-38998864-3"/>
    <n v="42744"/>
    <n v="38998864"/>
    <s v="MORENO"/>
    <s v="ALAN AGUSTIN"/>
    <s v="M"/>
    <m/>
    <d v="2016-11-20T00:00:00"/>
    <m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s v="C1070AAE"/>
    <s v="SOLIS"/>
    <n v="265"/>
    <m/>
    <m/>
    <s v="CAPITAL FEDERAL"/>
    <s v="Capital Federal"/>
    <m/>
    <s v="U.O.Centro"/>
    <m/>
    <n v="1"/>
    <n v="1"/>
    <n v="2008.96"/>
    <n v="401.8"/>
    <m/>
    <m/>
    <n v="1607.16"/>
    <m/>
    <n v="40.18"/>
    <m/>
    <m/>
    <m/>
    <m/>
    <m/>
    <m/>
    <n v="20.09"/>
    <m/>
    <m/>
    <m/>
    <m/>
    <m/>
    <m/>
    <n v="40.18"/>
    <m/>
    <m/>
    <m/>
    <m/>
    <m/>
    <m/>
    <m/>
    <n v="20.09"/>
    <m/>
    <n v="120.54"/>
  </r>
  <r>
    <n v="12"/>
    <x v="12"/>
    <x v="0"/>
    <n v="171266"/>
    <s v="MUJICA CLAUDIO"/>
    <s v="23-35353560-9"/>
    <n v="42744"/>
    <n v="35353560"/>
    <s v="MUJICA"/>
    <s v="CLAUDIO"/>
    <s v="M"/>
    <m/>
    <d v="2016-04-05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MONTEVERDE"/>
    <n v="1225"/>
    <m/>
    <m/>
    <s v="CAPITAL FEDERAL"/>
    <s v="Buenos Aires"/>
    <m/>
    <s v="U.O.Centro"/>
    <m/>
    <n v="2"/>
    <n v="1"/>
    <n v="12100.81"/>
    <n v="2420.1799999999998"/>
    <m/>
    <m/>
    <n v="9680.6299999999992"/>
    <m/>
    <n v="242.02"/>
    <m/>
    <m/>
    <m/>
    <m/>
    <m/>
    <m/>
    <n v="121.01"/>
    <m/>
    <m/>
    <m/>
    <m/>
    <m/>
    <m/>
    <n v="242.02"/>
    <m/>
    <m/>
    <m/>
    <m/>
    <m/>
    <m/>
    <m/>
    <n v="121.01"/>
    <m/>
    <n v="726.06"/>
  </r>
  <r>
    <n v="12"/>
    <x v="12"/>
    <x v="0"/>
    <n v="169906"/>
    <s v="MULLER MADAI INES"/>
    <s v="27-33246587-8"/>
    <n v="42744"/>
    <n v="33246587"/>
    <s v="MULLER"/>
    <s v="MADAI INES"/>
    <s v="F"/>
    <m/>
    <d v="2016-09-0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ORIBE"/>
    <n v="1225"/>
    <m/>
    <m/>
    <s v="CAPITAL FEDERAL"/>
    <s v="Buenos Aires"/>
    <m/>
    <s v="U.O.Centro"/>
    <m/>
    <n v="4"/>
    <n v="1"/>
    <n v="5249.28"/>
    <n v="1049.8499999999999"/>
    <m/>
    <m/>
    <n v="4199.43"/>
    <m/>
    <n v="104.98"/>
    <m/>
    <m/>
    <m/>
    <m/>
    <m/>
    <m/>
    <n v="52.49"/>
    <m/>
    <m/>
    <m/>
    <m/>
    <m/>
    <m/>
    <n v="104.98"/>
    <m/>
    <m/>
    <m/>
    <m/>
    <m/>
    <m/>
    <m/>
    <n v="52.49"/>
    <m/>
    <n v="314.94"/>
  </r>
  <r>
    <n v="12"/>
    <x v="12"/>
    <x v="1"/>
    <n v="152586"/>
    <s v="MUSTAFA SILVIO ROBERTO"/>
    <s v="23-31539279-9"/>
    <n v="42744"/>
    <n v="31539279"/>
    <s v="MUSTAFA"/>
    <s v="SILVIO ROBERTO"/>
    <s v="M"/>
    <m/>
    <d v="2015-06-12T00:00:00"/>
    <m/>
    <m/>
    <s v="GASTRONOMICOS-Hoteles 4 y 5 Estrellas - 362/2003"/>
    <s v="Categoría 4"/>
    <x v="11"/>
    <s v="Unidad Principal"/>
    <s v="Centro"/>
    <s v="Tareas Generales"/>
    <n v="108803"/>
    <s v="O.S.P.Gastronomico"/>
    <s v="Capital Federal"/>
    <m/>
    <s v="C1009ABK"/>
    <s v="ANCASTE"/>
    <n v="507"/>
    <m/>
    <m/>
    <s v="CAPITAL FEDERAL"/>
    <s v="Capital Federal"/>
    <m/>
    <s v="U.O.Centro Paga Inplant"/>
    <m/>
    <n v="2"/>
    <n v="1"/>
    <n v="12704.16"/>
    <n v="2954.94"/>
    <m/>
    <m/>
    <n v="9749.2199999999993"/>
    <n v="317.60000000000002"/>
    <m/>
    <m/>
    <m/>
    <m/>
    <m/>
    <m/>
    <m/>
    <n v="127.05"/>
    <m/>
    <m/>
    <m/>
    <m/>
    <m/>
    <m/>
    <n v="254.08"/>
    <m/>
    <m/>
    <m/>
    <m/>
    <m/>
    <m/>
    <m/>
    <n v="127.05"/>
    <m/>
    <n v="825.78"/>
  </r>
  <r>
    <n v="12"/>
    <x v="12"/>
    <x v="0"/>
    <n v="182741"/>
    <s v="NAVARRO ELISEO EMMANUEL"/>
    <s v="20-38433618-4"/>
    <n v="42744"/>
    <n v="38433618"/>
    <s v="NAVARRO"/>
    <s v="ELISEO EMMANUEL"/>
    <s v="M"/>
    <m/>
    <d v="2016-11-10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CALLAO"/>
    <n v="240"/>
    <m/>
    <m/>
    <s v="TIGRE"/>
    <s v="Buenos Aires"/>
    <m/>
    <s v="U.O.San Isidro"/>
    <m/>
    <n v="2"/>
    <n v="1"/>
    <n v="16377.6"/>
    <n v="3275.52"/>
    <m/>
    <m/>
    <n v="13102.08"/>
    <m/>
    <n v="327.55"/>
    <m/>
    <m/>
    <m/>
    <m/>
    <m/>
    <m/>
    <n v="163.78"/>
    <m/>
    <m/>
    <m/>
    <m/>
    <m/>
    <m/>
    <n v="327.55"/>
    <m/>
    <m/>
    <m/>
    <m/>
    <m/>
    <m/>
    <m/>
    <n v="163.78"/>
    <m/>
    <n v="982.66"/>
  </r>
  <r>
    <n v="12"/>
    <x v="12"/>
    <x v="0"/>
    <n v="183926"/>
    <s v="NIETO MONICA GRACIELA"/>
    <s v="23-22687517-4"/>
    <n v="42744"/>
    <n v="22687517"/>
    <s v="NIETO"/>
    <s v="MONICA GRACIELA"/>
    <s v="F"/>
    <m/>
    <d v="2016-11-17T00:00:00"/>
    <m/>
    <n v="42722"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BELAUSTEGUI"/>
    <n v="1225"/>
    <s v="PB"/>
    <n v="2"/>
    <s v="CAPITAL FEDERAL"/>
    <s v="Buenos Aires"/>
    <m/>
    <s v="U.O.Centro"/>
    <m/>
    <n v="2"/>
    <n v="1"/>
    <n v="2571.13"/>
    <n v="514.23"/>
    <m/>
    <m/>
    <n v="2056.9"/>
    <m/>
    <n v="51.43"/>
    <m/>
    <m/>
    <m/>
    <m/>
    <m/>
    <m/>
    <n v="25.71"/>
    <m/>
    <m/>
    <m/>
    <m/>
    <m/>
    <m/>
    <n v="51.43"/>
    <m/>
    <m/>
    <m/>
    <m/>
    <m/>
    <m/>
    <m/>
    <n v="25.71"/>
    <m/>
    <n v="154.28"/>
  </r>
  <r>
    <n v="12"/>
    <x v="12"/>
    <x v="0"/>
    <n v="173738"/>
    <s v="NIZ JAVIER ARMANDO"/>
    <s v="20-34711040-0"/>
    <n v="42744"/>
    <n v="34711040"/>
    <s v="NIZ"/>
    <s v="JAVIER ARMANDO"/>
    <s v="M"/>
    <m/>
    <d v="2016-06-10T00:00:00"/>
    <d v="2016-06-10T00:00:00"/>
    <d v="2016-09-08T00:00:00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IEDRABUENA"/>
    <n v="1584"/>
    <m/>
    <m/>
    <s v="CAPITAL FEDERAL"/>
    <s v="Capital Federal"/>
    <m/>
    <s v="U.O.Casa Central"/>
    <s v="Alvear Palace"/>
    <n v="1"/>
    <n v="1"/>
    <n v="2.5"/>
    <n v="0.52"/>
    <m/>
    <m/>
    <n v="1.98"/>
    <m/>
    <n v="0.05"/>
    <m/>
    <m/>
    <m/>
    <m/>
    <m/>
    <m/>
    <n v="0.03"/>
    <m/>
    <m/>
    <m/>
    <m/>
    <m/>
    <m/>
    <n v="0.05"/>
    <m/>
    <m/>
    <m/>
    <m/>
    <m/>
    <m/>
    <m/>
    <n v="0.03"/>
    <m/>
    <n v="0.16"/>
  </r>
  <r>
    <n v="12"/>
    <x v="12"/>
    <x v="1"/>
    <n v="167195"/>
    <s v="NOYA LUCAS MARIANO"/>
    <s v="20-27755444-6"/>
    <n v="42744"/>
    <n v="27755444"/>
    <s v="NOYA"/>
    <s v="LUCAS MARIANO"/>
    <s v="M"/>
    <m/>
    <d v="2016-12-01T00:00:00"/>
    <m/>
    <d v="2016-06-29T00:00:00"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Cerrito"/>
    <n v="535"/>
    <m/>
    <m/>
    <s v="CAPITAL FEDERAL"/>
    <s v="Capital Federal"/>
    <m/>
    <s v="U.O.Centro"/>
    <m/>
    <n v="1"/>
    <n v="1"/>
    <n v="4068.98"/>
    <n v="813.8"/>
    <m/>
    <m/>
    <n v="3255.18"/>
    <m/>
    <n v="81.38"/>
    <m/>
    <m/>
    <m/>
    <m/>
    <m/>
    <m/>
    <n v="40.69"/>
    <m/>
    <m/>
    <m/>
    <m/>
    <m/>
    <m/>
    <n v="81.38"/>
    <m/>
    <m/>
    <m/>
    <m/>
    <m/>
    <m/>
    <m/>
    <n v="40.69"/>
    <m/>
    <n v="244.14"/>
  </r>
  <r>
    <n v="12"/>
    <x v="12"/>
    <x v="1"/>
    <n v="185229"/>
    <s v="NUÑEZ MIGUEL DEMETRIO"/>
    <s v="20-34152177-8"/>
    <n v="42744"/>
    <n v="34152177"/>
    <s v="NUÑEZ"/>
    <s v="MIGUEL DEMETRIO"/>
    <s v="M"/>
    <m/>
    <d v="2016-12-21T00:00:00"/>
    <m/>
    <m/>
    <s v="GASTRONOMICOS-Hoteles 4 y 5 Estrellas - 362/2003"/>
    <s v="Categoria 5"/>
    <x v="9"/>
    <s v="Unidad Principal"/>
    <s v="Centro"/>
    <s v="Ayudante de Cocina"/>
    <n v="108803"/>
    <s v="O.S.P.Gastronomico"/>
    <s v="Capital Federal"/>
    <m/>
    <n v="1049"/>
    <s v="GARAY"/>
    <n v="535"/>
    <m/>
    <m/>
    <s v="CAPITAL FEDERAL"/>
    <s v="Capital Federal"/>
    <m/>
    <s v="U.O.Centro"/>
    <m/>
    <n v="1"/>
    <n v="1"/>
    <n v="8201.23"/>
    <n v="1640.25"/>
    <m/>
    <m/>
    <n v="6560.98"/>
    <m/>
    <n v="164.02"/>
    <m/>
    <m/>
    <m/>
    <m/>
    <m/>
    <m/>
    <n v="82.01"/>
    <m/>
    <m/>
    <m/>
    <m/>
    <m/>
    <m/>
    <n v="164.02"/>
    <m/>
    <m/>
    <m/>
    <m/>
    <m/>
    <m/>
    <m/>
    <n v="82.01"/>
    <m/>
    <n v="492.06"/>
  </r>
  <r>
    <n v="12"/>
    <x v="12"/>
    <x v="0"/>
    <n v="173661"/>
    <s v="OCANTO CHRISTIAN NAHUEL"/>
    <s v="20-36894544-8"/>
    <n v="42744"/>
    <n v="36894544"/>
    <s v="OCANTO"/>
    <s v="CHRISTIAN NAHUEL"/>
    <s v="M"/>
    <m/>
    <d v="2016-05-30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JULIAN AGUIRRE"/>
    <n v="1225"/>
    <m/>
    <m/>
    <s v="CAPITAL FEDERAL"/>
    <s v="Buenos Aires"/>
    <m/>
    <s v="U.O.Centro"/>
    <m/>
    <n v="2"/>
    <n v="1"/>
    <n v="4092.77"/>
    <n v="818.55"/>
    <m/>
    <m/>
    <n v="3274.22"/>
    <m/>
    <n v="81.86"/>
    <m/>
    <m/>
    <m/>
    <m/>
    <m/>
    <m/>
    <n v="40.93"/>
    <m/>
    <m/>
    <m/>
    <m/>
    <m/>
    <m/>
    <n v="81.86"/>
    <m/>
    <m/>
    <m/>
    <m/>
    <m/>
    <m/>
    <m/>
    <n v="40.93"/>
    <m/>
    <n v="245.58"/>
  </r>
  <r>
    <n v="12"/>
    <x v="12"/>
    <x v="0"/>
    <n v="162167"/>
    <s v="OCANTOS MARIA FERNANDA"/>
    <s v="20-26587101-2"/>
    <n v="42744"/>
    <n v="26587101"/>
    <s v="OCANTOS"/>
    <s v="MARIA FERNANDA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LVEAR"/>
    <n v="1225"/>
    <m/>
    <m/>
    <s v="CAPITAL FEDERAL"/>
    <s v="Buenos Aires"/>
    <m/>
    <s v="U.O.San Justo"/>
    <m/>
    <n v="2"/>
    <n v="1"/>
    <n v="10643.26"/>
    <n v="2128.66"/>
    <m/>
    <m/>
    <n v="8514.6"/>
    <m/>
    <n v="212.87"/>
    <m/>
    <m/>
    <m/>
    <m/>
    <m/>
    <m/>
    <n v="106.43"/>
    <m/>
    <m/>
    <m/>
    <m/>
    <m/>
    <m/>
    <n v="212.87"/>
    <m/>
    <m/>
    <m/>
    <m/>
    <m/>
    <m/>
    <m/>
    <n v="106.43"/>
    <m/>
    <n v="638.6"/>
  </r>
  <r>
    <n v="12"/>
    <x v="12"/>
    <x v="1"/>
    <n v="184957"/>
    <s v="OJEDA FERNANDO GASTON"/>
    <s v="20-34142812-3"/>
    <n v="42744"/>
    <n v="34142812"/>
    <s v="OJEDA"/>
    <s v="FERNANDO GASTON"/>
    <s v="M"/>
    <m/>
    <d v="2016-12-23T00:00:00"/>
    <d v="2016-12-27T00:00:00"/>
    <d v="2016-12-27T00:00:00"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NATAL"/>
    <n v="764"/>
    <m/>
    <m/>
    <s v="CAPITAL FEDERAL"/>
    <s v="Capital Federal"/>
    <m/>
    <s v="U.O.Centro"/>
    <m/>
    <n v="1"/>
    <n v="1"/>
    <n v="711.21"/>
    <n v="142.24"/>
    <m/>
    <m/>
    <n v="568.97"/>
    <m/>
    <n v="14.22"/>
    <m/>
    <m/>
    <m/>
    <m/>
    <m/>
    <m/>
    <n v="7.11"/>
    <m/>
    <m/>
    <m/>
    <m/>
    <m/>
    <m/>
    <n v="14.22"/>
    <m/>
    <m/>
    <m/>
    <m/>
    <m/>
    <m/>
    <m/>
    <n v="7.11"/>
    <m/>
    <n v="42.66"/>
  </r>
  <r>
    <n v="12"/>
    <x v="12"/>
    <x v="1"/>
    <n v="156371"/>
    <s v="OJEDA HECTOR ALBERTO"/>
    <s v="20-27373033-9"/>
    <n v="42744"/>
    <n v="27373033"/>
    <s v="OJEDA"/>
    <s v="HECTOR ALBERTO"/>
    <s v="M"/>
    <m/>
    <d v="2016-07-21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FINLANDIA"/>
    <n v="764"/>
    <m/>
    <m/>
    <s v="CAPITAL FEDERAL"/>
    <s v="Capital Federal"/>
    <m/>
    <s v="U.O.Centro"/>
    <m/>
    <n v="2"/>
    <n v="1"/>
    <n v="13898.79"/>
    <n v="2779.75"/>
    <m/>
    <m/>
    <n v="11119.04"/>
    <m/>
    <n v="277.97000000000003"/>
    <m/>
    <m/>
    <m/>
    <m/>
    <m/>
    <m/>
    <n v="138.99"/>
    <m/>
    <m/>
    <m/>
    <m/>
    <m/>
    <m/>
    <n v="277.97000000000003"/>
    <m/>
    <m/>
    <m/>
    <m/>
    <m/>
    <m/>
    <m/>
    <n v="138.99"/>
    <m/>
    <n v="833.92"/>
  </r>
  <r>
    <n v="12"/>
    <x v="12"/>
    <x v="0"/>
    <n v="171274"/>
    <s v="OJEDA LORENA SUSANA"/>
    <s v="27-34340810-8"/>
    <n v="42744"/>
    <n v="34340810"/>
    <s v="OJEDA"/>
    <s v="LORENA SUSANA"/>
    <s v="F"/>
    <m/>
    <d v="2016-04-01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SALTA"/>
    <n v="1225"/>
    <m/>
    <m/>
    <s v="CAPITAL FEDERAL"/>
    <s v="Buenos Aires"/>
    <m/>
    <s v="U.O.Centro"/>
    <m/>
    <n v="2"/>
    <n v="1"/>
    <n v="12889.68"/>
    <n v="2577.94"/>
    <m/>
    <m/>
    <n v="10311.74"/>
    <m/>
    <n v="257.8"/>
    <m/>
    <m/>
    <m/>
    <m/>
    <m/>
    <m/>
    <n v="128.88999999999999"/>
    <m/>
    <m/>
    <m/>
    <m/>
    <m/>
    <m/>
    <n v="257.8"/>
    <m/>
    <m/>
    <m/>
    <m/>
    <m/>
    <m/>
    <m/>
    <n v="128.88999999999999"/>
    <m/>
    <n v="773.38"/>
  </r>
  <r>
    <n v="12"/>
    <x v="12"/>
    <x v="0"/>
    <n v="156032"/>
    <s v="OJEDA NOEMI VALERIA"/>
    <s v="27-33485754-4"/>
    <n v="42744"/>
    <n v="33485754"/>
    <s v="OJEDA"/>
    <s v="NOEMI VALERIA"/>
    <s v="F"/>
    <m/>
    <d v="2016-10-20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CILICIA"/>
    <n v="181"/>
    <m/>
    <m/>
    <s v="CAPITAL FEDERAL"/>
    <s v="Capital Federal"/>
    <m/>
    <s v="U.O.Centro"/>
    <m/>
    <n v="1"/>
    <n v="1"/>
    <n v="1479.51"/>
    <n v="295.92"/>
    <m/>
    <m/>
    <n v="1183.5899999999999"/>
    <m/>
    <n v="29.59"/>
    <m/>
    <m/>
    <m/>
    <m/>
    <m/>
    <m/>
    <n v="14.8"/>
    <m/>
    <m/>
    <m/>
    <m/>
    <m/>
    <m/>
    <n v="29.59"/>
    <m/>
    <m/>
    <m/>
    <m/>
    <m/>
    <m/>
    <m/>
    <n v="14.8"/>
    <m/>
    <n v="88.78"/>
  </r>
  <r>
    <n v="12"/>
    <x v="12"/>
    <x v="0"/>
    <n v="182727"/>
    <s v="OLIVA JEREMIAS EZEQUIEL"/>
    <s v="20-38393106-2"/>
    <n v="42744"/>
    <n v="38393106"/>
    <s v="OLIVA"/>
    <s v="JEREMIAS EZEQUIEL"/>
    <s v="M"/>
    <m/>
    <d v="2016-11-09T00:00:00"/>
    <m/>
    <m/>
    <s v="GASTRONOMICOS-Hoteles 4 y 5 Estrellas - 362/2003"/>
    <s v="Auxiliar De Steward"/>
    <x v="17"/>
    <s v="Unidad Base-GL"/>
    <s v="San Isidro"/>
    <s v="Categoría 2"/>
    <n v="108803"/>
    <s v="O.S.P.Gastronomico"/>
    <s v="Buenos Aires - Gran Buenos Aires"/>
    <m/>
    <n v="1648"/>
    <s v="GODOY CRUZ"/>
    <n v="240"/>
    <m/>
    <m/>
    <s v="TIGRE"/>
    <s v="Buenos Aires"/>
    <m/>
    <s v="U.O.San Isidro"/>
    <m/>
    <n v="1"/>
    <n v="1"/>
    <n v="15499.6"/>
    <n v="3099.93"/>
    <m/>
    <m/>
    <n v="12399.67"/>
    <m/>
    <n v="309.99"/>
    <m/>
    <m/>
    <m/>
    <m/>
    <m/>
    <m/>
    <n v="155"/>
    <m/>
    <m/>
    <m/>
    <m/>
    <m/>
    <m/>
    <n v="309.99"/>
    <m/>
    <m/>
    <m/>
    <m/>
    <m/>
    <m/>
    <m/>
    <n v="155"/>
    <m/>
    <n v="929.98"/>
  </r>
  <r>
    <n v="12"/>
    <x v="12"/>
    <x v="0"/>
    <n v="138789"/>
    <s v="OLIVA LILIANA ALEJANDRA"/>
    <s v="27-25730976-8"/>
    <n v="42744"/>
    <n v="25730976"/>
    <s v="OLIVA"/>
    <s v="LILIANA ALEJANDRA"/>
    <s v="F"/>
    <m/>
    <d v="2014-12-01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SAAVEDRA"/>
    <n v="1232"/>
    <m/>
    <m/>
    <s v="CAPITAL FEDERAL"/>
    <s v="Buenos Aires"/>
    <m/>
    <s v="U.O.Centro"/>
    <s v="Ama de Llaves"/>
    <n v="1"/>
    <n v="1"/>
    <n v="14521.69"/>
    <n v="2904.34"/>
    <m/>
    <m/>
    <n v="11617.35"/>
    <m/>
    <n v="290.43"/>
    <m/>
    <m/>
    <m/>
    <m/>
    <m/>
    <m/>
    <n v="145.22"/>
    <m/>
    <m/>
    <m/>
    <m/>
    <m/>
    <m/>
    <n v="290.43"/>
    <m/>
    <m/>
    <m/>
    <m/>
    <m/>
    <m/>
    <m/>
    <n v="145.22"/>
    <m/>
    <n v="871.3"/>
  </r>
  <r>
    <n v="12"/>
    <x v="12"/>
    <x v="1"/>
    <n v="182288"/>
    <s v="OLIVERA PATRICIA SOLEDAD"/>
    <s v="27-39222363-6"/>
    <n v="42744"/>
    <n v="39222363"/>
    <s v="OLIVERA"/>
    <s v="PATRICIA SOLEDAD"/>
    <s v="F"/>
    <m/>
    <d v="2016-11-03T00:00:00"/>
    <d v="2016-12-29T00:00:00"/>
    <d v="2016-12-29T00:00:00"/>
    <s v="GASTRONOMICOS-Hoteles 4 y 5 Estrellas - 362/2003"/>
    <s v="Categoria 6"/>
    <x v="11"/>
    <s v="Unidad Principal"/>
    <s v="Centro"/>
    <s v="Tareas Generales"/>
    <n v="108803"/>
    <s v="O.S.P.Gastronomico"/>
    <s v="Capital Federal"/>
    <m/>
    <s v="C1009ABK"/>
    <s v="TUCUMAN"/>
    <n v="507"/>
    <m/>
    <m/>
    <s v="CAPITAL FEDERAL"/>
    <s v="Capital Federal"/>
    <m/>
    <s v="U.O.Centro"/>
    <m/>
    <n v="2"/>
    <n v="1"/>
    <n v="5794.74"/>
    <n v="1158.96"/>
    <m/>
    <m/>
    <n v="4635.78"/>
    <m/>
    <n v="115.89"/>
    <m/>
    <m/>
    <m/>
    <m/>
    <m/>
    <m/>
    <n v="57.95"/>
    <m/>
    <m/>
    <m/>
    <m/>
    <m/>
    <m/>
    <n v="115.89"/>
    <m/>
    <m/>
    <m/>
    <m/>
    <m/>
    <m/>
    <m/>
    <n v="57.95"/>
    <m/>
    <n v="347.68"/>
  </r>
  <r>
    <n v="12"/>
    <x v="12"/>
    <x v="0"/>
    <n v="135237"/>
    <s v="ORELLANO JUANA MARIA"/>
    <s v="27-27696157-3"/>
    <n v="42744"/>
    <n v="27696157"/>
    <s v="ORELLANO"/>
    <s v="JUANA MARIA"/>
    <s v="F"/>
    <m/>
    <d v="2014-10-10T00:00:00"/>
    <m/>
    <m/>
    <s v="GASTRONOMICOS-Hoteles 4 y 5 Estrellas - 362/2003"/>
    <s v="Categoría 4"/>
    <x v="6"/>
    <s v="Unidad Base-GL"/>
    <s v="Centro"/>
    <s v="Mucama"/>
    <n v="108803"/>
    <s v="O.S.P.Gastronomico"/>
    <s v="Capital Federal"/>
    <m/>
    <n v="1093"/>
    <s v="JOSE MARIA MORENO"/>
    <n v="1232"/>
    <m/>
    <m/>
    <s v="CAPITAL FEDERAL"/>
    <s v="Buenos Aires"/>
    <m/>
    <s v="U.O.Centro"/>
    <s v="Ama de Llaves"/>
    <n v="1"/>
    <n v="1"/>
    <n v="17084.36"/>
    <n v="3502.29"/>
    <m/>
    <m/>
    <n v="13582.07"/>
    <n v="427.11"/>
    <m/>
    <m/>
    <m/>
    <m/>
    <m/>
    <m/>
    <m/>
    <n v="170.84"/>
    <m/>
    <m/>
    <m/>
    <m/>
    <m/>
    <m/>
    <n v="341.69"/>
    <m/>
    <m/>
    <m/>
    <m/>
    <m/>
    <m/>
    <m/>
    <n v="170.84"/>
    <m/>
    <n v="1110.48"/>
  </r>
  <r>
    <n v="12"/>
    <x v="12"/>
    <x v="0"/>
    <n v="172199"/>
    <s v="ORTIZ ANDRES NICOLAS"/>
    <s v="20-32769991-2"/>
    <n v="42744"/>
    <n v="32769991"/>
    <s v="ORTIZ"/>
    <s v="ANDRES NICOLAS"/>
    <s v="M"/>
    <m/>
    <d v="2016-04-2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LAVEL"/>
    <n v="1225"/>
    <m/>
    <m/>
    <s v="CAPITAL FEDERAL"/>
    <s v="Buenos Aires"/>
    <m/>
    <s v="U.O.Centro"/>
    <m/>
    <n v="2"/>
    <n v="1"/>
    <n v="17868.599999999999"/>
    <n v="3573.73"/>
    <m/>
    <m/>
    <n v="14294.87"/>
    <m/>
    <n v="357.37"/>
    <m/>
    <m/>
    <m/>
    <m/>
    <m/>
    <m/>
    <n v="178.69"/>
    <m/>
    <m/>
    <m/>
    <m/>
    <m/>
    <m/>
    <n v="357.37"/>
    <m/>
    <m/>
    <m/>
    <m/>
    <m/>
    <m/>
    <m/>
    <n v="178.69"/>
    <m/>
    <n v="1072.1199999999999"/>
  </r>
  <r>
    <n v="12"/>
    <x v="12"/>
    <x v="1"/>
    <n v="182309"/>
    <s v="ORTIZ CARLA MELINA"/>
    <s v="27-32823218-4"/>
    <n v="42737"/>
    <n v="32823218"/>
    <s v="ORTIZ"/>
    <s v="CARLA MELINA"/>
    <s v="F"/>
    <m/>
    <d v="2016-11-04T00:00:00"/>
    <d v="2016-12-18T00:00:00"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LLE 123"/>
    <n v="764"/>
    <m/>
    <m/>
    <s v="CAPITAL FEDERAL"/>
    <s v="Capital Federal"/>
    <m/>
    <s v="U.O.Centro"/>
    <m/>
    <n v="1"/>
    <n v="1"/>
    <n v="11422.88"/>
    <n v="2284.59"/>
    <m/>
    <m/>
    <n v="9138.2900000000009"/>
    <m/>
    <n v="228.46"/>
    <m/>
    <m/>
    <m/>
    <m/>
    <m/>
    <m/>
    <n v="114.23"/>
    <m/>
    <m/>
    <m/>
    <m/>
    <m/>
    <m/>
    <n v="228.46"/>
    <m/>
    <m/>
    <m/>
    <m/>
    <m/>
    <m/>
    <m/>
    <n v="114.23"/>
    <m/>
    <n v="685.38"/>
  </r>
  <r>
    <n v="12"/>
    <x v="12"/>
    <x v="1"/>
    <n v="179319"/>
    <s v="PACHECO RODRIGUEZ MAX EZEQUIEL"/>
    <s v="20-94872815-0"/>
    <n v="42737"/>
    <n v="94872815"/>
    <s v="PACHECO RODRIGUEZ"/>
    <s v="MAX EZEQUIEL"/>
    <s v="F"/>
    <m/>
    <d v="2016-09-27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FRAGATA SARMIENTO"/>
    <n v="764"/>
    <n v="4"/>
    <s v="A"/>
    <s v="CAPITAL FEDERAL"/>
    <s v="Capital Federal"/>
    <m/>
    <s v="U.O.Centro"/>
    <m/>
    <n v="1"/>
    <n v="1"/>
    <n v="11741.84"/>
    <n v="2348.38"/>
    <m/>
    <m/>
    <n v="9393.4599999999991"/>
    <m/>
    <n v="234.84"/>
    <m/>
    <m/>
    <m/>
    <m/>
    <m/>
    <m/>
    <n v="117.42"/>
    <m/>
    <m/>
    <m/>
    <m/>
    <m/>
    <m/>
    <n v="234.84"/>
    <m/>
    <m/>
    <m/>
    <m/>
    <m/>
    <m/>
    <m/>
    <n v="117.42"/>
    <m/>
    <n v="704.52"/>
  </r>
  <r>
    <n v="12"/>
    <x v="12"/>
    <x v="1"/>
    <n v="184544"/>
    <s v="PALACIO EDUARDO"/>
    <s v="20-29170368-3"/>
    <n v="42737"/>
    <n v="29170368"/>
    <s v="PALACIO"/>
    <s v="EDUARDO"/>
    <s v="M"/>
    <m/>
    <d v="2016-12-09T00:00:00"/>
    <m/>
    <m/>
    <s v="GASTRONOMICOS-Hoteles 4 y 5 Estrellas - 362/2003"/>
    <s v="Categoría 4"/>
    <x v="3"/>
    <s v="Unidad Principal"/>
    <s v="Centro"/>
    <s v="Tareas Generales"/>
    <n v="124001"/>
    <s v="OS  DE BOXEADORES AGREMIADOS DE LA REPUBLICA ARGENTINA"/>
    <s v="Capital Federal"/>
    <m/>
    <s v="C1002ABO"/>
    <s v="CALLE 133"/>
    <n v="764"/>
    <m/>
    <m/>
    <s v="CAPITAL FEDERAL"/>
    <s v="Capital Federal"/>
    <m/>
    <s v="U.O.Centro"/>
    <m/>
    <n v="1"/>
    <n v="1"/>
    <n v="16412.34"/>
    <n v="3282.47"/>
    <m/>
    <m/>
    <n v="13129.87"/>
    <m/>
    <n v="328.25"/>
    <m/>
    <m/>
    <m/>
    <m/>
    <m/>
    <m/>
    <n v="164.12"/>
    <m/>
    <m/>
    <m/>
    <m/>
    <m/>
    <m/>
    <n v="328.25"/>
    <m/>
    <m/>
    <m/>
    <m/>
    <m/>
    <m/>
    <m/>
    <n v="164.12"/>
    <m/>
    <n v="984.74"/>
  </r>
  <r>
    <n v="12"/>
    <x v="12"/>
    <x v="0"/>
    <n v="183994"/>
    <s v="PALOMINO IVAN OSCAR"/>
    <s v="23-39095955-9"/>
    <n v="42744"/>
    <n v="39095955"/>
    <s v="PALOMINO"/>
    <s v="IVAN OSCAR"/>
    <s v="M"/>
    <m/>
    <d v="2016-11-19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CALLE 4"/>
    <n v="1225"/>
    <m/>
    <m/>
    <s v="CAPITAL FEDERAL"/>
    <s v="Buenos Aires"/>
    <m/>
    <s v="U.O.Centro"/>
    <m/>
    <n v="2"/>
    <n v="1"/>
    <n v="1560.3"/>
    <n v="312.04000000000002"/>
    <m/>
    <m/>
    <n v="1248.26"/>
    <m/>
    <n v="31.2"/>
    <m/>
    <m/>
    <m/>
    <m/>
    <m/>
    <m/>
    <n v="15.6"/>
    <m/>
    <m/>
    <m/>
    <m/>
    <m/>
    <m/>
    <n v="31.2"/>
    <m/>
    <m/>
    <m/>
    <m/>
    <m/>
    <m/>
    <m/>
    <n v="15.6"/>
    <m/>
    <n v="93.6"/>
  </r>
  <r>
    <n v="12"/>
    <x v="12"/>
    <x v="1"/>
    <n v="164251"/>
    <s v="PAREDES GAMARRA MAYELY"/>
    <s v="27-95085705-1"/>
    <n v="42744"/>
    <n v="95085705"/>
    <s v="PAREDES GAMARRA"/>
    <s v="MAYELY"/>
    <s v="F"/>
    <m/>
    <d v="2016-11-10T00:00:00"/>
    <m/>
    <m/>
    <s v="GASTRONOMICOS-Hoteles 4 y 5 Estrellas - 362/2003"/>
    <s v="Categoría 4"/>
    <x v="12"/>
    <s v="Unidad Principal"/>
    <s v="Centro"/>
    <s v="Mucama"/>
    <n v="108803"/>
    <s v="O.S.P.Gastronomico"/>
    <s v="Capital Federal"/>
    <m/>
    <n v="1440"/>
    <s v="SALCEDO"/>
    <n v="1584"/>
    <m/>
    <n v="1"/>
    <s v="CAPITAL FEDERAL"/>
    <s v="Capital Federal"/>
    <m/>
    <s v="U.O.Centro"/>
    <s v="Alvear Palace"/>
    <n v="6"/>
    <n v="1"/>
    <n v="5791.99"/>
    <n v="1158.4100000000001"/>
    <m/>
    <m/>
    <n v="4633.58"/>
    <m/>
    <n v="115.84"/>
    <m/>
    <m/>
    <m/>
    <m/>
    <m/>
    <m/>
    <n v="57.92"/>
    <m/>
    <m/>
    <m/>
    <m/>
    <m/>
    <m/>
    <n v="115.84"/>
    <n v="12.22"/>
    <m/>
    <m/>
    <m/>
    <m/>
    <m/>
    <m/>
    <n v="45.7"/>
    <m/>
    <n v="347.52"/>
  </r>
  <r>
    <n v="12"/>
    <x v="12"/>
    <x v="0"/>
    <n v="161159"/>
    <s v="PARISI GABRIEL DARIO"/>
    <s v="20-34384166-4"/>
    <n v="42744"/>
    <n v="34384166"/>
    <s v="PARISI"/>
    <s v="GABRIEL DARIO"/>
    <s v="M"/>
    <m/>
    <d v="2015-11-16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TABORDA"/>
    <n v="1225"/>
    <m/>
    <m/>
    <s v="CAPITAL FEDERAL"/>
    <s v="Buenos Aires"/>
    <m/>
    <s v="U.O.Centro"/>
    <m/>
    <n v="2"/>
    <n v="1"/>
    <n v="16208.36"/>
    <n v="3241.67"/>
    <m/>
    <m/>
    <n v="12966.69"/>
    <m/>
    <n v="324.17"/>
    <m/>
    <m/>
    <m/>
    <m/>
    <m/>
    <m/>
    <n v="162.08000000000001"/>
    <m/>
    <m/>
    <m/>
    <m/>
    <m/>
    <m/>
    <n v="324.17"/>
    <m/>
    <m/>
    <m/>
    <m/>
    <m/>
    <m/>
    <m/>
    <n v="162.08000000000001"/>
    <m/>
    <n v="972.5"/>
  </r>
  <r>
    <n v="12"/>
    <x v="12"/>
    <x v="0"/>
    <n v="178269"/>
    <s v="PAZ JORGE FABIAN"/>
    <s v="20-21775564-7"/>
    <n v="42744"/>
    <n v="21775564"/>
    <s v="PAZ"/>
    <s v="JORGE FABIAN"/>
    <s v="M"/>
    <m/>
    <d v="2016-09-12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J.L SUAREZ"/>
    <n v="1225"/>
    <n v="1"/>
    <s v="A"/>
    <s v="CAPITAL FEDERAL"/>
    <s v="Buenos Aires"/>
    <m/>
    <s v="U.O.Centro"/>
    <m/>
    <n v="2"/>
    <n v="1"/>
    <n v="11126.75"/>
    <n v="2225.34"/>
    <m/>
    <m/>
    <n v="8901.41"/>
    <m/>
    <n v="222.53"/>
    <m/>
    <m/>
    <m/>
    <m/>
    <m/>
    <m/>
    <n v="111.27"/>
    <m/>
    <m/>
    <m/>
    <m/>
    <m/>
    <m/>
    <n v="222.53"/>
    <m/>
    <m/>
    <m/>
    <m/>
    <m/>
    <m/>
    <m/>
    <n v="111.27"/>
    <m/>
    <n v="667.6"/>
  </r>
  <r>
    <n v="12"/>
    <x v="12"/>
    <x v="0"/>
    <n v="164321"/>
    <s v="PAZ WALTER RICARDO"/>
    <s v="20-28305441-2"/>
    <n v="42725"/>
    <n v="28305441"/>
    <s v="PAZ"/>
    <s v="WALTER RICARDO"/>
    <s v="M"/>
    <m/>
    <d v="2015-12-17T00:00:00"/>
    <m/>
    <m/>
    <s v="GASTRONOMICOS-Hoteles 4 y 5 Estrellas - 362/2003"/>
    <s v="Categoria 2"/>
    <x v="1"/>
    <s v="COCINA"/>
    <s v="Centro"/>
    <s v="Tareas Generales"/>
    <n v="108803"/>
    <s v="O.S.P.Gastronomico"/>
    <s v="Capital Federal"/>
    <m/>
    <n v="1005"/>
    <s v="POLONIA"/>
    <n v="1005"/>
    <m/>
    <m/>
    <s v="CAPITAL FEDERAL"/>
    <s v="Capital Federal"/>
    <m/>
    <s v="U.O.Centro"/>
    <m/>
    <n v="1"/>
    <n v="1"/>
    <n v="5978.56"/>
    <n v="1195.72"/>
    <m/>
    <m/>
    <n v="4782.84"/>
    <m/>
    <n v="119.57"/>
    <m/>
    <m/>
    <m/>
    <m/>
    <m/>
    <m/>
    <n v="59.79"/>
    <m/>
    <m/>
    <m/>
    <m/>
    <m/>
    <m/>
    <n v="119.57"/>
    <m/>
    <m/>
    <m/>
    <m/>
    <m/>
    <m/>
    <m/>
    <n v="59.79"/>
    <m/>
    <n v="358.72"/>
  </r>
  <r>
    <n v="12"/>
    <x v="12"/>
    <x v="0"/>
    <n v="173370"/>
    <s v="PEDICINO ROMACHUK YESICA NOEMI"/>
    <s v="27-30911440-5"/>
    <n v="42744"/>
    <n v="30911440"/>
    <s v="PEDICINO ROMACHUK"/>
    <s v="YESICA NOEMI"/>
    <s v="F"/>
    <m/>
    <d v="2016-05-22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1ºDE MAYO"/>
    <n v="1225"/>
    <m/>
    <m/>
    <s v="CAPITAL FEDERAL"/>
    <s v="Buenos Aires"/>
    <m/>
    <s v="U.O.Centro"/>
    <m/>
    <n v="2"/>
    <n v="1"/>
    <n v="12406.81"/>
    <n v="2481.37"/>
    <m/>
    <m/>
    <n v="9925.44"/>
    <m/>
    <n v="248.13"/>
    <m/>
    <m/>
    <m/>
    <m/>
    <m/>
    <m/>
    <n v="124.07"/>
    <m/>
    <m/>
    <m/>
    <m/>
    <m/>
    <m/>
    <n v="248.13"/>
    <m/>
    <m/>
    <m/>
    <m/>
    <m/>
    <m/>
    <m/>
    <n v="124.07"/>
    <m/>
    <n v="744.4"/>
  </r>
  <r>
    <n v="12"/>
    <x v="12"/>
    <x v="0"/>
    <n v="179835"/>
    <s v="PEÑA PETROLI NADIA BELEN"/>
    <s v="27-37124429-3"/>
    <n v="42744"/>
    <n v="37124429"/>
    <s v="PEÑA PETROLI"/>
    <s v="NADIA BELEN"/>
    <s v="F"/>
    <m/>
    <d v="2016-09-30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PABLO GIORELLO"/>
    <n v="1225"/>
    <m/>
    <m/>
    <s v="CAPITAL FEDERAL"/>
    <s v="Buenos Aires"/>
    <m/>
    <s v="U.O.Centro"/>
    <m/>
    <n v="2"/>
    <n v="1"/>
    <n v="5667.92"/>
    <n v="1133.57"/>
    <m/>
    <m/>
    <n v="4534.3500000000004"/>
    <m/>
    <n v="113.36"/>
    <m/>
    <m/>
    <m/>
    <m/>
    <m/>
    <m/>
    <n v="56.68"/>
    <m/>
    <m/>
    <m/>
    <m/>
    <m/>
    <m/>
    <n v="113.36"/>
    <m/>
    <m/>
    <m/>
    <m/>
    <m/>
    <m/>
    <m/>
    <n v="56.68"/>
    <m/>
    <n v="340.08"/>
  </r>
  <r>
    <n v="12"/>
    <x v="12"/>
    <x v="0"/>
    <n v="168239"/>
    <s v="PERALTA RICARDO FRANCISCO"/>
    <s v="20-35719331-2"/>
    <n v="42744"/>
    <n v="35719331"/>
    <s v="PERALTA"/>
    <s v="RICARDO FRANCISCO"/>
    <s v="M"/>
    <m/>
    <d v="2016-02-14T00:00:00"/>
    <m/>
    <m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BOUCHARD"/>
    <n v="1225"/>
    <m/>
    <m/>
    <s v="CAPITAL FEDERAL"/>
    <s v="Buenos Aires"/>
    <m/>
    <s v="U.O.Centro"/>
    <m/>
    <n v="2"/>
    <n v="1"/>
    <n v="13884.59"/>
    <n v="2776.93"/>
    <m/>
    <m/>
    <n v="11107.66"/>
    <m/>
    <n v="277.69"/>
    <m/>
    <m/>
    <m/>
    <m/>
    <m/>
    <m/>
    <n v="138.85"/>
    <m/>
    <m/>
    <m/>
    <m/>
    <m/>
    <m/>
    <n v="277.69"/>
    <m/>
    <m/>
    <m/>
    <m/>
    <m/>
    <m/>
    <m/>
    <n v="138.85"/>
    <m/>
    <n v="833.08"/>
  </r>
  <r>
    <n v="12"/>
    <x v="12"/>
    <x v="1"/>
    <n v="185606"/>
    <s v="PERALTA AGUERO JOSE IGNACIO"/>
    <s v="20-35106933-4"/>
    <n v="42737"/>
    <n v="35106933"/>
    <s v="PERALTA AGUERO"/>
    <s v="JOSE IGNACIO"/>
    <s v="M"/>
    <m/>
    <d v="2016-12-24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CIUDAD DE LA PAZ"/>
    <n v="764"/>
    <n v="2"/>
    <s v="B"/>
    <s v="CAPITAL FEDERAL"/>
    <s v="Capital Federal"/>
    <m/>
    <s v="U.O.Centro"/>
    <m/>
    <n v="1"/>
    <n v="1"/>
    <n v="417.31"/>
    <n v="83.46"/>
    <m/>
    <m/>
    <n v="333.85"/>
    <m/>
    <n v="8.35"/>
    <m/>
    <m/>
    <m/>
    <m/>
    <m/>
    <m/>
    <n v="4.17"/>
    <m/>
    <m/>
    <m/>
    <m/>
    <m/>
    <m/>
    <n v="8.35"/>
    <m/>
    <m/>
    <m/>
    <m/>
    <m/>
    <m/>
    <m/>
    <n v="4.17"/>
    <m/>
    <n v="25.04"/>
  </r>
  <r>
    <n v="12"/>
    <x v="12"/>
    <x v="1"/>
    <n v="65369"/>
    <s v="PEREZ RUBEN HORACIO"/>
    <s v="20-28042935-0"/>
    <n v="42744"/>
    <n v="28042935"/>
    <s v="PEREZ"/>
    <s v="RUBEN HORACIO"/>
    <s v="M"/>
    <m/>
    <d v="2014-10-01T00:00:00"/>
    <m/>
    <d v="2011-04-14T00:00:00"/>
    <s v="GASTRONOMICOS-Hoteles 4 y 5 Estrellas - 362/2003"/>
    <s v="Categoria 1"/>
    <x v="9"/>
    <s v="Unidad Principal"/>
    <s v="Centro"/>
    <s v="Tareas Generales"/>
    <n v="108803"/>
    <s v="O.S.P.Gastronomico"/>
    <s v="Capital Federal"/>
    <m/>
    <n v="1049"/>
    <s v="EL PICAFLOR"/>
    <n v="535"/>
    <m/>
    <m/>
    <s v="CAPITAL FEDERAL"/>
    <s v="Capital Federal"/>
    <m/>
    <s v="U.O.Centro Paga Inplant"/>
    <s v="PEONES"/>
    <n v="2"/>
    <n v="1"/>
    <n v="848.63"/>
    <n v="169.73"/>
    <m/>
    <m/>
    <n v="678.9"/>
    <m/>
    <n v="16.97"/>
    <m/>
    <m/>
    <m/>
    <m/>
    <m/>
    <m/>
    <n v="8.49"/>
    <m/>
    <m/>
    <m/>
    <m/>
    <m/>
    <m/>
    <n v="16.97"/>
    <m/>
    <m/>
    <m/>
    <m/>
    <m/>
    <m/>
    <m/>
    <n v="8.49"/>
    <m/>
    <n v="50.92"/>
  </r>
  <r>
    <n v="12"/>
    <x v="12"/>
    <x v="0"/>
    <n v="173560"/>
    <s v="PEREZ VILLANI LUCIA"/>
    <s v="27-34755207-6"/>
    <n v="42744"/>
    <n v="34755207"/>
    <s v="PEREZ VILLANI"/>
    <s v="LUCIA"/>
    <s v="F"/>
    <m/>
    <d v="2016-08-1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ITRE"/>
    <n v="1225"/>
    <n v="21"/>
    <m/>
    <s v="CAPITAL FEDERAL"/>
    <s v="Buenos Aires"/>
    <m/>
    <s v="U.O.Centro"/>
    <m/>
    <n v="2"/>
    <n v="1"/>
    <n v="4819.4799999999996"/>
    <n v="963.89"/>
    <m/>
    <m/>
    <n v="3855.59"/>
    <m/>
    <n v="96.39"/>
    <m/>
    <m/>
    <m/>
    <m/>
    <m/>
    <m/>
    <n v="48.2"/>
    <m/>
    <m/>
    <m/>
    <m/>
    <m/>
    <m/>
    <n v="96.39"/>
    <m/>
    <m/>
    <m/>
    <m/>
    <m/>
    <m/>
    <m/>
    <n v="48.2"/>
    <m/>
    <n v="289.18"/>
  </r>
  <r>
    <n v="12"/>
    <x v="12"/>
    <x v="0"/>
    <n v="161870"/>
    <s v="PETRONE VICENTE"/>
    <s v="20-27146024-5"/>
    <n v="42744"/>
    <n v="27146024"/>
    <s v="PETRONE"/>
    <s v="VICENTE"/>
    <s v="M"/>
    <m/>
    <d v="2015-11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MOL"/>
    <n v="1225"/>
    <m/>
    <m/>
    <s v="CAPITAL FEDERAL"/>
    <s v="Buenos Aires"/>
    <m/>
    <s v="U.O.Quilmes"/>
    <m/>
    <n v="2"/>
    <n v="1"/>
    <n v="16436.439999999999"/>
    <n v="3287.28"/>
    <m/>
    <m/>
    <n v="13149.16"/>
    <m/>
    <n v="328.73"/>
    <m/>
    <m/>
    <m/>
    <m/>
    <m/>
    <m/>
    <n v="164.36"/>
    <m/>
    <m/>
    <m/>
    <m/>
    <m/>
    <m/>
    <n v="328.73"/>
    <m/>
    <m/>
    <m/>
    <m/>
    <m/>
    <m/>
    <m/>
    <n v="164.36"/>
    <m/>
    <n v="986.18"/>
  </r>
  <r>
    <n v="12"/>
    <x v="12"/>
    <x v="0"/>
    <n v="173659"/>
    <s v="PIGNI EMANUEL"/>
    <s v="23-36874910-9"/>
    <n v="42744"/>
    <n v="36874910"/>
    <s v="PIGNI"/>
    <s v="EMANUEL"/>
    <s v="M"/>
    <m/>
    <d v="2016-08-09T00:00:00"/>
    <d v="2017-01-03T00:00:00"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MANZANA 2 EDIFICIO B 7"/>
    <n v="1225"/>
    <s v="PB"/>
    <s v="D"/>
    <s v="CAPITAL FEDERAL"/>
    <s v="Buenos Aires"/>
    <m/>
    <s v="U.O.Centro"/>
    <m/>
    <n v="2"/>
    <n v="1"/>
    <n v="5262.62"/>
    <n v="1052.52"/>
    <m/>
    <m/>
    <n v="4210.1000000000004"/>
    <m/>
    <n v="105.25"/>
    <m/>
    <m/>
    <m/>
    <m/>
    <m/>
    <m/>
    <n v="52.62"/>
    <m/>
    <m/>
    <m/>
    <m/>
    <m/>
    <m/>
    <n v="105.25"/>
    <m/>
    <m/>
    <m/>
    <m/>
    <m/>
    <m/>
    <m/>
    <n v="52.62"/>
    <m/>
    <n v="315.74"/>
  </r>
  <r>
    <n v="12"/>
    <x v="12"/>
    <x v="0"/>
    <n v="184809"/>
    <s v="PINEDA JESUS GABRIEL"/>
    <s v="23-39334775-9"/>
    <n v="42725"/>
    <n v="39334775"/>
    <s v="PINEDA"/>
    <s v="JESUS GABRIEL"/>
    <s v="M"/>
    <m/>
    <d v="2016-12-03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n v="31"/>
    <n v="1225"/>
    <m/>
    <m/>
    <s v="CAPITAL FEDERAL"/>
    <s v="Buenos Aires"/>
    <m/>
    <s v="U.O.Centro"/>
    <m/>
    <n v="1"/>
    <n v="1"/>
    <n v="668.99"/>
    <n v="133.80000000000001"/>
    <m/>
    <m/>
    <n v="535.19000000000005"/>
    <m/>
    <n v="13.38"/>
    <m/>
    <m/>
    <m/>
    <m/>
    <m/>
    <m/>
    <n v="6.69"/>
    <m/>
    <m/>
    <m/>
    <m/>
    <m/>
    <m/>
    <n v="13.38"/>
    <m/>
    <m/>
    <m/>
    <m/>
    <m/>
    <m/>
    <m/>
    <n v="6.69"/>
    <m/>
    <n v="40.14"/>
  </r>
  <r>
    <n v="12"/>
    <x v="12"/>
    <x v="1"/>
    <n v="62941"/>
    <s v="POGONZA ANDREA GISELLE"/>
    <s v="27-32522930-1"/>
    <n v="42744"/>
    <n v="32522930"/>
    <s v="POGONZA"/>
    <s v="ANDREA GISELLE"/>
    <s v="F"/>
    <m/>
    <d v="2013-08-24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s v="JOSE NEGLIA"/>
    <n v="535"/>
    <m/>
    <m/>
    <s v="CAPITAL FEDERAL"/>
    <s v="Capital Federal"/>
    <m/>
    <s v="U.O.Centro Paga Inplant"/>
    <s v="MOZOS"/>
    <n v="3"/>
    <n v="1"/>
    <n v="17800.04"/>
    <n v="3649.01"/>
    <m/>
    <m/>
    <n v="14151.03"/>
    <n v="445"/>
    <m/>
    <m/>
    <m/>
    <m/>
    <m/>
    <m/>
    <m/>
    <n v="178"/>
    <m/>
    <m/>
    <m/>
    <m/>
    <m/>
    <m/>
    <n v="356"/>
    <n v="0.02"/>
    <m/>
    <m/>
    <m/>
    <m/>
    <m/>
    <m/>
    <n v="177.98"/>
    <m/>
    <n v="1157"/>
  </r>
  <r>
    <n v="12"/>
    <x v="12"/>
    <x v="0"/>
    <n v="176386"/>
    <s v="PORTILLO MACIEL JUAN RAMON"/>
    <s v="20-36896140-0"/>
    <n v="42744"/>
    <n v="36896140"/>
    <s v="PORTILLO MACIEL"/>
    <s v="JUAN RAMON"/>
    <s v="M"/>
    <m/>
    <d v="2016-07-25T00:00:00"/>
    <d v="2017-01-03T00:00:00"/>
    <n v="42738"/>
    <s v="GASTRONOMICOS-Hoteles 4 y 5 Estrellas - 362/2003"/>
    <s v="Categoria 1"/>
    <x v="5"/>
    <s v="Áreas Públicas - GL"/>
    <s v="Centro"/>
    <s v="Áreas Públicas"/>
    <n v="108803"/>
    <s v="O.S.P.Gastronomico"/>
    <s v="Capital Federal"/>
    <m/>
    <s v="C1104AKC"/>
    <s v="QUINTINO BOCAYUVA"/>
    <n v="1225"/>
    <m/>
    <m/>
    <s v="CAPITAL FEDERAL"/>
    <s v="Buenos Aires"/>
    <m/>
    <s v="U.O.Centro"/>
    <m/>
    <n v="2"/>
    <n v="1"/>
    <n v="7789.03"/>
    <n v="1557.81"/>
    <m/>
    <m/>
    <n v="6231.22"/>
    <m/>
    <n v="155.78"/>
    <m/>
    <m/>
    <m/>
    <m/>
    <m/>
    <m/>
    <n v="77.89"/>
    <m/>
    <m/>
    <m/>
    <m/>
    <m/>
    <m/>
    <n v="155.78"/>
    <m/>
    <m/>
    <m/>
    <m/>
    <m/>
    <m/>
    <m/>
    <n v="77.89"/>
    <m/>
    <n v="467.34"/>
  </r>
  <r>
    <n v="12"/>
    <x v="12"/>
    <x v="0"/>
    <n v="172087"/>
    <s v="POSTERNAK ERIKA ELENA"/>
    <s v="27-38699581-3"/>
    <n v="42744"/>
    <n v="38699581"/>
    <s v="POSTERNAK"/>
    <s v="ERIKA ELENA"/>
    <s v="F"/>
    <m/>
    <d v="2016-04-21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INGENIERO HUERGO"/>
    <n v="1225"/>
    <m/>
    <m/>
    <s v="CAPITAL FEDERAL"/>
    <s v="Buenos Aires"/>
    <m/>
    <s v="U.O.Centro"/>
    <m/>
    <n v="2"/>
    <n v="1"/>
    <n v="13524.68"/>
    <n v="2704.94"/>
    <m/>
    <m/>
    <n v="10819.74"/>
    <m/>
    <n v="270.49"/>
    <m/>
    <m/>
    <m/>
    <m/>
    <m/>
    <m/>
    <n v="135.25"/>
    <m/>
    <m/>
    <m/>
    <m/>
    <m/>
    <m/>
    <n v="270.49"/>
    <m/>
    <m/>
    <m/>
    <m/>
    <m/>
    <m/>
    <m/>
    <n v="135.25"/>
    <m/>
    <n v="811.48"/>
  </r>
  <r>
    <n v="12"/>
    <x v="12"/>
    <x v="0"/>
    <n v="185015"/>
    <s v="PUPPO LUCILA AYELEM"/>
    <s v="27-39414772-4"/>
    <n v="42744"/>
    <n v="39414772"/>
    <s v="PUPPO"/>
    <s v="LUCILA AYELEM"/>
    <s v="F"/>
    <m/>
    <d v="2016-12-16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CALLAO"/>
    <n v="240"/>
    <m/>
    <m/>
    <s v="TIGRE"/>
    <s v="Buenos Aires"/>
    <m/>
    <m/>
    <m/>
    <n v="1"/>
    <n v="1"/>
    <n v="2866.8"/>
    <n v="573.36"/>
    <m/>
    <m/>
    <n v="2293.44"/>
    <m/>
    <n v="57.34"/>
    <m/>
    <m/>
    <m/>
    <m/>
    <m/>
    <m/>
    <n v="28.67"/>
    <m/>
    <m/>
    <m/>
    <m/>
    <m/>
    <m/>
    <n v="57.34"/>
    <m/>
    <m/>
    <m/>
    <m/>
    <m/>
    <m/>
    <m/>
    <n v="28.67"/>
    <m/>
    <n v="172.02"/>
  </r>
  <r>
    <n v="12"/>
    <x v="12"/>
    <x v="0"/>
    <n v="182743"/>
    <s v="QUIROGA GOMEZ ALVARO GERMAN"/>
    <s v="20-38590259-0"/>
    <n v="42744"/>
    <n v="38590259"/>
    <s v="QUIROGA GOMEZ"/>
    <s v="ALVARO GERMAN"/>
    <s v="M"/>
    <m/>
    <d v="2016-11-10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PABLO NOGUES"/>
    <n v="240"/>
    <m/>
    <m/>
    <s v="TIGRE"/>
    <s v="Buenos Aires"/>
    <m/>
    <s v="U.O.San Isidro"/>
    <m/>
    <n v="2"/>
    <n v="1"/>
    <n v="27262.92"/>
    <n v="5452.59"/>
    <m/>
    <m/>
    <n v="21810.33"/>
    <m/>
    <n v="545.26"/>
    <m/>
    <m/>
    <m/>
    <m/>
    <m/>
    <m/>
    <n v="272.63"/>
    <m/>
    <m/>
    <m/>
    <m/>
    <m/>
    <m/>
    <n v="545.26"/>
    <m/>
    <m/>
    <m/>
    <m/>
    <m/>
    <m/>
    <m/>
    <n v="272.63"/>
    <m/>
    <n v="1635.78"/>
  </r>
  <r>
    <n v="12"/>
    <x v="12"/>
    <x v="0"/>
    <n v="182770"/>
    <s v="QUIROZ VALERIA ALEJANDRA"/>
    <s v="27-39345787-8"/>
    <n v="42744"/>
    <n v="39345787"/>
    <s v="QUIROZ"/>
    <s v="VALERIA ALEJANDRA"/>
    <s v="F"/>
    <m/>
    <d v="2016-11-10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MARTIN RODRIGUEZ"/>
    <n v="240"/>
    <m/>
    <m/>
    <s v="TIGRE"/>
    <s v="Buenos Aires"/>
    <m/>
    <s v="U.O.San Isidro"/>
    <m/>
    <n v="2"/>
    <n v="1"/>
    <n v="13794.76"/>
    <n v="2758.96"/>
    <m/>
    <m/>
    <n v="11035.8"/>
    <m/>
    <n v="275.89"/>
    <m/>
    <m/>
    <m/>
    <m/>
    <m/>
    <m/>
    <n v="137.94999999999999"/>
    <m/>
    <m/>
    <m/>
    <m/>
    <m/>
    <m/>
    <n v="275.89"/>
    <m/>
    <m/>
    <m/>
    <m/>
    <m/>
    <m/>
    <m/>
    <n v="137.94999999999999"/>
    <m/>
    <n v="827.68"/>
  </r>
  <r>
    <n v="12"/>
    <x v="12"/>
    <x v="0"/>
    <n v="181871"/>
    <s v="QUISBERT JOSE CARLOS"/>
    <s v="20-35243597-0"/>
    <n v="42744"/>
    <n v="35243597"/>
    <s v="QUISBERT"/>
    <s v="JOSE CARLOS"/>
    <s v="M"/>
    <m/>
    <d v="2016-12-14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RLOS ENCINA"/>
    <n v="1232"/>
    <m/>
    <m/>
    <s v="CAPITAL FEDERAL"/>
    <s v="Buenos Aires"/>
    <m/>
    <s v="U.O.Centro"/>
    <s v="Cocina"/>
    <n v="2"/>
    <n v="1"/>
    <n v="8828.49"/>
    <n v="1695.63"/>
    <m/>
    <m/>
    <n v="7132.86"/>
    <m/>
    <n v="176.57"/>
    <m/>
    <m/>
    <m/>
    <m/>
    <m/>
    <m/>
    <n v="18.2"/>
    <m/>
    <m/>
    <m/>
    <m/>
    <m/>
    <m/>
    <n v="176.57"/>
    <m/>
    <m/>
    <m/>
    <m/>
    <m/>
    <m/>
    <m/>
    <n v="18.2"/>
    <m/>
    <n v="389.54"/>
  </r>
  <r>
    <n v="12"/>
    <x v="12"/>
    <x v="0"/>
    <n v="170302"/>
    <s v="RAMIREZ GABRIEL LEONARDO"/>
    <s v="20-37596484-9"/>
    <n v="42744"/>
    <n v="37596484"/>
    <s v="RAMIREZ"/>
    <s v="GABRIEL LEONARDO"/>
    <s v="M"/>
    <m/>
    <d v="2016-03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Barilari"/>
    <n v="1225"/>
    <m/>
    <m/>
    <s v="CAPITAL FEDERAL"/>
    <s v="Buenos Aires"/>
    <m/>
    <s v="U.O.Centro"/>
    <m/>
    <n v="2"/>
    <n v="1"/>
    <n v="19939.060000000001"/>
    <n v="3987.83"/>
    <m/>
    <m/>
    <n v="15951.23"/>
    <m/>
    <n v="398.78"/>
    <m/>
    <m/>
    <m/>
    <m/>
    <m/>
    <m/>
    <n v="199.39"/>
    <m/>
    <m/>
    <m/>
    <m/>
    <m/>
    <m/>
    <n v="398.78"/>
    <m/>
    <m/>
    <m/>
    <m/>
    <m/>
    <m/>
    <m/>
    <n v="199.39"/>
    <m/>
    <n v="1196.3399999999999"/>
  </r>
  <r>
    <n v="12"/>
    <x v="12"/>
    <x v="0"/>
    <n v="171689"/>
    <s v="RAMOS LEONEL ALBERTO"/>
    <s v="23-36484857-9"/>
    <n v="42744"/>
    <n v="36484857"/>
    <s v="RAMOS"/>
    <s v="LEONEL ALBERTO"/>
    <s v="M"/>
    <m/>
    <d v="2016-04-13T00:00:00"/>
    <d v="2016-11-12T00:00:00"/>
    <d v="2016-11-12T00:00:00"/>
    <s v="GASTRONOMICOS-Hoteles 4 y 5 Estrellas - 362/2003"/>
    <s v="Categoria 2"/>
    <x v="3"/>
    <s v="Unidad Principal"/>
    <s v="Centro"/>
    <s v="Tareas Generales"/>
    <n v="108803"/>
    <s v="O.S.P.Gastronomico"/>
    <s v="Capital Federal"/>
    <m/>
    <s v="C1002ABO"/>
    <s v="LORENZINI"/>
    <n v="764"/>
    <m/>
    <m/>
    <s v="CAPITAL FEDERAL"/>
    <s v="Capital Federal"/>
    <m/>
    <s v="U.O.Quilmes"/>
    <m/>
    <n v="2"/>
    <n v="1"/>
    <n v="4356.04"/>
    <n v="871.24"/>
    <m/>
    <n v="2705.96"/>
    <n v="6190.76"/>
    <m/>
    <n v="87.12"/>
    <m/>
    <m/>
    <m/>
    <m/>
    <m/>
    <m/>
    <n v="43.57"/>
    <m/>
    <m/>
    <m/>
    <m/>
    <m/>
    <m/>
    <n v="87.12"/>
    <m/>
    <m/>
    <m/>
    <m/>
    <m/>
    <m/>
    <m/>
    <n v="43.57"/>
    <m/>
    <n v="261.38"/>
  </r>
  <r>
    <n v="12"/>
    <x v="12"/>
    <x v="0"/>
    <n v="182162"/>
    <s v="RAMOS LUCIA GISELE"/>
    <s v="23-32693694-4"/>
    <n v="42744"/>
    <n v="32693694"/>
    <s v="RAMOS"/>
    <s v="LUCIA GISELE"/>
    <s v="F"/>
    <m/>
    <d v="2016-10-28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ISLA DE LOS ESTADOS"/>
    <n v="1225"/>
    <m/>
    <m/>
    <s v="CAPITAL FEDERAL"/>
    <s v="Buenos Aires"/>
    <m/>
    <s v="U.O.Centro"/>
    <m/>
    <n v="2"/>
    <n v="1"/>
    <n v="12466.66"/>
    <n v="2493.34"/>
    <m/>
    <m/>
    <n v="9973.32"/>
    <m/>
    <n v="249.33"/>
    <m/>
    <m/>
    <m/>
    <m/>
    <m/>
    <m/>
    <n v="124.67"/>
    <m/>
    <m/>
    <m/>
    <m/>
    <m/>
    <m/>
    <n v="249.33"/>
    <m/>
    <m/>
    <m/>
    <m/>
    <m/>
    <m/>
    <m/>
    <n v="124.67"/>
    <m/>
    <n v="748"/>
  </r>
  <r>
    <n v="12"/>
    <x v="12"/>
    <x v="0"/>
    <n v="134996"/>
    <s v="RAVERA MARIA"/>
    <s v="27-27860600-2"/>
    <n v="42744"/>
    <n v="27860600"/>
    <s v="RAVERA"/>
    <s v="MARIA"/>
    <s v="F"/>
    <m/>
    <d v="2016-11-17T00:00:00"/>
    <m/>
    <m/>
    <s v="GASTRONOMICOS-Hoteles 4 y 5 Estrellas - 362/2003"/>
    <s v="Categoria 6"/>
    <x v="1"/>
    <s v="Banquetes Extra Eventual - GL"/>
    <s v="Centro"/>
    <s v="Tareas Generales"/>
    <n v="126205"/>
    <s v="O.S.Emp.Comercio y Act.Civiles"/>
    <s v="Capital Federal"/>
    <m/>
    <n v="1005"/>
    <s v="TACUARI"/>
    <n v="1005"/>
    <n v="1"/>
    <s v="C"/>
    <s v="CAPITAL FEDERAL"/>
    <s v="Capital Federal"/>
    <m/>
    <s v="U.O.Centro"/>
    <m/>
    <n v="6"/>
    <n v="1"/>
    <n v="3091.84"/>
    <n v="602.99"/>
    <m/>
    <m/>
    <n v="2488.85"/>
    <m/>
    <n v="61.84"/>
    <m/>
    <m/>
    <m/>
    <m/>
    <m/>
    <m/>
    <n v="15.57"/>
    <m/>
    <m/>
    <m/>
    <m/>
    <m/>
    <m/>
    <n v="61.84"/>
    <n v="8.9600000000000009"/>
    <m/>
    <m/>
    <m/>
    <m/>
    <m/>
    <m/>
    <n v="6.61"/>
    <m/>
    <n v="154.82"/>
  </r>
  <r>
    <n v="12"/>
    <x v="12"/>
    <x v="1"/>
    <n v="182299"/>
    <s v="RENGEL CONTRERAS ANGEL JOSMAR"/>
    <s v="20-62785772-2"/>
    <n v="42737"/>
    <n v="62785772"/>
    <s v="RENGEL CONTRERAS"/>
    <s v="ANGEL JOSMAR"/>
    <s v="M"/>
    <m/>
    <d v="2016-11-03T00:00:00"/>
    <m/>
    <d v="2017-01-01T00:00:00"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AV HIPOLITO YIGOYEN"/>
    <n v="764"/>
    <m/>
    <m/>
    <s v="CAPITAL FEDERAL"/>
    <s v="Capital Federal"/>
    <m/>
    <s v="U.O.Centro"/>
    <m/>
    <n v="1"/>
    <n v="1"/>
    <n v="29202.03"/>
    <n v="5840.4"/>
    <m/>
    <m/>
    <n v="23361.63"/>
    <m/>
    <n v="584.04"/>
    <m/>
    <m/>
    <m/>
    <m/>
    <m/>
    <m/>
    <n v="292.02"/>
    <m/>
    <m/>
    <m/>
    <m/>
    <m/>
    <m/>
    <n v="584.04"/>
    <m/>
    <m/>
    <m/>
    <m/>
    <m/>
    <m/>
    <m/>
    <n v="292.02"/>
    <m/>
    <n v="1752.12"/>
  </r>
  <r>
    <n v="12"/>
    <x v="12"/>
    <x v="0"/>
    <n v="177862"/>
    <s v="REYNOSO RODRIGO SEBASTIAN"/>
    <s v="24-39341073-2"/>
    <n v="42744"/>
    <n v="39341073"/>
    <s v="REYNOSO"/>
    <s v="RODRIGO SEBASTIAN"/>
    <s v="M"/>
    <m/>
    <d v="2016-08-23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NOMEOLVIDES"/>
    <n v="1225"/>
    <m/>
    <m/>
    <s v="CAPITAL FEDERAL"/>
    <s v="Buenos Aires"/>
    <m/>
    <s v="U.O.Centro"/>
    <m/>
    <n v="2"/>
    <n v="1"/>
    <n v="10142.01"/>
    <n v="2028.4"/>
    <m/>
    <m/>
    <n v="8113.61"/>
    <m/>
    <n v="202.84"/>
    <m/>
    <m/>
    <m/>
    <m/>
    <m/>
    <m/>
    <n v="101.42"/>
    <m/>
    <m/>
    <m/>
    <m/>
    <m/>
    <m/>
    <n v="202.84"/>
    <m/>
    <m/>
    <m/>
    <m/>
    <m/>
    <m/>
    <m/>
    <n v="101.42"/>
    <m/>
    <n v="608.52"/>
  </r>
  <r>
    <n v="12"/>
    <x v="12"/>
    <x v="0"/>
    <n v="185765"/>
    <s v="RICCA ADOLFO MAXIMILIANO"/>
    <s v="20-32660932-4"/>
    <n v="42744"/>
    <n v="32660932"/>
    <s v="RICCA"/>
    <s v="ADOLFO MAXIMILIANO"/>
    <s v="M"/>
    <m/>
    <d v="2016-12-24T00:00:00"/>
    <m/>
    <m/>
    <s v="GASTRONOMICOS-Hoteles 4 y 5 Estrellas - 362/2003"/>
    <s v="Categoria 6"/>
    <x v="5"/>
    <s v="Mozos / camareros - GL"/>
    <s v="Centro"/>
    <s v="Camarero/a"/>
    <n v="125509"/>
    <s v="OS  DE LA FEDERACION ARGENTINA DEL TRABAJADOR DE LAS UNIVERSIDADES NACIONALES"/>
    <s v="Capital Federal"/>
    <m/>
    <s v="C1104AKC"/>
    <s v="INDEPENDENCIA"/>
    <n v="1225"/>
    <m/>
    <m/>
    <s v="CAPITAL FEDERAL"/>
    <s v="Buenos Aires"/>
    <m/>
    <s v="U.O.Centro"/>
    <m/>
    <n v="1"/>
    <n v="1"/>
    <n v="458.16"/>
    <n v="91.62"/>
    <m/>
    <m/>
    <n v="366.54"/>
    <m/>
    <n v="9.16"/>
    <m/>
    <m/>
    <m/>
    <m/>
    <m/>
    <m/>
    <n v="4.58"/>
    <m/>
    <m/>
    <m/>
    <m/>
    <m/>
    <m/>
    <n v="9.16"/>
    <m/>
    <m/>
    <m/>
    <m/>
    <m/>
    <m/>
    <m/>
    <n v="4.58"/>
    <m/>
    <n v="27.48"/>
  </r>
  <r>
    <n v="12"/>
    <x v="12"/>
    <x v="0"/>
    <n v="162333"/>
    <s v="RIOS MARIA ROSA"/>
    <s v="27-26405230-6"/>
    <n v="42744"/>
    <n v="26405230"/>
    <s v="RIOS"/>
    <s v="MARIA ROSA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POLLEDO"/>
    <n v="1225"/>
    <m/>
    <m/>
    <s v="CAPITAL FEDERAL"/>
    <s v="Buenos Aires"/>
    <m/>
    <s v="U.O.Centro"/>
    <m/>
    <n v="3"/>
    <n v="1"/>
    <n v="11965.36"/>
    <n v="2354.4899999999998"/>
    <m/>
    <m/>
    <n v="9610.8700000000008"/>
    <m/>
    <n v="239.31"/>
    <m/>
    <m/>
    <m/>
    <m/>
    <m/>
    <m/>
    <n v="81.069999999999993"/>
    <m/>
    <m/>
    <m/>
    <m/>
    <m/>
    <m/>
    <n v="239.31"/>
    <m/>
    <m/>
    <m/>
    <m/>
    <m/>
    <m/>
    <m/>
    <n v="81.069999999999993"/>
    <m/>
    <n v="640.76"/>
  </r>
  <r>
    <n v="12"/>
    <x v="12"/>
    <x v="0"/>
    <n v="183734"/>
    <s v="RIVAS ALICIA MARCELA"/>
    <s v="23-29277001-4"/>
    <n v="42725"/>
    <n v="29277001"/>
    <s v="RIVAS"/>
    <s v="ALICIA MARCELA"/>
    <s v="F"/>
    <m/>
    <d v="2016-11-07T00:00:00"/>
    <m/>
    <m/>
    <s v="GASTRONOMICOS-Hoteles 4 y 5 Estrellas - 362/2003"/>
    <s v="Categoría 4"/>
    <x v="5"/>
    <s v="Mucamas - GL"/>
    <s v="Centro"/>
    <s v="Mucama"/>
    <n v="108803"/>
    <s v="O.S.P.Gastronomico"/>
    <s v="Capital Federal"/>
    <m/>
    <s v="C1104AKC"/>
    <s v="MARTIN GRANDOLI"/>
    <n v="1225"/>
    <m/>
    <m/>
    <s v="CAPITAL FEDERAL"/>
    <s v="Buenos Aires"/>
    <m/>
    <s v="U.O.Centro"/>
    <m/>
    <n v="1"/>
    <n v="1"/>
    <n v="6456.7"/>
    <n v="1291.3399999999999"/>
    <m/>
    <m/>
    <n v="5165.3599999999997"/>
    <m/>
    <n v="129.13"/>
    <m/>
    <m/>
    <m/>
    <m/>
    <m/>
    <m/>
    <n v="64.569999999999993"/>
    <m/>
    <m/>
    <m/>
    <m/>
    <m/>
    <m/>
    <n v="129.13"/>
    <m/>
    <m/>
    <m/>
    <m/>
    <m/>
    <m/>
    <m/>
    <n v="64.569999999999993"/>
    <m/>
    <n v="387.4"/>
  </r>
  <r>
    <n v="12"/>
    <x v="12"/>
    <x v="1"/>
    <n v="181061"/>
    <s v="RIVERO CRISTIAN ARIEL"/>
    <s v="20-31654860-2"/>
    <n v="42737"/>
    <n v="31654860"/>
    <s v="RIVERO"/>
    <s v="CRISTIAN ARIEL"/>
    <s v="M"/>
    <m/>
    <d v="2016-10-21T00:00:00"/>
    <m/>
    <m/>
    <s v="GASTRONOMICOS-Hoteles 4 y 5 Estrellas - 362/2003"/>
    <s v="Categoria 1"/>
    <x v="3"/>
    <s v="Unidad Principal"/>
    <s v="Centro"/>
    <s v="Tareas Generales"/>
    <n v="127208"/>
    <s v="O.S.de Mandos Medios de Telecomunicaciones"/>
    <s v="Capital Federal"/>
    <m/>
    <s v="C1002ABO"/>
    <s v="14 DE JULIO"/>
    <n v="764"/>
    <m/>
    <m/>
    <s v="CAPITAL FEDERAL"/>
    <s v="Capital Federal"/>
    <m/>
    <s v="U.O.Centro"/>
    <m/>
    <n v="1"/>
    <n v="1"/>
    <n v="9422.83"/>
    <n v="1884.56"/>
    <m/>
    <m/>
    <n v="7538.27"/>
    <m/>
    <n v="188.46"/>
    <m/>
    <m/>
    <m/>
    <m/>
    <m/>
    <m/>
    <n v="94.23"/>
    <m/>
    <m/>
    <m/>
    <m/>
    <m/>
    <m/>
    <n v="188.46"/>
    <m/>
    <m/>
    <m/>
    <m/>
    <m/>
    <m/>
    <m/>
    <n v="94.23"/>
    <m/>
    <n v="565.38"/>
  </r>
  <r>
    <n v="12"/>
    <x v="12"/>
    <x v="0"/>
    <n v="173299"/>
    <s v="RODRIGUEZ EMANUEL AGUSTIN"/>
    <s v="20-39165126-5"/>
    <n v="42744"/>
    <n v="39165126"/>
    <s v="RODRIGUEZ"/>
    <s v="EMANUEL AGUSTIN"/>
    <s v="M"/>
    <m/>
    <d v="2016-12-31T00:00:00"/>
    <d v="2016-12-31T00:00:00"/>
    <m/>
    <s v="GASTRONOMICOS-Hoteles 4 y 5 Estrellas - 362/2003"/>
    <s v="Categoria 6"/>
    <x v="15"/>
    <s v="Camareros"/>
    <s v="Centro"/>
    <s v="Tareas Generales"/>
    <n v="108803"/>
    <s v="O.S.P.Gastronomico"/>
    <s v="Capital Federal"/>
    <m/>
    <s v="C1070AAE"/>
    <s v="ALFONSINA STORNI"/>
    <n v="265"/>
    <m/>
    <m/>
    <s v="CAPITAL FEDERAL"/>
    <s v="Capital Federal"/>
    <m/>
    <s v="U.O.Centro"/>
    <m/>
    <n v="2"/>
    <n v="1"/>
    <n v="2092.27"/>
    <n v="418.46"/>
    <m/>
    <m/>
    <n v="1673.81"/>
    <m/>
    <n v="41.85"/>
    <m/>
    <m/>
    <m/>
    <m/>
    <m/>
    <m/>
    <n v="20.92"/>
    <m/>
    <m/>
    <m/>
    <m/>
    <m/>
    <m/>
    <n v="41.85"/>
    <m/>
    <m/>
    <m/>
    <m/>
    <m/>
    <m/>
    <m/>
    <n v="20.92"/>
    <m/>
    <n v="125.54"/>
  </r>
  <r>
    <n v="12"/>
    <x v="12"/>
    <x v="1"/>
    <n v="183789"/>
    <s v="RODRIGUEZ FRANCO ALVARO LEONEL"/>
    <s v="20-36861692-4"/>
    <n v="42737"/>
    <n v="36861692"/>
    <s v="RODRIGUEZ"/>
    <s v="FRANCO ALVARO LEONEL"/>
    <s v="M"/>
    <m/>
    <d v="2016-11-30T00:00:00"/>
    <m/>
    <m/>
    <s v="GASTRONOMICOS-Hoteles 4 y 5 Estrellas - 362/2003"/>
    <s v="Categoria 1"/>
    <x v="3"/>
    <s v="Unidad Principal"/>
    <s v="Centro"/>
    <s v="Tareas Generales"/>
    <n v="108803"/>
    <s v="O.S.P.Gastronomico"/>
    <s v="Capital Federal"/>
    <m/>
    <s v="C1002ABO"/>
    <s v="PASAJE ANGACO"/>
    <n v="764"/>
    <s v="PB"/>
    <s v="PB"/>
    <s v="CAPITAL FEDERAL"/>
    <s v="Capital Federal"/>
    <m/>
    <s v="U.O.Centro"/>
    <m/>
    <n v="1"/>
    <n v="1"/>
    <n v="629.19000000000005"/>
    <n v="125.84"/>
    <m/>
    <m/>
    <n v="503.35"/>
    <m/>
    <n v="12.58"/>
    <m/>
    <m/>
    <m/>
    <m/>
    <m/>
    <m/>
    <n v="6.29"/>
    <m/>
    <m/>
    <m/>
    <m/>
    <m/>
    <m/>
    <n v="12.58"/>
    <m/>
    <m/>
    <m/>
    <m/>
    <m/>
    <m/>
    <m/>
    <n v="6.29"/>
    <m/>
    <n v="37.74"/>
  </r>
  <r>
    <n v="12"/>
    <x v="12"/>
    <x v="0"/>
    <n v="183302"/>
    <s v="RODRIGUEZ DE LA CRUZ BETIANA LAURA"/>
    <s v="27-36465936-4"/>
    <n v="42744"/>
    <n v="36465936"/>
    <s v="RODRIGUEZ DE LA CRUZ"/>
    <s v="BETIANA LAURA"/>
    <s v="F"/>
    <m/>
    <d v="2016-11-20T00:00:00"/>
    <m/>
    <m/>
    <s v="GASTRONOMICOS-Hoteles 4 y 5 Estrellas - 362/2003"/>
    <s v="Categoria 6"/>
    <x v="15"/>
    <s v="Camareros"/>
    <s v="Centro"/>
    <s v="Camarero/a"/>
    <n v="108803"/>
    <s v="O.S.P.Gastronomico"/>
    <s v="Capital Federal"/>
    <m/>
    <s v="C1070AAE"/>
    <s v="PASAJE JUNIN"/>
    <n v="265"/>
    <m/>
    <m/>
    <s v="CAPITAL FEDERAL"/>
    <s v="Capital Federal"/>
    <m/>
    <s v="U.O.Centro"/>
    <m/>
    <n v="1"/>
    <n v="1"/>
    <n v="1797.49"/>
    <n v="359.48"/>
    <m/>
    <m/>
    <n v="1438.01"/>
    <m/>
    <n v="35.950000000000003"/>
    <m/>
    <m/>
    <m/>
    <m/>
    <m/>
    <m/>
    <n v="17.97"/>
    <m/>
    <m/>
    <m/>
    <m/>
    <m/>
    <m/>
    <n v="35.950000000000003"/>
    <m/>
    <m/>
    <m/>
    <m/>
    <m/>
    <m/>
    <m/>
    <n v="17.97"/>
    <m/>
    <n v="107.84"/>
  </r>
  <r>
    <n v="12"/>
    <x v="12"/>
    <x v="0"/>
    <n v="182612"/>
    <s v="ROJAS APARICIO PEDRO LUIS JUNIOR"/>
    <s v="20-62789478-4"/>
    <n v="42744"/>
    <n v="62789478"/>
    <s v="ROJAS APARICIO"/>
    <s v="PEDRO LUIS JUNIOR"/>
    <s v="M"/>
    <m/>
    <d v="2016-11-21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AVENIDA BELGRANO"/>
    <n v="181"/>
    <n v="2"/>
    <s v="D"/>
    <s v="CAPITAL FEDERAL"/>
    <s v="Capital Federal"/>
    <m/>
    <s v="U.O.Centro"/>
    <m/>
    <n v="3"/>
    <n v="1"/>
    <n v="9647.5300000000007"/>
    <n v="1929.52"/>
    <m/>
    <m/>
    <n v="7718.01"/>
    <m/>
    <n v="192.95"/>
    <m/>
    <m/>
    <m/>
    <m/>
    <m/>
    <m/>
    <n v="96.48"/>
    <m/>
    <m/>
    <m/>
    <m/>
    <m/>
    <m/>
    <n v="192.95"/>
    <m/>
    <m/>
    <m/>
    <m/>
    <m/>
    <m/>
    <m/>
    <n v="96.48"/>
    <m/>
    <n v="578.86"/>
  </r>
  <r>
    <n v="12"/>
    <x v="12"/>
    <x v="0"/>
    <n v="182477"/>
    <s v="ROLDAN CRISTIAN GUSTAVO"/>
    <s v="23-35393105-9"/>
    <n v="42744"/>
    <n v="35393105"/>
    <s v="ROLDAN"/>
    <s v="CRISTIAN GUSTAVO"/>
    <s v="M"/>
    <m/>
    <d v="2016-11-07T00:00:00"/>
    <m/>
    <m/>
    <s v="GASTRONOMICOS-Hoteles 4 y 5 Estrellas - 362/2003"/>
    <s v="Categoria 1"/>
    <x v="7"/>
    <s v="Unidad Base-GL"/>
    <s v="Centro"/>
    <s v="Tareas Generales"/>
    <n v="108803"/>
    <s v="O.S.P.Gastronomico"/>
    <s v="Capital Federal"/>
    <m/>
    <s v="C1022AAB"/>
    <s v="MIGUEL CANE"/>
    <n v="181"/>
    <m/>
    <m/>
    <s v="CAPITAL FEDERAL"/>
    <s v="Capital Federal"/>
    <m/>
    <s v="U.O.Centro"/>
    <m/>
    <n v="1"/>
    <n v="1"/>
    <n v="6175.35"/>
    <n v="1235.07"/>
    <m/>
    <m/>
    <n v="4940.28"/>
    <m/>
    <n v="123.51"/>
    <m/>
    <m/>
    <m/>
    <m/>
    <m/>
    <m/>
    <n v="61.75"/>
    <m/>
    <m/>
    <m/>
    <m/>
    <m/>
    <m/>
    <n v="123.51"/>
    <m/>
    <m/>
    <m/>
    <m/>
    <m/>
    <m/>
    <m/>
    <n v="61.75"/>
    <m/>
    <n v="370.52"/>
  </r>
  <r>
    <n v="12"/>
    <x v="12"/>
    <x v="0"/>
    <n v="182178"/>
    <s v="ROMERO NATALIA SOLEDAD"/>
    <s v="23-28586694-4"/>
    <n v="42744"/>
    <n v="28586694"/>
    <s v="ROMERO"/>
    <s v="NATALIA SOLEDAD"/>
    <s v="F"/>
    <m/>
    <d v="2016-11-01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CALLE 155"/>
    <n v="1232"/>
    <m/>
    <m/>
    <s v="CAPITAL FEDERAL"/>
    <s v="Buenos Aires"/>
    <m/>
    <s v="U.O.Quilmes"/>
    <s v="Ama de Llaves"/>
    <n v="1"/>
    <n v="1"/>
    <n v="13531.34"/>
    <n v="2706.27"/>
    <m/>
    <m/>
    <n v="10825.07"/>
    <m/>
    <n v="270.63"/>
    <m/>
    <m/>
    <m/>
    <m/>
    <m/>
    <m/>
    <n v="135.31"/>
    <m/>
    <m/>
    <m/>
    <m/>
    <m/>
    <m/>
    <n v="270.63"/>
    <m/>
    <m/>
    <m/>
    <m/>
    <m/>
    <m/>
    <m/>
    <n v="135.31"/>
    <m/>
    <n v="811.88"/>
  </r>
  <r>
    <n v="12"/>
    <x v="12"/>
    <x v="0"/>
    <n v="184771"/>
    <s v="RONCORONI LEONARDO ARIEL"/>
    <s v="20-24308117-4"/>
    <n v="42744"/>
    <n v="24308117"/>
    <s v="RONCORONI"/>
    <s v="LEONARDO ARIEL"/>
    <s v="M"/>
    <m/>
    <d v="2016-12-06T00:00:00"/>
    <m/>
    <m/>
    <s v="GASTRONOMICOS-Hoteles 4 y 5 Estrellas - 362/2003"/>
    <s v="Categoria 3"/>
    <x v="5"/>
    <s v="Cocina - GL"/>
    <s v="Centro"/>
    <s v="Ayudante de Cocina"/>
    <n v="125707"/>
    <s v="OS UNION  PERSONAL DE LA UNION DE TRABAJADORES CIVIL DE LA NACION"/>
    <s v="Capital Federal"/>
    <m/>
    <s v="C1104AKC"/>
    <s v="JARAMILLO"/>
    <n v="1225"/>
    <n v="19"/>
    <s v="C"/>
    <s v="CAPITAL FEDERAL"/>
    <s v="Buenos Aires"/>
    <m/>
    <s v="U.O.Centro"/>
    <m/>
    <n v="3"/>
    <n v="1"/>
    <n v="13746.89"/>
    <n v="2749.36"/>
    <m/>
    <m/>
    <n v="10997.53"/>
    <m/>
    <n v="274.94"/>
    <m/>
    <m/>
    <m/>
    <m/>
    <m/>
    <m/>
    <n v="137.47"/>
    <m/>
    <m/>
    <m/>
    <m/>
    <m/>
    <m/>
    <n v="274.94"/>
    <m/>
    <m/>
    <m/>
    <m/>
    <m/>
    <m/>
    <m/>
    <n v="137.47"/>
    <m/>
    <n v="824.82"/>
  </r>
  <r>
    <n v="12"/>
    <x v="12"/>
    <x v="0"/>
    <n v="183953"/>
    <s v="RUESJA HERNAN MAXIMILIANO"/>
    <s v="20-32726922-5"/>
    <n v="42744"/>
    <n v="32726922"/>
    <s v="RUESJA"/>
    <s v="HERNAN MAXIMILIANO"/>
    <s v="M"/>
    <m/>
    <d v="2016-12-14T00:00:00"/>
    <m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CARLOS GARDEL"/>
    <n v="1232"/>
    <m/>
    <m/>
    <s v="CAPITAL FEDERAL"/>
    <s v="Buenos Aires"/>
    <m/>
    <s v="U.O.Centro"/>
    <s v="Cocina"/>
    <n v="2"/>
    <n v="1"/>
    <n v="6572.86"/>
    <n v="1309.5"/>
    <m/>
    <m/>
    <n v="5263.36"/>
    <m/>
    <n v="131.46"/>
    <m/>
    <m/>
    <m/>
    <m/>
    <m/>
    <m/>
    <n v="60.67"/>
    <m/>
    <m/>
    <m/>
    <m/>
    <m/>
    <m/>
    <n v="131.46"/>
    <m/>
    <m/>
    <m/>
    <m/>
    <m/>
    <m/>
    <m/>
    <n v="60.67"/>
    <m/>
    <n v="384.26"/>
  </r>
  <r>
    <n v="12"/>
    <x v="12"/>
    <x v="0"/>
    <n v="173747"/>
    <s v="RUIZ JUAN MARIO ESEQUIEL"/>
    <s v="20-36944344-6"/>
    <n v="42725"/>
    <n v="36944344"/>
    <s v="RUIZ"/>
    <s v="JUAN MARIO ESEQUIEL"/>
    <s v="M"/>
    <m/>
    <d v="2016-05-31T00:00:00"/>
    <m/>
    <m/>
    <s v="GASTRONOMICOS-Hoteles 4 y 5 Estrellas - 362/2003"/>
    <s v="Categoria 1"/>
    <x v="5"/>
    <s v="Montaje - GL"/>
    <s v="Centro"/>
    <s v="Auxiliar de Montaje"/>
    <n v="108803"/>
    <s v="O.S.P.Gastronomico"/>
    <s v="Capital Federal"/>
    <m/>
    <s v="C1104AKC"/>
    <s v="LERMA"/>
    <n v="1225"/>
    <n v="3"/>
    <s v="a"/>
    <s v="CAPITAL FEDERAL"/>
    <s v="Buenos Aires"/>
    <m/>
    <s v="U.O.Centro"/>
    <m/>
    <n v="1"/>
    <n v="1"/>
    <n v="4392.3999999999996"/>
    <n v="878.47"/>
    <m/>
    <m/>
    <n v="3513.93"/>
    <m/>
    <n v="87.85"/>
    <m/>
    <m/>
    <m/>
    <m/>
    <m/>
    <m/>
    <n v="43.92"/>
    <m/>
    <m/>
    <m/>
    <m/>
    <m/>
    <m/>
    <n v="87.85"/>
    <m/>
    <m/>
    <m/>
    <m/>
    <m/>
    <m/>
    <m/>
    <n v="43.92"/>
    <m/>
    <n v="263.54000000000002"/>
  </r>
  <r>
    <n v="12"/>
    <x v="12"/>
    <x v="0"/>
    <n v="179333"/>
    <s v="RUIZ BARRAZA ALEJANDRA SOLEDAD"/>
    <s v="27-36561496-8"/>
    <n v="42744"/>
    <n v="36561496"/>
    <s v="RUIZ BARRAZA"/>
    <s v="ALEJANDRA SOLEDAD"/>
    <s v="F"/>
    <m/>
    <d v="2016-09-20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ALLE 887"/>
    <n v="1225"/>
    <m/>
    <m/>
    <s v="CAPITAL FEDERAL"/>
    <s v="Buenos Aires"/>
    <m/>
    <s v="U.O.Centro"/>
    <m/>
    <n v="2"/>
    <n v="1"/>
    <n v="20855.41"/>
    <n v="4171.07"/>
    <m/>
    <m/>
    <n v="16684.34"/>
    <m/>
    <n v="417.1"/>
    <m/>
    <m/>
    <m/>
    <m/>
    <m/>
    <m/>
    <n v="208.56"/>
    <m/>
    <m/>
    <m/>
    <m/>
    <m/>
    <m/>
    <n v="417.1"/>
    <m/>
    <m/>
    <m/>
    <m/>
    <m/>
    <m/>
    <m/>
    <n v="208.56"/>
    <m/>
    <n v="1251.32"/>
  </r>
  <r>
    <n v="12"/>
    <x v="12"/>
    <x v="0"/>
    <n v="177727"/>
    <s v="RUIZ DIAZ LUCIA"/>
    <s v="27-39707176-1"/>
    <n v="42744"/>
    <n v="39707176"/>
    <s v="RUIZ DIAZ"/>
    <s v="LUCIA"/>
    <s v="F"/>
    <m/>
    <d v="2016-08-26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Tigre"/>
    <m/>
    <n v="1648"/>
    <s v="PERU"/>
    <n v="240"/>
    <m/>
    <m/>
    <s v="TIGRE"/>
    <s v="Buenos Aires"/>
    <m/>
    <s v="U.O.San Isidro"/>
    <m/>
    <n v="1"/>
    <n v="1"/>
    <n v="21708.93"/>
    <n v="4341.79"/>
    <m/>
    <m/>
    <n v="17367.14"/>
    <m/>
    <n v="434.18"/>
    <m/>
    <m/>
    <m/>
    <m/>
    <m/>
    <m/>
    <n v="217.09"/>
    <m/>
    <m/>
    <m/>
    <m/>
    <m/>
    <m/>
    <n v="434.18"/>
    <m/>
    <m/>
    <m/>
    <m/>
    <m/>
    <m/>
    <m/>
    <n v="217.09"/>
    <m/>
    <n v="1302.54"/>
  </r>
  <r>
    <n v="12"/>
    <x v="12"/>
    <x v="1"/>
    <n v="183661"/>
    <s v="SABAN GABRIELA BELEN"/>
    <s v="27-37388150-9"/>
    <n v="42737"/>
    <n v="37388150"/>
    <s v="SABAN"/>
    <s v="GABRIELA BELEN"/>
    <s v="F"/>
    <m/>
    <d v="2016-11-23T00:00:00"/>
    <d v="2016-12-15T00:00:00"/>
    <m/>
    <s v="GASTRONOMICOS-Hoteles 4 y 5 Estrellas - 362/2003"/>
    <s v="Categoría 4"/>
    <x v="3"/>
    <s v="Unidad Principal"/>
    <s v="Centro"/>
    <s v="Tareas Generales"/>
    <n v="108803"/>
    <s v="O.S.P.Gastronomico"/>
    <s v="Capital Federal"/>
    <m/>
    <s v="C1002ABO"/>
    <s v="FRANCISCO MONTERO"/>
    <n v="764"/>
    <m/>
    <m/>
    <s v="CAPITAL FEDERAL"/>
    <s v="Capital Federal"/>
    <m/>
    <s v="U.O.Centro"/>
    <m/>
    <n v="1"/>
    <n v="1"/>
    <n v="8733.23"/>
    <n v="1746.65"/>
    <m/>
    <m/>
    <n v="6986.58"/>
    <m/>
    <n v="174.66"/>
    <m/>
    <m/>
    <m/>
    <m/>
    <m/>
    <m/>
    <n v="87.33"/>
    <m/>
    <m/>
    <m/>
    <m/>
    <m/>
    <m/>
    <n v="174.66"/>
    <m/>
    <m/>
    <m/>
    <m/>
    <m/>
    <m/>
    <m/>
    <n v="87.33"/>
    <m/>
    <n v="523.98"/>
  </r>
  <r>
    <n v="12"/>
    <x v="12"/>
    <x v="0"/>
    <n v="180751"/>
    <s v="SACCONE SANDRA LORENA"/>
    <s v="27-30064110-0"/>
    <n v="42744"/>
    <n v="30064110"/>
    <s v="SACCONE"/>
    <s v="SANDRA LORENA"/>
    <s v="F"/>
    <m/>
    <d v="2016-10-0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TORQUINST"/>
    <n v="1225"/>
    <m/>
    <m/>
    <s v="CAPITAL FEDERAL"/>
    <s v="Buenos Aires"/>
    <m/>
    <s v="U.O.Centro"/>
    <m/>
    <n v="2"/>
    <n v="1"/>
    <n v="5277.64"/>
    <n v="1055.54"/>
    <m/>
    <m/>
    <n v="4222.1000000000004"/>
    <m/>
    <n v="105.56"/>
    <m/>
    <m/>
    <m/>
    <m/>
    <m/>
    <m/>
    <n v="52.78"/>
    <m/>
    <m/>
    <m/>
    <m/>
    <m/>
    <m/>
    <n v="105.56"/>
    <m/>
    <m/>
    <m/>
    <m/>
    <m/>
    <m/>
    <m/>
    <n v="52.78"/>
    <m/>
    <n v="316.68"/>
  </r>
  <r>
    <n v="12"/>
    <x v="12"/>
    <x v="0"/>
    <n v="170780"/>
    <s v="SANCHEZ JAVIER EDUARDO"/>
    <s v="20-29388721-8"/>
    <n v="42744"/>
    <n v="29388721"/>
    <s v="SANCHEZ"/>
    <s v="JAVIER EDUARDO"/>
    <s v="M"/>
    <m/>
    <d v="2016-03-25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MONROE"/>
    <n v="181"/>
    <m/>
    <m/>
    <s v="CAPITAL FEDERAL"/>
    <s v="Capital Federal"/>
    <m/>
    <s v="U.O.Centro"/>
    <m/>
    <n v="1"/>
    <n v="1"/>
    <n v="2260.4299999999998"/>
    <n v="452.08"/>
    <m/>
    <m/>
    <n v="1808.35"/>
    <m/>
    <n v="45.21"/>
    <m/>
    <m/>
    <m/>
    <m/>
    <m/>
    <m/>
    <n v="22.6"/>
    <m/>
    <m/>
    <m/>
    <m/>
    <m/>
    <m/>
    <n v="45.21"/>
    <m/>
    <m/>
    <m/>
    <m/>
    <m/>
    <m/>
    <m/>
    <n v="22.6"/>
    <m/>
    <n v="135.62"/>
  </r>
  <r>
    <n v="12"/>
    <x v="12"/>
    <x v="0"/>
    <n v="156459"/>
    <s v="SANCHEZ MABEL ROSANA"/>
    <s v="27-23606497-8"/>
    <n v="42744"/>
    <n v="23606497"/>
    <s v="SANCHEZ"/>
    <s v="MABEL ROSANA"/>
    <s v="F"/>
    <m/>
    <d v="2016-04-19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AV CORRIENTES"/>
    <n v="181"/>
    <m/>
    <m/>
    <s v="CAPITAL FEDERAL"/>
    <s v="Capital Federal"/>
    <m/>
    <s v="U.O.Centro"/>
    <m/>
    <n v="2"/>
    <n v="1"/>
    <n v="2851.98"/>
    <n v="570.4"/>
    <m/>
    <m/>
    <n v="2281.58"/>
    <m/>
    <n v="57.04"/>
    <m/>
    <m/>
    <m/>
    <m/>
    <m/>
    <m/>
    <n v="28.52"/>
    <m/>
    <m/>
    <m/>
    <m/>
    <m/>
    <m/>
    <n v="57.04"/>
    <m/>
    <m/>
    <m/>
    <m/>
    <m/>
    <m/>
    <m/>
    <n v="28.52"/>
    <m/>
    <n v="171.12"/>
  </r>
  <r>
    <n v="12"/>
    <x v="12"/>
    <x v="0"/>
    <n v="179178"/>
    <s v="SANCHEZ NESTOR LUIS"/>
    <s v="20-32715975-6"/>
    <n v="42744"/>
    <n v="32715975"/>
    <s v="SANCHEZ"/>
    <s v="NESTOR LUIS"/>
    <s v="M"/>
    <m/>
    <d v="2016-09-23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SARANDI"/>
    <n v="1584"/>
    <s v="PB"/>
    <s v="G"/>
    <s v="CAPITAL FEDERAL"/>
    <s v="Capital Federal"/>
    <m/>
    <s v="U.O.Centro"/>
    <s v="Alvear Palace"/>
    <n v="1"/>
    <n v="1"/>
    <n v="2.72"/>
    <n v="0.54"/>
    <m/>
    <m/>
    <n v="2.1800000000000002"/>
    <m/>
    <n v="0.05"/>
    <m/>
    <m/>
    <m/>
    <m/>
    <m/>
    <m/>
    <n v="0.03"/>
    <m/>
    <m/>
    <m/>
    <m/>
    <m/>
    <m/>
    <n v="0.05"/>
    <m/>
    <m/>
    <m/>
    <m/>
    <m/>
    <m/>
    <m/>
    <n v="0.03"/>
    <m/>
    <n v="0.16"/>
  </r>
  <r>
    <n v="12"/>
    <x v="12"/>
    <x v="0"/>
    <n v="184064"/>
    <s v="SANDOVAL ADRIANA MARCELA"/>
    <s v="23-95395399-4"/>
    <n v="42744"/>
    <n v="95395399"/>
    <s v="SANDOVAL"/>
    <s v="ADRIANA MARCELA"/>
    <s v="F"/>
    <m/>
    <d v="2016-12-02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RAWSON"/>
    <n v="181"/>
    <n v="6"/>
    <s v="D"/>
    <s v="CAPITAL FEDERAL"/>
    <s v="Capital Federal"/>
    <m/>
    <s v="U.O.Centro"/>
    <m/>
    <n v="1"/>
    <n v="1"/>
    <n v="1051.02"/>
    <n v="210.2"/>
    <m/>
    <m/>
    <n v="840.82"/>
    <m/>
    <n v="21.02"/>
    <m/>
    <m/>
    <m/>
    <m/>
    <m/>
    <m/>
    <n v="10.51"/>
    <m/>
    <m/>
    <m/>
    <m/>
    <m/>
    <m/>
    <n v="21.02"/>
    <m/>
    <m/>
    <m/>
    <m/>
    <m/>
    <m/>
    <m/>
    <n v="10.51"/>
    <m/>
    <n v="63.06"/>
  </r>
  <r>
    <n v="12"/>
    <x v="12"/>
    <x v="0"/>
    <n v="164903"/>
    <s v="SANTO LEANDRO"/>
    <s v="20-39458602-2"/>
    <n v="42725"/>
    <n v="39458602"/>
    <s v="SANTO"/>
    <s v="LEANDRO"/>
    <s v="M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AMERICA"/>
    <n v="1225"/>
    <m/>
    <m/>
    <s v="CAPITAL FEDERAL"/>
    <s v="Buenos Aires"/>
    <m/>
    <s v="U.O.Centro"/>
    <m/>
    <n v="1"/>
    <n v="1"/>
    <n v="925.51"/>
    <n v="185.12"/>
    <m/>
    <m/>
    <n v="740.39"/>
    <m/>
    <n v="18.510000000000002"/>
    <m/>
    <m/>
    <m/>
    <m/>
    <m/>
    <m/>
    <n v="9.26"/>
    <m/>
    <m/>
    <m/>
    <m/>
    <m/>
    <m/>
    <n v="18.510000000000002"/>
    <m/>
    <m/>
    <m/>
    <m/>
    <m/>
    <m/>
    <m/>
    <n v="9.26"/>
    <m/>
    <n v="55.54"/>
  </r>
  <r>
    <n v="12"/>
    <x v="12"/>
    <x v="0"/>
    <n v="183787"/>
    <s v="SANTOS ANTHONY MANEL"/>
    <s v="20-38444189-1"/>
    <n v="42725"/>
    <n v="38444189"/>
    <s v="SANTOS"/>
    <s v="ANTHONY MANEL"/>
    <s v="M"/>
    <m/>
    <d v="2016-11-3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ARANGUREN"/>
    <n v="1005"/>
    <m/>
    <s v="c"/>
    <s v="CAPITAL FEDERAL"/>
    <s v="Capital Federal"/>
    <m/>
    <s v="U.O.Centro"/>
    <m/>
    <n v="1"/>
    <n v="1"/>
    <n v="21.3"/>
    <n v="4.26"/>
    <m/>
    <m/>
    <n v="17.04"/>
    <m/>
    <n v="0.43"/>
    <m/>
    <m/>
    <m/>
    <m/>
    <m/>
    <m/>
    <n v="0.21"/>
    <m/>
    <m/>
    <m/>
    <m/>
    <m/>
    <m/>
    <n v="0.43"/>
    <m/>
    <m/>
    <m/>
    <m/>
    <m/>
    <m/>
    <m/>
    <n v="0.21"/>
    <m/>
    <n v="1.28"/>
  </r>
  <r>
    <n v="12"/>
    <x v="12"/>
    <x v="0"/>
    <n v="183922"/>
    <s v="SARAVIA GABRIEL DANIEL"/>
    <s v="20-37539821-5"/>
    <n v="42744"/>
    <n v="37539821"/>
    <s v="SARAVIA"/>
    <s v="GABRIEL DANIEL"/>
    <s v="M"/>
    <m/>
    <d v="2016-11-30T00:00:00"/>
    <m/>
    <m/>
    <s v="GASTRONOMICOS-Hoteles 4 y 5 Estrellas - 362/2003"/>
    <s v="Auxiliar De Steward"/>
    <x v="17"/>
    <s v="Unidad Base-GL"/>
    <s v="San Isidro"/>
    <s v="Categoría 2"/>
    <n v="108803"/>
    <s v="O.S.P.Gastronomico"/>
    <s v="Buenos Aires - Gran Buenos Aires"/>
    <m/>
    <n v="1648"/>
    <s v="PEDRO LEON GALLO"/>
    <n v="240"/>
    <m/>
    <m/>
    <s v="TIGRE"/>
    <s v="Buenos Aires"/>
    <m/>
    <s v="U.O.San Isidro"/>
    <m/>
    <n v="1"/>
    <n v="1"/>
    <n v="2922.23"/>
    <n v="584.45000000000005"/>
    <m/>
    <m/>
    <n v="2337.7800000000002"/>
    <m/>
    <n v="58.44"/>
    <m/>
    <m/>
    <m/>
    <m/>
    <m/>
    <m/>
    <n v="29.22"/>
    <m/>
    <m/>
    <m/>
    <m/>
    <m/>
    <m/>
    <n v="58.44"/>
    <m/>
    <m/>
    <m/>
    <m/>
    <m/>
    <m/>
    <m/>
    <n v="29.22"/>
    <m/>
    <n v="175.32"/>
  </r>
  <r>
    <n v="12"/>
    <x v="12"/>
    <x v="0"/>
    <n v="173972"/>
    <s v="SASTRE RODRIGUEZ JOAN SEBASTIAN"/>
    <s v="20-95557661-7"/>
    <n v="42744"/>
    <n v="95557661"/>
    <s v="SASTRE RODRIGUEZ"/>
    <s v="JOAN SEBASTIAN"/>
    <s v="M"/>
    <m/>
    <d v="2016-06-10T00:00:00"/>
    <d v="2016-06-10T00:00:00"/>
    <d v="2016-09-08T00:00:00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s v="C1129AAA"/>
    <s v="LAVALLE"/>
    <n v="1891"/>
    <m/>
    <m/>
    <s v="CAPITAL FEDERAL"/>
    <s v="Capital Federal"/>
    <m/>
    <s v="U.O.Casa Central"/>
    <s v="Alvear Palace"/>
    <n v="1"/>
    <n v="1"/>
    <n v="2.5"/>
    <n v="0.52"/>
    <m/>
    <m/>
    <n v="1.98"/>
    <m/>
    <n v="0.05"/>
    <m/>
    <m/>
    <m/>
    <m/>
    <m/>
    <m/>
    <n v="0.03"/>
    <m/>
    <m/>
    <m/>
    <m/>
    <m/>
    <m/>
    <n v="0.05"/>
    <m/>
    <m/>
    <m/>
    <m/>
    <m/>
    <m/>
    <m/>
    <n v="0.03"/>
    <m/>
    <n v="0.16"/>
  </r>
  <r>
    <n v="12"/>
    <x v="12"/>
    <x v="0"/>
    <n v="163422"/>
    <s v="SAUCEDO BETIANA MAGALI"/>
    <s v="23-38354831-4"/>
    <n v="42744"/>
    <n v="38354831"/>
    <s v="SAUCEDO"/>
    <s v="BETIANA MAGALI"/>
    <s v="F"/>
    <m/>
    <d v="2015-12-15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ONSTANCIO C VIGIL"/>
    <n v="1225"/>
    <m/>
    <m/>
    <s v="CAPITAL FEDERAL"/>
    <s v="Buenos Aires"/>
    <m/>
    <s v="U.O.Centro"/>
    <m/>
    <n v="2"/>
    <n v="1"/>
    <n v="1388.25"/>
    <n v="277.66000000000003"/>
    <m/>
    <m/>
    <n v="1110.5899999999999"/>
    <m/>
    <n v="27.76"/>
    <m/>
    <m/>
    <m/>
    <m/>
    <m/>
    <m/>
    <n v="13.89"/>
    <m/>
    <m/>
    <m/>
    <m/>
    <m/>
    <m/>
    <n v="27.76"/>
    <m/>
    <m/>
    <m/>
    <m/>
    <m/>
    <m/>
    <m/>
    <n v="13.89"/>
    <m/>
    <n v="83.3"/>
  </r>
  <r>
    <n v="12"/>
    <x v="12"/>
    <x v="0"/>
    <n v="157784"/>
    <s v="SAUCEDO MARCELA"/>
    <s v="27-33197318-7"/>
    <n v="42744"/>
    <n v="33197318"/>
    <s v="SAUCEDO"/>
    <s v="MARCELA"/>
    <s v="F"/>
    <m/>
    <d v="2015-09-16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JUAN B. JUSTO"/>
    <n v="1232"/>
    <m/>
    <m/>
    <s v="CAPITAL FEDERAL"/>
    <s v="Buenos Aires"/>
    <m/>
    <s v="U.O.Centro"/>
    <s v="Ama de Llaves"/>
    <n v="1"/>
    <n v="1"/>
    <n v="15374.97"/>
    <n v="3151.87"/>
    <m/>
    <m/>
    <n v="12223.1"/>
    <n v="384.37"/>
    <m/>
    <m/>
    <m/>
    <m/>
    <m/>
    <m/>
    <m/>
    <n v="153.75"/>
    <m/>
    <m/>
    <m/>
    <m/>
    <m/>
    <m/>
    <n v="307.5"/>
    <m/>
    <m/>
    <m/>
    <m/>
    <m/>
    <m/>
    <m/>
    <n v="153.75"/>
    <m/>
    <n v="999.37"/>
  </r>
  <r>
    <n v="12"/>
    <x v="12"/>
    <x v="0"/>
    <n v="172826"/>
    <s v="SENA GABRIEL FABIAN"/>
    <s v="20-34705676-7"/>
    <n v="42744"/>
    <n v="34705676"/>
    <s v="SENA"/>
    <s v="GABRIEL FABIAN"/>
    <s v="M"/>
    <m/>
    <d v="2016-05-09T00:00:00"/>
    <d v="2016-12-31T00:00:00"/>
    <m/>
    <s v="GASTRONOMICOS-Hoteles 4 y 5 Estrellas - 362/2003"/>
    <s v="Categoria 2"/>
    <x v="6"/>
    <s v="NUEVOS INGRESOS"/>
    <s v="Centro"/>
    <s v="Tareas Generales"/>
    <n v="108803"/>
    <s v="O.S.P.Gastronomico"/>
    <s v="Capital Federal"/>
    <m/>
    <n v="1093"/>
    <s v="JUAN CRUZ VARELA"/>
    <n v="1232"/>
    <m/>
    <m/>
    <s v="CAPITAL FEDERAL"/>
    <s v="Buenos Aires"/>
    <m/>
    <s v="U.O.Centro"/>
    <s v="MANTENIMIENTO"/>
    <n v="1"/>
    <n v="1"/>
    <n v="14041.88"/>
    <n v="2808.39"/>
    <m/>
    <m/>
    <n v="11233.49"/>
    <m/>
    <n v="280.83999999999997"/>
    <m/>
    <m/>
    <m/>
    <m/>
    <m/>
    <m/>
    <n v="140.41999999999999"/>
    <m/>
    <m/>
    <m/>
    <m/>
    <m/>
    <m/>
    <n v="280.83999999999997"/>
    <m/>
    <m/>
    <m/>
    <m/>
    <m/>
    <m/>
    <m/>
    <n v="140.41999999999999"/>
    <m/>
    <n v="842.52"/>
  </r>
  <r>
    <n v="12"/>
    <x v="12"/>
    <x v="0"/>
    <n v="182772"/>
    <s v="SERVIDIO FLORENCIA DANIELA"/>
    <s v="27-40496349-5"/>
    <n v="42725"/>
    <n v="40496349"/>
    <s v="SERVIDIO"/>
    <s v="FLORENCIA DANIELA"/>
    <s v="F"/>
    <m/>
    <d v="2016-11-10T00:00:00"/>
    <m/>
    <m/>
    <s v="GASTRONOMICOS-Hoteles 4 y 5 Estrellas - 362/2003"/>
    <s v="Mozo"/>
    <x v="17"/>
    <s v="Unidad Base-GL"/>
    <s v="San Isidro"/>
    <s v="Mozo Eventos"/>
    <n v="108803"/>
    <s v="O.S.P.Gastronomico"/>
    <s v="Buenos Aires - Gran Buenos Aires"/>
    <m/>
    <n v="1648"/>
    <s v="HUMBOL"/>
    <n v="240"/>
    <m/>
    <m/>
    <s v="TIGRE"/>
    <s v="Buenos Aires"/>
    <m/>
    <s v="U.O.San Isidro"/>
    <m/>
    <n v="1"/>
    <n v="1"/>
    <n v="380.82"/>
    <n v="76.16"/>
    <m/>
    <m/>
    <n v="304.66000000000003"/>
    <m/>
    <n v="7.62"/>
    <m/>
    <m/>
    <m/>
    <m/>
    <m/>
    <m/>
    <n v="3.81"/>
    <m/>
    <m/>
    <m/>
    <m/>
    <m/>
    <m/>
    <n v="7.62"/>
    <m/>
    <m/>
    <m/>
    <m/>
    <m/>
    <m/>
    <m/>
    <n v="3.81"/>
    <m/>
    <n v="22.86"/>
  </r>
  <r>
    <n v="12"/>
    <x v="12"/>
    <x v="0"/>
    <n v="162176"/>
    <s v="SOMMA GABRIELA ALEJANDRA"/>
    <s v="27-31822042-0"/>
    <n v="42744"/>
    <n v="31822042"/>
    <s v="SOMMA"/>
    <s v="GABRIELA ALEJANDRA"/>
    <s v="F"/>
    <m/>
    <d v="2015-11-28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HACABUCO"/>
    <n v="1225"/>
    <m/>
    <m/>
    <s v="CAPITAL FEDERAL"/>
    <s v="Buenos Aires"/>
    <m/>
    <s v="U.O.Centro"/>
    <m/>
    <n v="3"/>
    <n v="1"/>
    <n v="5690.86"/>
    <n v="1138.19"/>
    <m/>
    <m/>
    <n v="4552.67"/>
    <m/>
    <n v="113.82"/>
    <m/>
    <m/>
    <m/>
    <m/>
    <m/>
    <m/>
    <n v="56.92"/>
    <m/>
    <m/>
    <m/>
    <m/>
    <m/>
    <m/>
    <n v="113.82"/>
    <m/>
    <m/>
    <m/>
    <m/>
    <m/>
    <m/>
    <m/>
    <n v="56.92"/>
    <m/>
    <n v="341.48"/>
  </r>
  <r>
    <n v="12"/>
    <x v="12"/>
    <x v="0"/>
    <n v="170437"/>
    <s v="SOSA BLANCA NIEVES"/>
    <s v="27-28474500-6"/>
    <n v="42744"/>
    <n v="28474500"/>
    <s v="SOSA"/>
    <s v="BLANCA NIEVES"/>
    <s v="F"/>
    <m/>
    <d v="2016-10-31T00:00:00"/>
    <m/>
    <m/>
    <s v="GASTRONOMICOS-Hoteles 4 y 5 Estrellas - 362/2003"/>
    <s v="Categoría 4"/>
    <x v="6"/>
    <s v="NUEVOS INGRESOS"/>
    <s v="Centro"/>
    <s v="Mucama"/>
    <n v="127505"/>
    <s v="O.S.Asoc.Emp.Faramacia"/>
    <s v="Capital Federal"/>
    <m/>
    <n v="1093"/>
    <s v="VIRGENES"/>
    <n v="1232"/>
    <m/>
    <m/>
    <s v="CAPITAL FEDERAL"/>
    <s v="Buenos Aires"/>
    <m/>
    <s v="U.O.Centro"/>
    <s v="Ama de Llaves"/>
    <n v="1"/>
    <n v="1"/>
    <n v="15222.75"/>
    <n v="3044.55"/>
    <m/>
    <m/>
    <n v="12178.2"/>
    <m/>
    <n v="304.45999999999998"/>
    <m/>
    <m/>
    <m/>
    <m/>
    <m/>
    <m/>
    <n v="152.22999999999999"/>
    <m/>
    <m/>
    <m/>
    <m/>
    <m/>
    <m/>
    <n v="304.45999999999998"/>
    <m/>
    <m/>
    <m/>
    <m/>
    <m/>
    <m/>
    <m/>
    <n v="152.22999999999999"/>
    <m/>
    <n v="913.38"/>
  </r>
  <r>
    <n v="12"/>
    <x v="12"/>
    <x v="0"/>
    <n v="185084"/>
    <s v="SOTELO MONICA DEL CARMEN"/>
    <s v="27-22853579-1"/>
    <n v="42744"/>
    <n v="22853579"/>
    <s v="SOTELO"/>
    <s v="MONICA DEL CARMEN"/>
    <s v="F"/>
    <m/>
    <d v="2016-12-17T00:00:00"/>
    <m/>
    <m/>
    <s v="GASTRONOMICOS-Hoteles 4 y 5 Estrellas - 362/2003"/>
    <s v="Mucama"/>
    <x v="17"/>
    <s v="Unidad Base-GL"/>
    <s v="San Isidro"/>
    <s v="Categoría 4"/>
    <n v="108803"/>
    <s v="O.S.P.Gastronomico"/>
    <s v="Buenos Aires - Gran Buenos Aires"/>
    <m/>
    <n v="1648"/>
    <s v="SAN SOUCI"/>
    <n v="240"/>
    <m/>
    <m/>
    <s v="TIGRE"/>
    <s v="Buenos Aires"/>
    <m/>
    <m/>
    <m/>
    <n v="1"/>
    <n v="1"/>
    <n v="712.31"/>
    <n v="142.46"/>
    <m/>
    <m/>
    <n v="569.85"/>
    <m/>
    <n v="14.25"/>
    <m/>
    <m/>
    <m/>
    <m/>
    <m/>
    <m/>
    <n v="7.12"/>
    <m/>
    <m/>
    <m/>
    <m/>
    <m/>
    <m/>
    <n v="14.25"/>
    <m/>
    <m/>
    <m/>
    <m/>
    <m/>
    <m/>
    <m/>
    <n v="7.12"/>
    <m/>
    <n v="42.74"/>
  </r>
  <r>
    <n v="12"/>
    <x v="12"/>
    <x v="0"/>
    <n v="182897"/>
    <s v="SOTELO YAMIL ALEXIS"/>
    <s v="20-35792066-4"/>
    <n v="42744"/>
    <n v="35792066"/>
    <s v="SOTELO"/>
    <s v="YAMIL ALEXIS"/>
    <s v="M"/>
    <m/>
    <d v="2016-11-10T00:00:00"/>
    <m/>
    <m/>
    <s v="GASTRONOMICOS-Hoteles 4 y 5 Estrellas - 362/2003"/>
    <s v="Categoria 5"/>
    <x v="5"/>
    <s v="Mantenimiento - GL"/>
    <s v="Centro"/>
    <s v="Pintor"/>
    <n v="108803"/>
    <s v="O.S.P.Gastronomico"/>
    <s v="Capital Federal"/>
    <m/>
    <s v="C1104AKC"/>
    <n v="879"/>
    <n v="1225"/>
    <m/>
    <m/>
    <s v="CAPITAL FEDERAL"/>
    <s v="Buenos Aires"/>
    <m/>
    <s v="U.O.Centro"/>
    <m/>
    <n v="2"/>
    <n v="1"/>
    <n v="34364.11"/>
    <n v="6872.81"/>
    <m/>
    <m/>
    <n v="27491.3"/>
    <m/>
    <n v="687.28"/>
    <m/>
    <m/>
    <m/>
    <m/>
    <m/>
    <m/>
    <n v="343.64"/>
    <m/>
    <m/>
    <m/>
    <m/>
    <m/>
    <m/>
    <n v="687.28"/>
    <m/>
    <m/>
    <m/>
    <m/>
    <m/>
    <m/>
    <m/>
    <n v="343.64"/>
    <m/>
    <n v="2061.84"/>
  </r>
  <r>
    <n v="12"/>
    <x v="12"/>
    <x v="0"/>
    <n v="155979"/>
    <s v="SOULE ROMINA SOLEDAD"/>
    <s v="23-34390010-4"/>
    <n v="42744"/>
    <n v="34390010"/>
    <s v="SOULE"/>
    <s v="ROMINA SOLEDAD"/>
    <s v="F"/>
    <m/>
    <d v="2016-08-1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CHACO"/>
    <n v="1225"/>
    <n v="1"/>
    <s v="A"/>
    <s v="CAPITAL FEDERAL"/>
    <s v="Buenos Aires"/>
    <m/>
    <s v="U.O.Centro"/>
    <m/>
    <n v="2"/>
    <n v="1"/>
    <n v="5498.02"/>
    <n v="1099.5999999999999"/>
    <m/>
    <m/>
    <n v="4398.42"/>
    <m/>
    <n v="109.96"/>
    <m/>
    <m/>
    <m/>
    <m/>
    <m/>
    <m/>
    <n v="54.98"/>
    <m/>
    <m/>
    <m/>
    <m/>
    <m/>
    <m/>
    <n v="109.96"/>
    <m/>
    <m/>
    <m/>
    <m/>
    <m/>
    <m/>
    <m/>
    <n v="54.98"/>
    <m/>
    <n v="329.88"/>
  </r>
  <r>
    <n v="12"/>
    <x v="12"/>
    <x v="1"/>
    <n v="184852"/>
    <s v="SPADARO MELANY ALEXA"/>
    <s v="27-37682401-8"/>
    <n v="42737"/>
    <n v="37682401"/>
    <s v="SPADARO"/>
    <s v="MELANY ALEXA"/>
    <s v="F"/>
    <m/>
    <d v="2016-12-15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SERRANO"/>
    <n v="764"/>
    <m/>
    <m/>
    <s v="CAPITAL FEDERAL"/>
    <s v="Capital Federal"/>
    <m/>
    <s v="U.O.Centro"/>
    <m/>
    <n v="1"/>
    <n v="1"/>
    <n v="3174.84"/>
    <n v="634.98"/>
    <m/>
    <m/>
    <n v="2539.86"/>
    <m/>
    <n v="63.5"/>
    <m/>
    <m/>
    <m/>
    <m/>
    <m/>
    <m/>
    <n v="31.75"/>
    <m/>
    <m/>
    <m/>
    <m/>
    <m/>
    <m/>
    <n v="63.5"/>
    <m/>
    <m/>
    <m/>
    <m/>
    <m/>
    <m/>
    <m/>
    <n v="31.75"/>
    <m/>
    <n v="190.5"/>
  </r>
  <r>
    <n v="12"/>
    <x v="12"/>
    <x v="0"/>
    <n v="162209"/>
    <s v="STOCKL BRENDA JENNIFER"/>
    <s v="27-37769971-3"/>
    <n v="42744"/>
    <n v="37769971"/>
    <s v="STOCKL"/>
    <s v="BRENDA JENNIFER"/>
    <s v="F"/>
    <m/>
    <d v="2015-11-26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LORENZENI Y SARMIENTO"/>
    <n v="1225"/>
    <s v="PB"/>
    <n v="3"/>
    <s v="CAPITAL FEDERAL"/>
    <s v="Buenos Aires"/>
    <m/>
    <s v="U.O.Centro"/>
    <m/>
    <n v="2"/>
    <n v="1"/>
    <n v="8569.67"/>
    <n v="1713.94"/>
    <m/>
    <m/>
    <n v="6855.73"/>
    <m/>
    <n v="171.4"/>
    <m/>
    <m/>
    <m/>
    <m/>
    <m/>
    <m/>
    <n v="85.69"/>
    <m/>
    <m/>
    <m/>
    <m/>
    <m/>
    <m/>
    <n v="171.4"/>
    <m/>
    <m/>
    <m/>
    <m/>
    <m/>
    <m/>
    <m/>
    <n v="85.69"/>
    <m/>
    <n v="514.17999999999995"/>
  </r>
  <r>
    <n v="12"/>
    <x v="12"/>
    <x v="0"/>
    <n v="182769"/>
    <s v="SVOBODA FLORENCIA BELEN"/>
    <s v="27-37915431-5"/>
    <n v="42744"/>
    <n v="37915431"/>
    <s v="SVOBODA"/>
    <s v="FLORENCIA BELEN"/>
    <s v="F"/>
    <m/>
    <d v="2016-11-10T00:00:00"/>
    <m/>
    <m/>
    <s v="GASTRONOMICOS-Hoteles 4 y 5 Estrellas - 362/2003"/>
    <s v="Camarera/o"/>
    <x v="17"/>
    <s v="Unidad Base-GL"/>
    <s v="San Isidro"/>
    <s v="Categoría 6"/>
    <n v="108803"/>
    <s v="O.S.P.Gastronomico"/>
    <s v="Buenos Aires - Gran Buenos Aires"/>
    <m/>
    <n v="1648"/>
    <s v="SERRANO"/>
    <n v="240"/>
    <m/>
    <m/>
    <s v="TIGRE"/>
    <s v="Buenos Aires"/>
    <m/>
    <s v="U.O.San Isidro"/>
    <m/>
    <n v="2"/>
    <n v="1"/>
    <n v="8232.18"/>
    <n v="1646.45"/>
    <m/>
    <m/>
    <n v="6585.73"/>
    <m/>
    <n v="164.64"/>
    <m/>
    <m/>
    <m/>
    <m/>
    <m/>
    <m/>
    <n v="82.33"/>
    <m/>
    <m/>
    <m/>
    <m/>
    <m/>
    <m/>
    <n v="164.64"/>
    <m/>
    <m/>
    <m/>
    <m/>
    <m/>
    <m/>
    <m/>
    <n v="82.33"/>
    <m/>
    <n v="493.94"/>
  </r>
  <r>
    <n v="12"/>
    <x v="12"/>
    <x v="0"/>
    <n v="162177"/>
    <s v="SZYCHOWSKI WALTER TADEO"/>
    <s v="23-20698069-9"/>
    <n v="42744"/>
    <n v="20698069"/>
    <s v="SZYCHOWSKI"/>
    <s v="WALTER TADEO"/>
    <s v="M"/>
    <m/>
    <d v="2015-11-27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GDALENA"/>
    <n v="1225"/>
    <s v="PB"/>
    <m/>
    <s v="CAPITAL FEDERAL"/>
    <s v="Buenos Aires"/>
    <m/>
    <s v="U.O.Centro"/>
    <m/>
    <n v="2"/>
    <n v="1"/>
    <n v="4164.76"/>
    <n v="832.98"/>
    <m/>
    <m/>
    <n v="3331.78"/>
    <m/>
    <n v="83.3"/>
    <m/>
    <m/>
    <m/>
    <m/>
    <m/>
    <m/>
    <n v="41.65"/>
    <m/>
    <m/>
    <m/>
    <m/>
    <m/>
    <m/>
    <n v="83.3"/>
    <m/>
    <m/>
    <m/>
    <m/>
    <m/>
    <m/>
    <m/>
    <n v="41.65"/>
    <m/>
    <n v="249.9"/>
  </r>
  <r>
    <n v="12"/>
    <x v="12"/>
    <x v="1"/>
    <n v="177494"/>
    <s v="TABORDA JUAN PABLO"/>
    <s v="20-29711251-2"/>
    <n v="42737"/>
    <n v="29711251"/>
    <s v="TABORDA"/>
    <s v="JUAN PABLO"/>
    <s v="M"/>
    <m/>
    <d v="2016-08-23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CASTAÑARES"/>
    <n v="764"/>
    <n v="8"/>
    <n v="5"/>
    <s v="CAPITAL FEDERAL"/>
    <s v="Capital Federal"/>
    <m/>
    <s v="U.O.Centro"/>
    <m/>
    <n v="1"/>
    <n v="1"/>
    <n v="11190.11"/>
    <n v="2238.0100000000002"/>
    <m/>
    <m/>
    <n v="8952.1"/>
    <m/>
    <n v="223.8"/>
    <m/>
    <m/>
    <m/>
    <m/>
    <m/>
    <m/>
    <n v="111.9"/>
    <m/>
    <m/>
    <m/>
    <m/>
    <m/>
    <m/>
    <n v="223.8"/>
    <m/>
    <m/>
    <m/>
    <m/>
    <m/>
    <m/>
    <m/>
    <n v="111.9"/>
    <m/>
    <n v="671.4"/>
  </r>
  <r>
    <n v="12"/>
    <x v="12"/>
    <x v="0"/>
    <n v="183562"/>
    <s v="TEJEDOR MARIA MERCEDES"/>
    <s v="27-29391900-9"/>
    <n v="42744"/>
    <n v="29391900"/>
    <s v="TEJEDOR"/>
    <s v="MARIA MERCEDES"/>
    <s v="F"/>
    <m/>
    <d v="2016-11-24T00:00:00"/>
    <d v="2016-12-13T00:00:00"/>
    <n v="42717"/>
    <s v="GASTRONOMICOS-Hoteles 4 y 5 Estrellas - 362/2003"/>
    <s v="Camarera/o"/>
    <x v="17"/>
    <s v="Unidad Base-GL"/>
    <s v="San Isidro"/>
    <s v="Categoría 6"/>
    <n v="101604"/>
    <s v="O.S.P.Automovil Club Argentino*"/>
    <s v="Buenos Aires - Gran Buenos Aires"/>
    <m/>
    <n v="1648"/>
    <s v="AGUERO"/>
    <n v="240"/>
    <m/>
    <m/>
    <s v="TIGRE"/>
    <s v="Buenos Aires"/>
    <m/>
    <s v="U.O.San Isidro"/>
    <m/>
    <n v="2"/>
    <n v="1"/>
    <n v="1067.1400000000001"/>
    <n v="213.44"/>
    <m/>
    <m/>
    <n v="853.7"/>
    <m/>
    <n v="21.35"/>
    <m/>
    <m/>
    <m/>
    <m/>
    <m/>
    <m/>
    <n v="10.67"/>
    <m/>
    <m/>
    <m/>
    <m/>
    <m/>
    <m/>
    <n v="21.35"/>
    <m/>
    <m/>
    <m/>
    <m/>
    <m/>
    <m/>
    <m/>
    <n v="10.67"/>
    <m/>
    <n v="64.040000000000006"/>
  </r>
  <r>
    <n v="12"/>
    <x v="12"/>
    <x v="0"/>
    <n v="181435"/>
    <s v="TOLEDO KEVIN AYRTON"/>
    <s v="20-40955765-2"/>
    <n v="42744"/>
    <n v="40955765"/>
    <s v="TOLEDO"/>
    <s v="KEVIN AYRTON"/>
    <s v="M"/>
    <m/>
    <d v="2016-10-16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LARGUIA"/>
    <n v="1225"/>
    <m/>
    <m/>
    <s v="CAPITAL FEDERAL"/>
    <s v="Buenos Aires"/>
    <m/>
    <s v="U.O.Pilar"/>
    <m/>
    <n v="2"/>
    <n v="1"/>
    <n v="8581.7000000000007"/>
    <n v="1716.33"/>
    <m/>
    <m/>
    <n v="6865.37"/>
    <m/>
    <n v="171.64"/>
    <m/>
    <m/>
    <m/>
    <m/>
    <m/>
    <m/>
    <n v="85.81"/>
    <m/>
    <m/>
    <m/>
    <m/>
    <m/>
    <m/>
    <n v="171.64"/>
    <m/>
    <m/>
    <m/>
    <m/>
    <m/>
    <m/>
    <m/>
    <n v="85.81"/>
    <m/>
    <n v="514.9"/>
  </r>
  <r>
    <n v="12"/>
    <x v="12"/>
    <x v="1"/>
    <n v="182893"/>
    <s v="TOLEDO MIRTA GRACIELA"/>
    <s v="27-25320553-4"/>
    <n v="42737"/>
    <n v="25320553"/>
    <s v="TOLEDO"/>
    <s v="MIRTA GRACIELA"/>
    <s v="F"/>
    <m/>
    <d v="2016-11-12T00:00:00"/>
    <m/>
    <m/>
    <s v="GASTRONOMICOS-Hoteles 4 y 5 Estrellas - 362/2003"/>
    <s v="Categoría 4"/>
    <x v="3"/>
    <s v="Unidad Principal"/>
    <s v="Centro"/>
    <s v="Mucama"/>
    <n v="108803"/>
    <s v="O.S.P.Gastronomico"/>
    <s v="Capital Federal"/>
    <m/>
    <s v="C1002ABO"/>
    <s v="ASUNCION"/>
    <n v="764"/>
    <m/>
    <m/>
    <s v="CAPITAL FEDERAL"/>
    <s v="Capital Federal"/>
    <m/>
    <s v="U.O.Centro"/>
    <m/>
    <n v="1"/>
    <n v="1"/>
    <n v="14142.24"/>
    <n v="2828.45"/>
    <m/>
    <m/>
    <n v="11313.79"/>
    <m/>
    <n v="282.83999999999997"/>
    <m/>
    <m/>
    <m/>
    <m/>
    <m/>
    <m/>
    <n v="141.41999999999999"/>
    <m/>
    <m/>
    <m/>
    <m/>
    <m/>
    <m/>
    <n v="282.83999999999997"/>
    <m/>
    <m/>
    <m/>
    <m/>
    <m/>
    <m/>
    <m/>
    <n v="141.41999999999999"/>
    <m/>
    <n v="848.52"/>
  </r>
  <r>
    <n v="12"/>
    <x v="12"/>
    <x v="1"/>
    <n v="183906"/>
    <s v="TOMASELLI MARIA AGUSTINA"/>
    <s v="27-41172633-4"/>
    <n v="42744"/>
    <n v="41172633"/>
    <s v="TOMASELLI"/>
    <s v="MARIA AGUSTINA"/>
    <s v="F"/>
    <m/>
    <d v="2016-12-01T00:00:00"/>
    <m/>
    <m/>
    <s v="GASTRONOMICOS-Hoteles 4 y 5 Estrellas - 362/2003"/>
    <s v="Categoria 5"/>
    <x v="3"/>
    <s v="Unidad Principal"/>
    <s v="Centro"/>
    <s v="Comis de Cocina"/>
    <n v="108803"/>
    <s v="O.S.P.Gastronomico"/>
    <s v="Capital Federal"/>
    <m/>
    <s v="C1002ABO"/>
    <s v="CORONEL DORREGO"/>
    <n v="764"/>
    <m/>
    <m/>
    <s v="CAPITAL FEDERAL"/>
    <s v="Capital Federal"/>
    <m/>
    <s v="U.O.Centro"/>
    <m/>
    <n v="2"/>
    <n v="1"/>
    <n v="3464.49"/>
    <n v="684.01"/>
    <m/>
    <m/>
    <n v="2780.48"/>
    <m/>
    <n v="69.290000000000006"/>
    <m/>
    <m/>
    <m/>
    <m/>
    <m/>
    <m/>
    <n v="25.74"/>
    <m/>
    <m/>
    <m/>
    <m/>
    <m/>
    <m/>
    <n v="69.290000000000006"/>
    <m/>
    <m/>
    <m/>
    <m/>
    <m/>
    <m/>
    <m/>
    <n v="25.74"/>
    <m/>
    <n v="190.06"/>
  </r>
  <r>
    <n v="12"/>
    <x v="12"/>
    <x v="0"/>
    <n v="170180"/>
    <s v="TORRES FERNANDO"/>
    <s v="23-36164521-9"/>
    <n v="42744"/>
    <n v="36164521"/>
    <s v="TORRES"/>
    <s v="FERNANDO"/>
    <s v="M"/>
    <m/>
    <d v="2016-03-10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ICARDO ROJAS"/>
    <n v="265"/>
    <m/>
    <m/>
    <s v="CAPITAL FEDERAL"/>
    <s v="Capital Federal"/>
    <m/>
    <s v="U.O.Centro"/>
    <s v="Ayudantes"/>
    <n v="2"/>
    <n v="1"/>
    <n v="14839.55"/>
    <n v="2967.92"/>
    <m/>
    <m/>
    <n v="11871.63"/>
    <m/>
    <n v="296.79000000000002"/>
    <m/>
    <m/>
    <m/>
    <m/>
    <m/>
    <m/>
    <n v="148.4"/>
    <m/>
    <m/>
    <m/>
    <m/>
    <m/>
    <m/>
    <n v="296.79000000000002"/>
    <m/>
    <m/>
    <m/>
    <m/>
    <m/>
    <m/>
    <m/>
    <n v="148.4"/>
    <m/>
    <n v="890.38"/>
  </r>
  <r>
    <n v="12"/>
    <x v="12"/>
    <x v="0"/>
    <n v="170203"/>
    <s v="TOTARO ALEJANDRO EZEQUIEL"/>
    <s v="20-34309566-0"/>
    <n v="42725"/>
    <n v="34309566"/>
    <s v="TOTARO"/>
    <s v="ALEJANDRO EZEQUIEL"/>
    <s v="M"/>
    <m/>
    <d v="2016-03-15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MATANZA"/>
    <n v="1225"/>
    <m/>
    <m/>
    <s v="CAPITAL FEDERAL"/>
    <s v="Buenos Aires"/>
    <m/>
    <s v="U.O.Centro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x v="12"/>
    <x v="0"/>
    <n v="177439"/>
    <s v="TRINIDAD LAURA ANTONELLA"/>
    <s v="27-35958277-9"/>
    <n v="42725"/>
    <n v="35958277"/>
    <s v="TRINIDAD"/>
    <s v="LAURA ANTONELLA"/>
    <s v="F"/>
    <m/>
    <d v="2016-08-20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PEDRO CHUTRO"/>
    <n v="1005"/>
    <n v="4"/>
    <m/>
    <s v="CAPITAL FEDERAL"/>
    <s v="Capital Federal"/>
    <m/>
    <s v="U.O.Centro"/>
    <m/>
    <n v="1"/>
    <n v="1"/>
    <n v="83.31"/>
    <n v="16.66"/>
    <m/>
    <m/>
    <n v="66.650000000000006"/>
    <m/>
    <n v="1.67"/>
    <m/>
    <m/>
    <m/>
    <m/>
    <m/>
    <m/>
    <n v="0.83"/>
    <m/>
    <m/>
    <m/>
    <m/>
    <m/>
    <m/>
    <n v="1.67"/>
    <m/>
    <m/>
    <m/>
    <m/>
    <m/>
    <m/>
    <m/>
    <n v="0.83"/>
    <m/>
    <n v="5"/>
  </r>
  <r>
    <n v="12"/>
    <x v="12"/>
    <x v="0"/>
    <n v="180196"/>
    <s v="TRIPI LAURA EDITH"/>
    <s v="27-31725330-9"/>
    <n v="42744"/>
    <n v="31725330"/>
    <s v="TRIPI"/>
    <s v="LAURA EDITH"/>
    <s v="F"/>
    <m/>
    <d v="2016-10-06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AV. BEIRO"/>
    <n v="181"/>
    <n v="3"/>
    <s v="E"/>
    <s v="CAPITAL FEDERAL"/>
    <s v="Capital Federal"/>
    <m/>
    <s v="U.O.Centro"/>
    <m/>
    <n v="2"/>
    <n v="1"/>
    <n v="2381.08"/>
    <n v="458.4"/>
    <m/>
    <m/>
    <n v="1922.68"/>
    <m/>
    <n v="47.62"/>
    <m/>
    <m/>
    <m/>
    <m/>
    <m/>
    <m/>
    <n v="6.01"/>
    <m/>
    <m/>
    <m/>
    <m/>
    <m/>
    <m/>
    <n v="47.62"/>
    <m/>
    <m/>
    <m/>
    <m/>
    <m/>
    <m/>
    <m/>
    <n v="6.01"/>
    <m/>
    <n v="107.26"/>
  </r>
  <r>
    <n v="12"/>
    <x v="12"/>
    <x v="1"/>
    <n v="159131"/>
    <s v="VALEIRO MARIA SOLEDAD"/>
    <s v="23-27310730-4"/>
    <n v="42737"/>
    <n v="27310730"/>
    <s v="VALEIRO"/>
    <s v="MARIA SOLEDAD"/>
    <s v="F"/>
    <m/>
    <d v="2016-12-04T00:00:00"/>
    <m/>
    <m/>
    <s v="GASTRONOMICOS-Hoteles 4 y 5 Estrellas - 362/2003"/>
    <s v="Categoria 5"/>
    <x v="3"/>
    <s v="Unidad Principal"/>
    <s v="Centro"/>
    <s v="Tareas Generales"/>
    <n v="101604"/>
    <s v="O.S.P.Automovil Club Argentino*"/>
    <s v="Capital Federal"/>
    <m/>
    <s v="C1002ABO"/>
    <s v="GERVASIO POSADAS"/>
    <n v="764"/>
    <m/>
    <m/>
    <s v="CAPITAL FEDERAL"/>
    <s v="Capital Federal"/>
    <m/>
    <s v="U.O.Centro"/>
    <m/>
    <n v="1"/>
    <n v="1"/>
    <n v="2824.17"/>
    <n v="564.84"/>
    <m/>
    <m/>
    <n v="2259.33"/>
    <m/>
    <n v="56.48"/>
    <m/>
    <m/>
    <m/>
    <m/>
    <m/>
    <m/>
    <n v="28.24"/>
    <m/>
    <m/>
    <m/>
    <m/>
    <m/>
    <m/>
    <n v="56.48"/>
    <m/>
    <m/>
    <m/>
    <m/>
    <m/>
    <m/>
    <m/>
    <n v="28.24"/>
    <m/>
    <n v="169.44"/>
  </r>
  <r>
    <n v="12"/>
    <x v="12"/>
    <x v="1"/>
    <n v="170492"/>
    <s v="VALIENTE MARIA NAZARENA"/>
    <s v="27-23700239-9"/>
    <n v="42744"/>
    <n v="23700239"/>
    <s v="VALIENTE"/>
    <s v="MARIA NAZARENA"/>
    <s v="F"/>
    <m/>
    <d v="2016-03-20T00:00:00"/>
    <m/>
    <m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PEDRO ARBE"/>
    <n v="1584"/>
    <m/>
    <m/>
    <s v="CAPITAL FEDERAL"/>
    <s v="Capital Federal"/>
    <m/>
    <s v="U.O.Centro"/>
    <s v="Alvear Palace"/>
    <n v="2"/>
    <n v="1"/>
    <n v="5302.39"/>
    <n v="1060.48"/>
    <m/>
    <m/>
    <n v="4241.91"/>
    <m/>
    <n v="106.05"/>
    <m/>
    <m/>
    <m/>
    <m/>
    <m/>
    <m/>
    <n v="53.03"/>
    <m/>
    <m/>
    <m/>
    <m/>
    <m/>
    <m/>
    <n v="106.05"/>
    <m/>
    <m/>
    <m/>
    <m/>
    <m/>
    <m/>
    <m/>
    <n v="53.03"/>
    <m/>
    <n v="318.16000000000003"/>
  </r>
  <r>
    <n v="12"/>
    <x v="12"/>
    <x v="0"/>
    <n v="163376"/>
    <s v="VARGAS BENITEZ KARINA LUJAN"/>
    <s v="27-37354725-0"/>
    <n v="42744"/>
    <n v="37354725"/>
    <s v="VARGAS BENITEZ"/>
    <s v="KARINA LUJAN"/>
    <s v="F"/>
    <m/>
    <d v="2015-12-02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REPUBLICA DE CUBA"/>
    <n v="1225"/>
    <m/>
    <m/>
    <s v="CAPITAL FEDERAL"/>
    <s v="Buenos Aires"/>
    <m/>
    <s v="U.O.Quilmes"/>
    <m/>
    <n v="2"/>
    <n v="1"/>
    <n v="6718.69"/>
    <n v="1343.73"/>
    <m/>
    <m/>
    <n v="5374.96"/>
    <m/>
    <n v="134.37"/>
    <m/>
    <m/>
    <m/>
    <m/>
    <m/>
    <m/>
    <n v="67.19"/>
    <m/>
    <m/>
    <m/>
    <m/>
    <m/>
    <m/>
    <n v="134.37"/>
    <m/>
    <m/>
    <m/>
    <m/>
    <m/>
    <m/>
    <m/>
    <n v="67.19"/>
    <m/>
    <n v="403.12"/>
  </r>
  <r>
    <n v="12"/>
    <x v="12"/>
    <x v="0"/>
    <n v="140009"/>
    <s v="VEGA JUAN JOSE"/>
    <s v="20-34339212-6"/>
    <n v="42744"/>
    <n v="34339212"/>
    <s v="VEGA"/>
    <s v="JUAN JOSE"/>
    <s v="M"/>
    <m/>
    <d v="2016-08-24T00:00:00"/>
    <m/>
    <m/>
    <s v="GASTRONOMICOS-Hoteles 4 y 5 Estrellas - 362/2003"/>
    <s v="Categoria 2"/>
    <x v="5"/>
    <s v="Bacheros - GL"/>
    <s v="Centro"/>
    <s v="Bachero"/>
    <n v="108803"/>
    <s v="O.S.P.Gastronomico"/>
    <s v="Capital Federal"/>
    <m/>
    <s v="C1104AKC"/>
    <s v="PRUDAN"/>
    <n v="1225"/>
    <n v="5"/>
    <n v="5"/>
    <s v="CAPITAL FEDERAL"/>
    <s v="Buenos Aires"/>
    <m/>
    <s v="U.O.Centro"/>
    <m/>
    <n v="2"/>
    <n v="1"/>
    <n v="9361.85"/>
    <n v="1919.2"/>
    <m/>
    <m/>
    <n v="7442.65"/>
    <n v="234.05"/>
    <m/>
    <m/>
    <m/>
    <m/>
    <m/>
    <m/>
    <m/>
    <n v="93.62"/>
    <m/>
    <m/>
    <m/>
    <m/>
    <m/>
    <m/>
    <n v="187.23"/>
    <m/>
    <m/>
    <m/>
    <m/>
    <m/>
    <m/>
    <m/>
    <n v="93.62"/>
    <m/>
    <n v="608.52"/>
  </r>
  <r>
    <n v="12"/>
    <x v="12"/>
    <x v="0"/>
    <n v="176107"/>
    <s v="VEGA MARIANO EMANUEL"/>
    <s v="20-36845666-8"/>
    <n v="42744"/>
    <n v="36845666"/>
    <s v="VEGA"/>
    <s v="MARIANO EMANUEL"/>
    <s v="M"/>
    <m/>
    <d v="2016-07-22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DRE CARLOS MUGICA"/>
    <n v="1225"/>
    <m/>
    <m/>
    <s v="CAPITAL FEDERAL"/>
    <s v="Buenos Aires"/>
    <m/>
    <s v="U.O.Centro"/>
    <m/>
    <n v="2"/>
    <n v="1"/>
    <n v="5729.89"/>
    <n v="1145.97"/>
    <m/>
    <m/>
    <n v="4583.92"/>
    <m/>
    <n v="114.59"/>
    <m/>
    <m/>
    <m/>
    <m/>
    <m/>
    <m/>
    <n v="57.3"/>
    <m/>
    <m/>
    <m/>
    <m/>
    <m/>
    <m/>
    <n v="114.59"/>
    <m/>
    <m/>
    <m/>
    <m/>
    <m/>
    <m/>
    <m/>
    <n v="57.3"/>
    <m/>
    <n v="343.78"/>
  </r>
  <r>
    <n v="12"/>
    <x v="12"/>
    <x v="0"/>
    <n v="174627"/>
    <s v="VEGA RAMONA CAROLINA"/>
    <s v="27-92893847-1"/>
    <n v="42744"/>
    <n v="92893847"/>
    <s v="VEGA"/>
    <s v="RAMONA CAROLINA"/>
    <s v="F"/>
    <m/>
    <d v="2016-06-24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MARGARITA WEILD"/>
    <n v="1225"/>
    <n v="7"/>
    <s v="A"/>
    <s v="CAPITAL FEDERAL"/>
    <s v="Buenos Aires"/>
    <m/>
    <s v="U.O.Centro"/>
    <m/>
    <n v="2"/>
    <n v="1"/>
    <n v="13478.17"/>
    <n v="2695.62"/>
    <m/>
    <m/>
    <n v="10782.55"/>
    <m/>
    <n v="269.56"/>
    <m/>
    <m/>
    <m/>
    <m/>
    <m/>
    <m/>
    <n v="134.78"/>
    <m/>
    <m/>
    <m/>
    <m/>
    <m/>
    <m/>
    <n v="269.56"/>
    <m/>
    <m/>
    <m/>
    <m/>
    <m/>
    <m/>
    <m/>
    <n v="134.78"/>
    <m/>
    <n v="808.68"/>
  </r>
  <r>
    <n v="12"/>
    <x v="12"/>
    <x v="0"/>
    <n v="182166"/>
    <s v="VELASQUEZ MIRIAM NELIDA"/>
    <s v="27-24009533-0"/>
    <n v="42744"/>
    <n v="24009533"/>
    <s v="VELASQUEZ"/>
    <s v="MIRIAM NELIDA"/>
    <s v="F"/>
    <m/>
    <d v="2016-10-30T00:00:00"/>
    <m/>
    <m/>
    <s v="GASTRONOMICOS-Hoteles 4 y 5 Estrellas - 362/2003"/>
    <s v="Categoria 2"/>
    <x v="5"/>
    <s v="Medio Oficial de lavanderia - GL"/>
    <s v="Centro"/>
    <s v="Medio Oficial de lavandería"/>
    <n v="108803"/>
    <s v="O.S.P.Gastronomico"/>
    <s v="Capital Federal"/>
    <m/>
    <s v="C1104AKC"/>
    <s v="BOLIVAR"/>
    <n v="1225"/>
    <n v="4"/>
    <s v="D4"/>
    <s v="CAPITAL FEDERAL"/>
    <s v="Buenos Aires"/>
    <m/>
    <s v="U.O.Centro"/>
    <m/>
    <n v="2"/>
    <n v="1"/>
    <n v="8105.63"/>
    <n v="1621.12"/>
    <m/>
    <m/>
    <n v="6484.51"/>
    <m/>
    <n v="162.11000000000001"/>
    <m/>
    <m/>
    <m/>
    <m/>
    <m/>
    <m/>
    <n v="81.05"/>
    <m/>
    <m/>
    <m/>
    <m/>
    <m/>
    <m/>
    <n v="162.11000000000001"/>
    <m/>
    <m/>
    <m/>
    <m/>
    <m/>
    <m/>
    <m/>
    <n v="81.05"/>
    <m/>
    <n v="486.32"/>
  </r>
  <r>
    <n v="12"/>
    <x v="12"/>
    <x v="0"/>
    <n v="143424"/>
    <s v="VELASQUEZ NESTOR IGNACIO"/>
    <s v="20-30830390-0"/>
    <n v="42744"/>
    <n v="30830390"/>
    <s v="VELASQUEZ"/>
    <s v="NESTOR IGNACIO"/>
    <s v="M"/>
    <m/>
    <d v="2015-02-06T00:00:00"/>
    <m/>
    <m/>
    <s v="GASTRONOMICOS-Hoteles 4 y 5 Estrellas - 362/2003"/>
    <s v="Categoria 1"/>
    <x v="15"/>
    <s v="Unidad Principal"/>
    <s v="Centro"/>
    <s v="Tareas Generales"/>
    <n v="108803"/>
    <s v="O.S.P.Gastronomico"/>
    <s v="Capital Federal"/>
    <m/>
    <s v="C1070AAE"/>
    <s v="ROMANELLA"/>
    <n v="265"/>
    <m/>
    <m/>
    <s v="CAPITAL FEDERAL"/>
    <s v="Capital Federal"/>
    <m/>
    <s v="U.O.Centro"/>
    <s v="Ayudantes"/>
    <n v="2"/>
    <n v="1"/>
    <n v="21175.03"/>
    <n v="4340.92"/>
    <m/>
    <m/>
    <n v="16834.11"/>
    <n v="529.38"/>
    <m/>
    <m/>
    <m/>
    <m/>
    <m/>
    <m/>
    <m/>
    <n v="211.76"/>
    <m/>
    <m/>
    <m/>
    <m/>
    <m/>
    <m/>
    <n v="423.5"/>
    <m/>
    <m/>
    <m/>
    <m/>
    <m/>
    <m/>
    <m/>
    <n v="211.76"/>
    <m/>
    <n v="1376.4"/>
  </r>
  <r>
    <n v="12"/>
    <x v="12"/>
    <x v="0"/>
    <n v="170478"/>
    <s v="VELAZQUEZ FERNANDO ARIEL"/>
    <s v="20-18830125-9"/>
    <n v="42744"/>
    <n v="18830125"/>
    <s v="VELAZQUEZ"/>
    <s v="FERNANDO ARIEL"/>
    <s v="M"/>
    <m/>
    <d v="2016-03-19T00:00:00"/>
    <m/>
    <m/>
    <s v="GASTRONOMICOS-Hoteles 4 y 5 Estrellas - 362/2003"/>
    <s v="Categoria 1"/>
    <x v="12"/>
    <s v="Unidad Principal"/>
    <s v="Centro"/>
    <s v="Tareas Generales"/>
    <n v="112103"/>
    <s v="O.S.U.O.Metalurgica R.A."/>
    <s v="Capital Federal"/>
    <m/>
    <s v="C1129AAA"/>
    <s v="SARMIENTO"/>
    <n v="1891"/>
    <m/>
    <m/>
    <s v="CAPITAL FEDERAL"/>
    <s v="Capital Federal"/>
    <m/>
    <s v="U.O.Centro"/>
    <s v="Alvear Palace"/>
    <n v="1"/>
    <n v="1"/>
    <n v="118.48"/>
    <n v="23.68"/>
    <m/>
    <m/>
    <n v="94.8"/>
    <m/>
    <n v="2.37"/>
    <m/>
    <m/>
    <m/>
    <m/>
    <m/>
    <m/>
    <n v="1.18"/>
    <m/>
    <m/>
    <m/>
    <m/>
    <m/>
    <m/>
    <n v="2.37"/>
    <m/>
    <m/>
    <m/>
    <m/>
    <m/>
    <m/>
    <m/>
    <n v="1.18"/>
    <m/>
    <n v="7.1"/>
  </r>
  <r>
    <n v="12"/>
    <x v="12"/>
    <x v="0"/>
    <n v="169885"/>
    <s v="VELAZQUEZ NOELIA"/>
    <s v="27-28814358-2"/>
    <n v="42744"/>
    <n v="28814358"/>
    <s v="VELAZQUEZ"/>
    <s v="NOELIA"/>
    <s v="F"/>
    <m/>
    <d v="2016-03-08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LA RIOJA"/>
    <n v="1232"/>
    <m/>
    <m/>
    <s v="CAPITAL FEDERAL"/>
    <s v="Buenos Aires"/>
    <m/>
    <s v="U.O.Centro"/>
    <s v="Ama de Llaves"/>
    <n v="1"/>
    <n v="1"/>
    <n v="10994.21"/>
    <n v="2198.84"/>
    <m/>
    <m/>
    <n v="8795.3700000000008"/>
    <m/>
    <n v="219.88"/>
    <m/>
    <m/>
    <m/>
    <m/>
    <m/>
    <m/>
    <n v="109.94"/>
    <m/>
    <m/>
    <m/>
    <m/>
    <m/>
    <m/>
    <n v="219.88"/>
    <m/>
    <m/>
    <m/>
    <m/>
    <m/>
    <m/>
    <m/>
    <n v="109.94"/>
    <m/>
    <n v="659.64"/>
  </r>
  <r>
    <n v="12"/>
    <x v="12"/>
    <x v="0"/>
    <n v="179327"/>
    <s v="VERA JUAN MATIAS"/>
    <s v="20-32101122-6"/>
    <n v="42744"/>
    <n v="32101122"/>
    <s v="VERA"/>
    <s v="JUAN MATIAS"/>
    <s v="M"/>
    <m/>
    <d v="2016-09-25T00:00:00"/>
    <m/>
    <m/>
    <s v="GASTRONOMICOS-Hoteles 4 y 5 Estrellas - 362/2003"/>
    <s v="Categoria 2"/>
    <x v="5"/>
    <s v="Medio Oficial de lavanderia - GL"/>
    <s v="Centro"/>
    <s v="Medio Oficial de lavandería"/>
    <n v="127406"/>
    <s v="O.S.Obreros y empleados tintoreros, sombrerero y lavanderos"/>
    <s v="Capital Federal"/>
    <m/>
    <s v="C1104AKC"/>
    <s v="CALLE 333 BIS"/>
    <n v="1225"/>
    <m/>
    <m/>
    <s v="CAPITAL FEDERAL"/>
    <s v="Buenos Aires"/>
    <m/>
    <s v="U.O.Centro"/>
    <m/>
    <n v="3"/>
    <n v="1"/>
    <n v="11511.98"/>
    <n v="2302.4"/>
    <m/>
    <m/>
    <n v="9209.58"/>
    <m/>
    <n v="230.25"/>
    <m/>
    <m/>
    <m/>
    <m/>
    <m/>
    <m/>
    <n v="115.12"/>
    <m/>
    <m/>
    <m/>
    <m/>
    <m/>
    <m/>
    <n v="230.25"/>
    <m/>
    <m/>
    <m/>
    <m/>
    <m/>
    <m/>
    <m/>
    <n v="115.12"/>
    <m/>
    <n v="690.74"/>
  </r>
  <r>
    <n v="12"/>
    <x v="12"/>
    <x v="0"/>
    <n v="174054"/>
    <s v="VILLAFAÑE CRISTIAN FABRICIO"/>
    <s v="20-36622446-8"/>
    <n v="42744"/>
    <n v="36622446"/>
    <s v="VILLAFAÑE"/>
    <s v="CRISTIAN FABRICIO"/>
    <s v="M"/>
    <m/>
    <d v="2016-06-10T00:00:00"/>
    <d v="2016-07-01T00:00:00"/>
    <d v="2016-09-29T00:00:00"/>
    <s v="GASTRONOMICOS-Hoteles 4 y 5 Estrellas - 362/2003"/>
    <s v="Categoria 1"/>
    <x v="12"/>
    <s v="Unidad Principal"/>
    <s v="Centro"/>
    <s v="Tareas Generales"/>
    <n v="108803"/>
    <s v="O.S.P.Gastronomico"/>
    <s v="Capital Federal"/>
    <m/>
    <n v="1440"/>
    <s v="GOLETA ESPORA"/>
    <n v="1584"/>
    <m/>
    <m/>
    <s v="CAPITAL FEDERAL"/>
    <s v="Capital Federal"/>
    <m/>
    <s v="U.O.Casa Central"/>
    <s v="Alvear Palace"/>
    <n v="1"/>
    <n v="1"/>
    <n v="5.2"/>
    <n v="1.04"/>
    <m/>
    <m/>
    <n v="4.16"/>
    <m/>
    <n v="0.1"/>
    <m/>
    <m/>
    <m/>
    <m/>
    <m/>
    <m/>
    <n v="0.05"/>
    <m/>
    <m/>
    <m/>
    <m/>
    <m/>
    <m/>
    <n v="0.1"/>
    <m/>
    <m/>
    <m/>
    <m/>
    <m/>
    <m/>
    <m/>
    <n v="0.05"/>
    <m/>
    <n v="0.3"/>
  </r>
  <r>
    <n v="12"/>
    <x v="12"/>
    <x v="0"/>
    <n v="170044"/>
    <s v="VILLANUEVA STELLA MARIS"/>
    <s v="27-24358222-4"/>
    <n v="42744"/>
    <n v="24358222"/>
    <s v="VILLANUEVA"/>
    <s v="STELLA MARIS"/>
    <s v="F"/>
    <m/>
    <d v="2016-03-09T00:00:00"/>
    <m/>
    <m/>
    <s v="GASTRONOMICOS-Hoteles 4 y 5 Estrellas - 362/2003"/>
    <s v="Categoría 4"/>
    <x v="6"/>
    <s v="NUEVOS INGRESOS"/>
    <s v="Centro"/>
    <s v="Mucama"/>
    <n v="108803"/>
    <s v="O.S.P.Gastronomico"/>
    <s v="Capital Federal"/>
    <m/>
    <n v="1093"/>
    <s v="BOLIVAR"/>
    <n v="1232"/>
    <m/>
    <m/>
    <s v="CAPITAL FEDERAL"/>
    <s v="Buenos Aires"/>
    <m/>
    <s v="U.O.Centro"/>
    <s v="Ama de Llaves"/>
    <n v="1"/>
    <n v="1"/>
    <n v="17759.88"/>
    <n v="3551.99"/>
    <m/>
    <m/>
    <n v="14207.89"/>
    <m/>
    <n v="355.2"/>
    <m/>
    <m/>
    <m/>
    <m/>
    <m/>
    <m/>
    <n v="177.6"/>
    <m/>
    <m/>
    <m/>
    <m/>
    <m/>
    <m/>
    <n v="355.2"/>
    <m/>
    <m/>
    <m/>
    <m/>
    <m/>
    <m/>
    <m/>
    <n v="177.6"/>
    <m/>
    <n v="1065.5999999999999"/>
  </r>
  <r>
    <n v="12"/>
    <x v="12"/>
    <x v="1"/>
    <n v="165035"/>
    <s v="VILLAROEL BARRIOS WILMER OLIVER"/>
    <s v="20-95503977-8"/>
    <n v="42737"/>
    <n v="95503977"/>
    <s v="VILLAROEL BARRIOS"/>
    <s v="WILMER OLIVER"/>
    <s v="M"/>
    <m/>
    <d v="2016-01-09T00:00:00"/>
    <m/>
    <m/>
    <s v="GASTRONOMICOS-Hoteles 4 y 5 Estrellas - 362/2003"/>
    <s v="Categoria 5"/>
    <x v="3"/>
    <s v="Unidad Principal"/>
    <s v="Centro"/>
    <s v="Tareas Generales"/>
    <n v="108803"/>
    <s v="O.S.P.Gastronomico"/>
    <s v="Capital Federal"/>
    <m/>
    <s v="C1002ABO"/>
    <s v="COMBATE DE LOS POZOS"/>
    <n v="764"/>
    <m/>
    <m/>
    <s v="CAPITAL FEDERAL"/>
    <s v="Capital Federal"/>
    <m/>
    <s v="U.O.Centro Paga Inplant"/>
    <m/>
    <n v="1"/>
    <n v="1"/>
    <n v="1290.49"/>
    <n v="264.52999999999997"/>
    <m/>
    <m/>
    <n v="1025.96"/>
    <n v="32.26"/>
    <m/>
    <m/>
    <m/>
    <m/>
    <m/>
    <m/>
    <m/>
    <n v="12.9"/>
    <m/>
    <m/>
    <m/>
    <m/>
    <m/>
    <m/>
    <n v="25.81"/>
    <m/>
    <m/>
    <m/>
    <m/>
    <m/>
    <m/>
    <m/>
    <n v="12.9"/>
    <m/>
    <n v="83.87"/>
  </r>
  <r>
    <n v="12"/>
    <x v="12"/>
    <x v="1"/>
    <n v="130773"/>
    <s v="WTOREK WALTER EZEQUIEL"/>
    <s v="20-30454246-3"/>
    <n v="42744"/>
    <n v="30454246"/>
    <s v="WTOREK"/>
    <s v="WALTER EZEQUIEL"/>
    <s v="M"/>
    <m/>
    <d v="2014-07-05T00:00:00"/>
    <m/>
    <m/>
    <s v="GASTRONOMICOS-Hoteles 4 y 5 Estrellas - 362/2003"/>
    <s v="Categoria 6"/>
    <x v="9"/>
    <s v="Unidad Principal"/>
    <s v="Centro"/>
    <s v="Camarero/a"/>
    <n v="108803"/>
    <s v="O.S.P.Gastronomico"/>
    <s v="Capital Federal"/>
    <m/>
    <n v="1049"/>
    <n v="854"/>
    <n v="535"/>
    <m/>
    <m/>
    <s v="CAPITAL FEDERAL"/>
    <s v="Capital Federal"/>
    <m/>
    <s v="U.O.Centro Paga Inplant"/>
    <s v="MOZOS"/>
    <n v="2"/>
    <n v="1"/>
    <n v="27507.09"/>
    <n v="5638.98"/>
    <m/>
    <m/>
    <n v="21868.11"/>
    <n v="687.68"/>
    <m/>
    <m/>
    <m/>
    <m/>
    <m/>
    <m/>
    <m/>
    <n v="275.08"/>
    <m/>
    <m/>
    <m/>
    <m/>
    <m/>
    <m/>
    <n v="550.14"/>
    <m/>
    <m/>
    <m/>
    <m/>
    <m/>
    <m/>
    <m/>
    <n v="275.08"/>
    <m/>
    <n v="1787.98"/>
  </r>
  <r>
    <n v="12"/>
    <x v="12"/>
    <x v="0"/>
    <n v="181422"/>
    <s v="ZACARIAS JOEL ADRIANO"/>
    <s v="20-31376823-7"/>
    <n v="42744"/>
    <n v="31376823"/>
    <s v="ZACARIAS"/>
    <s v="JOEL ADRIANO"/>
    <s v="M"/>
    <m/>
    <d v="2016-10-21T00:00:00"/>
    <m/>
    <m/>
    <s v="GASTRONOMICOS-Hoteles 4 y 5 Estrellas - 362/2003"/>
    <s v="Categoria 3"/>
    <x v="5"/>
    <s v="Cocina - GL"/>
    <s v="Centro"/>
    <s v="Ayudante de Cocina"/>
    <n v="108803"/>
    <s v="O.S.P.Gastronomico"/>
    <s v="Capital Federal"/>
    <m/>
    <s v="C1104AKC"/>
    <s v="PASAJE ANIBAL TROILO"/>
    <n v="1225"/>
    <n v="1"/>
    <n v="3"/>
    <s v="CAPITAL FEDERAL"/>
    <s v="Buenos Aires"/>
    <m/>
    <s v="U.O.Centro"/>
    <m/>
    <n v="2"/>
    <n v="1"/>
    <n v="14324.68"/>
    <n v="2864.94"/>
    <m/>
    <m/>
    <n v="11459.74"/>
    <m/>
    <n v="286.5"/>
    <m/>
    <m/>
    <m/>
    <m/>
    <m/>
    <m/>
    <n v="143.24"/>
    <m/>
    <m/>
    <m/>
    <m/>
    <m/>
    <m/>
    <n v="286.5"/>
    <m/>
    <m/>
    <m/>
    <m/>
    <m/>
    <m/>
    <m/>
    <n v="143.24"/>
    <m/>
    <n v="859.48"/>
  </r>
  <r>
    <n v="12"/>
    <x v="12"/>
    <x v="0"/>
    <n v="148949"/>
    <s v="ZACARIAS JOEL DANIEL"/>
    <s v="20-37744168-1"/>
    <n v="42744"/>
    <n v="37744168"/>
    <s v="ZACARIAS"/>
    <s v="JOEL DANIEL"/>
    <s v="M"/>
    <m/>
    <d v="2016-11-02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MZNA"/>
    <n v="181"/>
    <n v="1"/>
    <s v="A"/>
    <s v="CAPITAL FEDERAL"/>
    <s v="Capital Federal"/>
    <m/>
    <s v="U.O.Centro"/>
    <m/>
    <n v="1"/>
    <n v="1"/>
    <n v="7814.87"/>
    <n v="1562.99"/>
    <m/>
    <m/>
    <n v="6251.88"/>
    <m/>
    <n v="156.30000000000001"/>
    <m/>
    <m/>
    <m/>
    <m/>
    <m/>
    <m/>
    <n v="78.150000000000006"/>
    <m/>
    <m/>
    <m/>
    <m/>
    <m/>
    <m/>
    <n v="156.30000000000001"/>
    <m/>
    <m/>
    <m/>
    <m/>
    <m/>
    <m/>
    <m/>
    <n v="78.150000000000006"/>
    <m/>
    <n v="468.9"/>
  </r>
  <r>
    <n v="12"/>
    <x v="12"/>
    <x v="0"/>
    <n v="74589"/>
    <s v="ZACARIAS PAULA GABRIELA"/>
    <s v="27-27788768-7"/>
    <n v="42744"/>
    <n v="27788768"/>
    <s v="ZACARIAS"/>
    <s v="PAULA GABRIELA"/>
    <s v="F"/>
    <m/>
    <d v="2016-10-31T00:00:00"/>
    <m/>
    <m/>
    <s v="GASTRONOMICOS-Hoteles 4 y 5 Estrellas - 362/2003"/>
    <s v="Categoria 6"/>
    <x v="7"/>
    <s v="Unidad Base-GL"/>
    <s v="Centro"/>
    <s v="Camarero/a"/>
    <n v="108803"/>
    <s v="O.S.P.Gastronomico"/>
    <s v="Capital Federal"/>
    <m/>
    <s v="C1022AAB"/>
    <s v="MANZANA 27 EDIF B10"/>
    <n v="181"/>
    <n v="1"/>
    <s v="D"/>
    <s v="CAPITAL FEDERAL"/>
    <s v="Capital Federal"/>
    <m/>
    <s v="U.O.Centro"/>
    <m/>
    <n v="1"/>
    <n v="1"/>
    <n v="9319.11"/>
    <n v="1863.81"/>
    <m/>
    <m/>
    <n v="7455.3"/>
    <m/>
    <n v="186.38"/>
    <m/>
    <m/>
    <m/>
    <m/>
    <m/>
    <m/>
    <n v="93.19"/>
    <m/>
    <m/>
    <m/>
    <m/>
    <m/>
    <m/>
    <n v="186.38"/>
    <m/>
    <m/>
    <m/>
    <m/>
    <m/>
    <m/>
    <m/>
    <n v="93.19"/>
    <m/>
    <n v="559.14"/>
  </r>
  <r>
    <n v="12"/>
    <x v="12"/>
    <x v="0"/>
    <n v="172976"/>
    <s v="ZOZAYA GABRIELA ALICIA"/>
    <s v="27-36457426-1"/>
    <n v="42725"/>
    <n v="36457426"/>
    <s v="ZOZAYA"/>
    <s v="GABRIELA ALICIA"/>
    <s v="F"/>
    <m/>
    <d v="2016-05-11T00:00:00"/>
    <m/>
    <m/>
    <s v="GASTRONOMICOS-Hoteles 4 y 5 Estrellas - 362/2003"/>
    <s v="Categoria 6"/>
    <x v="1"/>
    <s v="Banquetes Extra Eventual - GL"/>
    <s v="Centro"/>
    <s v="Tareas Generales"/>
    <n v="108803"/>
    <s v="O.S.P.Gastronomico"/>
    <s v="Capital Federal"/>
    <m/>
    <n v="1005"/>
    <s v="CABO VERDE"/>
    <n v="1005"/>
    <m/>
    <m/>
    <s v="CAPITAL FEDERAL"/>
    <s v="Capital Federal"/>
    <m/>
    <s v="U.O.Centro"/>
    <m/>
    <n v="1"/>
    <n v="1"/>
    <n v="390.69"/>
    <n v="78.14"/>
    <m/>
    <m/>
    <n v="312.55"/>
    <m/>
    <n v="7.81"/>
    <m/>
    <m/>
    <m/>
    <m/>
    <m/>
    <m/>
    <n v="3.91"/>
    <m/>
    <m/>
    <m/>
    <m/>
    <m/>
    <m/>
    <n v="7.81"/>
    <m/>
    <m/>
    <m/>
    <m/>
    <m/>
    <m/>
    <m/>
    <n v="3.91"/>
    <m/>
    <n v="23.44"/>
  </r>
  <r>
    <n v="12"/>
    <x v="12"/>
    <x v="0"/>
    <n v="164888"/>
    <s v="ZURCO IRINA BELEN"/>
    <s v="27-35930307-1"/>
    <n v="42744"/>
    <n v="35930307"/>
    <s v="ZURCO"/>
    <s v="IRINA BELEN"/>
    <s v="F"/>
    <m/>
    <d v="2015-12-23T00:00:00"/>
    <m/>
    <m/>
    <s v="GASTRONOMICOS-Hoteles 4 y 5 Estrellas - 362/2003"/>
    <s v="Categoria 6"/>
    <x v="5"/>
    <s v="Mozos / camareros - GL"/>
    <s v="Centro"/>
    <s v="Camarero/a"/>
    <n v="108803"/>
    <s v="O.S.P.Gastronomico"/>
    <s v="Capital Federal"/>
    <m/>
    <s v="C1104AKC"/>
    <s v="MARCHENA"/>
    <n v="1225"/>
    <m/>
    <m/>
    <s v="CAPITAL FEDERAL"/>
    <s v="Buenos Aires"/>
    <m/>
    <s v="U.O.Centro"/>
    <m/>
    <n v="3"/>
    <n v="1"/>
    <n v="9014.1200000000008"/>
    <n v="1802.81"/>
    <m/>
    <m/>
    <n v="7211.31"/>
    <m/>
    <n v="180.28"/>
    <m/>
    <m/>
    <m/>
    <m/>
    <m/>
    <m/>
    <n v="90.14"/>
    <m/>
    <m/>
    <m/>
    <m/>
    <m/>
    <m/>
    <n v="180.28"/>
    <m/>
    <m/>
    <m/>
    <m/>
    <m/>
    <m/>
    <m/>
    <n v="90.14"/>
    <m/>
    <n v="540.84"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"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2" cacheId="0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 chartFormat="5">
  <location ref="C514:P526" firstHeaderRow="1" firstDataRow="2" firstDataCol="1"/>
  <pivotFields count="68">
    <pivotField showAll="0"/>
    <pivotField axis="axisCol" showAll="0">
      <items count="14">
        <item x="1"/>
        <item x="2"/>
        <item x="3"/>
        <item x="4"/>
        <item h="1" x="0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1">
    <i>
      <x v="5"/>
    </i>
    <i>
      <x v="3"/>
    </i>
    <i>
      <x v="1"/>
    </i>
    <i>
      <x v="6"/>
    </i>
    <i>
      <x v="9"/>
    </i>
    <i>
      <x v="7"/>
    </i>
    <i>
      <x v="17"/>
    </i>
    <i>
      <x v="11"/>
    </i>
    <i>
      <x v="12"/>
    </i>
    <i>
      <x v="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uenta de Legajos" fld="36" subtotal="count" baseField="0" baseItem="0"/>
  </dataFields>
  <formats count="14">
    <format dxfId="14">
      <pivotArea collapsedLevelsAreSubtotals="1" fieldPosition="0">
        <references count="1">
          <reference field="17" count="1">
            <x v="12"/>
          </reference>
        </references>
      </pivotArea>
    </format>
    <format dxfId="13">
      <pivotArea dataOnly="0" labelOnly="1" fieldPosition="0">
        <references count="1">
          <reference field="17" count="1">
            <x v="12"/>
          </reference>
        </references>
      </pivotArea>
    </format>
    <format dxfId="12">
      <pivotArea collapsedLevelsAreSubtotals="1" fieldPosition="0">
        <references count="1">
          <reference field="17" count="1">
            <x v="11"/>
          </reference>
        </references>
      </pivotArea>
    </format>
    <format dxfId="11">
      <pivotArea dataOnly="0" labelOnly="1" fieldPosition="0">
        <references count="1">
          <reference field="17" count="1">
            <x v="11"/>
          </reference>
        </references>
      </pivotArea>
    </format>
    <format dxfId="10">
      <pivotArea collapsedLevelsAreSubtotals="1" fieldPosition="0">
        <references count="1">
          <reference field="17" count="1">
            <x v="3"/>
          </reference>
        </references>
      </pivotArea>
    </format>
    <format dxfId="9">
      <pivotArea dataOnly="0" labelOnly="1" fieldPosition="0">
        <references count="1">
          <reference field="17" count="1">
            <x v="3"/>
          </reference>
        </references>
      </pivotArea>
    </format>
    <format dxfId="8">
      <pivotArea collapsedLevelsAreSubtotals="1" fieldPosition="0">
        <references count="1">
          <reference field="17" count="1">
            <x v="9"/>
          </reference>
        </references>
      </pivotArea>
    </format>
    <format dxfId="7">
      <pivotArea dataOnly="0" labelOnly="1" fieldPosition="0">
        <references count="1">
          <reference field="17" count="1">
            <x v="9"/>
          </reference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17" count="10">
            <x v="1"/>
            <x v="3"/>
            <x v="4"/>
            <x v="5"/>
            <x v="6"/>
            <x v="7"/>
            <x v="9"/>
            <x v="11"/>
            <x v="12"/>
            <x v="17"/>
          </reference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</chartFormats>
  <pivotTableStyleInfo name="PivotStyleMedium7" showRowHeaders="1" showColHeaders="1" showRowStripes="0" showColStripes="0" showLastColumn="1"/>
  <filters count="1">
    <filter fld="1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 dinámica3" cacheId="0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 chartFormat="10">
  <location ref="C550:J556" firstHeaderRow="1" firstDataRow="2" firstDataCol="1" rowPageCount="1" colPageCount="1"/>
  <pivotFields count="68">
    <pivotField showAll="0"/>
    <pivotField axis="axisCol" showAll="0">
      <items count="14">
        <item x="1"/>
        <item x="2"/>
        <item x="3"/>
        <item x="4"/>
        <item h="1" x="0"/>
        <item x="5"/>
        <item x="6"/>
        <item h="1" x="7"/>
        <item h="1" x="8"/>
        <item h="1" x="9"/>
        <item h="1" x="10"/>
        <item h="1" x="11"/>
        <item h="1" x="1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 v="3"/>
    </i>
    <i>
      <x v="9"/>
    </i>
    <i>
      <x v="12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5"/>
    </i>
    <i>
      <x v="6"/>
    </i>
    <i t="grand">
      <x/>
    </i>
  </colItems>
  <pageFields count="1">
    <pageField fld="2" item="0" hier="-1"/>
  </pageFields>
  <dataFields count="1">
    <dataField name="Cuenta de Legajos" fld="36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Medium8" showRowHeaders="1" showColHeaders="1" showRowStripes="0" showColStripes="0" showLastColumn="1"/>
  <filters count="1">
    <filter fld="1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 dinámica4" cacheId="0" applyNumberFormats="0" applyBorderFormats="0" applyFontFormats="0" applyPatternFormats="0" applyAlignmentFormats="0" applyWidthHeightFormats="1" dataCaption="Valores" updatedVersion="5" minRefreshableVersion="3" colGrandTotals="0" itemPrintTitles="1" createdVersion="5" indent="0" outline="1" outlineData="1" multipleFieldFilters="0" chartFormat="12">
  <location ref="C584:E596" firstHeaderRow="1" firstDataRow="2" firstDataCol="1"/>
  <pivotFields count="68">
    <pivotField showAll="0"/>
    <pivotField showAll="0"/>
    <pivotField axis="axisCol" showAll="0">
      <items count="3">
        <item n="LIQUIDADOS" x="1"/>
        <item n="NO LIQUIDADOS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1">
    <i>
      <x v="5"/>
    </i>
    <i>
      <x v="3"/>
    </i>
    <i>
      <x v="1"/>
    </i>
    <i>
      <x v="6"/>
    </i>
    <i>
      <x v="9"/>
    </i>
    <i>
      <x v="7"/>
    </i>
    <i>
      <x v="17"/>
    </i>
    <i>
      <x v="11"/>
    </i>
    <i>
      <x v="12"/>
    </i>
    <i>
      <x v="4"/>
    </i>
    <i t="grand">
      <x/>
    </i>
  </rowItems>
  <colFields count="1">
    <field x="2"/>
  </colFields>
  <colItems count="2">
    <i>
      <x/>
    </i>
    <i>
      <x v="1"/>
    </i>
  </colItems>
  <dataFields count="1">
    <dataField name="Cuenta de Legajos" fld="36" subtotal="count" baseField="0" baseItem="0"/>
  </dataFields>
  <formats count="9">
    <format dxfId="23">
      <pivotArea field="17" type="button" dataOnly="0" labelOnly="1" outline="0" axis="axisRow" fieldPosition="0"/>
    </format>
    <format dxfId="22">
      <pivotArea dataOnly="0" labelOnly="1" fieldPosition="0">
        <references count="1">
          <reference field="2" count="0"/>
        </references>
      </pivotArea>
    </format>
    <format dxfId="21">
      <pivotArea dataOnly="0" labelOnly="1" grandCol="1" outline="0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fieldPosition="0">
        <references count="1">
          <reference field="17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Col="1" outline="0" fieldPosition="0"/>
    </format>
  </formats>
  <chartFormats count="3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" showRowHeaders="1" showColHeaders="1" showRowStripes="0" showColStripes="0" showLastColumn="1"/>
  <filters count="1">
    <filter fld="1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  <pageSetUpPr fitToPage="1"/>
  </sheetPr>
  <dimension ref="A1:T605"/>
  <sheetViews>
    <sheetView showGridLines="0" topLeftCell="A175" zoomScale="85" zoomScaleNormal="85" workbookViewId="0">
      <selection activeCell="N58" sqref="N58"/>
    </sheetView>
  </sheetViews>
  <sheetFormatPr baseColWidth="10" defaultColWidth="0" defaultRowHeight="15" x14ac:dyDescent="0.25"/>
  <cols>
    <col min="1" max="2" width="1" style="2" customWidth="1"/>
    <col min="3" max="3" width="33.28515625" style="2" customWidth="1"/>
    <col min="4" max="4" width="16.140625" style="2" customWidth="1"/>
    <col min="5" max="6" width="15.85546875" style="2" customWidth="1"/>
    <col min="7" max="14" width="16" style="2" bestFit="1" customWidth="1"/>
    <col min="15" max="15" width="14.42578125" style="2" customWidth="1"/>
    <col min="16" max="16" width="18.85546875" style="2" bestFit="1" customWidth="1"/>
    <col min="17" max="17" width="0.85546875" style="2" customWidth="1"/>
    <col min="18" max="18" width="2" style="2" customWidth="1"/>
    <col min="19" max="16384" width="11.42578125" style="2" hidden="1"/>
  </cols>
  <sheetData>
    <row r="1" spans="1:20" ht="6" customHeight="1" x14ac:dyDescent="0.25"/>
    <row r="2" spans="1:20" x14ac:dyDescent="0.25">
      <c r="A2" s="3"/>
      <c r="B2" s="3"/>
      <c r="C2" s="62" t="s">
        <v>0</v>
      </c>
      <c r="D2" s="63" t="e">
        <f>+#REF!</f>
        <v>#REF!</v>
      </c>
      <c r="E2" s="64"/>
      <c r="F2" s="64"/>
      <c r="G2" s="64"/>
      <c r="H2" s="65"/>
      <c r="I2" s="66"/>
      <c r="J2" s="66"/>
      <c r="K2" s="66"/>
      <c r="L2" s="66"/>
      <c r="M2" s="66"/>
      <c r="N2" s="66"/>
      <c r="O2" s="66"/>
      <c r="P2" s="66"/>
      <c r="Q2" s="66"/>
      <c r="R2" s="3"/>
      <c r="S2" s="3"/>
      <c r="T2" s="3"/>
    </row>
    <row r="3" spans="1:20" x14ac:dyDescent="0.25">
      <c r="A3" s="3"/>
      <c r="B3" s="3"/>
      <c r="C3" s="62" t="s">
        <v>1</v>
      </c>
      <c r="D3" s="63" t="e">
        <f>+#REF!</f>
        <v>#REF!</v>
      </c>
      <c r="E3" s="64"/>
      <c r="F3" s="64"/>
      <c r="G3" s="64"/>
      <c r="H3" s="65"/>
      <c r="I3" s="66"/>
      <c r="J3" s="66"/>
      <c r="K3" s="66"/>
      <c r="L3" s="66"/>
      <c r="M3" s="66"/>
      <c r="N3" s="66"/>
      <c r="O3" s="66"/>
      <c r="P3" s="66"/>
      <c r="Q3" s="66"/>
      <c r="R3" s="3"/>
      <c r="S3" s="3"/>
      <c r="T3" s="3"/>
    </row>
    <row r="4" spans="1:20" x14ac:dyDescent="0.25">
      <c r="A4" s="3"/>
      <c r="B4" s="3"/>
      <c r="C4" s="62" t="s">
        <v>3</v>
      </c>
      <c r="D4" s="63" t="e">
        <f>+#REF!</f>
        <v>#REF!</v>
      </c>
      <c r="E4" s="64"/>
      <c r="F4" s="64"/>
      <c r="G4" s="64"/>
      <c r="H4" s="65"/>
      <c r="I4" s="66"/>
      <c r="J4" s="66"/>
      <c r="K4" s="66"/>
      <c r="L4" s="66"/>
      <c r="M4" s="66"/>
      <c r="N4" s="66"/>
      <c r="O4" s="66"/>
      <c r="P4" s="66"/>
      <c r="Q4" s="66"/>
      <c r="R4" s="3"/>
      <c r="S4" s="3"/>
      <c r="T4" s="3"/>
    </row>
    <row r="5" spans="1:20" x14ac:dyDescent="0.25">
      <c r="A5" s="3"/>
      <c r="B5" s="3"/>
      <c r="C5" s="62" t="s">
        <v>4</v>
      </c>
      <c r="D5" s="67" t="e">
        <f>+#REF!</f>
        <v>#REF!</v>
      </c>
      <c r="E5" s="64"/>
      <c r="F5" s="64"/>
      <c r="G5" s="64"/>
      <c r="H5" s="65"/>
      <c r="I5" s="66"/>
      <c r="J5" s="66"/>
      <c r="K5" s="66"/>
      <c r="L5" s="66"/>
      <c r="M5" s="66"/>
      <c r="N5" s="66"/>
      <c r="O5" s="66"/>
      <c r="P5" s="66"/>
      <c r="Q5" s="66"/>
      <c r="R5" s="3"/>
      <c r="S5" s="3"/>
      <c r="T5" s="3"/>
    </row>
    <row r="6" spans="1:20" x14ac:dyDescent="0.25">
      <c r="A6" s="3"/>
      <c r="B6" s="3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3"/>
      <c r="S6" s="3"/>
      <c r="T6" s="3"/>
    </row>
    <row r="7" spans="1:20" x14ac:dyDescent="0.25">
      <c r="A7" s="3"/>
      <c r="B7" s="3"/>
      <c r="C7" s="62" t="s">
        <v>5</v>
      </c>
      <c r="D7" s="68" t="e">
        <f>+#REF!</f>
        <v>#REF!</v>
      </c>
      <c r="E7" s="68" t="e">
        <f>+#REF!</f>
        <v>#REF!</v>
      </c>
      <c r="F7" s="68" t="e">
        <f>+#REF!</f>
        <v>#REF!</v>
      </c>
      <c r="G7" s="68" t="e">
        <f>+#REF!</f>
        <v>#REF!</v>
      </c>
      <c r="H7" s="68" t="e">
        <f>+#REF!</f>
        <v>#REF!</v>
      </c>
      <c r="I7" s="68" t="e">
        <f>+#REF!</f>
        <v>#REF!</v>
      </c>
      <c r="J7" s="68" t="e">
        <f>+#REF!</f>
        <v>#REF!</v>
      </c>
      <c r="K7" s="68" t="e">
        <f>+#REF!</f>
        <v>#REF!</v>
      </c>
      <c r="L7" s="68" t="e">
        <f>+#REF!</f>
        <v>#REF!</v>
      </c>
      <c r="M7" s="68" t="e">
        <f>+#REF!</f>
        <v>#REF!</v>
      </c>
      <c r="N7" s="68" t="e">
        <f>+#REF!</f>
        <v>#REF!</v>
      </c>
      <c r="O7" s="68" t="e">
        <f>+#REF!</f>
        <v>#REF!</v>
      </c>
      <c r="P7" s="69" t="s">
        <v>6</v>
      </c>
      <c r="Q7" s="66"/>
      <c r="R7" s="3"/>
      <c r="S7" s="3"/>
      <c r="T7" s="3"/>
    </row>
    <row r="8" spans="1:20" x14ac:dyDescent="0.25">
      <c r="A8" s="3"/>
      <c r="B8" s="3"/>
      <c r="C8" s="62" t="s">
        <v>7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1">
        <f>SUM(D8:O8)</f>
        <v>0</v>
      </c>
      <c r="Q8" s="66"/>
      <c r="R8" s="3"/>
      <c r="S8" s="3"/>
      <c r="T8" s="3"/>
    </row>
    <row r="9" spans="1:20" x14ac:dyDescent="0.25">
      <c r="A9" s="3"/>
      <c r="B9" s="3"/>
      <c r="C9" s="62" t="s">
        <v>8</v>
      </c>
      <c r="D9" s="72">
        <f>COUNTIFS('EJEMPLO DE NOMINA'!$B$102:$B$1048576,'02. Liquidacion anual (NEW)'!D$7)</f>
        <v>0</v>
      </c>
      <c r="E9" s="72">
        <f>COUNTIFS('EJEMPLO DE NOMINA'!$B$102:$B$1048576,'02. Liquidacion anual (NEW)'!E$7)</f>
        <v>0</v>
      </c>
      <c r="F9" s="72">
        <f>COUNTIFS('EJEMPLO DE NOMINA'!$B$102:$B$1048576,'02. Liquidacion anual (NEW)'!F$7)</f>
        <v>0</v>
      </c>
      <c r="G9" s="72">
        <f>COUNTIFS('EJEMPLO DE NOMINA'!$B$102:$B$1048576,'02. Liquidacion anual (NEW)'!G$7)</f>
        <v>0</v>
      </c>
      <c r="H9" s="72">
        <f>COUNTIFS('EJEMPLO DE NOMINA'!$B$102:$B$1048576,'02. Liquidacion anual (NEW)'!H$7)</f>
        <v>0</v>
      </c>
      <c r="I9" s="72">
        <f>COUNTIFS('EJEMPLO DE NOMINA'!$B$102:$B$1048576,'02. Liquidacion anual (NEW)'!I$7)</f>
        <v>0</v>
      </c>
      <c r="J9" s="72">
        <f>COUNTIFS('EJEMPLO DE NOMINA'!$B$102:$B$1048576,'02. Liquidacion anual (NEW)'!J$7)</f>
        <v>0</v>
      </c>
      <c r="K9" s="72">
        <f>COUNTIFS('EJEMPLO DE NOMINA'!$B$102:$B$1048576,'02. Liquidacion anual (NEW)'!K$7)</f>
        <v>0</v>
      </c>
      <c r="L9" s="72">
        <f>COUNTIFS('EJEMPLO DE NOMINA'!$B$102:$B$1048576,'02. Liquidacion anual (NEW)'!L$7)</f>
        <v>0</v>
      </c>
      <c r="M9" s="72">
        <f>COUNTIFS('EJEMPLO DE NOMINA'!$B$102:$B$1048576,'02. Liquidacion anual (NEW)'!M$7)</f>
        <v>0</v>
      </c>
      <c r="N9" s="72">
        <f>COUNTIFS('EJEMPLO DE NOMINA'!$B$102:$B$1048576,'02. Liquidacion anual (NEW)'!N$7)</f>
        <v>0</v>
      </c>
      <c r="O9" s="72">
        <f>COUNTIFS('EJEMPLO DE NOMINA'!$B$102:$B$1048576,'02. Liquidacion anual (NEW)'!O$7)</f>
        <v>0</v>
      </c>
      <c r="P9" s="73">
        <f>AVERAGE(D9:O9)</f>
        <v>0</v>
      </c>
      <c r="Q9" s="66"/>
      <c r="R9" s="3"/>
      <c r="S9" s="3"/>
      <c r="T9" s="3"/>
    </row>
    <row r="10" spans="1:20" x14ac:dyDescent="0.25">
      <c r="A10" s="3"/>
      <c r="B10" s="3"/>
      <c r="C10" s="62" t="s">
        <v>2</v>
      </c>
      <c r="D10" s="74">
        <f>SUMIFS('EJEMPLO DE NOMINA'!$AM$102:$AM$1048576,'EJEMPLO DE NOMINA'!$B$102:$B$1048576,'02. Liquidacion anual (NEW)'!D$7)</f>
        <v>0</v>
      </c>
      <c r="E10" s="74">
        <f>SUMIFS('EJEMPLO DE NOMINA'!$AM$102:$AM$1048576,'EJEMPLO DE NOMINA'!$B$102:$B$1048576,'02. Liquidacion anual (NEW)'!E$7)</f>
        <v>0</v>
      </c>
      <c r="F10" s="74">
        <f>SUMIFS('EJEMPLO DE NOMINA'!$AM$102:$AM$1048576,'EJEMPLO DE NOMINA'!$B$102:$B$1048576,'02. Liquidacion anual (NEW)'!F$7)</f>
        <v>0</v>
      </c>
      <c r="G10" s="74">
        <f>SUMIFS('EJEMPLO DE NOMINA'!$AM$102:$AM$1048576,'EJEMPLO DE NOMINA'!$B$102:$B$1048576,'02. Liquidacion anual (NEW)'!G$7)</f>
        <v>0</v>
      </c>
      <c r="H10" s="74">
        <f>SUMIFS('EJEMPLO DE NOMINA'!$AM$102:$AM$1048576,'EJEMPLO DE NOMINA'!$B$102:$B$1048576,'02. Liquidacion anual (NEW)'!H$7)</f>
        <v>0</v>
      </c>
      <c r="I10" s="74">
        <f>SUMIFS('EJEMPLO DE NOMINA'!$AM$102:$AM$1048576,'EJEMPLO DE NOMINA'!$B$102:$B$1048576,'02. Liquidacion anual (NEW)'!I$7)</f>
        <v>0</v>
      </c>
      <c r="J10" s="74">
        <f>SUMIFS('EJEMPLO DE NOMINA'!$AM$102:$AM$1048576,'EJEMPLO DE NOMINA'!$B$102:$B$1048576,'02. Liquidacion anual (NEW)'!J$7)</f>
        <v>0</v>
      </c>
      <c r="K10" s="74">
        <f>SUMIFS('EJEMPLO DE NOMINA'!$AM$102:$AM$1048576,'EJEMPLO DE NOMINA'!$B$102:$B$1048576,'02. Liquidacion anual (NEW)'!K$7)</f>
        <v>0</v>
      </c>
      <c r="L10" s="74">
        <f>SUMIFS('EJEMPLO DE NOMINA'!$AM$102:$AM$1048576,'EJEMPLO DE NOMINA'!$B$102:$B$1048576,'02. Liquidacion anual (NEW)'!L$7)</f>
        <v>0</v>
      </c>
      <c r="M10" s="74">
        <f>SUMIFS('EJEMPLO DE NOMINA'!$AM$102:$AM$1048576,'EJEMPLO DE NOMINA'!$B$102:$B$1048576,'02. Liquidacion anual (NEW)'!M$7)</f>
        <v>0</v>
      </c>
      <c r="N10" s="74">
        <f>SUMIFS('EJEMPLO DE NOMINA'!$AM$102:$AM$1048576,'EJEMPLO DE NOMINA'!$B$102:$B$1048576,'02. Liquidacion anual (NEW)'!N$7)</f>
        <v>0</v>
      </c>
      <c r="O10" s="74">
        <f>SUMIFS('EJEMPLO DE NOMINA'!$AM$102:$AM$1048576,'EJEMPLO DE NOMINA'!$B$102:$B$1048576,'02. Liquidacion anual (NEW)'!O$7)</f>
        <v>0</v>
      </c>
      <c r="P10" s="71">
        <f t="shared" ref="P10:P11" si="0">SUM(D10:O10)</f>
        <v>0</v>
      </c>
      <c r="Q10" s="66"/>
      <c r="R10" s="3"/>
      <c r="S10" s="3"/>
      <c r="T10" s="3"/>
    </row>
    <row r="11" spans="1:20" x14ac:dyDescent="0.25">
      <c r="A11" s="3"/>
      <c r="B11" s="3"/>
      <c r="C11" s="62" t="s">
        <v>9</v>
      </c>
      <c r="D11" s="74">
        <f>SUMIFS('EJEMPLO DE NOMINA'!$AP$102:$AP$1048576,'EJEMPLO DE NOMINA'!$B$102:$B$1048576,'02. Liquidacion anual (NEW)'!D$7)</f>
        <v>0</v>
      </c>
      <c r="E11" s="74">
        <f>SUMIFS('EJEMPLO DE NOMINA'!$AP$102:$AP$1048576,'EJEMPLO DE NOMINA'!$B$102:$B$1048576,'02. Liquidacion anual (NEW)'!E$7)</f>
        <v>0</v>
      </c>
      <c r="F11" s="74">
        <f>SUMIFS('EJEMPLO DE NOMINA'!$AP$102:$AP$1048576,'EJEMPLO DE NOMINA'!$B$102:$B$1048576,'02. Liquidacion anual (NEW)'!F$7)</f>
        <v>0</v>
      </c>
      <c r="G11" s="74">
        <f>SUMIFS('EJEMPLO DE NOMINA'!$AP$102:$AP$1048576,'EJEMPLO DE NOMINA'!$B$102:$B$1048576,'02. Liquidacion anual (NEW)'!G$7)</f>
        <v>0</v>
      </c>
      <c r="H11" s="74">
        <f>SUMIFS('EJEMPLO DE NOMINA'!$AP$102:$AP$1048576,'EJEMPLO DE NOMINA'!$B$102:$B$1048576,'02. Liquidacion anual (NEW)'!H$7)</f>
        <v>0</v>
      </c>
      <c r="I11" s="74">
        <f>SUMIFS('EJEMPLO DE NOMINA'!$AP$102:$AP$1048576,'EJEMPLO DE NOMINA'!$B$102:$B$1048576,'02. Liquidacion anual (NEW)'!I$7)</f>
        <v>0</v>
      </c>
      <c r="J11" s="74">
        <f>SUMIFS('EJEMPLO DE NOMINA'!$AP$102:$AP$1048576,'EJEMPLO DE NOMINA'!$B$102:$B$1048576,'02. Liquidacion anual (NEW)'!J$7)</f>
        <v>0</v>
      </c>
      <c r="K11" s="74">
        <f>SUMIFS('EJEMPLO DE NOMINA'!$AP$102:$AP$1048576,'EJEMPLO DE NOMINA'!$B$102:$B$1048576,'02. Liquidacion anual (NEW)'!K$7)</f>
        <v>0</v>
      </c>
      <c r="L11" s="74">
        <f>SUMIFS('EJEMPLO DE NOMINA'!$AP$102:$AP$1048576,'EJEMPLO DE NOMINA'!$B$102:$B$1048576,'02. Liquidacion anual (NEW)'!L$7)</f>
        <v>0</v>
      </c>
      <c r="M11" s="74">
        <f>SUMIFS('EJEMPLO DE NOMINA'!$AP$102:$AP$1048576,'EJEMPLO DE NOMINA'!$B$102:$B$1048576,'02. Liquidacion anual (NEW)'!M$7)</f>
        <v>0</v>
      </c>
      <c r="N11" s="74">
        <f>SUMIFS('EJEMPLO DE NOMINA'!$AP$102:$AP$1048576,'EJEMPLO DE NOMINA'!$B$102:$B$1048576,'02. Liquidacion anual (NEW)'!N$7)</f>
        <v>0</v>
      </c>
      <c r="O11" s="74">
        <f>SUMIFS('EJEMPLO DE NOMINA'!$AP$102:$AP$1048576,'EJEMPLO DE NOMINA'!$B$102:$B$1048576,'02. Liquidacion anual (NEW)'!O$7)</f>
        <v>0</v>
      </c>
      <c r="P11" s="71">
        <f t="shared" si="0"/>
        <v>0</v>
      </c>
      <c r="Q11" s="66"/>
      <c r="R11" s="3"/>
      <c r="S11" s="3"/>
      <c r="T11" s="3"/>
    </row>
    <row r="12" spans="1:20" ht="15.75" customHeight="1" x14ac:dyDescent="0.25">
      <c r="A12" s="3"/>
      <c r="B12" s="3"/>
      <c r="C12" s="75" t="s">
        <v>10</v>
      </c>
      <c r="D12" s="76">
        <f t="shared" ref="D12:O12" si="1">SUM(D10:D11)</f>
        <v>0</v>
      </c>
      <c r="E12" s="76">
        <f t="shared" si="1"/>
        <v>0</v>
      </c>
      <c r="F12" s="76">
        <f t="shared" si="1"/>
        <v>0</v>
      </c>
      <c r="G12" s="76">
        <f t="shared" si="1"/>
        <v>0</v>
      </c>
      <c r="H12" s="76">
        <f t="shared" si="1"/>
        <v>0</v>
      </c>
      <c r="I12" s="76">
        <f t="shared" si="1"/>
        <v>0</v>
      </c>
      <c r="J12" s="76">
        <f t="shared" si="1"/>
        <v>0</v>
      </c>
      <c r="K12" s="76">
        <f t="shared" si="1"/>
        <v>0</v>
      </c>
      <c r="L12" s="76">
        <f t="shared" si="1"/>
        <v>0</v>
      </c>
      <c r="M12" s="76">
        <f t="shared" si="1"/>
        <v>0</v>
      </c>
      <c r="N12" s="76">
        <f t="shared" si="1"/>
        <v>0</v>
      </c>
      <c r="O12" s="76">
        <f t="shared" si="1"/>
        <v>0</v>
      </c>
      <c r="P12" s="71">
        <f>SUM(D12:O12)</f>
        <v>0</v>
      </c>
      <c r="Q12" s="66"/>
      <c r="R12" s="3"/>
      <c r="S12" s="3"/>
      <c r="T12" s="3"/>
    </row>
    <row r="13" spans="1:20" x14ac:dyDescent="0.25">
      <c r="A13" s="3"/>
      <c r="B13" s="3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77"/>
      <c r="N13" s="77"/>
      <c r="O13" s="77"/>
      <c r="P13" s="66"/>
      <c r="Q13" s="66"/>
      <c r="R13" s="3"/>
      <c r="S13" s="3"/>
      <c r="T13" s="3"/>
    </row>
    <row r="14" spans="1:20" x14ac:dyDescent="0.25">
      <c r="A14" s="3"/>
      <c r="B14" s="3"/>
      <c r="C14" s="75" t="s">
        <v>40</v>
      </c>
      <c r="D14" s="78">
        <f t="shared" ref="D14:G14" si="2">+D44+D75+D106+D137+D230</f>
        <v>558552.3037500002</v>
      </c>
      <c r="E14" s="78">
        <f t="shared" si="2"/>
        <v>596133.4264499998</v>
      </c>
      <c r="F14" s="78">
        <f t="shared" si="2"/>
        <v>560228.01229999994</v>
      </c>
      <c r="G14" s="78">
        <f t="shared" si="2"/>
        <v>0</v>
      </c>
      <c r="H14" s="78">
        <f>+H44+H75+H106+H137+H230</f>
        <v>0</v>
      </c>
      <c r="I14" s="78">
        <f t="shared" ref="I14:O14" si="3">+I44+I75+I106+I137+I230</f>
        <v>0</v>
      </c>
      <c r="J14" s="78">
        <f t="shared" si="3"/>
        <v>0</v>
      </c>
      <c r="K14" s="78">
        <f t="shared" si="3"/>
        <v>0</v>
      </c>
      <c r="L14" s="78">
        <f t="shared" si="3"/>
        <v>0</v>
      </c>
      <c r="M14" s="78">
        <f>+M44+M75+M106+M137+M230</f>
        <v>0</v>
      </c>
      <c r="N14" s="78">
        <f t="shared" si="3"/>
        <v>0</v>
      </c>
      <c r="O14" s="78">
        <f t="shared" si="3"/>
        <v>0</v>
      </c>
      <c r="P14" s="79">
        <f>SUM(D14:O14)</f>
        <v>1714913.7425000002</v>
      </c>
      <c r="Q14" s="66"/>
      <c r="R14" s="3"/>
      <c r="S14" s="3"/>
      <c r="T14" s="3"/>
    </row>
    <row r="15" spans="1:20" ht="15.75" thickBot="1" x14ac:dyDescent="0.3">
      <c r="A15" s="3"/>
      <c r="B15" s="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77"/>
      <c r="N15" s="77"/>
      <c r="O15" s="77"/>
      <c r="P15" s="66"/>
      <c r="Q15" s="66"/>
      <c r="R15" s="3"/>
      <c r="S15" s="3"/>
      <c r="T15" s="3"/>
    </row>
    <row r="16" spans="1:20" x14ac:dyDescent="0.25">
      <c r="A16" s="3"/>
      <c r="B16" s="4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/>
      <c r="R16" s="3"/>
      <c r="S16" s="3"/>
      <c r="T16" s="3"/>
    </row>
    <row r="17" spans="1:20" x14ac:dyDescent="0.25">
      <c r="A17" s="3"/>
      <c r="B17" s="5"/>
      <c r="C17" s="82" t="s">
        <v>11</v>
      </c>
      <c r="D17" s="83" t="s">
        <v>77</v>
      </c>
      <c r="E17" s="84"/>
      <c r="F17" s="84"/>
      <c r="G17" s="85"/>
      <c r="H17" s="171"/>
      <c r="I17" s="172"/>
      <c r="J17" s="172"/>
      <c r="K17" s="172"/>
      <c r="L17" s="172"/>
      <c r="M17" s="172"/>
      <c r="N17" s="172"/>
      <c r="O17" s="173"/>
      <c r="P17" s="86" t="s">
        <v>6</v>
      </c>
      <c r="Q17" s="87"/>
      <c r="R17" s="3"/>
      <c r="S17" s="3"/>
      <c r="T17" s="3"/>
    </row>
    <row r="18" spans="1:20" x14ac:dyDescent="0.25">
      <c r="A18" s="3"/>
      <c r="B18" s="5"/>
      <c r="C18" s="66"/>
      <c r="D18" s="174" t="s">
        <v>41</v>
      </c>
      <c r="E18" s="174"/>
      <c r="F18" s="174"/>
      <c r="G18" s="174"/>
      <c r="H18" s="171"/>
      <c r="I18" s="172"/>
      <c r="J18" s="172"/>
      <c r="K18" s="172"/>
      <c r="L18" s="172"/>
      <c r="M18" s="172"/>
      <c r="N18" s="172"/>
      <c r="O18" s="173"/>
      <c r="P18" s="88"/>
      <c r="Q18" s="87"/>
      <c r="R18" s="3"/>
      <c r="S18" s="3"/>
      <c r="T18" s="3"/>
    </row>
    <row r="19" spans="1:20" x14ac:dyDescent="0.25">
      <c r="A19" s="3"/>
      <c r="B19" s="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87"/>
      <c r="R19" s="3"/>
      <c r="S19" s="3"/>
      <c r="T19" s="3"/>
    </row>
    <row r="20" spans="1:20" x14ac:dyDescent="0.25">
      <c r="A20" s="3"/>
      <c r="B20" s="5"/>
      <c r="C20" s="62" t="s">
        <v>27</v>
      </c>
      <c r="D20" s="89">
        <f>HLOOKUP($D$17,'EJEMPLO DE NOMINA'!$E$1:$BU$97,2,FALSE)</f>
        <v>18299.739999999998</v>
      </c>
      <c r="E20" s="89">
        <f>HLOOKUP($D$17,'EJEMPLO DE NOMINA'!$E$1:$BU$97,10,FALSE)</f>
        <v>31820.979999999996</v>
      </c>
      <c r="F20" s="89">
        <f>HLOOKUP($D$17,'EJEMPLO DE NOMINA'!$E$1:$BU$97,18,FALSE)</f>
        <v>24966.699999999997</v>
      </c>
      <c r="G20" s="89">
        <f>HLOOKUP($D$17,'EJEMPLO DE NOMINA'!$E$1:$BU$97,26,FALSE)</f>
        <v>0</v>
      </c>
      <c r="H20" s="89">
        <f>HLOOKUP($D$17,'EJEMPLO DE NOMINA'!$E$1:$BU$97,34,FALSE)</f>
        <v>0</v>
      </c>
      <c r="I20" s="89">
        <f>HLOOKUP($D$17,'EJEMPLO DE NOMINA'!$E$1:$BU$97,42,FALSE)</f>
        <v>0</v>
      </c>
      <c r="J20" s="89">
        <f>HLOOKUP($D$17,'EJEMPLO DE NOMINA'!$E$1:$BU$97,50,FALSE)</f>
        <v>0</v>
      </c>
      <c r="K20" s="89">
        <f>HLOOKUP($D$17,'EJEMPLO DE NOMINA'!$E$1:$BU$97,58,FALSE)</f>
        <v>0</v>
      </c>
      <c r="L20" s="89">
        <f>HLOOKUP($D$17,'EJEMPLO DE NOMINA'!$E$1:$BU$97,66,FALSE)</f>
        <v>0</v>
      </c>
      <c r="M20" s="89">
        <f>HLOOKUP($D$17,'EJEMPLO DE NOMINA'!$E$1:$BU$97,74,FALSE)</f>
        <v>0</v>
      </c>
      <c r="N20" s="89">
        <f>HLOOKUP($D$17,'EJEMPLO DE NOMINA'!$E$1:$BU$97,82,FALSE)</f>
        <v>0</v>
      </c>
      <c r="O20" s="89">
        <f>HLOOKUP($D$17,'EJEMPLO DE NOMINA'!$E$1:$BU$97,90,FALSE)</f>
        <v>0</v>
      </c>
      <c r="P20" s="90">
        <f>SUM(D20:O20)</f>
        <v>75087.419999999984</v>
      </c>
      <c r="Q20" s="87"/>
      <c r="R20" s="3"/>
      <c r="S20" s="3"/>
      <c r="T20" s="3"/>
    </row>
    <row r="21" spans="1:20" x14ac:dyDescent="0.25">
      <c r="A21" s="3"/>
      <c r="B21" s="5"/>
      <c r="C21" s="62" t="s">
        <v>26</v>
      </c>
      <c r="D21" s="91">
        <f>HLOOKUP($D$17,'EJEMPLO DE NOMINA'!$E$1:$BU$97,3,FALSE)</f>
        <v>7</v>
      </c>
      <c r="E21" s="89">
        <f>HLOOKUP($D$17,'EJEMPLO DE NOMINA'!$E$1:$BU$97,11,FALSE)</f>
        <v>7</v>
      </c>
      <c r="F21" s="89">
        <f>HLOOKUP($D$17,'EJEMPLO DE NOMINA'!$E$1:$BU$97,19,FALSE)</f>
        <v>9</v>
      </c>
      <c r="G21" s="89">
        <f>HLOOKUP($D$17,'EJEMPLO DE NOMINA'!$E$1:$BU$97,27,FALSE)</f>
        <v>0</v>
      </c>
      <c r="H21" s="89">
        <f>HLOOKUP($D$17,'EJEMPLO DE NOMINA'!$E$1:$BU$97,35,FALSE)</f>
        <v>0</v>
      </c>
      <c r="I21" s="89">
        <f>HLOOKUP($D$17,'EJEMPLO DE NOMINA'!$E$1:$BU$97,43,FALSE)</f>
        <v>0</v>
      </c>
      <c r="J21" s="89">
        <f>HLOOKUP($D$17,'EJEMPLO DE NOMINA'!$E$1:$BU$97,51,FALSE)</f>
        <v>0</v>
      </c>
      <c r="K21" s="89">
        <f>HLOOKUP($D$17,'EJEMPLO DE NOMINA'!$E$1:$BU$97,59,FALSE)</f>
        <v>0</v>
      </c>
      <c r="L21" s="89">
        <f>HLOOKUP($D$17,'EJEMPLO DE NOMINA'!$E$1:$BU$97,67,FALSE)</f>
        <v>0</v>
      </c>
      <c r="M21" s="89">
        <f>HLOOKUP($D$17,'EJEMPLO DE NOMINA'!$E$1:$BU$97,75,FALSE)</f>
        <v>0</v>
      </c>
      <c r="N21" s="89">
        <f>HLOOKUP($D$17,'EJEMPLO DE NOMINA'!$E$1:$BU$97,83,FALSE)</f>
        <v>0</v>
      </c>
      <c r="O21" s="89">
        <f>HLOOKUP($D$17,'EJEMPLO DE NOMINA'!$E$1:$BU$97,91,FALSE)</f>
        <v>0</v>
      </c>
      <c r="P21" s="92">
        <f>AVERAGE(D21:O21)</f>
        <v>1.9166666666666667</v>
      </c>
      <c r="Q21" s="87"/>
      <c r="R21" s="3"/>
      <c r="S21" s="3"/>
      <c r="T21" s="3"/>
    </row>
    <row r="22" spans="1:20" x14ac:dyDescent="0.25">
      <c r="A22" s="3"/>
      <c r="B22" s="5"/>
      <c r="C22" s="62" t="s">
        <v>33</v>
      </c>
      <c r="D22" s="91">
        <f>HLOOKUP($D$17,'EJEMPLO DE NOMINA'!$E$1:$BU$97,4,FALSE)</f>
        <v>635472.02</v>
      </c>
      <c r="E22" s="89">
        <f>HLOOKUP($D$17,'EJEMPLO DE NOMINA'!$E$1:$BU$97,12,FALSE)</f>
        <v>1054384.67</v>
      </c>
      <c r="F22" s="89">
        <f>HLOOKUP($D$17,'EJEMPLO DE NOMINA'!$E$1:$BU$97,20,FALSE)</f>
        <v>699101.37</v>
      </c>
      <c r="G22" s="89">
        <f>HLOOKUP($D$17,'EJEMPLO DE NOMINA'!$E$1:$BU$97,28,FALSE)</f>
        <v>0</v>
      </c>
      <c r="H22" s="89">
        <f>HLOOKUP($D$17,'EJEMPLO DE NOMINA'!$E$1:$BU$97,36,FALSE)</f>
        <v>0</v>
      </c>
      <c r="I22" s="89">
        <f>HLOOKUP($D$17,'EJEMPLO DE NOMINA'!$E$1:$BU$97,44,FALSE)</f>
        <v>0</v>
      </c>
      <c r="J22" s="89">
        <f>HLOOKUP($D$17,'EJEMPLO DE NOMINA'!$E$1:$BU$97,52,FALSE)</f>
        <v>0</v>
      </c>
      <c r="K22" s="89">
        <f>HLOOKUP($D$17,'EJEMPLO DE NOMINA'!$E$1:$BU$97,60,FALSE)</f>
        <v>0</v>
      </c>
      <c r="L22" s="89">
        <f>HLOOKUP($D$17,'EJEMPLO DE NOMINA'!$E$1:$BU$97,68,FALSE)</f>
        <v>0</v>
      </c>
      <c r="M22" s="89">
        <f>HLOOKUP($D$17,'EJEMPLO DE NOMINA'!$E$1:$BU$97,76,FALSE)</f>
        <v>0</v>
      </c>
      <c r="N22" s="89">
        <f>HLOOKUP($D$17,'EJEMPLO DE NOMINA'!$E$1:$BU$97,84,FALSE)</f>
        <v>0</v>
      </c>
      <c r="O22" s="89">
        <f>HLOOKUP($D$17,'EJEMPLO DE NOMINA'!$E$1:$BU$97,92,FALSE)</f>
        <v>0</v>
      </c>
      <c r="P22" s="90">
        <f>SUM(D22:O22)</f>
        <v>2388958.06</v>
      </c>
      <c r="Q22" s="93"/>
    </row>
    <row r="23" spans="1:20" x14ac:dyDescent="0.25">
      <c r="A23" s="3"/>
      <c r="B23" s="5"/>
      <c r="C23" s="62" t="s">
        <v>34</v>
      </c>
      <c r="D23" s="91">
        <f>HLOOKUP($D$17,'EJEMPLO DE NOMINA'!$E$1:$BU$97,5,FALSE)</f>
        <v>182987.33</v>
      </c>
      <c r="E23" s="89">
        <f>HLOOKUP($D$17,'EJEMPLO DE NOMINA'!$E$1:$BU$97,13,FALSE)</f>
        <v>218454.34</v>
      </c>
      <c r="F23" s="89">
        <f>HLOOKUP($D$17,'EJEMPLO DE NOMINA'!$E$1:$BU$97,21,FALSE)</f>
        <v>299566.43000000005</v>
      </c>
      <c r="G23" s="89">
        <f>HLOOKUP($D$17,'EJEMPLO DE NOMINA'!$E$1:$BU$97,29,FALSE)</f>
        <v>0</v>
      </c>
      <c r="H23" s="89">
        <f>HLOOKUP($D$17,'EJEMPLO DE NOMINA'!$E$1:$BU$97,37,FALSE)</f>
        <v>0</v>
      </c>
      <c r="I23" s="89">
        <f>HLOOKUP($D$17,'EJEMPLO DE NOMINA'!$E$1:$BU$97,45,FALSE)</f>
        <v>0</v>
      </c>
      <c r="J23" s="89">
        <f>HLOOKUP($D$17,'EJEMPLO DE NOMINA'!$E$1:$BU$97,53,FALSE)</f>
        <v>0</v>
      </c>
      <c r="K23" s="89">
        <f>HLOOKUP($D$17,'EJEMPLO DE NOMINA'!$E$1:$BU$97,61,FALSE)</f>
        <v>0</v>
      </c>
      <c r="L23" s="89">
        <f>HLOOKUP($D$17,'EJEMPLO DE NOMINA'!$E$1:$BU$97,69,FALSE)</f>
        <v>0</v>
      </c>
      <c r="M23" s="89">
        <f>HLOOKUP($D$17,'EJEMPLO DE NOMINA'!$E$1:$BU$97,77,FALSE)</f>
        <v>0</v>
      </c>
      <c r="N23" s="89">
        <f>HLOOKUP($D$17,'EJEMPLO DE NOMINA'!$E$1:$BU$97,85,FALSE)</f>
        <v>0</v>
      </c>
      <c r="O23" s="89">
        <f>HLOOKUP($D$17,'EJEMPLO DE NOMINA'!$E$1:$BU$97,93,FALSE)</f>
        <v>0</v>
      </c>
      <c r="P23" s="90">
        <f>SUM(D23:O23)</f>
        <v>701008.10000000009</v>
      </c>
      <c r="Q23" s="93"/>
    </row>
    <row r="24" spans="1:20" x14ac:dyDescent="0.25">
      <c r="A24" s="3"/>
      <c r="B24" s="5"/>
      <c r="C24" s="94" t="s">
        <v>39</v>
      </c>
      <c r="D24" s="95">
        <f>+D22</f>
        <v>635472.02</v>
      </c>
      <c r="E24" s="95">
        <f t="shared" ref="E24:O24" si="4">+E22</f>
        <v>1054384.67</v>
      </c>
      <c r="F24" s="95">
        <f t="shared" si="4"/>
        <v>699101.37</v>
      </c>
      <c r="G24" s="95">
        <f t="shared" si="4"/>
        <v>0</v>
      </c>
      <c r="H24" s="95">
        <f t="shared" si="4"/>
        <v>0</v>
      </c>
      <c r="I24" s="95">
        <f t="shared" si="4"/>
        <v>0</v>
      </c>
      <c r="J24" s="95">
        <f t="shared" si="4"/>
        <v>0</v>
      </c>
      <c r="K24" s="95">
        <f t="shared" si="4"/>
        <v>0</v>
      </c>
      <c r="L24" s="95">
        <f t="shared" si="4"/>
        <v>0</v>
      </c>
      <c r="M24" s="95">
        <f t="shared" si="4"/>
        <v>0</v>
      </c>
      <c r="N24" s="95">
        <f t="shared" si="4"/>
        <v>0</v>
      </c>
      <c r="O24" s="95">
        <f t="shared" si="4"/>
        <v>0</v>
      </c>
      <c r="P24" s="90">
        <f>SUM(D24:O24)</f>
        <v>2388958.06</v>
      </c>
      <c r="Q24" s="93"/>
    </row>
    <row r="25" spans="1:20" x14ac:dyDescent="0.25">
      <c r="A25" s="3"/>
      <c r="B25" s="5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3"/>
    </row>
    <row r="26" spans="1:20" x14ac:dyDescent="0.25">
      <c r="A26" s="3"/>
      <c r="B26" s="5"/>
      <c r="C26" s="62" t="s">
        <v>35</v>
      </c>
      <c r="D26" s="91">
        <f>HLOOKUP($D$17,'EJEMPLO DE NOMINA'!$E$1:$BU$97,6,FALSE)</f>
        <v>18299.739999999998</v>
      </c>
      <c r="E26" s="89">
        <f>HLOOKUP($D$17,'EJEMPLO DE NOMINA'!$E$1:$BU$97,14,FALSE)</f>
        <v>31820.979999999996</v>
      </c>
      <c r="F26" s="89">
        <f>HLOOKUP($D$17,'EJEMPLO DE NOMINA'!$E$1:$BU$97,22,FALSE)</f>
        <v>24276.62</v>
      </c>
      <c r="G26" s="89">
        <f>HLOOKUP($D$17,'EJEMPLO DE NOMINA'!$E$1:$BU$97,30,FALSE)</f>
        <v>0</v>
      </c>
      <c r="H26" s="89">
        <f>HLOOKUP($D$17,'EJEMPLO DE NOMINA'!$E$1:$BU$97,38,FALSE)</f>
        <v>0</v>
      </c>
      <c r="I26" s="89">
        <f>HLOOKUP($D$17,'EJEMPLO DE NOMINA'!$E$1:$BU$97,46,FALSE)</f>
        <v>0</v>
      </c>
      <c r="J26" s="89">
        <f>HLOOKUP($D$17,'EJEMPLO DE NOMINA'!$E$1:$BU$97,54,FALSE)</f>
        <v>0</v>
      </c>
      <c r="K26" s="89">
        <f>HLOOKUP($D$17,'EJEMPLO DE NOMINA'!$E$1:$BU$97,62,FALSE)</f>
        <v>0</v>
      </c>
      <c r="L26" s="89">
        <f>HLOOKUP($D$17,'EJEMPLO DE NOMINA'!$E$1:$BU$97,70,FALSE)</f>
        <v>0</v>
      </c>
      <c r="M26" s="89">
        <f>HLOOKUP($D$17,'EJEMPLO DE NOMINA'!$E$1:$BU$97,78,FALSE)</f>
        <v>0</v>
      </c>
      <c r="N26" s="89">
        <f>HLOOKUP($D$17,'EJEMPLO DE NOMINA'!$E$1:$BU$97,86,FALSE)</f>
        <v>0</v>
      </c>
      <c r="O26" s="89">
        <f>HLOOKUP($D$17,'EJEMPLO DE NOMINA'!$E$1:$BU$97,94,FALSE)</f>
        <v>0</v>
      </c>
      <c r="P26" s="90">
        <f>SUM(D26:O26)</f>
        <v>74397.34</v>
      </c>
      <c r="Q26" s="87"/>
      <c r="R26" s="3"/>
      <c r="S26" s="3"/>
      <c r="T26" s="3"/>
    </row>
    <row r="27" spans="1:20" x14ac:dyDescent="0.25">
      <c r="A27" s="3"/>
      <c r="B27" s="5"/>
      <c r="C27" s="62" t="s">
        <v>36</v>
      </c>
      <c r="D27" s="91">
        <f>HLOOKUP($D$17,'EJEMPLO DE NOMINA'!$E$1:$BU$97,7,FALSE)</f>
        <v>7</v>
      </c>
      <c r="E27" s="89">
        <f>HLOOKUP($D$17,'EJEMPLO DE NOMINA'!$E$1:$BU$97,15,FALSE)</f>
        <v>7</v>
      </c>
      <c r="F27" s="89">
        <f>HLOOKUP($D$17,'EJEMPLO DE NOMINA'!$E$1:$BU$97,23,FALSE)</f>
        <v>5</v>
      </c>
      <c r="G27" s="89">
        <f>HLOOKUP($D$17,'EJEMPLO DE NOMINA'!$E$1:$BU$97,31,FALSE)</f>
        <v>0</v>
      </c>
      <c r="H27" s="89">
        <f>HLOOKUP($D$17,'EJEMPLO DE NOMINA'!$E$1:$BU$97,39,FALSE)</f>
        <v>0</v>
      </c>
      <c r="I27" s="89">
        <f>HLOOKUP($D$17,'EJEMPLO DE NOMINA'!$E$1:$BU$97,47,FALSE)</f>
        <v>0</v>
      </c>
      <c r="J27" s="89">
        <f>HLOOKUP($D$17,'EJEMPLO DE NOMINA'!$E$1:$BU$97,55,FALSE)</f>
        <v>0</v>
      </c>
      <c r="K27" s="89">
        <f>HLOOKUP($D$17,'EJEMPLO DE NOMINA'!$E$1:$BU$97,63,FALSE)</f>
        <v>0</v>
      </c>
      <c r="L27" s="89">
        <f>HLOOKUP($D$17,'EJEMPLO DE NOMINA'!$E$1:$BU$97,71,FALSE)</f>
        <v>0</v>
      </c>
      <c r="M27" s="89">
        <f>HLOOKUP($D$17,'EJEMPLO DE NOMINA'!$E$1:$BU$97,79,FALSE)</f>
        <v>0</v>
      </c>
      <c r="N27" s="89">
        <f>HLOOKUP($D$17,'EJEMPLO DE NOMINA'!$E$1:$BU$97,87,FALSE)</f>
        <v>0</v>
      </c>
      <c r="O27" s="89">
        <f>HLOOKUP($D$17,'EJEMPLO DE NOMINA'!$E$1:$BU$97,95,FALSE)</f>
        <v>0</v>
      </c>
      <c r="P27" s="92">
        <f>AVERAGE(D27:O27)</f>
        <v>1.5833333333333333</v>
      </c>
      <c r="Q27" s="87"/>
      <c r="R27" s="3"/>
      <c r="S27" s="3"/>
      <c r="T27" s="3"/>
    </row>
    <row r="28" spans="1:20" x14ac:dyDescent="0.25">
      <c r="A28" s="3"/>
      <c r="B28" s="5"/>
      <c r="C28" s="62" t="s">
        <v>37</v>
      </c>
      <c r="D28" s="91">
        <f>HLOOKUP($D$17,'EJEMPLO DE NOMINA'!$E$1:$BU$97,8,FALSE)</f>
        <v>635472.02</v>
      </c>
      <c r="E28" s="89">
        <f>HLOOKUP($D$17,'EJEMPLO DE NOMINA'!$E$1:$BU$97,16,FALSE)</f>
        <v>1054384.67</v>
      </c>
      <c r="F28" s="89">
        <f>HLOOKUP($D$17,'EJEMPLO DE NOMINA'!$E$1:$BU$97,24,FALSE)</f>
        <v>698571.58</v>
      </c>
      <c r="G28" s="89">
        <f>HLOOKUP($D$17,'EJEMPLO DE NOMINA'!$E$1:$BU$97,32,FALSE)</f>
        <v>0</v>
      </c>
      <c r="H28" s="89">
        <f>HLOOKUP($D$17,'EJEMPLO DE NOMINA'!$E$1:$BU$97,40,FALSE)</f>
        <v>0</v>
      </c>
      <c r="I28" s="89">
        <f>HLOOKUP($D$17,'EJEMPLO DE NOMINA'!$E$1:$BU$97,48,FALSE)</f>
        <v>0</v>
      </c>
      <c r="J28" s="89">
        <f>HLOOKUP($D$17,'EJEMPLO DE NOMINA'!$E$1:$BU$97,56,FALSE)</f>
        <v>0</v>
      </c>
      <c r="K28" s="89">
        <f>HLOOKUP($D$17,'EJEMPLO DE NOMINA'!$E$1:$BU$97,64,FALSE)</f>
        <v>0</v>
      </c>
      <c r="L28" s="89">
        <f>HLOOKUP($D$17,'EJEMPLO DE NOMINA'!$E$1:$BU$97,72,FALSE)</f>
        <v>0</v>
      </c>
      <c r="M28" s="89">
        <f>HLOOKUP($D$17,'EJEMPLO DE NOMINA'!$E$1:$BU$97,80,FALSE)</f>
        <v>0</v>
      </c>
      <c r="N28" s="89">
        <f>HLOOKUP($D$17,'EJEMPLO DE NOMINA'!$E$1:$BU$97,88,FALSE)</f>
        <v>0</v>
      </c>
      <c r="O28" s="89">
        <f>HLOOKUP($D$17,'EJEMPLO DE NOMINA'!$E$1:$BU$97,96,FALSE)</f>
        <v>0</v>
      </c>
      <c r="P28" s="90">
        <f>SUM(D28:O28)</f>
        <v>2388428.27</v>
      </c>
      <c r="Q28" s="87"/>
      <c r="R28" s="3"/>
      <c r="S28" s="3"/>
      <c r="T28" s="3"/>
    </row>
    <row r="29" spans="1:20" x14ac:dyDescent="0.25">
      <c r="A29" s="3"/>
      <c r="B29" s="5"/>
      <c r="C29" s="62" t="s">
        <v>38</v>
      </c>
      <c r="D29" s="91">
        <f>HLOOKUP($D$17,'EJEMPLO DE NOMINA'!$E$1:$BU$97,9,FALSE)</f>
        <v>182987.33</v>
      </c>
      <c r="E29" s="89">
        <f>HLOOKUP($D$17,'EJEMPLO DE NOMINA'!$E$1:$BU$97,17,FALSE)</f>
        <v>218454.34</v>
      </c>
      <c r="F29" s="89">
        <f>HLOOKUP($D$17,'EJEMPLO DE NOMINA'!$E$1:$BU$97,25,FALSE)</f>
        <v>272493</v>
      </c>
      <c r="G29" s="89">
        <f>HLOOKUP($D$17,'EJEMPLO DE NOMINA'!$E$1:$BU$97,33,FALSE)</f>
        <v>0</v>
      </c>
      <c r="H29" s="89">
        <f>HLOOKUP($D$17,'EJEMPLO DE NOMINA'!$E$1:$BU$97,41,FALSE)</f>
        <v>0</v>
      </c>
      <c r="I29" s="89">
        <f>HLOOKUP($D$17,'EJEMPLO DE NOMINA'!$E$1:$BU$97,49,FALSE)</f>
        <v>0</v>
      </c>
      <c r="J29" s="89">
        <f>HLOOKUP($D$17,'EJEMPLO DE NOMINA'!$E$1:$BU$97,57,FALSE)</f>
        <v>0</v>
      </c>
      <c r="K29" s="89">
        <f>HLOOKUP($D$17,'EJEMPLO DE NOMINA'!$E$1:$BU$97,65,FALSE)</f>
        <v>0</v>
      </c>
      <c r="L29" s="89">
        <f>HLOOKUP($D$17,'EJEMPLO DE NOMINA'!$E$1:$BU$97,73,FALSE)</f>
        <v>0</v>
      </c>
      <c r="M29" s="89">
        <f>HLOOKUP($D$17,'EJEMPLO DE NOMINA'!$E$1:$BU$97,81,FALSE)</f>
        <v>0</v>
      </c>
      <c r="N29" s="89">
        <f>HLOOKUP($D$17,'EJEMPLO DE NOMINA'!$E$1:$BU$97,89,FALSE)</f>
        <v>0</v>
      </c>
      <c r="O29" s="89">
        <f>HLOOKUP($D$17,'EJEMPLO DE NOMINA'!$E$1:$BU$97,97,FALSE)</f>
        <v>0</v>
      </c>
      <c r="P29" s="90">
        <f>SUM(D29:O29)</f>
        <v>673934.66999999993</v>
      </c>
      <c r="Q29" s="87"/>
      <c r="R29" s="3"/>
      <c r="S29" s="3"/>
      <c r="T29" s="3"/>
    </row>
    <row r="30" spans="1:20" x14ac:dyDescent="0.25">
      <c r="A30" s="3"/>
      <c r="B30" s="5"/>
      <c r="C30" s="94" t="s">
        <v>39</v>
      </c>
      <c r="D30" s="97">
        <f>+D28+D29</f>
        <v>818459.35</v>
      </c>
      <c r="E30" s="97">
        <f>+E28+E29</f>
        <v>1272839.01</v>
      </c>
      <c r="F30" s="97">
        <f t="shared" ref="F30:O30" si="5">+F28</f>
        <v>698571.58</v>
      </c>
      <c r="G30" s="97">
        <f t="shared" si="5"/>
        <v>0</v>
      </c>
      <c r="H30" s="97">
        <f t="shared" si="5"/>
        <v>0</v>
      </c>
      <c r="I30" s="97">
        <f>+I28+I29</f>
        <v>0</v>
      </c>
      <c r="J30" s="97">
        <f>+J28</f>
        <v>0</v>
      </c>
      <c r="K30" s="97">
        <f t="shared" si="5"/>
        <v>0</v>
      </c>
      <c r="L30" s="97">
        <f t="shared" si="5"/>
        <v>0</v>
      </c>
      <c r="M30" s="97">
        <f t="shared" si="5"/>
        <v>0</v>
      </c>
      <c r="N30" s="97">
        <f t="shared" si="5"/>
        <v>0</v>
      </c>
      <c r="O30" s="97">
        <f t="shared" si="5"/>
        <v>0</v>
      </c>
      <c r="P30" s="90">
        <f>SUM(D30:O30)</f>
        <v>2789869.94</v>
      </c>
      <c r="Q30" s="87"/>
      <c r="R30" s="3"/>
      <c r="S30" s="3"/>
      <c r="T30" s="3"/>
    </row>
    <row r="31" spans="1:20" x14ac:dyDescent="0.25">
      <c r="A31" s="3"/>
      <c r="B31" s="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87"/>
      <c r="R31" s="3"/>
      <c r="S31" s="3"/>
      <c r="T31" s="3"/>
    </row>
    <row r="32" spans="1:20" x14ac:dyDescent="0.25">
      <c r="A32" s="3"/>
      <c r="B32" s="5"/>
      <c r="C32" s="62" t="s">
        <v>12</v>
      </c>
      <c r="D32" s="98">
        <v>2.5000000000000001E-2</v>
      </c>
      <c r="E32" s="98">
        <v>2.5000000000000001E-2</v>
      </c>
      <c r="F32" s="98">
        <v>2.5000000000000001E-2</v>
      </c>
      <c r="G32" s="98">
        <v>2.5000000000000001E-2</v>
      </c>
      <c r="H32" s="98">
        <v>2.5000000000000001E-2</v>
      </c>
      <c r="I32" s="98">
        <v>2.5000000000000001E-2</v>
      </c>
      <c r="J32" s="98">
        <v>2.5000000000000001E-2</v>
      </c>
      <c r="K32" s="98">
        <v>2.5000000000000001E-2</v>
      </c>
      <c r="L32" s="98">
        <v>2.5000000000000001E-2</v>
      </c>
      <c r="M32" s="98">
        <v>2.5000000000000001E-2</v>
      </c>
      <c r="N32" s="98">
        <v>2.5000000000000001E-2</v>
      </c>
      <c r="O32" s="98">
        <v>2.5000000000000001E-2</v>
      </c>
      <c r="P32" s="66"/>
      <c r="Q32" s="87"/>
      <c r="R32" s="3"/>
      <c r="S32" s="3"/>
      <c r="T32" s="3"/>
    </row>
    <row r="33" spans="1:20" x14ac:dyDescent="0.25">
      <c r="A33" s="3"/>
      <c r="B33" s="5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87"/>
      <c r="R33" s="3"/>
      <c r="S33" s="3"/>
      <c r="T33" s="3"/>
    </row>
    <row r="34" spans="1:20" x14ac:dyDescent="0.25">
      <c r="A34" s="3"/>
      <c r="B34" s="5"/>
      <c r="C34" s="62" t="s">
        <v>13</v>
      </c>
      <c r="D34" s="97">
        <f t="shared" ref="D34:O34" si="6">+D30*D32</f>
        <v>20461.483749999999</v>
      </c>
      <c r="E34" s="97">
        <f t="shared" si="6"/>
        <v>31820.975250000003</v>
      </c>
      <c r="F34" s="97">
        <f t="shared" si="6"/>
        <v>17464.289499999999</v>
      </c>
      <c r="G34" s="97">
        <f t="shared" si="6"/>
        <v>0</v>
      </c>
      <c r="H34" s="97">
        <f t="shared" si="6"/>
        <v>0</v>
      </c>
      <c r="I34" s="97">
        <f t="shared" si="6"/>
        <v>0</v>
      </c>
      <c r="J34" s="97">
        <f>+J30*J32</f>
        <v>0</v>
      </c>
      <c r="K34" s="97">
        <f t="shared" si="6"/>
        <v>0</v>
      </c>
      <c r="L34" s="97">
        <f>+L30*L32</f>
        <v>0</v>
      </c>
      <c r="M34" s="97">
        <f t="shared" si="6"/>
        <v>0</v>
      </c>
      <c r="N34" s="97">
        <f t="shared" si="6"/>
        <v>0</v>
      </c>
      <c r="O34" s="97">
        <f t="shared" si="6"/>
        <v>0</v>
      </c>
      <c r="P34" s="90">
        <f>SUM(D34:O34)</f>
        <v>69746.748500000002</v>
      </c>
      <c r="Q34" s="87"/>
      <c r="R34" s="3"/>
      <c r="S34" s="3"/>
      <c r="T34" s="3"/>
    </row>
    <row r="35" spans="1:20" x14ac:dyDescent="0.25">
      <c r="A35" s="3"/>
      <c r="B35" s="5"/>
      <c r="C35" s="62" t="s">
        <v>22</v>
      </c>
      <c r="D35" s="97">
        <f t="shared" ref="D35:O35" si="7">+D26</f>
        <v>18299.739999999998</v>
      </c>
      <c r="E35" s="97">
        <f t="shared" si="7"/>
        <v>31820.979999999996</v>
      </c>
      <c r="F35" s="97">
        <f t="shared" si="7"/>
        <v>24276.62</v>
      </c>
      <c r="G35" s="97">
        <f t="shared" si="7"/>
        <v>0</v>
      </c>
      <c r="H35" s="97">
        <f t="shared" si="7"/>
        <v>0</v>
      </c>
      <c r="I35" s="97">
        <f t="shared" si="7"/>
        <v>0</v>
      </c>
      <c r="J35" s="97">
        <f>+J26</f>
        <v>0</v>
      </c>
      <c r="K35" s="97">
        <f t="shared" si="7"/>
        <v>0</v>
      </c>
      <c r="L35" s="97">
        <f t="shared" si="7"/>
        <v>0</v>
      </c>
      <c r="M35" s="97">
        <f t="shared" si="7"/>
        <v>0</v>
      </c>
      <c r="N35" s="97">
        <f t="shared" si="7"/>
        <v>0</v>
      </c>
      <c r="O35" s="97">
        <f t="shared" si="7"/>
        <v>0</v>
      </c>
      <c r="P35" s="90">
        <f>SUM(D35:O35)</f>
        <v>74397.34</v>
      </c>
      <c r="Q35" s="87"/>
      <c r="R35" s="3"/>
      <c r="S35" s="3"/>
      <c r="T35" s="3"/>
    </row>
    <row r="36" spans="1:20" x14ac:dyDescent="0.25">
      <c r="A36" s="3"/>
      <c r="B36" s="5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87"/>
      <c r="R36" s="3"/>
      <c r="S36" s="3"/>
      <c r="T36" s="3"/>
    </row>
    <row r="37" spans="1:20" x14ac:dyDescent="0.25">
      <c r="A37" s="3"/>
      <c r="B37" s="5"/>
      <c r="C37" s="99" t="s">
        <v>14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87"/>
      <c r="R37" s="3"/>
      <c r="S37" s="3"/>
      <c r="T37" s="3"/>
    </row>
    <row r="38" spans="1:20" x14ac:dyDescent="0.25">
      <c r="A38" s="3"/>
      <c r="B38" s="5"/>
      <c r="C38" s="62" t="s">
        <v>15</v>
      </c>
      <c r="D38" s="97">
        <f t="shared" ref="D38:O38" si="8">+D20-D34</f>
        <v>-2161.7437500000015</v>
      </c>
      <c r="E38" s="97">
        <f t="shared" si="8"/>
        <v>4.74999999278225E-3</v>
      </c>
      <c r="F38" s="97">
        <f t="shared" si="8"/>
        <v>7502.4104999999981</v>
      </c>
      <c r="G38" s="97">
        <f t="shared" si="8"/>
        <v>0</v>
      </c>
      <c r="H38" s="97">
        <f t="shared" si="8"/>
        <v>0</v>
      </c>
      <c r="I38" s="97">
        <f t="shared" si="8"/>
        <v>0</v>
      </c>
      <c r="J38" s="97">
        <f t="shared" si="8"/>
        <v>0</v>
      </c>
      <c r="K38" s="97">
        <f t="shared" si="8"/>
        <v>0</v>
      </c>
      <c r="L38" s="97">
        <f t="shared" si="8"/>
        <v>0</v>
      </c>
      <c r="M38" s="97">
        <f t="shared" si="8"/>
        <v>0</v>
      </c>
      <c r="N38" s="97">
        <f t="shared" si="8"/>
        <v>0</v>
      </c>
      <c r="O38" s="97">
        <f t="shared" si="8"/>
        <v>0</v>
      </c>
      <c r="P38" s="90">
        <f>SUM(D38:O38)</f>
        <v>5340.6714999999895</v>
      </c>
      <c r="Q38" s="87"/>
      <c r="R38" s="3"/>
      <c r="S38" s="3"/>
      <c r="T38" s="3"/>
    </row>
    <row r="39" spans="1:20" x14ac:dyDescent="0.25">
      <c r="A39" s="3"/>
      <c r="B39" s="5"/>
      <c r="C39" s="62" t="s">
        <v>16</v>
      </c>
      <c r="D39" s="97">
        <f t="shared" ref="D39:O39" si="9">+D26-D34</f>
        <v>-2161.7437500000015</v>
      </c>
      <c r="E39" s="97">
        <f t="shared" si="9"/>
        <v>4.74999999278225E-3</v>
      </c>
      <c r="F39" s="97">
        <f t="shared" si="9"/>
        <v>6812.3305</v>
      </c>
      <c r="G39" s="97">
        <f t="shared" si="9"/>
        <v>0</v>
      </c>
      <c r="H39" s="97">
        <f t="shared" si="9"/>
        <v>0</v>
      </c>
      <c r="I39" s="97">
        <f t="shared" si="9"/>
        <v>0</v>
      </c>
      <c r="J39" s="97">
        <f>+J26-J34</f>
        <v>0</v>
      </c>
      <c r="K39" s="97">
        <f t="shared" si="9"/>
        <v>0</v>
      </c>
      <c r="L39" s="97">
        <f>+L26-L34</f>
        <v>0</v>
      </c>
      <c r="M39" s="97">
        <f t="shared" si="9"/>
        <v>0</v>
      </c>
      <c r="N39" s="97">
        <f>+N26-N34</f>
        <v>0</v>
      </c>
      <c r="O39" s="97">
        <f t="shared" si="9"/>
        <v>0</v>
      </c>
      <c r="P39" s="90">
        <f>SUM(D39:O39)</f>
        <v>4650.5914999999914</v>
      </c>
      <c r="Q39" s="87"/>
      <c r="R39" s="3"/>
      <c r="S39" s="3"/>
      <c r="T39" s="3"/>
    </row>
    <row r="40" spans="1:20" x14ac:dyDescent="0.25">
      <c r="A40" s="3"/>
      <c r="B40" s="5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87"/>
      <c r="R40" s="3"/>
      <c r="S40" s="3"/>
      <c r="T40" s="3"/>
    </row>
    <row r="41" spans="1:20" x14ac:dyDescent="0.25">
      <c r="A41" s="3"/>
      <c r="B41" s="5"/>
      <c r="C41" s="75" t="s">
        <v>17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90">
        <f>SUM(D41:O41)</f>
        <v>0</v>
      </c>
      <c r="Q41" s="87"/>
      <c r="R41" s="3"/>
      <c r="S41" s="3"/>
      <c r="T41" s="3"/>
    </row>
    <row r="42" spans="1:20" x14ac:dyDescent="0.25">
      <c r="A42" s="3"/>
      <c r="B42" s="5"/>
      <c r="C42" s="75" t="s">
        <v>18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90">
        <f>SUM(D42:O42)</f>
        <v>0</v>
      </c>
      <c r="Q42" s="87"/>
      <c r="R42" s="3"/>
      <c r="S42" s="3"/>
      <c r="T42" s="3"/>
    </row>
    <row r="43" spans="1:20" x14ac:dyDescent="0.25">
      <c r="A43" s="3"/>
      <c r="B43" s="5"/>
      <c r="C43" s="9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87"/>
      <c r="R43" s="3"/>
      <c r="S43" s="3"/>
      <c r="T43" s="3"/>
    </row>
    <row r="44" spans="1:20" x14ac:dyDescent="0.25">
      <c r="A44" s="3"/>
      <c r="B44" s="5"/>
      <c r="C44" s="101" t="s">
        <v>19</v>
      </c>
      <c r="D44" s="102">
        <f t="shared" ref="D44:O44" si="10">+D34+D41+D42</f>
        <v>20461.483749999999</v>
      </c>
      <c r="E44" s="102">
        <f t="shared" si="10"/>
        <v>31820.975250000003</v>
      </c>
      <c r="F44" s="102">
        <f t="shared" si="10"/>
        <v>17464.289499999999</v>
      </c>
      <c r="G44" s="102">
        <f t="shared" si="10"/>
        <v>0</v>
      </c>
      <c r="H44" s="102">
        <f t="shared" si="10"/>
        <v>0</v>
      </c>
      <c r="I44" s="102">
        <f t="shared" si="10"/>
        <v>0</v>
      </c>
      <c r="J44" s="102">
        <f>+J34+J41+J42</f>
        <v>0</v>
      </c>
      <c r="K44" s="102">
        <f t="shared" si="10"/>
        <v>0</v>
      </c>
      <c r="L44" s="102">
        <f t="shared" si="10"/>
        <v>0</v>
      </c>
      <c r="M44" s="102">
        <f t="shared" si="10"/>
        <v>0</v>
      </c>
      <c r="N44" s="102">
        <f t="shared" si="10"/>
        <v>0</v>
      </c>
      <c r="O44" s="102">
        <f t="shared" si="10"/>
        <v>0</v>
      </c>
      <c r="P44" s="103">
        <f>SUM(D44:O44)</f>
        <v>69746.748500000002</v>
      </c>
      <c r="Q44" s="87"/>
      <c r="R44" s="3"/>
      <c r="S44" s="3"/>
      <c r="T44" s="3"/>
    </row>
    <row r="45" spans="1:20" ht="15.75" thickBot="1" x14ac:dyDescent="0.3">
      <c r="B45" s="6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5"/>
      <c r="R45" s="3"/>
      <c r="S45" s="3"/>
      <c r="T45" s="3"/>
    </row>
    <row r="46" spans="1:20" ht="15.75" thickBot="1" x14ac:dyDescent="0.3">
      <c r="A46" s="3"/>
      <c r="B46" s="3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77"/>
      <c r="N46" s="77"/>
      <c r="O46" s="77"/>
      <c r="P46" s="66"/>
      <c r="Q46" s="66"/>
      <c r="R46" s="3"/>
      <c r="S46" s="3"/>
      <c r="T46" s="3"/>
    </row>
    <row r="47" spans="1:20" x14ac:dyDescent="0.25">
      <c r="B47" s="4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1"/>
    </row>
    <row r="48" spans="1:20" x14ac:dyDescent="0.25">
      <c r="B48" s="5"/>
      <c r="C48" s="82" t="s">
        <v>11</v>
      </c>
      <c r="D48" s="83" t="s">
        <v>78</v>
      </c>
      <c r="E48" s="84"/>
      <c r="F48" s="84"/>
      <c r="G48" s="85"/>
      <c r="H48" s="171"/>
      <c r="I48" s="172"/>
      <c r="J48" s="172"/>
      <c r="K48" s="172"/>
      <c r="L48" s="172"/>
      <c r="M48" s="172"/>
      <c r="N48" s="172"/>
      <c r="O48" s="173"/>
      <c r="P48" s="86" t="s">
        <v>6</v>
      </c>
      <c r="Q48" s="87"/>
    </row>
    <row r="49" spans="2:17" x14ac:dyDescent="0.25">
      <c r="B49" s="5"/>
      <c r="C49" s="66"/>
      <c r="D49" s="174" t="s">
        <v>41</v>
      </c>
      <c r="E49" s="174"/>
      <c r="F49" s="174"/>
      <c r="G49" s="174"/>
      <c r="H49" s="171"/>
      <c r="I49" s="172"/>
      <c r="J49" s="172"/>
      <c r="K49" s="172"/>
      <c r="L49" s="172"/>
      <c r="M49" s="172"/>
      <c r="N49" s="172"/>
      <c r="O49" s="173"/>
      <c r="P49" s="88"/>
      <c r="Q49" s="87"/>
    </row>
    <row r="50" spans="2:17" x14ac:dyDescent="0.25">
      <c r="B50" s="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87"/>
    </row>
    <row r="51" spans="2:17" x14ac:dyDescent="0.25">
      <c r="B51" s="5"/>
      <c r="C51" s="62" t="s">
        <v>27</v>
      </c>
      <c r="D51" s="89">
        <f>HLOOKUP($D$48,'EJEMPLO DE NOMINA'!$E$1:$BU$97,2,FALSE)</f>
        <v>181188.86000000002</v>
      </c>
      <c r="E51" s="89">
        <f>HLOOKUP($D$48,'EJEMPLO DE NOMINA'!$E$1:$BU$97,10,FALSE)</f>
        <v>198653.42000000007</v>
      </c>
      <c r="F51" s="89">
        <f>HLOOKUP($D$48,'EJEMPLO DE NOMINA'!$E$1:$BU$97,18,FALSE)</f>
        <v>244849.43</v>
      </c>
      <c r="G51" s="89">
        <f>HLOOKUP($D$48,'EJEMPLO DE NOMINA'!$E$1:$BU$97,26,FALSE)</f>
        <v>0</v>
      </c>
      <c r="H51" s="89">
        <f>HLOOKUP($D$48,'EJEMPLO DE NOMINA'!$E$1:$BU$97,34,FALSE)</f>
        <v>0</v>
      </c>
      <c r="I51" s="89">
        <f>HLOOKUP($D$48,'EJEMPLO DE NOMINA'!$E$1:$BU$97,42,FALSE)</f>
        <v>0</v>
      </c>
      <c r="J51" s="89">
        <f>HLOOKUP($D$48,'EJEMPLO DE NOMINA'!$E$1:$BU$97,50,FALSE)</f>
        <v>0</v>
      </c>
      <c r="K51" s="89">
        <f>HLOOKUP($D$48,'EJEMPLO DE NOMINA'!$E$1:$BU$97,58,FALSE)</f>
        <v>0</v>
      </c>
      <c r="L51" s="89">
        <f>HLOOKUP($D$48,'EJEMPLO DE NOMINA'!$E$1:$BU$97,66,FALSE)</f>
        <v>0</v>
      </c>
      <c r="M51" s="89">
        <f>HLOOKUP($D$48,'EJEMPLO DE NOMINA'!$E$1:$BU$97,74,FALSE)</f>
        <v>0</v>
      </c>
      <c r="N51" s="89">
        <f>HLOOKUP($D$48,'EJEMPLO DE NOMINA'!$E$1:$BU$97,82,FALSE)</f>
        <v>0</v>
      </c>
      <c r="O51" s="89">
        <f>HLOOKUP($D$48,'EJEMPLO DE NOMINA'!$E$1:$BU$97,90,FALSE)</f>
        <v>0</v>
      </c>
      <c r="P51" s="90">
        <f>SUM(D51:O51)</f>
        <v>624691.71000000008</v>
      </c>
      <c r="Q51" s="87"/>
    </row>
    <row r="52" spans="2:17" x14ac:dyDescent="0.25">
      <c r="B52" s="5"/>
      <c r="C52" s="62" t="s">
        <v>26</v>
      </c>
      <c r="D52" s="91">
        <f>HLOOKUP($D$48,'EJEMPLO DE NOMINA'!$E$1:$BU$97,3,FALSE)</f>
        <v>78</v>
      </c>
      <c r="E52" s="89">
        <f>HLOOKUP($D$48,'EJEMPLO DE NOMINA'!$E$1:$BU$97,11,FALSE)</f>
        <v>84</v>
      </c>
      <c r="F52" s="89">
        <f>HLOOKUP($D$48,'EJEMPLO DE NOMINA'!$E$1:$BU$97,19,FALSE)</f>
        <v>118</v>
      </c>
      <c r="G52" s="89">
        <f>HLOOKUP($D$48,'EJEMPLO DE NOMINA'!$E$1:$BU$97,27,FALSE)</f>
        <v>0</v>
      </c>
      <c r="H52" s="89">
        <f>HLOOKUP($D$48,'EJEMPLO DE NOMINA'!$E$1:$BU$97,35,FALSE)</f>
        <v>0</v>
      </c>
      <c r="I52" s="89">
        <f>HLOOKUP($D$48,'EJEMPLO DE NOMINA'!$E$1:$BU$97,43,FALSE)</f>
        <v>0</v>
      </c>
      <c r="J52" s="89">
        <f>HLOOKUP($D$48,'EJEMPLO DE NOMINA'!$E$1:$BU$97,51,FALSE)</f>
        <v>0</v>
      </c>
      <c r="K52" s="89">
        <f>HLOOKUP($D$48,'EJEMPLO DE NOMINA'!$E$1:$BU$97,59,FALSE)</f>
        <v>0</v>
      </c>
      <c r="L52" s="89">
        <f>HLOOKUP($D$48,'EJEMPLO DE NOMINA'!$E$1:$BU$97,67,FALSE)</f>
        <v>0</v>
      </c>
      <c r="M52" s="89">
        <f>HLOOKUP($D$48,'EJEMPLO DE NOMINA'!$E$1:$BU$97,75,FALSE)</f>
        <v>0</v>
      </c>
      <c r="N52" s="89">
        <f>HLOOKUP($D$48,'EJEMPLO DE NOMINA'!$E$1:$BU$97,83,FALSE)</f>
        <v>0</v>
      </c>
      <c r="O52" s="89">
        <f>HLOOKUP($D$48,'EJEMPLO DE NOMINA'!$E$1:$BU$97,91,FALSE)</f>
        <v>0</v>
      </c>
      <c r="P52" s="92">
        <f>AVERAGE(D52:O52)</f>
        <v>23.333333333333332</v>
      </c>
      <c r="Q52" s="87"/>
    </row>
    <row r="53" spans="2:17" x14ac:dyDescent="0.25">
      <c r="B53" s="5"/>
      <c r="C53" s="62" t="s">
        <v>33</v>
      </c>
      <c r="D53" s="91">
        <f>HLOOKUP($D$48,'EJEMPLO DE NOMINA'!$E$1:$BU$97,4,FALSE)</f>
        <v>8036901.8800000027</v>
      </c>
      <c r="E53" s="89">
        <f>HLOOKUP($D$48,'EJEMPLO DE NOMINA'!$E$1:$BU$97,12,FALSE)</f>
        <v>8164788.5699999984</v>
      </c>
      <c r="F53" s="89">
        <f>HLOOKUP($D$48,'EJEMPLO DE NOMINA'!$E$1:$BU$97,20,FALSE)</f>
        <v>8596367.089999998</v>
      </c>
      <c r="G53" s="89">
        <f>HLOOKUP($D$48,'EJEMPLO DE NOMINA'!$E$1:$BU$97,28,FALSE)</f>
        <v>0</v>
      </c>
      <c r="H53" s="89">
        <f>HLOOKUP($D$48,'EJEMPLO DE NOMINA'!$E$1:$BU$97,36,FALSE)</f>
        <v>0</v>
      </c>
      <c r="I53" s="89">
        <f>HLOOKUP($D$48,'EJEMPLO DE NOMINA'!$E$1:$BU$97,44,FALSE)</f>
        <v>0</v>
      </c>
      <c r="J53" s="89">
        <f>HLOOKUP($D$48,'EJEMPLO DE NOMINA'!$E$1:$BU$97,52,FALSE)</f>
        <v>0</v>
      </c>
      <c r="K53" s="89">
        <f>HLOOKUP($D$48,'EJEMPLO DE NOMINA'!$E$1:$BU$97,60,FALSE)</f>
        <v>0</v>
      </c>
      <c r="L53" s="89">
        <f>HLOOKUP($D$48,'EJEMPLO DE NOMINA'!$E$1:$BU$97,68,FALSE)</f>
        <v>0</v>
      </c>
      <c r="M53" s="89">
        <f>HLOOKUP($D$48,'EJEMPLO DE NOMINA'!$E$1:$BU$97,76,FALSE)</f>
        <v>0</v>
      </c>
      <c r="N53" s="89">
        <f>HLOOKUP($D$48,'EJEMPLO DE NOMINA'!$E$1:$BU$97,84,FALSE)</f>
        <v>0</v>
      </c>
      <c r="O53" s="89">
        <f>HLOOKUP($D$48,'EJEMPLO DE NOMINA'!$E$1:$BU$97,92,FALSE)</f>
        <v>0</v>
      </c>
      <c r="P53" s="90">
        <f>SUM(D53:O53)</f>
        <v>24798057.539999999</v>
      </c>
      <c r="Q53" s="93"/>
    </row>
    <row r="54" spans="2:17" x14ac:dyDescent="0.25">
      <c r="B54" s="5"/>
      <c r="C54" s="62" t="s">
        <v>34</v>
      </c>
      <c r="D54" s="91">
        <f>HLOOKUP($D$48,'EJEMPLO DE NOMINA'!$E$1:$BU$97,5,FALSE)</f>
        <v>1852761.8099999998</v>
      </c>
      <c r="E54" s="89">
        <f>HLOOKUP($D$48,'EJEMPLO DE NOMINA'!$E$1:$BU$97,13,FALSE)</f>
        <v>1767882.6699999997</v>
      </c>
      <c r="F54" s="89">
        <f>HLOOKUP($D$48,'EJEMPLO DE NOMINA'!$E$1:$BU$97,21,FALSE)</f>
        <v>3646103.2799999989</v>
      </c>
      <c r="G54" s="89">
        <f>HLOOKUP($D$48,'EJEMPLO DE NOMINA'!$E$1:$BU$97,29,FALSE)</f>
        <v>0</v>
      </c>
      <c r="H54" s="89">
        <f>HLOOKUP($D$48,'EJEMPLO DE NOMINA'!$E$1:$BU$97,37,FALSE)</f>
        <v>0</v>
      </c>
      <c r="I54" s="89">
        <f>HLOOKUP($D$48,'EJEMPLO DE NOMINA'!$E$1:$BU$97,45,FALSE)</f>
        <v>0</v>
      </c>
      <c r="J54" s="89">
        <f>HLOOKUP($D$48,'EJEMPLO DE NOMINA'!$E$1:$BU$97,53,FALSE)</f>
        <v>0</v>
      </c>
      <c r="K54" s="89">
        <f>HLOOKUP($D$48,'EJEMPLO DE NOMINA'!$E$1:$BU$97,61,FALSE)</f>
        <v>0</v>
      </c>
      <c r="L54" s="89">
        <f>HLOOKUP($D$48,'EJEMPLO DE NOMINA'!$E$1:$BU$97,69,FALSE)</f>
        <v>0</v>
      </c>
      <c r="M54" s="89">
        <f>HLOOKUP($D$48,'EJEMPLO DE NOMINA'!$E$1:$BU$97,77,FALSE)</f>
        <v>0</v>
      </c>
      <c r="N54" s="89">
        <f>HLOOKUP($D$48,'EJEMPLO DE NOMINA'!$E$1:$BU$97,85,FALSE)</f>
        <v>0</v>
      </c>
      <c r="O54" s="89">
        <f>HLOOKUP($D$48,'EJEMPLO DE NOMINA'!$E$1:$BU$97,93,FALSE)</f>
        <v>0</v>
      </c>
      <c r="P54" s="90">
        <f>SUM(D54:O54)</f>
        <v>7266747.7599999979</v>
      </c>
      <c r="Q54" s="93"/>
    </row>
    <row r="55" spans="2:17" x14ac:dyDescent="0.25">
      <c r="B55" s="5"/>
      <c r="C55" s="94" t="s">
        <v>39</v>
      </c>
      <c r="D55" s="95">
        <f>+D53</f>
        <v>8036901.8800000027</v>
      </c>
      <c r="E55" s="95">
        <f t="shared" ref="E55:O55" si="11">+E53</f>
        <v>8164788.5699999984</v>
      </c>
      <c r="F55" s="95">
        <f t="shared" si="11"/>
        <v>8596367.089999998</v>
      </c>
      <c r="G55" s="95">
        <f t="shared" si="11"/>
        <v>0</v>
      </c>
      <c r="H55" s="95">
        <f t="shared" si="11"/>
        <v>0</v>
      </c>
      <c r="I55" s="95">
        <f t="shared" si="11"/>
        <v>0</v>
      </c>
      <c r="J55" s="95">
        <f t="shared" si="11"/>
        <v>0</v>
      </c>
      <c r="K55" s="95">
        <f t="shared" si="11"/>
        <v>0</v>
      </c>
      <c r="L55" s="95">
        <f t="shared" si="11"/>
        <v>0</v>
      </c>
      <c r="M55" s="95">
        <f t="shared" si="11"/>
        <v>0</v>
      </c>
      <c r="N55" s="95">
        <f t="shared" si="11"/>
        <v>0</v>
      </c>
      <c r="O55" s="95">
        <f t="shared" si="11"/>
        <v>0</v>
      </c>
      <c r="P55" s="90">
        <f>SUM(D55:O55)</f>
        <v>24798057.539999999</v>
      </c>
      <c r="Q55" s="93"/>
    </row>
    <row r="56" spans="2:17" x14ac:dyDescent="0.25">
      <c r="B56" s="5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3"/>
    </row>
    <row r="57" spans="2:17" x14ac:dyDescent="0.25">
      <c r="B57" s="5"/>
      <c r="C57" s="62" t="s">
        <v>35</v>
      </c>
      <c r="D57" s="91">
        <f>HLOOKUP($D$48,'EJEMPLO DE NOMINA'!$E$1:$BU$97,6,FALSE)</f>
        <v>178977.56</v>
      </c>
      <c r="E57" s="89">
        <f>HLOOKUP($D$48,'EJEMPLO DE NOMINA'!$E$1:$BU$97,14,FALSE)</f>
        <v>197482.5100000001</v>
      </c>
      <c r="F57" s="89">
        <f>HLOOKUP($D$48,'EJEMPLO DE NOMINA'!$E$1:$BU$97,22,FALSE)</f>
        <v>241083.99</v>
      </c>
      <c r="G57" s="89">
        <f>HLOOKUP($D$48,'EJEMPLO DE NOMINA'!$E$1:$BU$97,30,FALSE)</f>
        <v>0</v>
      </c>
      <c r="H57" s="89">
        <f>HLOOKUP($D$48,'EJEMPLO DE NOMINA'!$E$1:$BU$97,38,FALSE)</f>
        <v>0</v>
      </c>
      <c r="I57" s="89">
        <f>HLOOKUP($D$48,'EJEMPLO DE NOMINA'!$E$1:$BU$97,46,FALSE)</f>
        <v>0</v>
      </c>
      <c r="J57" s="89">
        <f>HLOOKUP($D$48,'EJEMPLO DE NOMINA'!$E$1:$BU$97,54,FALSE)</f>
        <v>0</v>
      </c>
      <c r="K57" s="89">
        <f>HLOOKUP($D$48,'EJEMPLO DE NOMINA'!$E$1:$BU$97,62,FALSE)</f>
        <v>0</v>
      </c>
      <c r="L57" s="89">
        <f>HLOOKUP($D$48,'EJEMPLO DE NOMINA'!$E$1:$BU$97,70,FALSE)</f>
        <v>0</v>
      </c>
      <c r="M57" s="89">
        <f>HLOOKUP($D$48,'EJEMPLO DE NOMINA'!$E$1:$BU$97,78,FALSE)</f>
        <v>0</v>
      </c>
      <c r="N57" s="89">
        <f>HLOOKUP($D$48,'EJEMPLO DE NOMINA'!$E$1:$BU$97,86,FALSE)</f>
        <v>0</v>
      </c>
      <c r="O57" s="89">
        <f>HLOOKUP($D$48,'EJEMPLO DE NOMINA'!$E$1:$BU$97,94,FALSE)</f>
        <v>0</v>
      </c>
      <c r="P57" s="90">
        <f>SUM(D57:O57)</f>
        <v>617544.06000000006</v>
      </c>
      <c r="Q57" s="87"/>
    </row>
    <row r="58" spans="2:17" x14ac:dyDescent="0.25">
      <c r="B58" s="5"/>
      <c r="C58" s="62" t="s">
        <v>36</v>
      </c>
      <c r="D58" s="91">
        <f>HLOOKUP($D$48,'EJEMPLO DE NOMINA'!$E$1:$BU$97,7,FALSE)</f>
        <v>76</v>
      </c>
      <c r="E58" s="89">
        <f>HLOOKUP($D$48,'EJEMPLO DE NOMINA'!$E$1:$BU$97,15,FALSE)</f>
        <v>82</v>
      </c>
      <c r="F58" s="89">
        <f>HLOOKUP($D$48,'EJEMPLO DE NOMINA'!$E$1:$BU$97,23,FALSE)</f>
        <v>90</v>
      </c>
      <c r="G58" s="89">
        <f>HLOOKUP($D$48,'EJEMPLO DE NOMINA'!$E$1:$BU$97,31,FALSE)</f>
        <v>0</v>
      </c>
      <c r="H58" s="89">
        <f>HLOOKUP($D$48,'EJEMPLO DE NOMINA'!$E$1:$BU$97,39,FALSE)</f>
        <v>0</v>
      </c>
      <c r="I58" s="89">
        <f>HLOOKUP($D$48,'EJEMPLO DE NOMINA'!$E$1:$BU$97,47,FALSE)</f>
        <v>0</v>
      </c>
      <c r="J58" s="89">
        <f>HLOOKUP($D$48,'EJEMPLO DE NOMINA'!$E$1:$BU$97,55,FALSE)</f>
        <v>0</v>
      </c>
      <c r="K58" s="89">
        <f>HLOOKUP($D$48,'EJEMPLO DE NOMINA'!$E$1:$BU$97,63,FALSE)</f>
        <v>0</v>
      </c>
      <c r="L58" s="89">
        <f>HLOOKUP($D$48,'EJEMPLO DE NOMINA'!$E$1:$BU$97,71,FALSE)</f>
        <v>0</v>
      </c>
      <c r="M58" s="89">
        <f>HLOOKUP($D$48,'EJEMPLO DE NOMINA'!$E$1:$BU$97,79,FALSE)</f>
        <v>0</v>
      </c>
      <c r="N58" s="89">
        <f>HLOOKUP($D$48,'EJEMPLO DE NOMINA'!$E$1:$BU$97,87,FALSE)</f>
        <v>0</v>
      </c>
      <c r="O58" s="89">
        <f>HLOOKUP($D$48,'EJEMPLO DE NOMINA'!$E$1:$BU$97,95,FALSE)</f>
        <v>0</v>
      </c>
      <c r="P58" s="92">
        <f>AVERAGE(D58:O58)</f>
        <v>20.666666666666668</v>
      </c>
      <c r="Q58" s="87"/>
    </row>
    <row r="59" spans="2:17" x14ac:dyDescent="0.25">
      <c r="B59" s="5"/>
      <c r="C59" s="62" t="s">
        <v>37</v>
      </c>
      <c r="D59" s="91">
        <f>HLOOKUP($D$48,'EJEMPLO DE NOMINA'!$E$1:$BU$97,8,FALSE)</f>
        <v>7941161.7300000023</v>
      </c>
      <c r="E59" s="89">
        <f>HLOOKUP($D$48,'EJEMPLO DE NOMINA'!$E$1:$BU$97,16,FALSE)</f>
        <v>8116363.879999998</v>
      </c>
      <c r="F59" s="89">
        <f>HLOOKUP($D$48,'EJEMPLO DE NOMINA'!$E$1:$BU$97,24,FALSE)</f>
        <v>8580347.6599999983</v>
      </c>
      <c r="G59" s="89">
        <f>HLOOKUP($D$48,'EJEMPLO DE NOMINA'!$E$1:$BU$97,32,FALSE)</f>
        <v>0</v>
      </c>
      <c r="H59" s="89">
        <f>HLOOKUP($D$48,'EJEMPLO DE NOMINA'!$E$1:$BU$97,40,FALSE)</f>
        <v>0</v>
      </c>
      <c r="I59" s="89">
        <f>HLOOKUP($D$48,'EJEMPLO DE NOMINA'!$E$1:$BU$97,48,FALSE)</f>
        <v>0</v>
      </c>
      <c r="J59" s="89">
        <f>HLOOKUP($D$48,'EJEMPLO DE NOMINA'!$E$1:$BU$97,56,FALSE)</f>
        <v>0</v>
      </c>
      <c r="K59" s="89">
        <f>HLOOKUP($D$48,'EJEMPLO DE NOMINA'!$E$1:$BU$97,64,FALSE)</f>
        <v>0</v>
      </c>
      <c r="L59" s="89">
        <f>HLOOKUP($D$48,'EJEMPLO DE NOMINA'!$E$1:$BU$97,72,FALSE)</f>
        <v>0</v>
      </c>
      <c r="M59" s="89">
        <f>HLOOKUP($D$48,'EJEMPLO DE NOMINA'!$E$1:$BU$97,80,FALSE)</f>
        <v>0</v>
      </c>
      <c r="N59" s="89">
        <f>HLOOKUP($D$48,'EJEMPLO DE NOMINA'!$E$1:$BU$97,88,FALSE)</f>
        <v>0</v>
      </c>
      <c r="O59" s="89">
        <f>HLOOKUP($D$48,'EJEMPLO DE NOMINA'!$E$1:$BU$97,96,FALSE)</f>
        <v>0</v>
      </c>
      <c r="P59" s="90">
        <f>SUM(D59:O59)</f>
        <v>24637873.269999996</v>
      </c>
      <c r="Q59" s="87"/>
    </row>
    <row r="60" spans="2:17" x14ac:dyDescent="0.25">
      <c r="B60" s="5"/>
      <c r="C60" s="62" t="s">
        <v>38</v>
      </c>
      <c r="D60" s="91">
        <f>HLOOKUP($D$48,'EJEMPLO DE NOMINA'!$E$1:$BU$97,9,FALSE)</f>
        <v>1810111.7699999998</v>
      </c>
      <c r="E60" s="89">
        <f>HLOOKUP($D$48,'EJEMPLO DE NOMINA'!$E$1:$BU$97,17,FALSE)</f>
        <v>1757761.5799999998</v>
      </c>
      <c r="F60" s="89">
        <f>HLOOKUP($D$48,'EJEMPLO DE NOMINA'!$E$1:$BU$97,25,FALSE)</f>
        <v>3473852.3399999994</v>
      </c>
      <c r="G60" s="89">
        <f>HLOOKUP($D$48,'EJEMPLO DE NOMINA'!$E$1:$BU$97,33,FALSE)</f>
        <v>0</v>
      </c>
      <c r="H60" s="89">
        <f>HLOOKUP($D$48,'EJEMPLO DE NOMINA'!$E$1:$BU$97,41,FALSE)</f>
        <v>0</v>
      </c>
      <c r="I60" s="89">
        <f>HLOOKUP($D$48,'EJEMPLO DE NOMINA'!$E$1:$BU$97,49,FALSE)</f>
        <v>0</v>
      </c>
      <c r="J60" s="89">
        <f>HLOOKUP($D$48,'EJEMPLO DE NOMINA'!$E$1:$BU$97,57,FALSE)</f>
        <v>0</v>
      </c>
      <c r="K60" s="89">
        <f>HLOOKUP($D$48,'EJEMPLO DE NOMINA'!$E$1:$BU$97,65,FALSE)</f>
        <v>0</v>
      </c>
      <c r="L60" s="89">
        <f>HLOOKUP($D$48,'EJEMPLO DE NOMINA'!$E$1:$BU$97,73,FALSE)</f>
        <v>0</v>
      </c>
      <c r="M60" s="89">
        <f>HLOOKUP($D$48,'EJEMPLO DE NOMINA'!$E$1:$BU$97,81,FALSE)</f>
        <v>0</v>
      </c>
      <c r="N60" s="89">
        <f>HLOOKUP($D$48,'EJEMPLO DE NOMINA'!$E$1:$BU$97,89,FALSE)</f>
        <v>0</v>
      </c>
      <c r="O60" s="89">
        <f>HLOOKUP($D$48,'EJEMPLO DE NOMINA'!$E$1:$BU$97,97,FALSE)</f>
        <v>0</v>
      </c>
      <c r="P60" s="90">
        <f>SUM(D60:O60)</f>
        <v>7041725.6899999995</v>
      </c>
      <c r="Q60" s="87"/>
    </row>
    <row r="61" spans="2:17" x14ac:dyDescent="0.25">
      <c r="B61" s="5"/>
      <c r="C61" s="94" t="s">
        <v>39</v>
      </c>
      <c r="D61" s="97">
        <f>+D59+D60</f>
        <v>9751273.5000000019</v>
      </c>
      <c r="E61" s="97">
        <f>+E59+E60</f>
        <v>9874125.4599999972</v>
      </c>
      <c r="F61" s="97">
        <f t="shared" ref="F61:O61" si="12">+F59</f>
        <v>8580347.6599999983</v>
      </c>
      <c r="G61" s="97">
        <f t="shared" si="12"/>
        <v>0</v>
      </c>
      <c r="H61" s="97">
        <f t="shared" si="12"/>
        <v>0</v>
      </c>
      <c r="I61" s="97">
        <f t="shared" si="12"/>
        <v>0</v>
      </c>
      <c r="J61" s="97">
        <f t="shared" si="12"/>
        <v>0</v>
      </c>
      <c r="K61" s="97">
        <f t="shared" si="12"/>
        <v>0</v>
      </c>
      <c r="L61" s="97">
        <f t="shared" si="12"/>
        <v>0</v>
      </c>
      <c r="M61" s="97">
        <f t="shared" si="12"/>
        <v>0</v>
      </c>
      <c r="N61" s="97">
        <f t="shared" si="12"/>
        <v>0</v>
      </c>
      <c r="O61" s="97">
        <f t="shared" si="12"/>
        <v>0</v>
      </c>
      <c r="P61" s="90">
        <f>SUM(D61:O61)</f>
        <v>28205746.619999997</v>
      </c>
      <c r="Q61" s="87"/>
    </row>
    <row r="62" spans="2:17" x14ac:dyDescent="0.25">
      <c r="B62" s="5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87"/>
    </row>
    <row r="63" spans="2:17" x14ac:dyDescent="0.25">
      <c r="B63" s="5"/>
      <c r="C63" s="62" t="s">
        <v>12</v>
      </c>
      <c r="D63" s="98">
        <v>0.02</v>
      </c>
      <c r="E63" s="98">
        <v>0.02</v>
      </c>
      <c r="F63" s="98">
        <v>0.02</v>
      </c>
      <c r="G63" s="98">
        <v>0.02</v>
      </c>
      <c r="H63" s="98">
        <v>0.02</v>
      </c>
      <c r="I63" s="98">
        <v>0.02</v>
      </c>
      <c r="J63" s="98">
        <v>0.02</v>
      </c>
      <c r="K63" s="98">
        <v>0.02</v>
      </c>
      <c r="L63" s="98">
        <v>0.02</v>
      </c>
      <c r="M63" s="98">
        <v>0.02</v>
      </c>
      <c r="N63" s="98">
        <v>0.02</v>
      </c>
      <c r="O63" s="98">
        <v>0.02</v>
      </c>
      <c r="P63" s="66"/>
      <c r="Q63" s="87"/>
    </row>
    <row r="64" spans="2:17" x14ac:dyDescent="0.25">
      <c r="B64" s="5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87"/>
    </row>
    <row r="65" spans="2:17" x14ac:dyDescent="0.25">
      <c r="B65" s="5"/>
      <c r="C65" s="62" t="s">
        <v>13</v>
      </c>
      <c r="D65" s="97">
        <f t="shared" ref="D65:O65" si="13">+D61*D63</f>
        <v>195025.47000000003</v>
      </c>
      <c r="E65" s="97">
        <f t="shared" si="13"/>
        <v>197482.50919999994</v>
      </c>
      <c r="F65" s="97">
        <f t="shared" si="13"/>
        <v>171606.95319999996</v>
      </c>
      <c r="G65" s="97">
        <f t="shared" si="13"/>
        <v>0</v>
      </c>
      <c r="H65" s="97">
        <f t="shared" si="13"/>
        <v>0</v>
      </c>
      <c r="I65" s="97">
        <f t="shared" si="13"/>
        <v>0</v>
      </c>
      <c r="J65" s="97">
        <f>+J61*J63</f>
        <v>0</v>
      </c>
      <c r="K65" s="97">
        <f t="shared" si="13"/>
        <v>0</v>
      </c>
      <c r="L65" s="97">
        <f>+L61*L63</f>
        <v>0</v>
      </c>
      <c r="M65" s="97">
        <f t="shared" si="13"/>
        <v>0</v>
      </c>
      <c r="N65" s="97">
        <f t="shared" si="13"/>
        <v>0</v>
      </c>
      <c r="O65" s="97">
        <f t="shared" si="13"/>
        <v>0</v>
      </c>
      <c r="P65" s="90">
        <f>SUM(D65:O65)</f>
        <v>564114.93239999993</v>
      </c>
      <c r="Q65" s="87"/>
    </row>
    <row r="66" spans="2:17" x14ac:dyDescent="0.25">
      <c r="B66" s="5"/>
      <c r="C66" s="62" t="s">
        <v>22</v>
      </c>
      <c r="D66" s="97">
        <f t="shared" ref="D66:O66" si="14">+D57</f>
        <v>178977.56</v>
      </c>
      <c r="E66" s="97">
        <f t="shared" si="14"/>
        <v>197482.5100000001</v>
      </c>
      <c r="F66" s="97">
        <f t="shared" si="14"/>
        <v>241083.99</v>
      </c>
      <c r="G66" s="97">
        <f t="shared" si="14"/>
        <v>0</v>
      </c>
      <c r="H66" s="97">
        <f t="shared" si="14"/>
        <v>0</v>
      </c>
      <c r="I66" s="97">
        <f t="shared" si="14"/>
        <v>0</v>
      </c>
      <c r="J66" s="97">
        <f>+J57</f>
        <v>0</v>
      </c>
      <c r="K66" s="97">
        <f t="shared" si="14"/>
        <v>0</v>
      </c>
      <c r="L66" s="97">
        <f t="shared" si="14"/>
        <v>0</v>
      </c>
      <c r="M66" s="97">
        <f t="shared" si="14"/>
        <v>0</v>
      </c>
      <c r="N66" s="97">
        <f t="shared" si="14"/>
        <v>0</v>
      </c>
      <c r="O66" s="97">
        <f t="shared" si="14"/>
        <v>0</v>
      </c>
      <c r="P66" s="90">
        <f>SUM(D66:O66)</f>
        <v>617544.06000000006</v>
      </c>
      <c r="Q66" s="87"/>
    </row>
    <row r="67" spans="2:17" x14ac:dyDescent="0.25">
      <c r="B67" s="5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87"/>
    </row>
    <row r="68" spans="2:17" x14ac:dyDescent="0.25">
      <c r="B68" s="5"/>
      <c r="C68" s="99" t="s">
        <v>14</v>
      </c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87"/>
    </row>
    <row r="69" spans="2:17" x14ac:dyDescent="0.25">
      <c r="B69" s="5"/>
      <c r="C69" s="62" t="s">
        <v>15</v>
      </c>
      <c r="D69" s="97">
        <f t="shared" ref="D69:O69" si="15">+D51-D65</f>
        <v>-13836.610000000015</v>
      </c>
      <c r="E69" s="97">
        <f t="shared" si="15"/>
        <v>1170.9108000001288</v>
      </c>
      <c r="F69" s="97">
        <f t="shared" si="15"/>
        <v>73242.476800000033</v>
      </c>
      <c r="G69" s="97">
        <f t="shared" si="15"/>
        <v>0</v>
      </c>
      <c r="H69" s="97">
        <f t="shared" si="15"/>
        <v>0</v>
      </c>
      <c r="I69" s="97">
        <f t="shared" si="15"/>
        <v>0</v>
      </c>
      <c r="J69" s="97">
        <f t="shared" si="15"/>
        <v>0</v>
      </c>
      <c r="K69" s="97">
        <f t="shared" si="15"/>
        <v>0</v>
      </c>
      <c r="L69" s="97">
        <f t="shared" si="15"/>
        <v>0</v>
      </c>
      <c r="M69" s="97">
        <f t="shared" si="15"/>
        <v>0</v>
      </c>
      <c r="N69" s="97">
        <f t="shared" si="15"/>
        <v>0</v>
      </c>
      <c r="O69" s="97">
        <f t="shared" si="15"/>
        <v>0</v>
      </c>
      <c r="P69" s="90">
        <f>SUM(D69:O69)</f>
        <v>60576.777600000147</v>
      </c>
      <c r="Q69" s="87"/>
    </row>
    <row r="70" spans="2:17" x14ac:dyDescent="0.25">
      <c r="B70" s="5"/>
      <c r="C70" s="62" t="s">
        <v>16</v>
      </c>
      <c r="D70" s="97">
        <f t="shared" ref="D70:O70" si="16">+D57-D65</f>
        <v>-16047.910000000033</v>
      </c>
      <c r="E70" s="97">
        <f t="shared" si="16"/>
        <v>8.0000015441328287E-4</v>
      </c>
      <c r="F70" s="97">
        <f t="shared" si="16"/>
        <v>69477.036800000031</v>
      </c>
      <c r="G70" s="97">
        <f t="shared" si="16"/>
        <v>0</v>
      </c>
      <c r="H70" s="97">
        <f t="shared" si="16"/>
        <v>0</v>
      </c>
      <c r="I70" s="97">
        <f t="shared" si="16"/>
        <v>0</v>
      </c>
      <c r="J70" s="97">
        <f t="shared" si="16"/>
        <v>0</v>
      </c>
      <c r="K70" s="97">
        <f t="shared" si="16"/>
        <v>0</v>
      </c>
      <c r="L70" s="97">
        <f t="shared" si="16"/>
        <v>0</v>
      </c>
      <c r="M70" s="97">
        <f t="shared" si="16"/>
        <v>0</v>
      </c>
      <c r="N70" s="97">
        <f t="shared" si="16"/>
        <v>0</v>
      </c>
      <c r="O70" s="97">
        <f t="shared" si="16"/>
        <v>0</v>
      </c>
      <c r="P70" s="90">
        <f>SUM(D70:O70)</f>
        <v>53429.127600000153</v>
      </c>
      <c r="Q70" s="87"/>
    </row>
    <row r="71" spans="2:17" x14ac:dyDescent="0.25">
      <c r="B71" s="5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87"/>
    </row>
    <row r="72" spans="2:17" x14ac:dyDescent="0.25">
      <c r="B72" s="5"/>
      <c r="C72" s="75" t="s">
        <v>17</v>
      </c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90">
        <f>SUM(D72:O72)</f>
        <v>0</v>
      </c>
      <c r="Q72" s="87"/>
    </row>
    <row r="73" spans="2:17" x14ac:dyDescent="0.25">
      <c r="B73" s="5"/>
      <c r="C73" s="75" t="s">
        <v>18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90">
        <f>SUM(D73:O73)</f>
        <v>0</v>
      </c>
      <c r="Q73" s="87"/>
    </row>
    <row r="74" spans="2:17" x14ac:dyDescent="0.25">
      <c r="B74" s="5"/>
      <c r="C74" s="9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87"/>
    </row>
    <row r="75" spans="2:17" x14ac:dyDescent="0.25">
      <c r="B75" s="5"/>
      <c r="C75" s="101" t="s">
        <v>19</v>
      </c>
      <c r="D75" s="102">
        <f t="shared" ref="D75:O75" si="17">+D65+D72+D73</f>
        <v>195025.47000000003</v>
      </c>
      <c r="E75" s="102">
        <f t="shared" si="17"/>
        <v>197482.50919999994</v>
      </c>
      <c r="F75" s="102">
        <f t="shared" si="17"/>
        <v>171606.95319999996</v>
      </c>
      <c r="G75" s="102">
        <f t="shared" si="17"/>
        <v>0</v>
      </c>
      <c r="H75" s="102">
        <f t="shared" si="17"/>
        <v>0</v>
      </c>
      <c r="I75" s="102">
        <f t="shared" si="17"/>
        <v>0</v>
      </c>
      <c r="J75" s="102">
        <f t="shared" si="17"/>
        <v>0</v>
      </c>
      <c r="K75" s="102">
        <f t="shared" si="17"/>
        <v>0</v>
      </c>
      <c r="L75" s="102">
        <f t="shared" si="17"/>
        <v>0</v>
      </c>
      <c r="M75" s="102">
        <f t="shared" si="17"/>
        <v>0</v>
      </c>
      <c r="N75" s="102">
        <f t="shared" si="17"/>
        <v>0</v>
      </c>
      <c r="O75" s="102">
        <f t="shared" si="17"/>
        <v>0</v>
      </c>
      <c r="P75" s="103">
        <f>SUM(D75:O75)</f>
        <v>564114.93239999993</v>
      </c>
      <c r="Q75" s="87"/>
    </row>
    <row r="76" spans="2:17" ht="15.75" thickBot="1" x14ac:dyDescent="0.3">
      <c r="B76" s="6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5"/>
    </row>
    <row r="77" spans="2:17" ht="15.75" thickBot="1" x14ac:dyDescent="0.3"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</row>
    <row r="78" spans="2:17" x14ac:dyDescent="0.25">
      <c r="B78" s="4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1"/>
    </row>
    <row r="79" spans="2:17" x14ac:dyDescent="0.25">
      <c r="B79" s="5"/>
      <c r="C79" s="82" t="s">
        <v>11</v>
      </c>
      <c r="D79" s="83" t="s">
        <v>85</v>
      </c>
      <c r="E79" s="84"/>
      <c r="F79" s="84"/>
      <c r="G79" s="85"/>
      <c r="H79" s="171"/>
      <c r="I79" s="172"/>
      <c r="J79" s="172"/>
      <c r="K79" s="172"/>
      <c r="L79" s="172"/>
      <c r="M79" s="172"/>
      <c r="N79" s="172"/>
      <c r="O79" s="173"/>
      <c r="P79" s="86" t="s">
        <v>6</v>
      </c>
      <c r="Q79" s="87"/>
    </row>
    <row r="80" spans="2:17" x14ac:dyDescent="0.25">
      <c r="B80" s="5"/>
      <c r="C80" s="66"/>
      <c r="D80" s="174" t="s">
        <v>41</v>
      </c>
      <c r="E80" s="174"/>
      <c r="F80" s="174"/>
      <c r="G80" s="174"/>
      <c r="H80" s="171"/>
      <c r="I80" s="172"/>
      <c r="J80" s="172"/>
      <c r="K80" s="172"/>
      <c r="L80" s="172"/>
      <c r="M80" s="172"/>
      <c r="N80" s="172"/>
      <c r="O80" s="173"/>
      <c r="P80" s="88"/>
      <c r="Q80" s="87"/>
    </row>
    <row r="81" spans="2:17" x14ac:dyDescent="0.25">
      <c r="B81" s="5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87"/>
    </row>
    <row r="82" spans="2:17" x14ac:dyDescent="0.25">
      <c r="B82" s="5"/>
      <c r="C82" s="62" t="s">
        <v>27</v>
      </c>
      <c r="D82" s="89">
        <f>HLOOKUP($D$79,'EJEMPLO DE NOMINA'!$E$1:$BU$97,2,FALSE)</f>
        <v>97914.370000000024</v>
      </c>
      <c r="E82" s="89">
        <f>HLOOKUP($D$79,'EJEMPLO DE NOMINA'!$E$1:$BU$97,10,FALSE)</f>
        <v>111613.91000000005</v>
      </c>
      <c r="F82" s="89">
        <f>HLOOKUP($D$79,'EJEMPLO DE NOMINA'!$E$1:$BU$97,18,FALSE)</f>
        <v>113275.52</v>
      </c>
      <c r="G82" s="89">
        <f>HLOOKUP($D$79,'EJEMPLO DE NOMINA'!$E$1:$BU$97,26,FALSE)</f>
        <v>0</v>
      </c>
      <c r="H82" s="89">
        <f>HLOOKUP($D$79,'EJEMPLO DE NOMINA'!$E$1:$BU$97,34,FALSE)</f>
        <v>0</v>
      </c>
      <c r="I82" s="89">
        <f>HLOOKUP($D$79,'EJEMPLO DE NOMINA'!$E$1:$BU$97,42,FALSE)</f>
        <v>0</v>
      </c>
      <c r="J82" s="89">
        <f>HLOOKUP($D$79,'EJEMPLO DE NOMINA'!$E$1:$BU$97,50,FALSE)</f>
        <v>0</v>
      </c>
      <c r="K82" s="89">
        <f>HLOOKUP($D$79,'EJEMPLO DE NOMINA'!$E$1:$BU$97,58,FALSE)</f>
        <v>0</v>
      </c>
      <c r="L82" s="89">
        <f>HLOOKUP($D$79,'EJEMPLO DE NOMINA'!$E$1:$BU$97,66,FALSE)</f>
        <v>0</v>
      </c>
      <c r="M82" s="89">
        <f>HLOOKUP($D$79,'EJEMPLO DE NOMINA'!$E$1:$BU$97,74,FALSE)</f>
        <v>0</v>
      </c>
      <c r="N82" s="89">
        <f>HLOOKUP($D$79,'EJEMPLO DE NOMINA'!$E$1:$BU$97,82,FALSE)</f>
        <v>0</v>
      </c>
      <c r="O82" s="89">
        <f>HLOOKUP($D$79,'EJEMPLO DE NOMINA'!$E$1:$BU$97,90,FALSE)</f>
        <v>0</v>
      </c>
      <c r="P82" s="90">
        <f>SUM(D82:O82)</f>
        <v>322803.8000000001</v>
      </c>
      <c r="Q82" s="87"/>
    </row>
    <row r="83" spans="2:17" x14ac:dyDescent="0.25">
      <c r="B83" s="5"/>
      <c r="C83" s="62" t="s">
        <v>26</v>
      </c>
      <c r="D83" s="91">
        <f>HLOOKUP($D$79,'EJEMPLO DE NOMINA'!$E$1:$BU$97,3,FALSE)</f>
        <v>85</v>
      </c>
      <c r="E83" s="89">
        <f>HLOOKUP($D$79,'EJEMPLO DE NOMINA'!$E$1:$BU$97,11,FALSE)</f>
        <v>91</v>
      </c>
      <c r="F83" s="89">
        <f>HLOOKUP($D$79,'EJEMPLO DE NOMINA'!$E$1:$BU$97,19,FALSE)</f>
        <v>97</v>
      </c>
      <c r="G83" s="89">
        <f>HLOOKUP($D$79,'EJEMPLO DE NOMINA'!$E$1:$BU$97,27,FALSE)</f>
        <v>0</v>
      </c>
      <c r="H83" s="89">
        <f>HLOOKUP($D$79,'EJEMPLO DE NOMINA'!$E$1:$BU$97,35,FALSE)</f>
        <v>0</v>
      </c>
      <c r="I83" s="89">
        <f>HLOOKUP($D$79,'EJEMPLO DE NOMINA'!$E$1:$BU$97,43,FALSE)</f>
        <v>0</v>
      </c>
      <c r="J83" s="89">
        <f>HLOOKUP($D$79,'EJEMPLO DE NOMINA'!$E$1:$BU$97,51,FALSE)</f>
        <v>0</v>
      </c>
      <c r="K83" s="89">
        <f>HLOOKUP($D$79,'EJEMPLO DE NOMINA'!$E$1:$BU$97,59,FALSE)</f>
        <v>0</v>
      </c>
      <c r="L83" s="89">
        <f>HLOOKUP($D$79,'EJEMPLO DE NOMINA'!$E$1:$BU$97,67,FALSE)</f>
        <v>0</v>
      </c>
      <c r="M83" s="89">
        <f>HLOOKUP($D$79,'EJEMPLO DE NOMINA'!$E$1:$BU$97,75,FALSE)</f>
        <v>0</v>
      </c>
      <c r="N83" s="89">
        <f>HLOOKUP($D$79,'EJEMPLO DE NOMINA'!$E$1:$BU$97,83,FALSE)</f>
        <v>0</v>
      </c>
      <c r="O83" s="89">
        <f>HLOOKUP($D$79,'EJEMPLO DE NOMINA'!$E$1:$BU$97,91,FALSE)</f>
        <v>0</v>
      </c>
      <c r="P83" s="92">
        <f>AVERAGE(D83:O83)</f>
        <v>22.75</v>
      </c>
      <c r="Q83" s="87"/>
    </row>
    <row r="84" spans="2:17" x14ac:dyDescent="0.25">
      <c r="B84" s="5"/>
      <c r="C84" s="62" t="s">
        <v>33</v>
      </c>
      <c r="D84" s="91">
        <f>HLOOKUP($D$79,'EJEMPLO DE NOMINA'!$E$1:$BU$97,4,FALSE)</f>
        <v>8672373.9000000022</v>
      </c>
      <c r="E84" s="89">
        <f>HLOOKUP($D$79,'EJEMPLO DE NOMINA'!$E$1:$BU$97,12,FALSE)</f>
        <v>9219173.2399999984</v>
      </c>
      <c r="F84" s="89">
        <f>HLOOKUP($D$79,'EJEMPLO DE NOMINA'!$E$1:$BU$97,20,FALSE)</f>
        <v>9295468.4600000009</v>
      </c>
      <c r="G84" s="89">
        <f>HLOOKUP($D$79,'EJEMPLO DE NOMINA'!$E$1:$BU$97,28,FALSE)</f>
        <v>0</v>
      </c>
      <c r="H84" s="89">
        <f>HLOOKUP($D$79,'EJEMPLO DE NOMINA'!$E$1:$BU$97,36,FALSE)</f>
        <v>0</v>
      </c>
      <c r="I84" s="89">
        <f>HLOOKUP($D$79,'EJEMPLO DE NOMINA'!$E$1:$BU$97,44,FALSE)</f>
        <v>0</v>
      </c>
      <c r="J84" s="89">
        <f>HLOOKUP($D$79,'EJEMPLO DE NOMINA'!$E$1:$BU$97,52,FALSE)</f>
        <v>0</v>
      </c>
      <c r="K84" s="89">
        <f>HLOOKUP($D$79,'EJEMPLO DE NOMINA'!$E$1:$BU$97,60,FALSE)</f>
        <v>0</v>
      </c>
      <c r="L84" s="89">
        <f>HLOOKUP($D$79,'EJEMPLO DE NOMINA'!$E$1:$BU$97,68,FALSE)</f>
        <v>0</v>
      </c>
      <c r="M84" s="89">
        <f>HLOOKUP($D$79,'EJEMPLO DE NOMINA'!$E$1:$BU$97,76,FALSE)</f>
        <v>0</v>
      </c>
      <c r="N84" s="89">
        <f>HLOOKUP($D$79,'EJEMPLO DE NOMINA'!$E$1:$BU$97,84,FALSE)</f>
        <v>0</v>
      </c>
      <c r="O84" s="89">
        <f>HLOOKUP($D$79,'EJEMPLO DE NOMINA'!$E$1:$BU$97,92,FALSE)</f>
        <v>0</v>
      </c>
      <c r="P84" s="90">
        <f>SUM(D84:O84)</f>
        <v>27187015.600000001</v>
      </c>
      <c r="Q84" s="93"/>
    </row>
    <row r="85" spans="2:17" x14ac:dyDescent="0.25">
      <c r="B85" s="5"/>
      <c r="C85" s="62" t="s">
        <v>34</v>
      </c>
      <c r="D85" s="91">
        <f>HLOOKUP($D$79,'EJEMPLO DE NOMINA'!$E$1:$BU$97,5,FALSE)</f>
        <v>2035749.14</v>
      </c>
      <c r="E85" s="89">
        <f>HLOOKUP($D$79,'EJEMPLO DE NOMINA'!$E$1:$BU$97,13,FALSE)</f>
        <v>1986337.0099999995</v>
      </c>
      <c r="F85" s="89">
        <f>HLOOKUP($D$79,'EJEMPLO DE NOMINA'!$E$1:$BU$97,21,FALSE)</f>
        <v>3764018.3299999982</v>
      </c>
      <c r="G85" s="89">
        <f>HLOOKUP($D$79,'EJEMPLO DE NOMINA'!$E$1:$BU$97,29,FALSE)</f>
        <v>0</v>
      </c>
      <c r="H85" s="89">
        <f>HLOOKUP($D$79,'EJEMPLO DE NOMINA'!$E$1:$BU$97,37,FALSE)</f>
        <v>0</v>
      </c>
      <c r="I85" s="89">
        <f>HLOOKUP($D$79,'EJEMPLO DE NOMINA'!$E$1:$BU$97,45,FALSE)</f>
        <v>0</v>
      </c>
      <c r="J85" s="89">
        <f>HLOOKUP($D$79,'EJEMPLO DE NOMINA'!$E$1:$BU$97,53,FALSE)</f>
        <v>0</v>
      </c>
      <c r="K85" s="89">
        <f>HLOOKUP($D$79,'EJEMPLO DE NOMINA'!$E$1:$BU$97,61,FALSE)</f>
        <v>0</v>
      </c>
      <c r="L85" s="89">
        <f>HLOOKUP($D$79,'EJEMPLO DE NOMINA'!$E$1:$BU$97,69,FALSE)</f>
        <v>0</v>
      </c>
      <c r="M85" s="89">
        <f>HLOOKUP($D$79,'EJEMPLO DE NOMINA'!$E$1:$BU$97,77,FALSE)</f>
        <v>0</v>
      </c>
      <c r="N85" s="89">
        <f>HLOOKUP($D$79,'EJEMPLO DE NOMINA'!$E$1:$BU$97,85,FALSE)</f>
        <v>0</v>
      </c>
      <c r="O85" s="89">
        <f>HLOOKUP($D$79,'EJEMPLO DE NOMINA'!$E$1:$BU$97,93,FALSE)</f>
        <v>0</v>
      </c>
      <c r="P85" s="90">
        <f>SUM(D85:O85)</f>
        <v>7786104.4799999977</v>
      </c>
      <c r="Q85" s="93"/>
    </row>
    <row r="86" spans="2:17" x14ac:dyDescent="0.25">
      <c r="B86" s="5"/>
      <c r="C86" s="94" t="s">
        <v>39</v>
      </c>
      <c r="D86" s="95">
        <f>+D84</f>
        <v>8672373.9000000022</v>
      </c>
      <c r="E86" s="95">
        <f t="shared" ref="E86:O86" si="18">+E84</f>
        <v>9219173.2399999984</v>
      </c>
      <c r="F86" s="95">
        <f t="shared" si="18"/>
        <v>9295468.4600000009</v>
      </c>
      <c r="G86" s="95">
        <f t="shared" si="18"/>
        <v>0</v>
      </c>
      <c r="H86" s="95">
        <f t="shared" si="18"/>
        <v>0</v>
      </c>
      <c r="I86" s="95">
        <f t="shared" si="18"/>
        <v>0</v>
      </c>
      <c r="J86" s="95">
        <f t="shared" si="18"/>
        <v>0</v>
      </c>
      <c r="K86" s="95">
        <f t="shared" si="18"/>
        <v>0</v>
      </c>
      <c r="L86" s="95">
        <f t="shared" si="18"/>
        <v>0</v>
      </c>
      <c r="M86" s="95">
        <f t="shared" si="18"/>
        <v>0</v>
      </c>
      <c r="N86" s="95">
        <f t="shared" si="18"/>
        <v>0</v>
      </c>
      <c r="O86" s="95">
        <f t="shared" si="18"/>
        <v>0</v>
      </c>
      <c r="P86" s="90">
        <f>SUM(D86:O86)</f>
        <v>27187015.600000001</v>
      </c>
      <c r="Q86" s="93"/>
    </row>
    <row r="87" spans="2:17" x14ac:dyDescent="0.25">
      <c r="B87" s="5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3"/>
    </row>
    <row r="88" spans="2:17" x14ac:dyDescent="0.25">
      <c r="B88" s="5"/>
      <c r="C88" s="62" t="s">
        <v>35</v>
      </c>
      <c r="D88" s="91">
        <f>HLOOKUP($D$79,'EJEMPLO DE NOMINA'!$E$1:$BU$97,6,FALSE)</f>
        <v>96808.72000000003</v>
      </c>
      <c r="E88" s="89">
        <f>HLOOKUP($D$79,'EJEMPLO DE NOMINA'!$E$1:$BU$97,14,FALSE)</f>
        <v>111028.45000000003</v>
      </c>
      <c r="F88" s="89">
        <f>HLOOKUP($D$79,'EJEMPLO DE NOMINA'!$E$1:$BU$97,22,FALSE)</f>
        <v>113076.75</v>
      </c>
      <c r="G88" s="89">
        <f>HLOOKUP($D$79,'EJEMPLO DE NOMINA'!$E$1:$BU$97,30,FALSE)</f>
        <v>0</v>
      </c>
      <c r="H88" s="89">
        <f>HLOOKUP($D$79,'EJEMPLO DE NOMINA'!$E$1:$BU$97,38,FALSE)</f>
        <v>0</v>
      </c>
      <c r="I88" s="89">
        <f>HLOOKUP($D$79,'EJEMPLO DE NOMINA'!$E$1:$BU$97,46,FALSE)</f>
        <v>0</v>
      </c>
      <c r="J88" s="89">
        <f>HLOOKUP($D$79,'EJEMPLO DE NOMINA'!$E$1:$BU$97,54,FALSE)</f>
        <v>0</v>
      </c>
      <c r="K88" s="89">
        <f>HLOOKUP($D$79,'EJEMPLO DE NOMINA'!$E$1:$BU$97,62,FALSE)</f>
        <v>0</v>
      </c>
      <c r="L88" s="89">
        <f>HLOOKUP($D$79,'EJEMPLO DE NOMINA'!$E$1:$BU$97,70,FALSE)</f>
        <v>0</v>
      </c>
      <c r="M88" s="89">
        <f>HLOOKUP($D$79,'EJEMPLO DE NOMINA'!$E$1:$BU$97,78,FALSE)</f>
        <v>0</v>
      </c>
      <c r="N88" s="89">
        <f>HLOOKUP($D$79,'EJEMPLO DE NOMINA'!$E$1:$BU$97,86,FALSE)</f>
        <v>0</v>
      </c>
      <c r="O88" s="89">
        <f>HLOOKUP($D$79,'EJEMPLO DE NOMINA'!$E$1:$BU$97,94,FALSE)</f>
        <v>0</v>
      </c>
      <c r="P88" s="90">
        <f>SUM(D88:O88)</f>
        <v>320913.92000000004</v>
      </c>
      <c r="Q88" s="87"/>
    </row>
    <row r="89" spans="2:17" x14ac:dyDescent="0.25">
      <c r="B89" s="5"/>
      <c r="C89" s="62" t="s">
        <v>36</v>
      </c>
      <c r="D89" s="91">
        <f>HLOOKUP($D$79,'EJEMPLO DE NOMINA'!$E$1:$BU$97,7,FALSE)</f>
        <v>83</v>
      </c>
      <c r="E89" s="89">
        <f>HLOOKUP($D$79,'EJEMPLO DE NOMINA'!$E$1:$BU$97,15,FALSE)</f>
        <v>89</v>
      </c>
      <c r="F89" s="89">
        <f>HLOOKUP($D$79,'EJEMPLO DE NOMINA'!$E$1:$BU$97,23,FALSE)</f>
        <v>95</v>
      </c>
      <c r="G89" s="89">
        <f>HLOOKUP($D$79,'EJEMPLO DE NOMINA'!$E$1:$BU$97,31,FALSE)</f>
        <v>0</v>
      </c>
      <c r="H89" s="89">
        <f>HLOOKUP($D$79,'EJEMPLO DE NOMINA'!$E$1:$BU$97,39,FALSE)</f>
        <v>0</v>
      </c>
      <c r="I89" s="89">
        <f>HLOOKUP($D$79,'EJEMPLO DE NOMINA'!$E$1:$BU$97,47,FALSE)</f>
        <v>0</v>
      </c>
      <c r="J89" s="89">
        <f>HLOOKUP($D$79,'EJEMPLO DE NOMINA'!$E$1:$BU$97,55,FALSE)</f>
        <v>0</v>
      </c>
      <c r="K89" s="89">
        <f>HLOOKUP($D$79,'EJEMPLO DE NOMINA'!$E$1:$BU$97,63,FALSE)</f>
        <v>0</v>
      </c>
      <c r="L89" s="89">
        <f>HLOOKUP($D$79,'EJEMPLO DE NOMINA'!$E$1:$BU$97,71,FALSE)</f>
        <v>0</v>
      </c>
      <c r="M89" s="89">
        <f>HLOOKUP($D$79,'EJEMPLO DE NOMINA'!$E$1:$BU$97,79,FALSE)</f>
        <v>0</v>
      </c>
      <c r="N89" s="89">
        <f>HLOOKUP($D$79,'EJEMPLO DE NOMINA'!$E$1:$BU$97,87,FALSE)</f>
        <v>0</v>
      </c>
      <c r="O89" s="89">
        <f>HLOOKUP($D$79,'EJEMPLO DE NOMINA'!$E$1:$BU$97,95,FALSE)</f>
        <v>0</v>
      </c>
      <c r="P89" s="92">
        <f>AVERAGE(D89:O89)</f>
        <v>22.25</v>
      </c>
      <c r="Q89" s="87"/>
    </row>
    <row r="90" spans="2:17" x14ac:dyDescent="0.25">
      <c r="B90" s="5"/>
      <c r="C90" s="62" t="s">
        <v>37</v>
      </c>
      <c r="D90" s="91">
        <f>HLOOKUP($D$79,'EJEMPLO DE NOMINA'!$E$1:$BU$97,8,FALSE)</f>
        <v>8576633.7500000037</v>
      </c>
      <c r="E90" s="89">
        <f>HLOOKUP($D$79,'EJEMPLO DE NOMINA'!$E$1:$BU$97,16,FALSE)</f>
        <v>9170748.549999997</v>
      </c>
      <c r="F90" s="89">
        <f>HLOOKUP($D$79,'EJEMPLO DE NOMINA'!$E$1:$BU$97,24,FALSE)</f>
        <v>9278919.2400000002</v>
      </c>
      <c r="G90" s="89">
        <f>HLOOKUP($D$79,'EJEMPLO DE NOMINA'!$E$1:$BU$97,32,FALSE)</f>
        <v>0</v>
      </c>
      <c r="H90" s="89">
        <f>HLOOKUP($D$79,'EJEMPLO DE NOMINA'!$E$1:$BU$97,40,FALSE)</f>
        <v>0</v>
      </c>
      <c r="I90" s="89">
        <f>HLOOKUP($D$79,'EJEMPLO DE NOMINA'!$E$1:$BU$97,48,FALSE)</f>
        <v>0</v>
      </c>
      <c r="J90" s="89">
        <f>HLOOKUP($D$79,'EJEMPLO DE NOMINA'!$E$1:$BU$97,56,FALSE)</f>
        <v>0</v>
      </c>
      <c r="K90" s="89">
        <f>HLOOKUP($D$79,'EJEMPLO DE NOMINA'!$E$1:$BU$97,64,FALSE)</f>
        <v>0</v>
      </c>
      <c r="L90" s="89">
        <f>HLOOKUP($D$79,'EJEMPLO DE NOMINA'!$E$1:$BU$97,72,FALSE)</f>
        <v>0</v>
      </c>
      <c r="M90" s="89">
        <f>HLOOKUP($D$79,'EJEMPLO DE NOMINA'!$E$1:$BU$97,80,FALSE)</f>
        <v>0</v>
      </c>
      <c r="N90" s="89">
        <f>HLOOKUP($D$79,'EJEMPLO DE NOMINA'!$E$1:$BU$97,88,FALSE)</f>
        <v>0</v>
      </c>
      <c r="O90" s="89">
        <f>HLOOKUP($D$79,'EJEMPLO DE NOMINA'!$E$1:$BU$97,96,FALSE)</f>
        <v>0</v>
      </c>
      <c r="P90" s="90">
        <f>SUM(D90:O90)</f>
        <v>27026301.539999999</v>
      </c>
      <c r="Q90" s="87"/>
    </row>
    <row r="91" spans="2:17" x14ac:dyDescent="0.25">
      <c r="B91" s="5"/>
      <c r="C91" s="62" t="s">
        <v>38</v>
      </c>
      <c r="D91" s="91">
        <f>HLOOKUP($D$79,'EJEMPLO DE NOMINA'!$E$1:$BU$97,9,FALSE)</f>
        <v>1993099.0999999999</v>
      </c>
      <c r="E91" s="89">
        <f>HLOOKUP($D$79,'EJEMPLO DE NOMINA'!$E$1:$BU$97,17,FALSE)</f>
        <v>1976215.9199999995</v>
      </c>
      <c r="F91" s="89">
        <f>HLOOKUP($D$79,'EJEMPLO DE NOMINA'!$E$1:$BU$97,25,FALSE)</f>
        <v>3746345.3399999989</v>
      </c>
      <c r="G91" s="89">
        <f>HLOOKUP($D$79,'EJEMPLO DE NOMINA'!$E$1:$BU$97,33,FALSE)</f>
        <v>0</v>
      </c>
      <c r="H91" s="89">
        <f>HLOOKUP($D$79,'EJEMPLO DE NOMINA'!$E$1:$BU$97,41,FALSE)</f>
        <v>0</v>
      </c>
      <c r="I91" s="89">
        <f>HLOOKUP($D$79,'EJEMPLO DE NOMINA'!$E$1:$BU$97,49,FALSE)</f>
        <v>0</v>
      </c>
      <c r="J91" s="89">
        <f>HLOOKUP($D$79,'EJEMPLO DE NOMINA'!$E$1:$BU$97,57,FALSE)</f>
        <v>0</v>
      </c>
      <c r="K91" s="89">
        <f>HLOOKUP($D$79,'EJEMPLO DE NOMINA'!$E$1:$BU$97,65,FALSE)</f>
        <v>0</v>
      </c>
      <c r="L91" s="89">
        <f>HLOOKUP($D$79,'EJEMPLO DE NOMINA'!$E$1:$BU$97,73,FALSE)</f>
        <v>0</v>
      </c>
      <c r="M91" s="89">
        <f>HLOOKUP($D$79,'EJEMPLO DE NOMINA'!$E$1:$BU$97,81,FALSE)</f>
        <v>0</v>
      </c>
      <c r="N91" s="89">
        <f>HLOOKUP($D$79,'EJEMPLO DE NOMINA'!$E$1:$BU$97,89,FALSE)</f>
        <v>0</v>
      </c>
      <c r="O91" s="89">
        <f>HLOOKUP($D$79,'EJEMPLO DE NOMINA'!$E$1:$BU$97,97,FALSE)</f>
        <v>0</v>
      </c>
      <c r="P91" s="90">
        <f>SUM(D91:O91)</f>
        <v>7715660.3599999985</v>
      </c>
      <c r="Q91" s="87"/>
    </row>
    <row r="92" spans="2:17" x14ac:dyDescent="0.25">
      <c r="B92" s="5"/>
      <c r="C92" s="94" t="s">
        <v>39</v>
      </c>
      <c r="D92" s="97">
        <f>+D90</f>
        <v>8576633.7500000037</v>
      </c>
      <c r="E92" s="97">
        <f t="shared" ref="E92:O92" si="19">+E90</f>
        <v>9170748.549999997</v>
      </c>
      <c r="F92" s="97">
        <f t="shared" si="19"/>
        <v>9278919.2400000002</v>
      </c>
      <c r="G92" s="97">
        <f t="shared" si="19"/>
        <v>0</v>
      </c>
      <c r="H92" s="97">
        <f t="shared" si="19"/>
        <v>0</v>
      </c>
      <c r="I92" s="97">
        <f t="shared" si="19"/>
        <v>0</v>
      </c>
      <c r="J92" s="97">
        <f t="shared" si="19"/>
        <v>0</v>
      </c>
      <c r="K92" s="97">
        <f t="shared" si="19"/>
        <v>0</v>
      </c>
      <c r="L92" s="97">
        <f t="shared" si="19"/>
        <v>0</v>
      </c>
      <c r="M92" s="97">
        <f t="shared" si="19"/>
        <v>0</v>
      </c>
      <c r="N92" s="97">
        <f>+N90</f>
        <v>0</v>
      </c>
      <c r="O92" s="97">
        <f t="shared" si="19"/>
        <v>0</v>
      </c>
      <c r="P92" s="90">
        <f>SUM(D92:O92)</f>
        <v>27026301.539999999</v>
      </c>
      <c r="Q92" s="87"/>
    </row>
    <row r="93" spans="2:17" x14ac:dyDescent="0.25">
      <c r="B93" s="5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87"/>
    </row>
    <row r="94" spans="2:17" x14ac:dyDescent="0.25">
      <c r="B94" s="5"/>
      <c r="C94" s="62" t="s">
        <v>12</v>
      </c>
      <c r="D94" s="98">
        <v>0.01</v>
      </c>
      <c r="E94" s="98">
        <v>0.01</v>
      </c>
      <c r="F94" s="98">
        <v>0.01</v>
      </c>
      <c r="G94" s="98">
        <v>0.01</v>
      </c>
      <c r="H94" s="98">
        <v>0.01</v>
      </c>
      <c r="I94" s="98">
        <v>0.01</v>
      </c>
      <c r="J94" s="98">
        <v>0.01</v>
      </c>
      <c r="K94" s="98">
        <v>0.01</v>
      </c>
      <c r="L94" s="98">
        <v>0.01</v>
      </c>
      <c r="M94" s="98">
        <v>0.01</v>
      </c>
      <c r="N94" s="98">
        <v>0.01</v>
      </c>
      <c r="O94" s="98">
        <v>0.01</v>
      </c>
      <c r="P94" s="66"/>
      <c r="Q94" s="87"/>
    </row>
    <row r="95" spans="2:17" x14ac:dyDescent="0.25">
      <c r="B95" s="5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87"/>
    </row>
    <row r="96" spans="2:17" x14ac:dyDescent="0.25">
      <c r="B96" s="5"/>
      <c r="C96" s="62" t="s">
        <v>13</v>
      </c>
      <c r="D96" s="97">
        <f t="shared" ref="D96:O96" si="20">+D92*D94</f>
        <v>85766.337500000038</v>
      </c>
      <c r="E96" s="97">
        <f t="shared" si="20"/>
        <v>91707.485499999966</v>
      </c>
      <c r="F96" s="97">
        <f t="shared" si="20"/>
        <v>92789.1924</v>
      </c>
      <c r="G96" s="97">
        <f>+G92*G94</f>
        <v>0</v>
      </c>
      <c r="H96" s="97">
        <f t="shared" si="20"/>
        <v>0</v>
      </c>
      <c r="I96" s="97">
        <f t="shared" si="20"/>
        <v>0</v>
      </c>
      <c r="J96" s="97">
        <f t="shared" si="20"/>
        <v>0</v>
      </c>
      <c r="K96" s="97">
        <f>+K92*K94</f>
        <v>0</v>
      </c>
      <c r="L96" s="97">
        <f>+L92*L94</f>
        <v>0</v>
      </c>
      <c r="M96" s="97">
        <f t="shared" si="20"/>
        <v>0</v>
      </c>
      <c r="N96" s="97">
        <f>+N92*N94</f>
        <v>0</v>
      </c>
      <c r="O96" s="97">
        <f t="shared" si="20"/>
        <v>0</v>
      </c>
      <c r="P96" s="90">
        <f>SUM(D96:O96)</f>
        <v>270263.01540000003</v>
      </c>
      <c r="Q96" s="87"/>
    </row>
    <row r="97" spans="2:17" x14ac:dyDescent="0.25">
      <c r="B97" s="5"/>
      <c r="C97" s="62" t="s">
        <v>22</v>
      </c>
      <c r="D97" s="97">
        <f t="shared" ref="D97:O97" si="21">+D88</f>
        <v>96808.72000000003</v>
      </c>
      <c r="E97" s="97">
        <f t="shared" si="21"/>
        <v>111028.45000000003</v>
      </c>
      <c r="F97" s="97">
        <f t="shared" si="21"/>
        <v>113076.75</v>
      </c>
      <c r="G97" s="97">
        <f t="shared" si="21"/>
        <v>0</v>
      </c>
      <c r="H97" s="97">
        <f t="shared" si="21"/>
        <v>0</v>
      </c>
      <c r="I97" s="97">
        <f t="shared" si="21"/>
        <v>0</v>
      </c>
      <c r="J97" s="97">
        <f t="shared" si="21"/>
        <v>0</v>
      </c>
      <c r="K97" s="97">
        <f t="shared" si="21"/>
        <v>0</v>
      </c>
      <c r="L97" s="97">
        <f t="shared" si="21"/>
        <v>0</v>
      </c>
      <c r="M97" s="97">
        <f t="shared" si="21"/>
        <v>0</v>
      </c>
      <c r="N97" s="97">
        <f t="shared" si="21"/>
        <v>0</v>
      </c>
      <c r="O97" s="97">
        <f t="shared" si="21"/>
        <v>0</v>
      </c>
      <c r="P97" s="90">
        <f>SUM(D97:O97)</f>
        <v>320913.92000000004</v>
      </c>
      <c r="Q97" s="87"/>
    </row>
    <row r="98" spans="2:17" x14ac:dyDescent="0.25">
      <c r="B98" s="5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87"/>
    </row>
    <row r="99" spans="2:17" x14ac:dyDescent="0.25">
      <c r="B99" s="5"/>
      <c r="C99" s="99" t="s">
        <v>14</v>
      </c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87"/>
    </row>
    <row r="100" spans="2:17" x14ac:dyDescent="0.25">
      <c r="B100" s="5"/>
      <c r="C100" s="62" t="s">
        <v>15</v>
      </c>
      <c r="D100" s="97">
        <f t="shared" ref="D100:O100" si="22">+D82-D96</f>
        <v>12148.032499999987</v>
      </c>
      <c r="E100" s="97">
        <f t="shared" si="22"/>
        <v>19906.424500000081</v>
      </c>
      <c r="F100" s="97">
        <f t="shared" si="22"/>
        <v>20486.327600000004</v>
      </c>
      <c r="G100" s="97">
        <f t="shared" si="22"/>
        <v>0</v>
      </c>
      <c r="H100" s="97">
        <f t="shared" si="22"/>
        <v>0</v>
      </c>
      <c r="I100" s="97">
        <f>+I82-I96</f>
        <v>0</v>
      </c>
      <c r="J100" s="97">
        <f>+J82-J96</f>
        <v>0</v>
      </c>
      <c r="K100" s="97">
        <f t="shared" si="22"/>
        <v>0</v>
      </c>
      <c r="L100" s="97">
        <f t="shared" si="22"/>
        <v>0</v>
      </c>
      <c r="M100" s="97">
        <f t="shared" si="22"/>
        <v>0</v>
      </c>
      <c r="N100" s="97">
        <f t="shared" si="22"/>
        <v>0</v>
      </c>
      <c r="O100" s="97">
        <f t="shared" si="22"/>
        <v>0</v>
      </c>
      <c r="P100" s="90">
        <f>SUM(D100:O100)</f>
        <v>52540.784600000072</v>
      </c>
      <c r="Q100" s="87"/>
    </row>
    <row r="101" spans="2:17" x14ac:dyDescent="0.25">
      <c r="B101" s="5"/>
      <c r="C101" s="62" t="s">
        <v>16</v>
      </c>
      <c r="D101" s="97">
        <f t="shared" ref="D101:O101" si="23">+D88-D96</f>
        <v>11042.382499999992</v>
      </c>
      <c r="E101" s="97">
        <f t="shared" si="23"/>
        <v>19320.96450000006</v>
      </c>
      <c r="F101" s="97">
        <f t="shared" si="23"/>
        <v>20287.5576</v>
      </c>
      <c r="G101" s="97">
        <f t="shared" si="23"/>
        <v>0</v>
      </c>
      <c r="H101" s="97">
        <f t="shared" si="23"/>
        <v>0</v>
      </c>
      <c r="I101" s="97">
        <f t="shared" si="23"/>
        <v>0</v>
      </c>
      <c r="J101" s="97">
        <f t="shared" si="23"/>
        <v>0</v>
      </c>
      <c r="K101" s="97">
        <f t="shared" si="23"/>
        <v>0</v>
      </c>
      <c r="L101" s="97">
        <f>+L88-L96</f>
        <v>0</v>
      </c>
      <c r="M101" s="97">
        <f t="shared" si="23"/>
        <v>0</v>
      </c>
      <c r="N101" s="97">
        <f>+N88-N96</f>
        <v>0</v>
      </c>
      <c r="O101" s="97">
        <f t="shared" si="23"/>
        <v>0</v>
      </c>
      <c r="P101" s="90">
        <f>SUM(D101:O101)</f>
        <v>50650.904600000053</v>
      </c>
      <c r="Q101" s="87"/>
    </row>
    <row r="102" spans="2:17" x14ac:dyDescent="0.25">
      <c r="B102" s="5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87"/>
    </row>
    <row r="103" spans="2:17" x14ac:dyDescent="0.25">
      <c r="B103" s="5"/>
      <c r="C103" s="75" t="s">
        <v>17</v>
      </c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90">
        <f>SUM(D103:O103)</f>
        <v>0</v>
      </c>
      <c r="Q103" s="87"/>
    </row>
    <row r="104" spans="2:17" x14ac:dyDescent="0.25">
      <c r="B104" s="5"/>
      <c r="C104" s="75" t="s">
        <v>18</v>
      </c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90">
        <f>SUM(D104:O104)</f>
        <v>0</v>
      </c>
      <c r="Q104" s="87"/>
    </row>
    <row r="105" spans="2:17" x14ac:dyDescent="0.25">
      <c r="B105" s="5"/>
      <c r="C105" s="9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87"/>
    </row>
    <row r="106" spans="2:17" x14ac:dyDescent="0.25">
      <c r="B106" s="5"/>
      <c r="C106" s="101" t="s">
        <v>19</v>
      </c>
      <c r="D106" s="102">
        <f t="shared" ref="D106:O106" si="24">+D96+D103+D104</f>
        <v>85766.337500000038</v>
      </c>
      <c r="E106" s="102">
        <f t="shared" si="24"/>
        <v>91707.485499999966</v>
      </c>
      <c r="F106" s="102">
        <f t="shared" si="24"/>
        <v>92789.1924</v>
      </c>
      <c r="G106" s="102">
        <f t="shared" si="24"/>
        <v>0</v>
      </c>
      <c r="H106" s="102">
        <f t="shared" si="24"/>
        <v>0</v>
      </c>
      <c r="I106" s="102">
        <f t="shared" si="24"/>
        <v>0</v>
      </c>
      <c r="J106" s="102">
        <f>+J96+J103+J104</f>
        <v>0</v>
      </c>
      <c r="K106" s="102">
        <f t="shared" si="24"/>
        <v>0</v>
      </c>
      <c r="L106" s="102">
        <f t="shared" si="24"/>
        <v>0</v>
      </c>
      <c r="M106" s="102">
        <f t="shared" si="24"/>
        <v>0</v>
      </c>
      <c r="N106" s="102">
        <f t="shared" si="24"/>
        <v>0</v>
      </c>
      <c r="O106" s="102">
        <f t="shared" si="24"/>
        <v>0</v>
      </c>
      <c r="P106" s="103">
        <f>SUM(D106:O106)</f>
        <v>270263.01540000003</v>
      </c>
      <c r="Q106" s="87"/>
    </row>
    <row r="107" spans="2:17" ht="15.75" thickBot="1" x14ac:dyDescent="0.3">
      <c r="B107" s="6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5"/>
    </row>
    <row r="108" spans="2:17" ht="15.75" thickBot="1" x14ac:dyDescent="0.3">
      <c r="B108" s="3"/>
      <c r="C108" s="66"/>
      <c r="D108" s="66"/>
      <c r="E108" s="66"/>
      <c r="F108" s="66"/>
      <c r="G108" s="66"/>
      <c r="H108" s="66"/>
      <c r="I108" s="66"/>
      <c r="J108" s="66"/>
      <c r="K108" s="66"/>
      <c r="L108" s="77">
        <f>++L106+L106</f>
        <v>0</v>
      </c>
      <c r="M108" s="77"/>
      <c r="N108" s="77"/>
      <c r="O108" s="77"/>
      <c r="P108" s="66"/>
      <c r="Q108" s="66"/>
    </row>
    <row r="109" spans="2:17" x14ac:dyDescent="0.25">
      <c r="B109" s="4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1"/>
    </row>
    <row r="110" spans="2:17" x14ac:dyDescent="0.25">
      <c r="B110" s="5"/>
      <c r="C110" s="82" t="s">
        <v>11</v>
      </c>
      <c r="D110" s="83" t="s">
        <v>91</v>
      </c>
      <c r="E110" s="84"/>
      <c r="F110" s="84"/>
      <c r="G110" s="85"/>
      <c r="H110" s="171"/>
      <c r="I110" s="172"/>
      <c r="J110" s="172"/>
      <c r="K110" s="172"/>
      <c r="L110" s="172"/>
      <c r="M110" s="172"/>
      <c r="N110" s="172"/>
      <c r="O110" s="173"/>
      <c r="P110" s="86" t="s">
        <v>6</v>
      </c>
      <c r="Q110" s="87"/>
    </row>
    <row r="111" spans="2:17" x14ac:dyDescent="0.25">
      <c r="B111" s="5"/>
      <c r="C111" s="66"/>
      <c r="D111" s="174" t="s">
        <v>41</v>
      </c>
      <c r="E111" s="174"/>
      <c r="F111" s="174"/>
      <c r="G111" s="174"/>
      <c r="H111" s="171"/>
      <c r="I111" s="172"/>
      <c r="J111" s="172"/>
      <c r="K111" s="172"/>
      <c r="L111" s="172"/>
      <c r="M111" s="172"/>
      <c r="N111" s="172"/>
      <c r="O111" s="173"/>
      <c r="P111" s="88"/>
      <c r="Q111" s="87"/>
    </row>
    <row r="112" spans="2:17" x14ac:dyDescent="0.25">
      <c r="B112" s="5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87"/>
    </row>
    <row r="113" spans="2:17" x14ac:dyDescent="0.25">
      <c r="B113" s="5"/>
      <c r="C113" s="62" t="s">
        <v>27</v>
      </c>
      <c r="D113" s="89">
        <f>HLOOKUP($D$110,'EJEMPLO DE NOMINA'!$E$1:$BU$97,2,FALSE)</f>
        <v>195828.65000000002</v>
      </c>
      <c r="E113" s="89">
        <f>HLOOKUP($D$110,'EJEMPLO DE NOMINA'!$E$1:$BU$97,10,FALSE)</f>
        <v>224110.21000000011</v>
      </c>
      <c r="F113" s="89">
        <f>HLOOKUP($D$110,'EJEMPLO DE NOMINA'!$E$1:$BU$97,18,FALSE)</f>
        <v>264822.76999999996</v>
      </c>
      <c r="G113" s="89">
        <f>HLOOKUP($D$110,'EJEMPLO DE NOMINA'!$E$1:$BU$97,26,FALSE)</f>
        <v>0</v>
      </c>
      <c r="H113" s="89">
        <f>HLOOKUP($D$110,'EJEMPLO DE NOMINA'!$E$1:$BU$97,34,FALSE)</f>
        <v>0</v>
      </c>
      <c r="I113" s="89">
        <f>HLOOKUP($D$110,'EJEMPLO DE NOMINA'!$E$1:$BU$97,42,FALSE)</f>
        <v>0</v>
      </c>
      <c r="J113" s="89">
        <f>HLOOKUP($D$110,'EJEMPLO DE NOMINA'!$E$1:$BU$97,50,FALSE)</f>
        <v>0</v>
      </c>
      <c r="K113" s="89">
        <f>HLOOKUP($D$110,'EJEMPLO DE NOMINA'!$E$1:$BU$97,58,FALSE)</f>
        <v>0</v>
      </c>
      <c r="L113" s="89">
        <f>HLOOKUP($D$110,'EJEMPLO DE NOMINA'!$E$1:$BU$97,66,FALSE)</f>
        <v>0</v>
      </c>
      <c r="M113" s="89">
        <f>HLOOKUP($D$110,'EJEMPLO DE NOMINA'!$E$1:$BU$97,74,FALSE)</f>
        <v>0</v>
      </c>
      <c r="N113" s="89">
        <f>HLOOKUP($D$110,'EJEMPLO DE NOMINA'!$E$1:$BU$97,82,FALSE)</f>
        <v>0</v>
      </c>
      <c r="O113" s="89">
        <f>HLOOKUP($D$110,'EJEMPLO DE NOMINA'!$E$1:$BU$97,90,FALSE)</f>
        <v>0</v>
      </c>
      <c r="P113" s="90">
        <f>SUM(D113:O113)</f>
        <v>684761.63000000012</v>
      </c>
      <c r="Q113" s="87"/>
    </row>
    <row r="114" spans="2:17" x14ac:dyDescent="0.25">
      <c r="B114" s="5"/>
      <c r="C114" s="62" t="s">
        <v>26</v>
      </c>
      <c r="D114" s="91">
        <f>HLOOKUP($D$110,'EJEMPLO DE NOMINA'!$E$1:$BU$97,3,FALSE)</f>
        <v>85</v>
      </c>
      <c r="E114" s="89">
        <f>HLOOKUP($D$110,'EJEMPLO DE NOMINA'!$E$1:$BU$97,11,FALSE)</f>
        <v>91</v>
      </c>
      <c r="F114" s="89">
        <f>HLOOKUP($D$110,'EJEMPLO DE NOMINA'!$E$1:$BU$97,19,FALSE)</f>
        <v>127</v>
      </c>
      <c r="G114" s="89">
        <f>HLOOKUP($D$110,'EJEMPLO DE NOMINA'!$E$1:$BU$97,27,FALSE)</f>
        <v>0</v>
      </c>
      <c r="H114" s="89">
        <f>HLOOKUP($D$110,'EJEMPLO DE NOMINA'!$E$1:$BU$97,35,FALSE)</f>
        <v>0</v>
      </c>
      <c r="I114" s="89">
        <f>HLOOKUP($D$110,'EJEMPLO DE NOMINA'!$E$1:$BU$97,43,FALSE)</f>
        <v>0</v>
      </c>
      <c r="J114" s="89">
        <f>HLOOKUP($D$110,'EJEMPLO DE NOMINA'!$E$1:$BU$97,51,FALSE)</f>
        <v>0</v>
      </c>
      <c r="K114" s="89">
        <f>HLOOKUP($D$110,'EJEMPLO DE NOMINA'!$E$1:$BU$97,59,FALSE)</f>
        <v>0</v>
      </c>
      <c r="L114" s="89">
        <f>HLOOKUP($D$110,'EJEMPLO DE NOMINA'!$E$1:$BU$97,67,FALSE)</f>
        <v>0</v>
      </c>
      <c r="M114" s="89">
        <f>HLOOKUP($D$110,'EJEMPLO DE NOMINA'!$E$1:$BU$97,75,FALSE)</f>
        <v>0</v>
      </c>
      <c r="N114" s="89">
        <f>HLOOKUP($D$110,'EJEMPLO DE NOMINA'!$E$1:$BU$97,83,FALSE)</f>
        <v>0</v>
      </c>
      <c r="O114" s="89">
        <f>HLOOKUP($D$110,'EJEMPLO DE NOMINA'!$E$1:$BU$97,91,FALSE)</f>
        <v>0</v>
      </c>
      <c r="P114" s="92">
        <f>AVERAGE(D114:O114)</f>
        <v>25.25</v>
      </c>
      <c r="Q114" s="87"/>
    </row>
    <row r="115" spans="2:17" x14ac:dyDescent="0.25">
      <c r="B115" s="5"/>
      <c r="C115" s="62" t="s">
        <v>33</v>
      </c>
      <c r="D115" s="91">
        <f>HLOOKUP($D$110,'EJEMPLO DE NOMINA'!$E$1:$BU$97,4,FALSE)</f>
        <v>8672373.9000000022</v>
      </c>
      <c r="E115" s="89">
        <f>HLOOKUP($D$110,'EJEMPLO DE NOMINA'!$E$1:$BU$97,12,FALSE)</f>
        <v>9219173.2399999984</v>
      </c>
      <c r="F115" s="89">
        <f>HLOOKUP($D$110,'EJEMPLO DE NOMINA'!$E$1:$BU$97,20,FALSE)</f>
        <v>9295468.4600000009</v>
      </c>
      <c r="G115" s="89">
        <f>HLOOKUP($D$110,'EJEMPLO DE NOMINA'!$E$1:$BU$97,28,FALSE)</f>
        <v>0</v>
      </c>
      <c r="H115" s="89">
        <f>HLOOKUP($D$110,'EJEMPLO DE NOMINA'!$E$1:$BU$97,36,FALSE)</f>
        <v>0</v>
      </c>
      <c r="I115" s="89">
        <f>HLOOKUP($D$110,'EJEMPLO DE NOMINA'!$E$1:$BU$97,44,FALSE)</f>
        <v>0</v>
      </c>
      <c r="J115" s="89">
        <f>HLOOKUP($D$110,'EJEMPLO DE NOMINA'!$E$1:$BU$97,52,FALSE)</f>
        <v>0</v>
      </c>
      <c r="K115" s="89">
        <f>HLOOKUP($D$110,'EJEMPLO DE NOMINA'!$E$1:$BU$97,60,FALSE)</f>
        <v>0</v>
      </c>
      <c r="L115" s="89">
        <f>HLOOKUP($D$110,'EJEMPLO DE NOMINA'!$E$1:$BU$97,68,FALSE)</f>
        <v>0</v>
      </c>
      <c r="M115" s="89">
        <f>HLOOKUP($D$110,'EJEMPLO DE NOMINA'!$E$1:$BU$97,76,FALSE)</f>
        <v>0</v>
      </c>
      <c r="N115" s="89">
        <f>HLOOKUP($D$110,'EJEMPLO DE NOMINA'!$E$1:$BU$97,84,FALSE)</f>
        <v>0</v>
      </c>
      <c r="O115" s="89">
        <f>HLOOKUP($D$110,'EJEMPLO DE NOMINA'!$E$1:$BU$97,92,FALSE)</f>
        <v>0</v>
      </c>
      <c r="P115" s="90">
        <f>SUM(D115:O115)</f>
        <v>27187015.600000001</v>
      </c>
      <c r="Q115" s="93"/>
    </row>
    <row r="116" spans="2:17" x14ac:dyDescent="0.25">
      <c r="B116" s="5"/>
      <c r="C116" s="62" t="s">
        <v>34</v>
      </c>
      <c r="D116" s="91">
        <f>HLOOKUP($D$110,'EJEMPLO DE NOMINA'!$E$1:$BU$97,5,FALSE)</f>
        <v>2035749.14</v>
      </c>
      <c r="E116" s="89">
        <f>HLOOKUP($D$110,'EJEMPLO DE NOMINA'!$E$1:$BU$97,13,FALSE)</f>
        <v>1986337.0099999995</v>
      </c>
      <c r="F116" s="89">
        <f>HLOOKUP($D$110,'EJEMPLO DE NOMINA'!$E$1:$BU$97,21,FALSE)</f>
        <v>3945669.709999999</v>
      </c>
      <c r="G116" s="89">
        <f>HLOOKUP($D$110,'EJEMPLO DE NOMINA'!$E$1:$BU$97,29,FALSE)</f>
        <v>0</v>
      </c>
      <c r="H116" s="89">
        <f>HLOOKUP($D$110,'EJEMPLO DE NOMINA'!$E$1:$BU$97,37,FALSE)</f>
        <v>0</v>
      </c>
      <c r="I116" s="89">
        <f>HLOOKUP($D$110,'EJEMPLO DE NOMINA'!$E$1:$BU$97,45,FALSE)</f>
        <v>0</v>
      </c>
      <c r="J116" s="89">
        <f>HLOOKUP($D$110,'EJEMPLO DE NOMINA'!$E$1:$BU$97,53,FALSE)</f>
        <v>0</v>
      </c>
      <c r="K116" s="89">
        <f>HLOOKUP($D$110,'EJEMPLO DE NOMINA'!$E$1:$BU$97,61,FALSE)</f>
        <v>0</v>
      </c>
      <c r="L116" s="89">
        <f>HLOOKUP($D$110,'EJEMPLO DE NOMINA'!$E$1:$BU$97,69,FALSE)</f>
        <v>0</v>
      </c>
      <c r="M116" s="89">
        <f>HLOOKUP($D$110,'EJEMPLO DE NOMINA'!$E$1:$BU$97,77,FALSE)</f>
        <v>0</v>
      </c>
      <c r="N116" s="89">
        <f>HLOOKUP($D$110,'EJEMPLO DE NOMINA'!$E$1:$BU$97,85,FALSE)</f>
        <v>0</v>
      </c>
      <c r="O116" s="89">
        <f>HLOOKUP($D$110,'EJEMPLO DE NOMINA'!$E$1:$BU$97,93,FALSE)</f>
        <v>0</v>
      </c>
      <c r="P116" s="90">
        <f>SUM(D116:O116)</f>
        <v>7967755.8599999985</v>
      </c>
      <c r="Q116" s="93"/>
    </row>
    <row r="117" spans="2:17" x14ac:dyDescent="0.25">
      <c r="B117" s="5"/>
      <c r="C117" s="94" t="s">
        <v>39</v>
      </c>
      <c r="D117" s="95">
        <f>+D115</f>
        <v>8672373.9000000022</v>
      </c>
      <c r="E117" s="95">
        <f t="shared" ref="E117:O117" si="25">+E115</f>
        <v>9219173.2399999984</v>
      </c>
      <c r="F117" s="95">
        <f t="shared" si="25"/>
        <v>9295468.4600000009</v>
      </c>
      <c r="G117" s="95">
        <f t="shared" si="25"/>
        <v>0</v>
      </c>
      <c r="H117" s="95">
        <f t="shared" si="25"/>
        <v>0</v>
      </c>
      <c r="I117" s="95">
        <f t="shared" si="25"/>
        <v>0</v>
      </c>
      <c r="J117" s="95">
        <f t="shared" si="25"/>
        <v>0</v>
      </c>
      <c r="K117" s="95">
        <f t="shared" si="25"/>
        <v>0</v>
      </c>
      <c r="L117" s="95">
        <f t="shared" si="25"/>
        <v>0</v>
      </c>
      <c r="M117" s="95">
        <f t="shared" si="25"/>
        <v>0</v>
      </c>
      <c r="N117" s="95">
        <f t="shared" si="25"/>
        <v>0</v>
      </c>
      <c r="O117" s="95">
        <f t="shared" si="25"/>
        <v>0</v>
      </c>
      <c r="P117" s="90">
        <f>SUM(D117:O117)</f>
        <v>27187015.600000001</v>
      </c>
      <c r="Q117" s="93"/>
    </row>
    <row r="118" spans="2:17" x14ac:dyDescent="0.25">
      <c r="B118" s="5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3"/>
    </row>
    <row r="119" spans="2:17" x14ac:dyDescent="0.25">
      <c r="B119" s="5"/>
      <c r="C119" s="62" t="s">
        <v>35</v>
      </c>
      <c r="D119" s="91">
        <f>HLOOKUP($D$110,'EJEMPLO DE NOMINA'!$E$1:$BU$97,6,FALSE)</f>
        <v>193617.35000000003</v>
      </c>
      <c r="E119" s="89">
        <f>HLOOKUP($D$110,'EJEMPLO DE NOMINA'!$E$1:$BU$97,14,FALSE)</f>
        <v>222939.3000000001</v>
      </c>
      <c r="F119" s="89">
        <f>HLOOKUP($D$110,'EJEMPLO DE NOMINA'!$E$1:$BU$97,22,FALSE)</f>
        <v>260505.25999999998</v>
      </c>
      <c r="G119" s="89">
        <f>HLOOKUP($D$110,'EJEMPLO DE NOMINA'!$E$1:$BU$97,30,FALSE)</f>
        <v>0</v>
      </c>
      <c r="H119" s="89">
        <f>HLOOKUP($D$110,'EJEMPLO DE NOMINA'!$E$1:$BU$97,38,FALSE)</f>
        <v>0</v>
      </c>
      <c r="I119" s="89">
        <f>HLOOKUP($D$110,'EJEMPLO DE NOMINA'!$E$1:$BU$97,46,FALSE)</f>
        <v>0</v>
      </c>
      <c r="J119" s="89">
        <f>HLOOKUP($D$110,'EJEMPLO DE NOMINA'!$E$1:$BU$97,54,FALSE)</f>
        <v>0</v>
      </c>
      <c r="K119" s="89">
        <f>HLOOKUP($D$110,'EJEMPLO DE NOMINA'!$E$1:$BU$97,62,FALSE)</f>
        <v>0</v>
      </c>
      <c r="L119" s="89">
        <f>HLOOKUP($D$110,'EJEMPLO DE NOMINA'!$E$1:$BU$97,70,FALSE)</f>
        <v>0</v>
      </c>
      <c r="M119" s="89">
        <f>HLOOKUP($D$110,'EJEMPLO DE NOMINA'!$E$1:$BU$97,78,FALSE)</f>
        <v>0</v>
      </c>
      <c r="N119" s="89">
        <f>HLOOKUP($D$110,'EJEMPLO DE NOMINA'!$E$1:$BU$97,86,FALSE)</f>
        <v>0</v>
      </c>
      <c r="O119" s="89">
        <f>HLOOKUP($D$110,'EJEMPLO DE NOMINA'!$E$1:$BU$97,94,FALSE)</f>
        <v>0</v>
      </c>
      <c r="P119" s="90">
        <f>SUM(D119:O119)</f>
        <v>677061.91000000015</v>
      </c>
      <c r="Q119" s="87"/>
    </row>
    <row r="120" spans="2:17" x14ac:dyDescent="0.25">
      <c r="B120" s="5"/>
      <c r="C120" s="62" t="s">
        <v>36</v>
      </c>
      <c r="D120" s="91">
        <f>HLOOKUP($D$110,'EJEMPLO DE NOMINA'!$E$1:$BU$97,7,FALSE)</f>
        <v>83</v>
      </c>
      <c r="E120" s="89">
        <f>HLOOKUP($D$110,'EJEMPLO DE NOMINA'!$E$1:$BU$97,15,FALSE)</f>
        <v>89</v>
      </c>
      <c r="F120" s="89">
        <f>HLOOKUP($D$110,'EJEMPLO DE NOMINA'!$E$1:$BU$97,23,FALSE)</f>
        <v>95</v>
      </c>
      <c r="G120" s="89">
        <f>HLOOKUP($D$110,'EJEMPLO DE NOMINA'!$E$1:$BU$97,31,FALSE)</f>
        <v>0</v>
      </c>
      <c r="H120" s="89">
        <f>HLOOKUP($D$110,'EJEMPLO DE NOMINA'!$E$1:$BU$97,39,FALSE)</f>
        <v>0</v>
      </c>
      <c r="I120" s="89">
        <f>HLOOKUP($D$110,'EJEMPLO DE NOMINA'!$E$1:$BU$97,47,FALSE)</f>
        <v>0</v>
      </c>
      <c r="J120" s="89">
        <f>HLOOKUP($D$110,'EJEMPLO DE NOMINA'!$E$1:$BU$97,55,FALSE)</f>
        <v>0</v>
      </c>
      <c r="K120" s="89">
        <f>HLOOKUP($D$110,'EJEMPLO DE NOMINA'!$E$1:$BU$97,63,FALSE)</f>
        <v>0</v>
      </c>
      <c r="L120" s="89">
        <f>HLOOKUP($D$110,'EJEMPLO DE NOMINA'!$E$1:$BU$97,71,FALSE)</f>
        <v>0</v>
      </c>
      <c r="M120" s="89">
        <f>HLOOKUP($D$110,'EJEMPLO DE NOMINA'!$E$1:$BU$97,79,FALSE)</f>
        <v>0</v>
      </c>
      <c r="N120" s="89">
        <f>HLOOKUP($D$110,'EJEMPLO DE NOMINA'!$E$1:$BU$97,87,FALSE)</f>
        <v>0</v>
      </c>
      <c r="O120" s="89">
        <f>HLOOKUP($D$110,'EJEMPLO DE NOMINA'!$E$1:$BU$97,95,FALSE)</f>
        <v>0</v>
      </c>
      <c r="P120" s="92">
        <f>AVERAGE(D120:O120)</f>
        <v>22.25</v>
      </c>
      <c r="Q120" s="87"/>
    </row>
    <row r="121" spans="2:17" x14ac:dyDescent="0.25">
      <c r="B121" s="5"/>
      <c r="C121" s="62" t="s">
        <v>37</v>
      </c>
      <c r="D121" s="91">
        <f>HLOOKUP($D$110,'EJEMPLO DE NOMINA'!$E$1:$BU$97,8,FALSE)</f>
        <v>8576633.7500000037</v>
      </c>
      <c r="E121" s="89">
        <f>HLOOKUP($D$110,'EJEMPLO DE NOMINA'!$E$1:$BU$97,16,FALSE)</f>
        <v>9170748.549999997</v>
      </c>
      <c r="F121" s="89">
        <f>HLOOKUP($D$110,'EJEMPLO DE NOMINA'!$E$1:$BU$97,24,FALSE)</f>
        <v>9278919.2400000002</v>
      </c>
      <c r="G121" s="89">
        <f>HLOOKUP($D$110,'EJEMPLO DE NOMINA'!$E$1:$BU$97,32,FALSE)</f>
        <v>0</v>
      </c>
      <c r="H121" s="89">
        <f>HLOOKUP($D$110,'EJEMPLO DE NOMINA'!$E$1:$BU$97,40,FALSE)</f>
        <v>0</v>
      </c>
      <c r="I121" s="89">
        <f>HLOOKUP($D$110,'EJEMPLO DE NOMINA'!$E$1:$BU$97,48,FALSE)</f>
        <v>0</v>
      </c>
      <c r="J121" s="89">
        <f>HLOOKUP($D$110,'EJEMPLO DE NOMINA'!$E$1:$BU$97,56,FALSE)</f>
        <v>0</v>
      </c>
      <c r="K121" s="89">
        <f>HLOOKUP($D$110,'EJEMPLO DE NOMINA'!$E$1:$BU$97,64,FALSE)</f>
        <v>0</v>
      </c>
      <c r="L121" s="89">
        <f>HLOOKUP($D$110,'EJEMPLO DE NOMINA'!$E$1:$BU$97,72,FALSE)</f>
        <v>0</v>
      </c>
      <c r="M121" s="89">
        <f>HLOOKUP($D$110,'EJEMPLO DE NOMINA'!$E$1:$BU$97,80,FALSE)</f>
        <v>0</v>
      </c>
      <c r="N121" s="89">
        <f>HLOOKUP($D$110,'EJEMPLO DE NOMINA'!$E$1:$BU$97,88,FALSE)</f>
        <v>0</v>
      </c>
      <c r="O121" s="89">
        <f>HLOOKUP($D$110,'EJEMPLO DE NOMINA'!$E$1:$BU$97,96,FALSE)</f>
        <v>0</v>
      </c>
      <c r="P121" s="90">
        <f>SUM(D121:O121)</f>
        <v>27026301.539999999</v>
      </c>
      <c r="Q121" s="87"/>
    </row>
    <row r="122" spans="2:17" x14ac:dyDescent="0.25">
      <c r="B122" s="5"/>
      <c r="C122" s="62" t="s">
        <v>38</v>
      </c>
      <c r="D122" s="91">
        <f>HLOOKUP($D$110,'EJEMPLO DE NOMINA'!$E$1:$BU$97,9,FALSE)</f>
        <v>1993099.0999999999</v>
      </c>
      <c r="E122" s="89">
        <f>HLOOKUP($D$110,'EJEMPLO DE NOMINA'!$E$1:$BU$97,17,FALSE)</f>
        <v>1976215.9199999995</v>
      </c>
      <c r="F122" s="89">
        <f>HLOOKUP($D$110,'EJEMPLO DE NOMINA'!$E$1:$BU$97,25,FALSE)</f>
        <v>3746345.3399999989</v>
      </c>
      <c r="G122" s="89">
        <f>HLOOKUP($D$110,'EJEMPLO DE NOMINA'!$E$1:$BU$97,33,FALSE)</f>
        <v>0</v>
      </c>
      <c r="H122" s="89">
        <f>HLOOKUP($D$110,'EJEMPLO DE NOMINA'!$E$1:$BU$97,41,FALSE)</f>
        <v>0</v>
      </c>
      <c r="I122" s="89">
        <f>HLOOKUP($D$110,'EJEMPLO DE NOMINA'!$E$1:$BU$97,49,FALSE)</f>
        <v>0</v>
      </c>
      <c r="J122" s="89">
        <f>HLOOKUP($D$110,'EJEMPLO DE NOMINA'!$E$1:$BU$97,57,FALSE)</f>
        <v>0</v>
      </c>
      <c r="K122" s="89">
        <f>HLOOKUP($D$110,'EJEMPLO DE NOMINA'!$E$1:$BU$97,65,FALSE)</f>
        <v>0</v>
      </c>
      <c r="L122" s="89">
        <f>HLOOKUP($D$110,'EJEMPLO DE NOMINA'!$E$1:$BU$97,73,FALSE)</f>
        <v>0</v>
      </c>
      <c r="M122" s="89">
        <f>HLOOKUP($D$110,'EJEMPLO DE NOMINA'!$E$1:$BU$97,81,FALSE)</f>
        <v>0</v>
      </c>
      <c r="N122" s="89">
        <f>HLOOKUP($D$110,'EJEMPLO DE NOMINA'!$E$1:$BU$97,89,FALSE)</f>
        <v>0</v>
      </c>
      <c r="O122" s="89">
        <f>HLOOKUP($D$110,'EJEMPLO DE NOMINA'!$E$1:$BU$97,97,FALSE)</f>
        <v>0</v>
      </c>
      <c r="P122" s="90">
        <f>SUM(D122:O122)</f>
        <v>7715660.3599999985</v>
      </c>
      <c r="Q122" s="87"/>
    </row>
    <row r="123" spans="2:17" x14ac:dyDescent="0.25">
      <c r="B123" s="5"/>
      <c r="C123" s="94" t="s">
        <v>39</v>
      </c>
      <c r="D123" s="97">
        <f>+D121</f>
        <v>8576633.7500000037</v>
      </c>
      <c r="E123" s="97">
        <f t="shared" ref="E123:O123" si="26">+E121</f>
        <v>9170748.549999997</v>
      </c>
      <c r="F123" s="97">
        <f t="shared" si="26"/>
        <v>9278919.2400000002</v>
      </c>
      <c r="G123" s="97">
        <f t="shared" si="26"/>
        <v>0</v>
      </c>
      <c r="H123" s="97">
        <f t="shared" si="26"/>
        <v>0</v>
      </c>
      <c r="I123" s="97">
        <f>+I121</f>
        <v>0</v>
      </c>
      <c r="J123" s="97">
        <f>+J121</f>
        <v>0</v>
      </c>
      <c r="K123" s="97">
        <f t="shared" si="26"/>
        <v>0</v>
      </c>
      <c r="L123" s="97">
        <f t="shared" si="26"/>
        <v>0</v>
      </c>
      <c r="M123" s="97">
        <f t="shared" si="26"/>
        <v>0</v>
      </c>
      <c r="N123" s="97">
        <f t="shared" si="26"/>
        <v>0</v>
      </c>
      <c r="O123" s="97">
        <f t="shared" si="26"/>
        <v>0</v>
      </c>
      <c r="P123" s="90">
        <f>SUM(D123:O123)</f>
        <v>27026301.539999999</v>
      </c>
      <c r="Q123" s="87"/>
    </row>
    <row r="124" spans="2:17" x14ac:dyDescent="0.25">
      <c r="B124" s="5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87"/>
    </row>
    <row r="125" spans="2:17" x14ac:dyDescent="0.25">
      <c r="B125" s="5"/>
      <c r="C125" s="62" t="s">
        <v>12</v>
      </c>
      <c r="D125" s="98">
        <v>0.02</v>
      </c>
      <c r="E125" s="98">
        <v>0.02</v>
      </c>
      <c r="F125" s="98">
        <v>0.02</v>
      </c>
      <c r="G125" s="98">
        <v>0.02</v>
      </c>
      <c r="H125" s="98">
        <v>0.02</v>
      </c>
      <c r="I125" s="98">
        <v>0.02</v>
      </c>
      <c r="J125" s="98">
        <v>0.02</v>
      </c>
      <c r="K125" s="98">
        <v>0.02</v>
      </c>
      <c r="L125" s="98">
        <v>0.02</v>
      </c>
      <c r="M125" s="98">
        <v>0.02</v>
      </c>
      <c r="N125" s="98">
        <v>0.02</v>
      </c>
      <c r="O125" s="98">
        <v>0.02</v>
      </c>
      <c r="P125" s="66"/>
      <c r="Q125" s="87"/>
    </row>
    <row r="126" spans="2:17" x14ac:dyDescent="0.25">
      <c r="B126" s="5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87"/>
    </row>
    <row r="127" spans="2:17" x14ac:dyDescent="0.25">
      <c r="B127" s="5"/>
      <c r="C127" s="62" t="s">
        <v>13</v>
      </c>
      <c r="D127" s="97">
        <f t="shared" ref="D127:O127" si="27">+D123*D125</f>
        <v>171532.67500000008</v>
      </c>
      <c r="E127" s="97">
        <f t="shared" si="27"/>
        <v>183414.97099999993</v>
      </c>
      <c r="F127" s="97">
        <f t="shared" si="27"/>
        <v>185578.3848</v>
      </c>
      <c r="G127" s="97">
        <f t="shared" si="27"/>
        <v>0</v>
      </c>
      <c r="H127" s="97">
        <f t="shared" si="27"/>
        <v>0</v>
      </c>
      <c r="I127" s="97">
        <f t="shared" si="27"/>
        <v>0</v>
      </c>
      <c r="J127" s="97">
        <f>+J123*J125</f>
        <v>0</v>
      </c>
      <c r="K127" s="97">
        <f t="shared" si="27"/>
        <v>0</v>
      </c>
      <c r="L127" s="97">
        <f t="shared" si="27"/>
        <v>0</v>
      </c>
      <c r="M127" s="97">
        <f t="shared" si="27"/>
        <v>0</v>
      </c>
      <c r="N127" s="97">
        <f t="shared" si="27"/>
        <v>0</v>
      </c>
      <c r="O127" s="97">
        <f t="shared" si="27"/>
        <v>0</v>
      </c>
      <c r="P127" s="90">
        <f>SUM(D127:O127)</f>
        <v>540526.03080000007</v>
      </c>
      <c r="Q127" s="87"/>
    </row>
    <row r="128" spans="2:17" x14ac:dyDescent="0.25">
      <c r="B128" s="5"/>
      <c r="C128" s="62" t="s">
        <v>22</v>
      </c>
      <c r="D128" s="97">
        <f t="shared" ref="D128:O128" si="28">+D119</f>
        <v>193617.35000000003</v>
      </c>
      <c r="E128" s="97">
        <f t="shared" si="28"/>
        <v>222939.3000000001</v>
      </c>
      <c r="F128" s="97">
        <f t="shared" si="28"/>
        <v>260505.25999999998</v>
      </c>
      <c r="G128" s="97">
        <f t="shared" si="28"/>
        <v>0</v>
      </c>
      <c r="H128" s="97">
        <f t="shared" si="28"/>
        <v>0</v>
      </c>
      <c r="I128" s="97">
        <f t="shared" si="28"/>
        <v>0</v>
      </c>
      <c r="J128" s="97">
        <f t="shared" si="28"/>
        <v>0</v>
      </c>
      <c r="K128" s="97">
        <f t="shared" si="28"/>
        <v>0</v>
      </c>
      <c r="L128" s="97">
        <f t="shared" si="28"/>
        <v>0</v>
      </c>
      <c r="M128" s="97">
        <f t="shared" si="28"/>
        <v>0</v>
      </c>
      <c r="N128" s="97">
        <f t="shared" si="28"/>
        <v>0</v>
      </c>
      <c r="O128" s="97">
        <f t="shared" si="28"/>
        <v>0</v>
      </c>
      <c r="P128" s="90">
        <f>SUM(D128:O128)</f>
        <v>677061.91000000015</v>
      </c>
      <c r="Q128" s="87"/>
    </row>
    <row r="129" spans="2:17" x14ac:dyDescent="0.25">
      <c r="B129" s="5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87"/>
    </row>
    <row r="130" spans="2:17" x14ac:dyDescent="0.25">
      <c r="B130" s="5"/>
      <c r="C130" s="99" t="s">
        <v>14</v>
      </c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87"/>
    </row>
    <row r="131" spans="2:17" x14ac:dyDescent="0.25">
      <c r="B131" s="5"/>
      <c r="C131" s="62" t="s">
        <v>15</v>
      </c>
      <c r="D131" s="97">
        <f t="shared" ref="D131:O131" si="29">+D113-D127</f>
        <v>24295.974999999948</v>
      </c>
      <c r="E131" s="97">
        <f t="shared" si="29"/>
        <v>40695.239000000176</v>
      </c>
      <c r="F131" s="97">
        <f t="shared" si="29"/>
        <v>79244.385199999961</v>
      </c>
      <c r="G131" s="97">
        <f t="shared" si="29"/>
        <v>0</v>
      </c>
      <c r="H131" s="97">
        <f t="shared" si="29"/>
        <v>0</v>
      </c>
      <c r="I131" s="97">
        <f t="shared" si="29"/>
        <v>0</v>
      </c>
      <c r="J131" s="97">
        <f t="shared" si="29"/>
        <v>0</v>
      </c>
      <c r="K131" s="97">
        <f t="shared" si="29"/>
        <v>0</v>
      </c>
      <c r="L131" s="97">
        <f t="shared" si="29"/>
        <v>0</v>
      </c>
      <c r="M131" s="97">
        <f t="shared" si="29"/>
        <v>0</v>
      </c>
      <c r="N131" s="97">
        <f t="shared" si="29"/>
        <v>0</v>
      </c>
      <c r="O131" s="97">
        <f t="shared" si="29"/>
        <v>0</v>
      </c>
      <c r="P131" s="90">
        <f>SUM(D131:O131)</f>
        <v>144235.59920000008</v>
      </c>
      <c r="Q131" s="87"/>
    </row>
    <row r="132" spans="2:17" x14ac:dyDescent="0.25">
      <c r="B132" s="5"/>
      <c r="C132" s="62" t="s">
        <v>16</v>
      </c>
      <c r="D132" s="97">
        <f t="shared" ref="D132:O132" si="30">+D119-D127</f>
        <v>22084.674999999959</v>
      </c>
      <c r="E132" s="97">
        <f t="shared" si="30"/>
        <v>39524.329000000173</v>
      </c>
      <c r="F132" s="97">
        <f t="shared" si="30"/>
        <v>74926.87519999998</v>
      </c>
      <c r="G132" s="97">
        <f t="shared" si="30"/>
        <v>0</v>
      </c>
      <c r="H132" s="97">
        <f t="shared" si="30"/>
        <v>0</v>
      </c>
      <c r="I132" s="97">
        <f t="shared" si="30"/>
        <v>0</v>
      </c>
      <c r="J132" s="97">
        <f t="shared" si="30"/>
        <v>0</v>
      </c>
      <c r="K132" s="97">
        <f t="shared" si="30"/>
        <v>0</v>
      </c>
      <c r="L132" s="97">
        <f t="shared" si="30"/>
        <v>0</v>
      </c>
      <c r="M132" s="97">
        <f t="shared" si="30"/>
        <v>0</v>
      </c>
      <c r="N132" s="97">
        <f t="shared" si="30"/>
        <v>0</v>
      </c>
      <c r="O132" s="97">
        <f t="shared" si="30"/>
        <v>0</v>
      </c>
      <c r="P132" s="90">
        <f>SUM(D132:O132)</f>
        <v>136535.87920000011</v>
      </c>
      <c r="Q132" s="87"/>
    </row>
    <row r="133" spans="2:17" x14ac:dyDescent="0.25">
      <c r="B133" s="5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87"/>
    </row>
    <row r="134" spans="2:17" x14ac:dyDescent="0.25">
      <c r="B134" s="5"/>
      <c r="C134" s="75" t="s">
        <v>17</v>
      </c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90">
        <f>SUM(D134:O134)</f>
        <v>0</v>
      </c>
      <c r="Q134" s="87"/>
    </row>
    <row r="135" spans="2:17" x14ac:dyDescent="0.25">
      <c r="B135" s="5"/>
      <c r="C135" s="75" t="s">
        <v>18</v>
      </c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90">
        <f>SUM(D135:O135)</f>
        <v>0</v>
      </c>
      <c r="Q135" s="87"/>
    </row>
    <row r="136" spans="2:17" x14ac:dyDescent="0.25">
      <c r="B136" s="5"/>
      <c r="C136" s="9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87"/>
    </row>
    <row r="137" spans="2:17" x14ac:dyDescent="0.25">
      <c r="B137" s="5"/>
      <c r="C137" s="101" t="s">
        <v>19</v>
      </c>
      <c r="D137" s="102">
        <f t="shared" ref="D137:O137" si="31">+D127+D134+D135</f>
        <v>171532.67500000008</v>
      </c>
      <c r="E137" s="102">
        <f t="shared" si="31"/>
        <v>183414.97099999993</v>
      </c>
      <c r="F137" s="102">
        <f t="shared" si="31"/>
        <v>185578.3848</v>
      </c>
      <c r="G137" s="102">
        <f t="shared" si="31"/>
        <v>0</v>
      </c>
      <c r="H137" s="102">
        <f t="shared" si="31"/>
        <v>0</v>
      </c>
      <c r="I137" s="102">
        <f t="shared" si="31"/>
        <v>0</v>
      </c>
      <c r="J137" s="102">
        <f t="shared" si="31"/>
        <v>0</v>
      </c>
      <c r="K137" s="102">
        <f t="shared" si="31"/>
        <v>0</v>
      </c>
      <c r="L137" s="102">
        <f t="shared" si="31"/>
        <v>0</v>
      </c>
      <c r="M137" s="102">
        <f t="shared" si="31"/>
        <v>0</v>
      </c>
      <c r="N137" s="102">
        <f t="shared" si="31"/>
        <v>0</v>
      </c>
      <c r="O137" s="102">
        <f t="shared" si="31"/>
        <v>0</v>
      </c>
      <c r="P137" s="103">
        <f>SUM(D137:O137)</f>
        <v>540526.03080000007</v>
      </c>
      <c r="Q137" s="87"/>
    </row>
    <row r="138" spans="2:17" ht="15.75" thickBot="1" x14ac:dyDescent="0.3">
      <c r="B138" s="6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5"/>
    </row>
    <row r="139" spans="2:17" ht="15.75" thickBot="1" x14ac:dyDescent="0.3"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</row>
    <row r="140" spans="2:17" x14ac:dyDescent="0.25">
      <c r="B140" s="4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1"/>
    </row>
    <row r="141" spans="2:17" x14ac:dyDescent="0.25">
      <c r="B141" s="5"/>
      <c r="C141" s="82" t="s">
        <v>11</v>
      </c>
      <c r="D141" s="83" t="s">
        <v>92</v>
      </c>
      <c r="E141" s="84"/>
      <c r="F141" s="84"/>
      <c r="G141" s="85"/>
      <c r="H141" s="171"/>
      <c r="I141" s="172"/>
      <c r="J141" s="172"/>
      <c r="K141" s="172"/>
      <c r="L141" s="172"/>
      <c r="M141" s="172"/>
      <c r="N141" s="172"/>
      <c r="O141" s="173"/>
      <c r="P141" s="86" t="s">
        <v>6</v>
      </c>
      <c r="Q141" s="87"/>
    </row>
    <row r="142" spans="2:17" x14ac:dyDescent="0.25">
      <c r="B142" s="5"/>
      <c r="C142" s="66"/>
      <c r="D142" s="174" t="s">
        <v>41</v>
      </c>
      <c r="E142" s="174"/>
      <c r="F142" s="174"/>
      <c r="G142" s="174"/>
      <c r="H142" s="171"/>
      <c r="I142" s="172"/>
      <c r="J142" s="172"/>
      <c r="K142" s="172"/>
      <c r="L142" s="172"/>
      <c r="M142" s="172"/>
      <c r="N142" s="172"/>
      <c r="O142" s="173"/>
      <c r="P142" s="88"/>
      <c r="Q142" s="87"/>
    </row>
    <row r="143" spans="2:17" x14ac:dyDescent="0.25">
      <c r="B143" s="5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87"/>
    </row>
    <row r="144" spans="2:17" x14ac:dyDescent="0.25">
      <c r="B144" s="5"/>
      <c r="C144" s="62" t="s">
        <v>27</v>
      </c>
      <c r="D144" s="89">
        <f>HLOOKUP($D$141,'EJEMPLO DE NOMINA'!$E$1:$BU$97,2,FALSE)</f>
        <v>0</v>
      </c>
      <c r="E144" s="89">
        <f>HLOOKUP($D$141,'EJEMPLO DE NOMINA'!$E$1:$BU$97,10,FALSE)</f>
        <v>506.32</v>
      </c>
      <c r="F144" s="89">
        <f>HLOOKUP($D$141,'EJEMPLO DE NOMINA'!$E$1:$BU$97,18,FALSE)</f>
        <v>189.78</v>
      </c>
      <c r="G144" s="89">
        <f>HLOOKUP($D$141,'EJEMPLO DE NOMINA'!$E$1:$BU$97,26,FALSE)</f>
        <v>0</v>
      </c>
      <c r="H144" s="89">
        <f>HLOOKUP($D$141,'EJEMPLO DE NOMINA'!$E$1:$BU$97,34,FALSE)</f>
        <v>0</v>
      </c>
      <c r="I144" s="89">
        <f>HLOOKUP($D$141,'EJEMPLO DE NOMINA'!$E$1:$BU$97,42,FALSE)</f>
        <v>0</v>
      </c>
      <c r="J144" s="89">
        <f>HLOOKUP($D$141,'EJEMPLO DE NOMINA'!$E$1:$BU$97,50,FALSE)</f>
        <v>0</v>
      </c>
      <c r="K144" s="89">
        <f>HLOOKUP($D$141,'EJEMPLO DE NOMINA'!$E$1:$BU$97,58,FALSE)</f>
        <v>0</v>
      </c>
      <c r="L144" s="89">
        <f>HLOOKUP($D$141,'EJEMPLO DE NOMINA'!$E$1:$BU$97,66,FALSE)</f>
        <v>0</v>
      </c>
      <c r="M144" s="89">
        <f>HLOOKUP($D$141,'EJEMPLO DE NOMINA'!$E$1:$BU$97,74,FALSE)</f>
        <v>0</v>
      </c>
      <c r="N144" s="89">
        <f>HLOOKUP($D$141,'EJEMPLO DE NOMINA'!$E$1:$BU$97,82,FALSE)</f>
        <v>0</v>
      </c>
      <c r="O144" s="89">
        <f>HLOOKUP($D$141,'EJEMPLO DE NOMINA'!$E$1:$BU$97,90,FALSE)</f>
        <v>0</v>
      </c>
      <c r="P144" s="90">
        <f>SUM(D144:O144)</f>
        <v>696.1</v>
      </c>
      <c r="Q144" s="87"/>
    </row>
    <row r="145" spans="2:17" x14ac:dyDescent="0.25">
      <c r="B145" s="5"/>
      <c r="C145" s="62" t="s">
        <v>26</v>
      </c>
      <c r="D145" s="91">
        <f>HLOOKUP($D$141,'EJEMPLO DE NOMINA'!$E$1:$BU$97,3,FALSE)</f>
        <v>0</v>
      </c>
      <c r="E145" s="89">
        <f>HLOOKUP($D$141,'EJEMPLO DE NOMINA'!$E$1:$BU$97,11,FALSE)</f>
        <v>1</v>
      </c>
      <c r="F145" s="89">
        <f>HLOOKUP($D$141,'EJEMPLO DE NOMINA'!$E$1:$BU$97,19,FALSE)</f>
        <v>1</v>
      </c>
      <c r="G145" s="89">
        <f>HLOOKUP($D$141,'EJEMPLO DE NOMINA'!$E$1:$BU$97,27,FALSE)</f>
        <v>0</v>
      </c>
      <c r="H145" s="89">
        <f>HLOOKUP($D$141,'EJEMPLO DE NOMINA'!$E$1:$BU$97,35,FALSE)</f>
        <v>0</v>
      </c>
      <c r="I145" s="89">
        <f>HLOOKUP($D$141,'EJEMPLO DE NOMINA'!$E$1:$BU$97,43,FALSE)</f>
        <v>0</v>
      </c>
      <c r="J145" s="89">
        <f>HLOOKUP($D$141,'EJEMPLO DE NOMINA'!$E$1:$BU$97,51,FALSE)</f>
        <v>0</v>
      </c>
      <c r="K145" s="89">
        <f>HLOOKUP($D$141,'EJEMPLO DE NOMINA'!$E$1:$BU$97,59,FALSE)</f>
        <v>0</v>
      </c>
      <c r="L145" s="89">
        <f>HLOOKUP($D$141,'EJEMPLO DE NOMINA'!$E$1:$BU$97,67,FALSE)</f>
        <v>0</v>
      </c>
      <c r="M145" s="89">
        <f>HLOOKUP($D$141,'EJEMPLO DE NOMINA'!$E$1:$BU$97,75,FALSE)</f>
        <v>0</v>
      </c>
      <c r="N145" s="89">
        <f>HLOOKUP($D$141,'EJEMPLO DE NOMINA'!$E$1:$BU$97,83,FALSE)</f>
        <v>0</v>
      </c>
      <c r="O145" s="89">
        <f>HLOOKUP($D$141,'EJEMPLO DE NOMINA'!$E$1:$BU$97,91,FALSE)</f>
        <v>0</v>
      </c>
      <c r="P145" s="92">
        <f>AVERAGE(D145:O145)</f>
        <v>0.16666666666666666</v>
      </c>
      <c r="Q145" s="87"/>
    </row>
    <row r="146" spans="2:17" x14ac:dyDescent="0.25">
      <c r="B146" s="5"/>
      <c r="C146" s="62" t="s">
        <v>33</v>
      </c>
      <c r="D146" s="91">
        <f>HLOOKUP($D$141,'EJEMPLO DE NOMINA'!$E$1:$BU$97,4,FALSE)</f>
        <v>0</v>
      </c>
      <c r="E146" s="89">
        <f>HLOOKUP($D$141,'EJEMPLO DE NOMINA'!$E$1:$BU$97,12,FALSE)</f>
        <v>237040.28</v>
      </c>
      <c r="F146" s="89">
        <f>HLOOKUP($D$141,'EJEMPLO DE NOMINA'!$E$1:$BU$97,20,FALSE)</f>
        <v>19857.3</v>
      </c>
      <c r="G146" s="89">
        <f>HLOOKUP($D$141,'EJEMPLO DE NOMINA'!$E$1:$BU$97,28,FALSE)</f>
        <v>0</v>
      </c>
      <c r="H146" s="89">
        <f>HLOOKUP($D$141,'EJEMPLO DE NOMINA'!$E$1:$BU$97,36,FALSE)</f>
        <v>0</v>
      </c>
      <c r="I146" s="89">
        <f>HLOOKUP($D$141,'EJEMPLO DE NOMINA'!$E$1:$BU$97,44,FALSE)</f>
        <v>0</v>
      </c>
      <c r="J146" s="89">
        <f>HLOOKUP($D$141,'EJEMPLO DE NOMINA'!$E$1:$BU$97,52,FALSE)</f>
        <v>0</v>
      </c>
      <c r="K146" s="89">
        <f>HLOOKUP($D$141,'EJEMPLO DE NOMINA'!$E$1:$BU$97,60,FALSE)</f>
        <v>0</v>
      </c>
      <c r="L146" s="89">
        <f>HLOOKUP($D$141,'EJEMPLO DE NOMINA'!$E$1:$BU$97,68,FALSE)</f>
        <v>0</v>
      </c>
      <c r="M146" s="89">
        <f>HLOOKUP($D$141,'EJEMPLO DE NOMINA'!$E$1:$BU$97,76,FALSE)</f>
        <v>0</v>
      </c>
      <c r="N146" s="89">
        <f>HLOOKUP($D$141,'EJEMPLO DE NOMINA'!$E$1:$BU$97,84,FALSE)</f>
        <v>0</v>
      </c>
      <c r="O146" s="89">
        <f>HLOOKUP($D$141,'EJEMPLO DE NOMINA'!$E$1:$BU$97,92,FALSE)</f>
        <v>0</v>
      </c>
      <c r="P146" s="90">
        <f>SUM(D146:O146)</f>
        <v>256897.58</v>
      </c>
      <c r="Q146" s="93"/>
    </row>
    <row r="147" spans="2:17" x14ac:dyDescent="0.25">
      <c r="B147" s="5"/>
      <c r="C147" s="62" t="s">
        <v>34</v>
      </c>
      <c r="D147" s="91">
        <f>HLOOKUP($D$141,'EJEMPLO DE NOMINA'!$E$1:$BU$97,5,FALSE)</f>
        <v>0</v>
      </c>
      <c r="E147" s="89">
        <f>HLOOKUP($D$141,'EJEMPLO DE NOMINA'!$E$1:$BU$97,13,FALSE)</f>
        <v>56530.27</v>
      </c>
      <c r="F147" s="89">
        <f>HLOOKUP($D$141,'EJEMPLO DE NOMINA'!$E$1:$BU$97,21,FALSE)</f>
        <v>10202.06</v>
      </c>
      <c r="G147" s="89">
        <f>HLOOKUP($D$141,'EJEMPLO DE NOMINA'!$E$1:$BU$97,29,FALSE)</f>
        <v>0</v>
      </c>
      <c r="H147" s="89">
        <f>HLOOKUP($D$141,'EJEMPLO DE NOMINA'!$E$1:$BU$97,37,FALSE)</f>
        <v>0</v>
      </c>
      <c r="I147" s="89">
        <f>HLOOKUP($D$141,'EJEMPLO DE NOMINA'!$E$1:$BU$97,45,FALSE)</f>
        <v>0</v>
      </c>
      <c r="J147" s="89">
        <f>HLOOKUP($D$141,'EJEMPLO DE NOMINA'!$E$1:$BU$97,53,FALSE)</f>
        <v>0</v>
      </c>
      <c r="K147" s="89">
        <f>HLOOKUP($D$141,'EJEMPLO DE NOMINA'!$E$1:$BU$97,61,FALSE)</f>
        <v>0</v>
      </c>
      <c r="L147" s="89">
        <f>HLOOKUP($D$141,'EJEMPLO DE NOMINA'!$E$1:$BU$97,69,FALSE)</f>
        <v>0</v>
      </c>
      <c r="M147" s="89">
        <f>HLOOKUP($D$141,'EJEMPLO DE NOMINA'!$E$1:$BU$97,77,FALSE)</f>
        <v>0</v>
      </c>
      <c r="N147" s="89">
        <f>HLOOKUP($D$141,'EJEMPLO DE NOMINA'!$E$1:$BU$97,85,FALSE)</f>
        <v>0</v>
      </c>
      <c r="O147" s="89">
        <f>HLOOKUP($D$141,'EJEMPLO DE NOMINA'!$E$1:$BU$97,93,FALSE)</f>
        <v>0</v>
      </c>
      <c r="P147" s="90">
        <f>SUM(D147:O147)</f>
        <v>66732.33</v>
      </c>
      <c r="Q147" s="93"/>
    </row>
    <row r="148" spans="2:17" x14ac:dyDescent="0.25">
      <c r="B148" s="5"/>
      <c r="C148" s="94" t="s">
        <v>39</v>
      </c>
      <c r="D148" s="95">
        <f>+D146</f>
        <v>0</v>
      </c>
      <c r="E148" s="95">
        <f t="shared" ref="E148:O148" si="32">+E146</f>
        <v>237040.28</v>
      </c>
      <c r="F148" s="95">
        <f t="shared" si="32"/>
        <v>19857.3</v>
      </c>
      <c r="G148" s="95">
        <f t="shared" si="32"/>
        <v>0</v>
      </c>
      <c r="H148" s="95">
        <f t="shared" si="32"/>
        <v>0</v>
      </c>
      <c r="I148" s="95">
        <f t="shared" si="32"/>
        <v>0</v>
      </c>
      <c r="J148" s="95">
        <f t="shared" si="32"/>
        <v>0</v>
      </c>
      <c r="K148" s="95">
        <f t="shared" si="32"/>
        <v>0</v>
      </c>
      <c r="L148" s="95">
        <f t="shared" si="32"/>
        <v>0</v>
      </c>
      <c r="M148" s="95">
        <f t="shared" si="32"/>
        <v>0</v>
      </c>
      <c r="N148" s="95">
        <f t="shared" si="32"/>
        <v>0</v>
      </c>
      <c r="O148" s="95">
        <f t="shared" si="32"/>
        <v>0</v>
      </c>
      <c r="P148" s="90">
        <f>SUM(D148:O148)</f>
        <v>256897.58</v>
      </c>
      <c r="Q148" s="93"/>
    </row>
    <row r="149" spans="2:17" x14ac:dyDescent="0.25">
      <c r="B149" s="5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3"/>
    </row>
    <row r="150" spans="2:17" x14ac:dyDescent="0.25">
      <c r="B150" s="5"/>
      <c r="C150" s="62" t="s">
        <v>35</v>
      </c>
      <c r="D150" s="91">
        <f>HLOOKUP($D$141,'EJEMPLO DE NOMINA'!$E$1:$BU$97,6,FALSE)</f>
        <v>0</v>
      </c>
      <c r="E150" s="89">
        <f>HLOOKUP($D$141,'EJEMPLO DE NOMINA'!$E$1:$BU$97,14,FALSE)</f>
        <v>506.32</v>
      </c>
      <c r="F150" s="89">
        <f>HLOOKUP($D$141,'EJEMPLO DE NOMINA'!$E$1:$BU$97,22,FALSE)</f>
        <v>189.78</v>
      </c>
      <c r="G150" s="89">
        <f>HLOOKUP($D$141,'EJEMPLO DE NOMINA'!$E$1:$BU$97,30,FALSE)</f>
        <v>0</v>
      </c>
      <c r="H150" s="89">
        <f>HLOOKUP($D$141,'EJEMPLO DE NOMINA'!$E$1:$BU$97,38,FALSE)</f>
        <v>0</v>
      </c>
      <c r="I150" s="89">
        <f>HLOOKUP($D$141,'EJEMPLO DE NOMINA'!$E$1:$BU$97,46,FALSE)</f>
        <v>0</v>
      </c>
      <c r="J150" s="89">
        <f>HLOOKUP($D$141,'EJEMPLO DE NOMINA'!$E$1:$BU$97,54,FALSE)</f>
        <v>0</v>
      </c>
      <c r="K150" s="89">
        <f>HLOOKUP($D$141,'EJEMPLO DE NOMINA'!$E$1:$BU$97,62,FALSE)</f>
        <v>0</v>
      </c>
      <c r="L150" s="89">
        <f>HLOOKUP($D$141,'EJEMPLO DE NOMINA'!$E$1:$BU$97,70,FALSE)</f>
        <v>0</v>
      </c>
      <c r="M150" s="89">
        <f>HLOOKUP($D$141,'EJEMPLO DE NOMINA'!$E$1:$BU$97,78,FALSE)</f>
        <v>0</v>
      </c>
      <c r="N150" s="89">
        <f>HLOOKUP($D$141,'EJEMPLO DE NOMINA'!$E$1:$BU$97,86,FALSE)</f>
        <v>0</v>
      </c>
      <c r="O150" s="89">
        <f>HLOOKUP($D$141,'EJEMPLO DE NOMINA'!$E$1:$BU$97,94,FALSE)</f>
        <v>0</v>
      </c>
      <c r="P150" s="90">
        <f>SUM(D150:O150)</f>
        <v>696.1</v>
      </c>
      <c r="Q150" s="87"/>
    </row>
    <row r="151" spans="2:17" x14ac:dyDescent="0.25">
      <c r="B151" s="5"/>
      <c r="C151" s="62" t="s">
        <v>36</v>
      </c>
      <c r="D151" s="91">
        <f>HLOOKUP($D$141,'EJEMPLO DE NOMINA'!$E$1:$BU$97,7,FALSE)</f>
        <v>0</v>
      </c>
      <c r="E151" s="89">
        <f>HLOOKUP($D$141,'EJEMPLO DE NOMINA'!$E$1:$BU$97,15,FALSE)</f>
        <v>1</v>
      </c>
      <c r="F151" s="89">
        <f>HLOOKUP($D$141,'EJEMPLO DE NOMINA'!$E$1:$BU$97,23,FALSE)</f>
        <v>1</v>
      </c>
      <c r="G151" s="89">
        <f>HLOOKUP($D$141,'EJEMPLO DE NOMINA'!$E$1:$BU$97,31,FALSE)</f>
        <v>0</v>
      </c>
      <c r="H151" s="89">
        <f>HLOOKUP($D$141,'EJEMPLO DE NOMINA'!$E$1:$BU$97,39,FALSE)</f>
        <v>0</v>
      </c>
      <c r="I151" s="89">
        <f>HLOOKUP($D$141,'EJEMPLO DE NOMINA'!$E$1:$BU$97,47,FALSE)</f>
        <v>0</v>
      </c>
      <c r="J151" s="89">
        <f>HLOOKUP($D$141,'EJEMPLO DE NOMINA'!$E$1:$BU$97,55,FALSE)</f>
        <v>0</v>
      </c>
      <c r="K151" s="89">
        <f>HLOOKUP($D$141,'EJEMPLO DE NOMINA'!$E$1:$BU$97,63,FALSE)</f>
        <v>0</v>
      </c>
      <c r="L151" s="89">
        <f>HLOOKUP($D$141,'EJEMPLO DE NOMINA'!$E$1:$BU$97,71,FALSE)</f>
        <v>0</v>
      </c>
      <c r="M151" s="89">
        <f>HLOOKUP($D$141,'EJEMPLO DE NOMINA'!$E$1:$BU$97,79,FALSE)</f>
        <v>0</v>
      </c>
      <c r="N151" s="89">
        <f>HLOOKUP($D$141,'EJEMPLO DE NOMINA'!$E$1:$BU$97,87,FALSE)</f>
        <v>0</v>
      </c>
      <c r="O151" s="89">
        <f>HLOOKUP($D$141,'EJEMPLO DE NOMINA'!$E$1:$BU$97,95,FALSE)</f>
        <v>0</v>
      </c>
      <c r="P151" s="92">
        <f>AVERAGE(D151:O151)</f>
        <v>0.16666666666666666</v>
      </c>
      <c r="Q151" s="87"/>
    </row>
    <row r="152" spans="2:17" x14ac:dyDescent="0.25">
      <c r="B152" s="5"/>
      <c r="C152" s="62" t="s">
        <v>37</v>
      </c>
      <c r="D152" s="91">
        <f>HLOOKUP($D$141,'EJEMPLO DE NOMINA'!$E$1:$BU$97,8,FALSE)</f>
        <v>0</v>
      </c>
      <c r="E152" s="89">
        <f>HLOOKUP($D$141,'EJEMPLO DE NOMINA'!$E$1:$BU$97,16,FALSE)</f>
        <v>237040.28</v>
      </c>
      <c r="F152" s="89">
        <f>HLOOKUP($D$141,'EJEMPLO DE NOMINA'!$E$1:$BU$97,24,FALSE)</f>
        <v>19857.3</v>
      </c>
      <c r="G152" s="89">
        <f>HLOOKUP($D$141,'EJEMPLO DE NOMINA'!$E$1:$BU$97,32,FALSE)</f>
        <v>0</v>
      </c>
      <c r="H152" s="89">
        <f>HLOOKUP($D$141,'EJEMPLO DE NOMINA'!$E$1:$BU$97,40,FALSE)</f>
        <v>0</v>
      </c>
      <c r="I152" s="89">
        <f>HLOOKUP($D$141,'EJEMPLO DE NOMINA'!$E$1:$BU$97,48,FALSE)</f>
        <v>0</v>
      </c>
      <c r="J152" s="89">
        <f>HLOOKUP($D$141,'EJEMPLO DE NOMINA'!$E$1:$BU$97,56,FALSE)</f>
        <v>0</v>
      </c>
      <c r="K152" s="89">
        <f>HLOOKUP($D$141,'EJEMPLO DE NOMINA'!$E$1:$BU$97,64,FALSE)</f>
        <v>0</v>
      </c>
      <c r="L152" s="89">
        <f>HLOOKUP($D$141,'EJEMPLO DE NOMINA'!$E$1:$BU$97,72,FALSE)</f>
        <v>0</v>
      </c>
      <c r="M152" s="89">
        <f>HLOOKUP($D$141,'EJEMPLO DE NOMINA'!$E$1:$BU$97,80,FALSE)</f>
        <v>0</v>
      </c>
      <c r="N152" s="89">
        <f>HLOOKUP($D$141,'EJEMPLO DE NOMINA'!$E$1:$BU$97,88,FALSE)</f>
        <v>0</v>
      </c>
      <c r="O152" s="89">
        <f>HLOOKUP($D$141,'EJEMPLO DE NOMINA'!$E$1:$BU$97,96,FALSE)</f>
        <v>0</v>
      </c>
      <c r="P152" s="90">
        <f>SUM(D152:O152)</f>
        <v>256897.58</v>
      </c>
      <c r="Q152" s="87"/>
    </row>
    <row r="153" spans="2:17" x14ac:dyDescent="0.25">
      <c r="B153" s="5"/>
      <c r="C153" s="62" t="s">
        <v>38</v>
      </c>
      <c r="D153" s="91">
        <f>HLOOKUP($D$141,'EJEMPLO DE NOMINA'!$E$1:$BU$97,9,FALSE)</f>
        <v>0</v>
      </c>
      <c r="E153" s="89">
        <f>HLOOKUP($D$141,'EJEMPLO DE NOMINA'!$E$1:$BU$97,17,FALSE)</f>
        <v>56530.27</v>
      </c>
      <c r="F153" s="89">
        <f>HLOOKUP($D$141,'EJEMPLO DE NOMINA'!$E$1:$BU$97,25,FALSE)</f>
        <v>10202.06</v>
      </c>
      <c r="G153" s="89">
        <f>HLOOKUP($D$141,'EJEMPLO DE NOMINA'!$E$1:$BU$97,33,FALSE)</f>
        <v>0</v>
      </c>
      <c r="H153" s="89">
        <f>HLOOKUP($D$141,'EJEMPLO DE NOMINA'!$E$1:$BU$97,41,FALSE)</f>
        <v>0</v>
      </c>
      <c r="I153" s="89">
        <f>HLOOKUP($D$141,'EJEMPLO DE NOMINA'!$E$1:$BU$97,49,FALSE)</f>
        <v>0</v>
      </c>
      <c r="J153" s="89">
        <f>HLOOKUP($D$141,'EJEMPLO DE NOMINA'!$E$1:$BU$97,57,FALSE)</f>
        <v>0</v>
      </c>
      <c r="K153" s="89">
        <f>HLOOKUP($D$141,'EJEMPLO DE NOMINA'!$E$1:$BU$97,65,FALSE)</f>
        <v>0</v>
      </c>
      <c r="L153" s="89">
        <f>HLOOKUP($D$141,'EJEMPLO DE NOMINA'!$E$1:$BU$97,73,FALSE)</f>
        <v>0</v>
      </c>
      <c r="M153" s="89">
        <f>HLOOKUP($D$141,'EJEMPLO DE NOMINA'!$E$1:$BU$97,81,FALSE)</f>
        <v>0</v>
      </c>
      <c r="N153" s="89">
        <f>HLOOKUP($D$141,'EJEMPLO DE NOMINA'!$E$1:$BU$97,89,FALSE)</f>
        <v>0</v>
      </c>
      <c r="O153" s="89">
        <f>HLOOKUP($D$141,'EJEMPLO DE NOMINA'!$E$1:$BU$97,97,FALSE)</f>
        <v>0</v>
      </c>
      <c r="P153" s="90">
        <f>SUM(D153:O153)</f>
        <v>66732.33</v>
      </c>
      <c r="Q153" s="87"/>
    </row>
    <row r="154" spans="2:17" x14ac:dyDescent="0.25">
      <c r="B154" s="5"/>
      <c r="C154" s="94" t="s">
        <v>39</v>
      </c>
      <c r="D154" s="97">
        <f>+D152</f>
        <v>0</v>
      </c>
      <c r="E154" s="97">
        <f t="shared" ref="E154:O154" si="33">+E152</f>
        <v>237040.28</v>
      </c>
      <c r="F154" s="97">
        <f t="shared" si="33"/>
        <v>19857.3</v>
      </c>
      <c r="G154" s="97">
        <f t="shared" si="33"/>
        <v>0</v>
      </c>
      <c r="H154" s="97">
        <f t="shared" si="33"/>
        <v>0</v>
      </c>
      <c r="I154" s="97">
        <f t="shared" si="33"/>
        <v>0</v>
      </c>
      <c r="J154" s="97">
        <f t="shared" si="33"/>
        <v>0</v>
      </c>
      <c r="K154" s="97">
        <f t="shared" si="33"/>
        <v>0</v>
      </c>
      <c r="L154" s="97">
        <f t="shared" si="33"/>
        <v>0</v>
      </c>
      <c r="M154" s="97">
        <f t="shared" si="33"/>
        <v>0</v>
      </c>
      <c r="N154" s="97">
        <f t="shared" si="33"/>
        <v>0</v>
      </c>
      <c r="O154" s="97">
        <f t="shared" si="33"/>
        <v>0</v>
      </c>
      <c r="P154" s="90">
        <f>SUM(D154:O154)</f>
        <v>256897.58</v>
      </c>
      <c r="Q154" s="87"/>
    </row>
    <row r="155" spans="2:17" x14ac:dyDescent="0.25">
      <c r="B155" s="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87"/>
    </row>
    <row r="156" spans="2:17" x14ac:dyDescent="0.25">
      <c r="B156" s="5"/>
      <c r="C156" s="62" t="s">
        <v>12</v>
      </c>
      <c r="D156" s="98">
        <v>0.01</v>
      </c>
      <c r="E156" s="98">
        <v>0.01</v>
      </c>
      <c r="F156" s="98">
        <v>0.01</v>
      </c>
      <c r="G156" s="98">
        <v>0.01</v>
      </c>
      <c r="H156" s="98">
        <v>0.01</v>
      </c>
      <c r="I156" s="98">
        <v>0.01</v>
      </c>
      <c r="J156" s="98">
        <v>0.01</v>
      </c>
      <c r="K156" s="98">
        <v>0.01</v>
      </c>
      <c r="L156" s="98">
        <v>0.01</v>
      </c>
      <c r="M156" s="98">
        <v>0.01</v>
      </c>
      <c r="N156" s="98">
        <v>0.01</v>
      </c>
      <c r="O156" s="98">
        <v>0.01</v>
      </c>
      <c r="P156" s="66"/>
      <c r="Q156" s="87"/>
    </row>
    <row r="157" spans="2:17" x14ac:dyDescent="0.25">
      <c r="B157" s="5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87"/>
    </row>
    <row r="158" spans="2:17" x14ac:dyDescent="0.25">
      <c r="B158" s="5"/>
      <c r="C158" s="62" t="s">
        <v>13</v>
      </c>
      <c r="D158" s="97">
        <f t="shared" ref="D158:O158" si="34">+D154*D156</f>
        <v>0</v>
      </c>
      <c r="E158" s="97">
        <f t="shared" si="34"/>
        <v>2370.4027999999998</v>
      </c>
      <c r="F158" s="97">
        <f t="shared" si="34"/>
        <v>198.57300000000001</v>
      </c>
      <c r="G158" s="97">
        <f t="shared" si="34"/>
        <v>0</v>
      </c>
      <c r="H158" s="97">
        <f t="shared" si="34"/>
        <v>0</v>
      </c>
      <c r="I158" s="97">
        <f t="shared" si="34"/>
        <v>0</v>
      </c>
      <c r="J158" s="97">
        <f t="shared" si="34"/>
        <v>0</v>
      </c>
      <c r="K158" s="97">
        <f t="shared" si="34"/>
        <v>0</v>
      </c>
      <c r="L158" s="97">
        <f t="shared" si="34"/>
        <v>0</v>
      </c>
      <c r="M158" s="97">
        <f>+M154*M156</f>
        <v>0</v>
      </c>
      <c r="N158" s="97">
        <f>+N154*N156</f>
        <v>0</v>
      </c>
      <c r="O158" s="97">
        <f t="shared" si="34"/>
        <v>0</v>
      </c>
      <c r="P158" s="90">
        <f>SUM(D158:O158)</f>
        <v>2568.9757999999997</v>
      </c>
      <c r="Q158" s="87"/>
    </row>
    <row r="159" spans="2:17" x14ac:dyDescent="0.25">
      <c r="B159" s="5"/>
      <c r="C159" s="62" t="s">
        <v>22</v>
      </c>
      <c r="D159" s="97">
        <f t="shared" ref="D159:O159" si="35">+D150</f>
        <v>0</v>
      </c>
      <c r="E159" s="97">
        <f t="shared" si="35"/>
        <v>506.32</v>
      </c>
      <c r="F159" s="97">
        <f t="shared" si="35"/>
        <v>189.78</v>
      </c>
      <c r="G159" s="97">
        <f t="shared" si="35"/>
        <v>0</v>
      </c>
      <c r="H159" s="97">
        <f t="shared" si="35"/>
        <v>0</v>
      </c>
      <c r="I159" s="97">
        <f t="shared" si="35"/>
        <v>0</v>
      </c>
      <c r="J159" s="97">
        <f t="shared" si="35"/>
        <v>0</v>
      </c>
      <c r="K159" s="97">
        <f t="shared" si="35"/>
        <v>0</v>
      </c>
      <c r="L159" s="97">
        <f t="shared" si="35"/>
        <v>0</v>
      </c>
      <c r="M159" s="97">
        <f t="shared" si="35"/>
        <v>0</v>
      </c>
      <c r="N159" s="97">
        <f t="shared" si="35"/>
        <v>0</v>
      </c>
      <c r="O159" s="97">
        <f t="shared" si="35"/>
        <v>0</v>
      </c>
      <c r="P159" s="90">
        <f>SUM(D159:O159)</f>
        <v>696.1</v>
      </c>
      <c r="Q159" s="87"/>
    </row>
    <row r="160" spans="2:17" x14ac:dyDescent="0.25">
      <c r="B160" s="5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87"/>
    </row>
    <row r="161" spans="2:17" x14ac:dyDescent="0.25">
      <c r="B161" s="5"/>
      <c r="C161" s="99" t="s">
        <v>14</v>
      </c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87"/>
    </row>
    <row r="162" spans="2:17" x14ac:dyDescent="0.25">
      <c r="B162" s="5"/>
      <c r="C162" s="62" t="s">
        <v>15</v>
      </c>
      <c r="D162" s="97">
        <f t="shared" ref="D162:O162" si="36">+D144-D158</f>
        <v>0</v>
      </c>
      <c r="E162" s="97">
        <f t="shared" si="36"/>
        <v>-1864.0827999999999</v>
      </c>
      <c r="F162" s="97">
        <f t="shared" si="36"/>
        <v>-8.7930000000000064</v>
      </c>
      <c r="G162" s="97">
        <f t="shared" si="36"/>
        <v>0</v>
      </c>
      <c r="H162" s="97">
        <f t="shared" si="36"/>
        <v>0</v>
      </c>
      <c r="I162" s="97">
        <f t="shared" si="36"/>
        <v>0</v>
      </c>
      <c r="J162" s="97">
        <f t="shared" si="36"/>
        <v>0</v>
      </c>
      <c r="K162" s="97">
        <f t="shared" si="36"/>
        <v>0</v>
      </c>
      <c r="L162" s="97">
        <f t="shared" si="36"/>
        <v>0</v>
      </c>
      <c r="M162" s="97">
        <f t="shared" si="36"/>
        <v>0</v>
      </c>
      <c r="N162" s="97">
        <f t="shared" si="36"/>
        <v>0</v>
      </c>
      <c r="O162" s="97">
        <f t="shared" si="36"/>
        <v>0</v>
      </c>
      <c r="P162" s="90">
        <f>SUM(D162:O162)</f>
        <v>-1872.8757999999998</v>
      </c>
      <c r="Q162" s="87"/>
    </row>
    <row r="163" spans="2:17" x14ac:dyDescent="0.25">
      <c r="B163" s="5"/>
      <c r="C163" s="62" t="s">
        <v>16</v>
      </c>
      <c r="D163" s="97">
        <f t="shared" ref="D163:O163" si="37">+D150-D158</f>
        <v>0</v>
      </c>
      <c r="E163" s="97">
        <f t="shared" si="37"/>
        <v>-1864.0827999999999</v>
      </c>
      <c r="F163" s="97">
        <f t="shared" si="37"/>
        <v>-8.7930000000000064</v>
      </c>
      <c r="G163" s="97">
        <f t="shared" si="37"/>
        <v>0</v>
      </c>
      <c r="H163" s="97">
        <f t="shared" si="37"/>
        <v>0</v>
      </c>
      <c r="I163" s="97">
        <f t="shared" si="37"/>
        <v>0</v>
      </c>
      <c r="J163" s="97">
        <f t="shared" si="37"/>
        <v>0</v>
      </c>
      <c r="K163" s="97">
        <f t="shared" si="37"/>
        <v>0</v>
      </c>
      <c r="L163" s="97">
        <f>+L150-L158</f>
        <v>0</v>
      </c>
      <c r="M163" s="97">
        <f>+M150-M158</f>
        <v>0</v>
      </c>
      <c r="N163" s="97">
        <f>+N150-N158</f>
        <v>0</v>
      </c>
      <c r="O163" s="97">
        <f t="shared" si="37"/>
        <v>0</v>
      </c>
      <c r="P163" s="90">
        <f>SUM(D163:O163)</f>
        <v>-1872.8757999999998</v>
      </c>
      <c r="Q163" s="87"/>
    </row>
    <row r="164" spans="2:17" x14ac:dyDescent="0.25">
      <c r="B164" s="5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87"/>
    </row>
    <row r="165" spans="2:17" x14ac:dyDescent="0.25">
      <c r="B165" s="5"/>
      <c r="C165" s="75" t="s">
        <v>17</v>
      </c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90">
        <f>SUM(D165:O165)</f>
        <v>0</v>
      </c>
      <c r="Q165" s="87"/>
    </row>
    <row r="166" spans="2:17" x14ac:dyDescent="0.25">
      <c r="B166" s="5"/>
      <c r="C166" s="75" t="s">
        <v>18</v>
      </c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90">
        <f>SUM(D166:O166)</f>
        <v>0</v>
      </c>
      <c r="Q166" s="87"/>
    </row>
    <row r="167" spans="2:17" x14ac:dyDescent="0.25">
      <c r="B167" s="5"/>
      <c r="C167" s="9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87"/>
    </row>
    <row r="168" spans="2:17" x14ac:dyDescent="0.25">
      <c r="B168" s="5"/>
      <c r="C168" s="101" t="s">
        <v>19</v>
      </c>
      <c r="D168" s="102">
        <f t="shared" ref="D168:O168" si="38">+D158+D165+D166</f>
        <v>0</v>
      </c>
      <c r="E168" s="102">
        <f t="shared" si="38"/>
        <v>2370.4027999999998</v>
      </c>
      <c r="F168" s="102">
        <f t="shared" si="38"/>
        <v>198.57300000000001</v>
      </c>
      <c r="G168" s="102">
        <f t="shared" si="38"/>
        <v>0</v>
      </c>
      <c r="H168" s="102">
        <f t="shared" si="38"/>
        <v>0</v>
      </c>
      <c r="I168" s="102">
        <f t="shared" si="38"/>
        <v>0</v>
      </c>
      <c r="J168" s="102">
        <f t="shared" si="38"/>
        <v>0</v>
      </c>
      <c r="K168" s="102">
        <f t="shared" si="38"/>
        <v>0</v>
      </c>
      <c r="L168" s="102">
        <f t="shared" si="38"/>
        <v>0</v>
      </c>
      <c r="M168" s="102">
        <f t="shared" si="38"/>
        <v>0</v>
      </c>
      <c r="N168" s="102">
        <f t="shared" si="38"/>
        <v>0</v>
      </c>
      <c r="O168" s="102">
        <f t="shared" si="38"/>
        <v>0</v>
      </c>
      <c r="P168" s="103">
        <f>SUM(D168:O168)</f>
        <v>2568.9757999999997</v>
      </c>
      <c r="Q168" s="87"/>
    </row>
    <row r="169" spans="2:17" ht="15.75" thickBot="1" x14ac:dyDescent="0.3">
      <c r="B169" s="6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5"/>
    </row>
    <row r="170" spans="2:17" ht="15.75" thickBot="1" x14ac:dyDescent="0.3">
      <c r="B170" s="3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77"/>
      <c r="N170" s="77"/>
      <c r="O170" s="77"/>
      <c r="P170" s="66"/>
      <c r="Q170" s="66"/>
    </row>
    <row r="171" spans="2:17" x14ac:dyDescent="0.25">
      <c r="B171" s="4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1"/>
    </row>
    <row r="172" spans="2:17" x14ac:dyDescent="0.25">
      <c r="B172" s="5"/>
      <c r="C172" s="82" t="s">
        <v>11</v>
      </c>
      <c r="D172" s="83" t="s">
        <v>93</v>
      </c>
      <c r="E172" s="84"/>
      <c r="F172" s="84"/>
      <c r="G172" s="85"/>
      <c r="H172" s="171"/>
      <c r="I172" s="172"/>
      <c r="J172" s="172"/>
      <c r="K172" s="172"/>
      <c r="L172" s="172"/>
      <c r="M172" s="172"/>
      <c r="N172" s="172"/>
      <c r="O172" s="173"/>
      <c r="P172" s="86" t="s">
        <v>6</v>
      </c>
      <c r="Q172" s="87"/>
    </row>
    <row r="173" spans="2:17" x14ac:dyDescent="0.25">
      <c r="B173" s="5"/>
      <c r="C173" s="66"/>
      <c r="D173" s="174" t="s">
        <v>41</v>
      </c>
      <c r="E173" s="174"/>
      <c r="F173" s="174"/>
      <c r="G173" s="174"/>
      <c r="H173" s="171"/>
      <c r="I173" s="172"/>
      <c r="J173" s="172"/>
      <c r="K173" s="172"/>
      <c r="L173" s="172"/>
      <c r="M173" s="172"/>
      <c r="N173" s="172"/>
      <c r="O173" s="173"/>
      <c r="P173" s="88"/>
      <c r="Q173" s="87"/>
    </row>
    <row r="174" spans="2:17" x14ac:dyDescent="0.25">
      <c r="B174" s="5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87"/>
    </row>
    <row r="175" spans="2:17" x14ac:dyDescent="0.25">
      <c r="B175" s="5"/>
      <c r="C175" s="62" t="s">
        <v>27</v>
      </c>
      <c r="D175" s="89">
        <f>HLOOKUP($D$172,'EJEMPLO DE NOMINA'!$E$1:$BU$97,2,FALSE)</f>
        <v>0</v>
      </c>
      <c r="E175" s="89">
        <f>HLOOKUP($D$172,'EJEMPLO DE NOMINA'!$E$1:$BU$97,10,FALSE)</f>
        <v>0</v>
      </c>
      <c r="F175" s="89">
        <f>HLOOKUP($D$172,'EJEMPLO DE NOMINA'!$E$1:$BU$97,18,FALSE)</f>
        <v>0</v>
      </c>
      <c r="G175" s="89">
        <f>HLOOKUP($D$172,'EJEMPLO DE NOMINA'!$E$1:$BU$97,26,FALSE)</f>
        <v>0</v>
      </c>
      <c r="H175" s="89">
        <f>HLOOKUP($D$172,'EJEMPLO DE NOMINA'!$E$1:$BU$97,34,FALSE)</f>
        <v>0</v>
      </c>
      <c r="I175" s="89">
        <f>HLOOKUP($D$172,'EJEMPLO DE NOMINA'!$E$1:$BU$97,42,FALSE)</f>
        <v>0</v>
      </c>
      <c r="J175" s="89">
        <f>HLOOKUP($D$172,'EJEMPLO DE NOMINA'!$E$1:$BU$97,50,FALSE)</f>
        <v>0</v>
      </c>
      <c r="K175" s="89">
        <f>HLOOKUP($D$172,'EJEMPLO DE NOMINA'!$E$1:$BU$97,58,FALSE)</f>
        <v>0</v>
      </c>
      <c r="L175" s="89">
        <f>HLOOKUP($D$172,'EJEMPLO DE NOMINA'!$E$1:$BU$97,66,FALSE)</f>
        <v>0</v>
      </c>
      <c r="M175" s="89">
        <f>HLOOKUP($D$172,'EJEMPLO DE NOMINA'!$E$1:$BU$97,74,FALSE)</f>
        <v>0</v>
      </c>
      <c r="N175" s="89">
        <f>HLOOKUP($D$172,'EJEMPLO DE NOMINA'!$E$1:$BU$97,82,FALSE)</f>
        <v>0</v>
      </c>
      <c r="O175" s="89">
        <f>HLOOKUP($D$172,'EJEMPLO DE NOMINA'!$E$1:$BU$97,90,FALSE)</f>
        <v>0</v>
      </c>
      <c r="P175" s="90">
        <f>SUM(D175:O175)</f>
        <v>0</v>
      </c>
      <c r="Q175" s="87"/>
    </row>
    <row r="176" spans="2:17" x14ac:dyDescent="0.25">
      <c r="B176" s="5"/>
      <c r="C176" s="62" t="s">
        <v>26</v>
      </c>
      <c r="D176" s="91">
        <f>HLOOKUP($D$172,'EJEMPLO DE NOMINA'!$E$1:$BU$97,3,FALSE)</f>
        <v>0</v>
      </c>
      <c r="E176" s="89">
        <f>HLOOKUP($D$172,'EJEMPLO DE NOMINA'!$E$1:$BU$97,11,FALSE)</f>
        <v>0</v>
      </c>
      <c r="F176" s="89">
        <f>HLOOKUP($D$172,'EJEMPLO DE NOMINA'!$E$1:$BU$97,19,FALSE)</f>
        <v>0</v>
      </c>
      <c r="G176" s="89">
        <f>HLOOKUP($D$172,'EJEMPLO DE NOMINA'!$E$1:$BU$97,27,FALSE)</f>
        <v>0</v>
      </c>
      <c r="H176" s="89">
        <f>HLOOKUP($D$172,'EJEMPLO DE NOMINA'!$E$1:$BU$97,35,FALSE)</f>
        <v>0</v>
      </c>
      <c r="I176" s="89">
        <f>HLOOKUP($D$172,'EJEMPLO DE NOMINA'!$E$1:$BU$97,43,FALSE)</f>
        <v>0</v>
      </c>
      <c r="J176" s="89">
        <f>HLOOKUP($D$172,'EJEMPLO DE NOMINA'!$E$1:$BU$97,51,FALSE)</f>
        <v>0</v>
      </c>
      <c r="K176" s="89">
        <f>HLOOKUP($D$172,'EJEMPLO DE NOMINA'!$E$1:$BU$97,59,FALSE)</f>
        <v>0</v>
      </c>
      <c r="L176" s="89">
        <f>HLOOKUP($D$172,'EJEMPLO DE NOMINA'!$E$1:$BU$97,67,FALSE)</f>
        <v>0</v>
      </c>
      <c r="M176" s="89">
        <f>HLOOKUP($D$172,'EJEMPLO DE NOMINA'!$E$1:$BU$97,75,FALSE)</f>
        <v>0</v>
      </c>
      <c r="N176" s="89">
        <f>HLOOKUP($D$172,'EJEMPLO DE NOMINA'!$E$1:$BU$97,83,FALSE)</f>
        <v>0</v>
      </c>
      <c r="O176" s="89">
        <f>HLOOKUP($D$172,'EJEMPLO DE NOMINA'!$E$1:$BU$97,91,FALSE)</f>
        <v>0</v>
      </c>
      <c r="P176" s="92">
        <f>AVERAGE(D176:O176)</f>
        <v>0</v>
      </c>
      <c r="Q176" s="87"/>
    </row>
    <row r="177" spans="2:17" x14ac:dyDescent="0.25">
      <c r="B177" s="5"/>
      <c r="C177" s="62" t="s">
        <v>33</v>
      </c>
      <c r="D177" s="91">
        <f>HLOOKUP($D$172,'EJEMPLO DE NOMINA'!$E$1:$BU$97,4,FALSE)</f>
        <v>0</v>
      </c>
      <c r="E177" s="89">
        <f>HLOOKUP($D$172,'EJEMPLO DE NOMINA'!$E$1:$BU$97,12,FALSE)</f>
        <v>0</v>
      </c>
      <c r="F177" s="89">
        <f>HLOOKUP($D$172,'EJEMPLO DE NOMINA'!$E$1:$BU$97,20,FALSE)</f>
        <v>0</v>
      </c>
      <c r="G177" s="89">
        <f>HLOOKUP($D$172,'EJEMPLO DE NOMINA'!$E$1:$BU$97,28,FALSE)</f>
        <v>0</v>
      </c>
      <c r="H177" s="89">
        <f>HLOOKUP($D$172,'EJEMPLO DE NOMINA'!$E$1:$BU$97,36,FALSE)</f>
        <v>0</v>
      </c>
      <c r="I177" s="89">
        <f>HLOOKUP($D$172,'EJEMPLO DE NOMINA'!$E$1:$BU$97,44,FALSE)</f>
        <v>0</v>
      </c>
      <c r="J177" s="89">
        <f>HLOOKUP($D$172,'EJEMPLO DE NOMINA'!$E$1:$BU$97,52,FALSE)</f>
        <v>0</v>
      </c>
      <c r="K177" s="89">
        <f>HLOOKUP($D$172,'EJEMPLO DE NOMINA'!$E$1:$BU$97,60,FALSE)</f>
        <v>0</v>
      </c>
      <c r="L177" s="89">
        <f>HLOOKUP($D$172,'EJEMPLO DE NOMINA'!$E$1:$BU$97,68,FALSE)</f>
        <v>0</v>
      </c>
      <c r="M177" s="89">
        <f>HLOOKUP($D$172,'EJEMPLO DE NOMINA'!$E$1:$BU$97,76,FALSE)</f>
        <v>0</v>
      </c>
      <c r="N177" s="89">
        <f>HLOOKUP($D$172,'EJEMPLO DE NOMINA'!$E$1:$BU$97,84,FALSE)</f>
        <v>0</v>
      </c>
      <c r="O177" s="89">
        <f>HLOOKUP($D$172,'EJEMPLO DE NOMINA'!$E$1:$BU$97,92,FALSE)</f>
        <v>0</v>
      </c>
      <c r="P177" s="90">
        <f>SUM(D177:O177)</f>
        <v>0</v>
      </c>
      <c r="Q177" s="93"/>
    </row>
    <row r="178" spans="2:17" x14ac:dyDescent="0.25">
      <c r="B178" s="5"/>
      <c r="C178" s="62" t="s">
        <v>34</v>
      </c>
      <c r="D178" s="91">
        <f>HLOOKUP($D$172,'EJEMPLO DE NOMINA'!$E$1:$BU$97,5,FALSE)</f>
        <v>0</v>
      </c>
      <c r="E178" s="89">
        <f>HLOOKUP($D$172,'EJEMPLO DE NOMINA'!$E$1:$BU$97,13,FALSE)</f>
        <v>0</v>
      </c>
      <c r="F178" s="89">
        <f>HLOOKUP($D$172,'EJEMPLO DE NOMINA'!$E$1:$BU$97,21,FALSE)</f>
        <v>0</v>
      </c>
      <c r="G178" s="89">
        <f>HLOOKUP($D$172,'EJEMPLO DE NOMINA'!$E$1:$BU$97,29,FALSE)</f>
        <v>0</v>
      </c>
      <c r="H178" s="89">
        <f>HLOOKUP($D$172,'EJEMPLO DE NOMINA'!$E$1:$BU$97,37,FALSE)</f>
        <v>0</v>
      </c>
      <c r="I178" s="89">
        <f>HLOOKUP($D$172,'EJEMPLO DE NOMINA'!$E$1:$BU$97,45,FALSE)</f>
        <v>0</v>
      </c>
      <c r="J178" s="89">
        <f>HLOOKUP($D$172,'EJEMPLO DE NOMINA'!$E$1:$BU$97,53,FALSE)</f>
        <v>0</v>
      </c>
      <c r="K178" s="89">
        <f>HLOOKUP($D$172,'EJEMPLO DE NOMINA'!$E$1:$BU$97,61,FALSE)</f>
        <v>0</v>
      </c>
      <c r="L178" s="89">
        <f>HLOOKUP($D$172,'EJEMPLO DE NOMINA'!$E$1:$BU$97,69,FALSE)</f>
        <v>0</v>
      </c>
      <c r="M178" s="89">
        <f>HLOOKUP($D$172,'EJEMPLO DE NOMINA'!$E$1:$BU$97,77,FALSE)</f>
        <v>0</v>
      </c>
      <c r="N178" s="89">
        <f>HLOOKUP($D$172,'EJEMPLO DE NOMINA'!$E$1:$BU$97,85,FALSE)</f>
        <v>0</v>
      </c>
      <c r="O178" s="89">
        <f>HLOOKUP($D$172,'EJEMPLO DE NOMINA'!$E$1:$BU$97,93,FALSE)</f>
        <v>0</v>
      </c>
      <c r="P178" s="90">
        <f>SUM(D178:O178)</f>
        <v>0</v>
      </c>
      <c r="Q178" s="93"/>
    </row>
    <row r="179" spans="2:17" x14ac:dyDescent="0.25">
      <c r="B179" s="5"/>
      <c r="C179" s="94" t="s">
        <v>39</v>
      </c>
      <c r="D179" s="95">
        <f>+D177</f>
        <v>0</v>
      </c>
      <c r="E179" s="95">
        <f t="shared" ref="E179:O179" si="39">+E177</f>
        <v>0</v>
      </c>
      <c r="F179" s="95">
        <f t="shared" si="39"/>
        <v>0</v>
      </c>
      <c r="G179" s="95">
        <f t="shared" si="39"/>
        <v>0</v>
      </c>
      <c r="H179" s="95">
        <f t="shared" si="39"/>
        <v>0</v>
      </c>
      <c r="I179" s="95">
        <f t="shared" si="39"/>
        <v>0</v>
      </c>
      <c r="J179" s="95">
        <f t="shared" si="39"/>
        <v>0</v>
      </c>
      <c r="K179" s="95">
        <f t="shared" si="39"/>
        <v>0</v>
      </c>
      <c r="L179" s="95">
        <f t="shared" si="39"/>
        <v>0</v>
      </c>
      <c r="M179" s="95">
        <f t="shared" si="39"/>
        <v>0</v>
      </c>
      <c r="N179" s="95">
        <f t="shared" si="39"/>
        <v>0</v>
      </c>
      <c r="O179" s="95">
        <f t="shared" si="39"/>
        <v>0</v>
      </c>
      <c r="P179" s="90">
        <f>SUM(D179:O179)</f>
        <v>0</v>
      </c>
      <c r="Q179" s="93"/>
    </row>
    <row r="180" spans="2:17" x14ac:dyDescent="0.25">
      <c r="B180" s="5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3"/>
    </row>
    <row r="181" spans="2:17" x14ac:dyDescent="0.25">
      <c r="B181" s="5"/>
      <c r="C181" s="62" t="s">
        <v>35</v>
      </c>
      <c r="D181" s="91">
        <f>HLOOKUP($D$172,'EJEMPLO DE NOMINA'!$E$1:$BU$97,6,FALSE)</f>
        <v>0</v>
      </c>
      <c r="E181" s="89">
        <f>HLOOKUP($D$172,'EJEMPLO DE NOMINA'!$E$1:$BU$97,14,FALSE)</f>
        <v>0</v>
      </c>
      <c r="F181" s="89">
        <f>HLOOKUP($D$172,'EJEMPLO DE NOMINA'!$E$1:$BU$97,22,FALSE)</f>
        <v>0</v>
      </c>
      <c r="G181" s="89">
        <f>HLOOKUP($D$172,'EJEMPLO DE NOMINA'!$E$1:$BU$97,30,FALSE)</f>
        <v>0</v>
      </c>
      <c r="H181" s="89">
        <f>HLOOKUP($D$172,'EJEMPLO DE NOMINA'!$E$1:$BU$97,38,FALSE)</f>
        <v>0</v>
      </c>
      <c r="I181" s="89">
        <f>HLOOKUP($D$172,'EJEMPLO DE NOMINA'!$E$1:$BU$97,46,FALSE)</f>
        <v>0</v>
      </c>
      <c r="J181" s="89">
        <f>HLOOKUP($D$172,'EJEMPLO DE NOMINA'!$E$1:$BU$97,54,FALSE)</f>
        <v>0</v>
      </c>
      <c r="K181" s="89">
        <f>HLOOKUP($D$172,'EJEMPLO DE NOMINA'!$E$1:$BU$97,62,FALSE)</f>
        <v>0</v>
      </c>
      <c r="L181" s="89">
        <f>HLOOKUP($D$172,'EJEMPLO DE NOMINA'!$E$1:$BU$97,70,FALSE)</f>
        <v>0</v>
      </c>
      <c r="M181" s="89">
        <f>HLOOKUP($D$172,'EJEMPLO DE NOMINA'!$E$1:$BU$97,78,FALSE)</f>
        <v>0</v>
      </c>
      <c r="N181" s="89">
        <f>HLOOKUP($D$172,'EJEMPLO DE NOMINA'!$E$1:$BU$97,86,FALSE)</f>
        <v>0</v>
      </c>
      <c r="O181" s="89">
        <f>HLOOKUP($D$172,'EJEMPLO DE NOMINA'!$E$1:$BU$97,94,FALSE)</f>
        <v>0</v>
      </c>
      <c r="P181" s="90">
        <f>SUM(D181:O181)</f>
        <v>0</v>
      </c>
      <c r="Q181" s="87"/>
    </row>
    <row r="182" spans="2:17" x14ac:dyDescent="0.25">
      <c r="B182" s="5"/>
      <c r="C182" s="62" t="s">
        <v>36</v>
      </c>
      <c r="D182" s="91">
        <f>HLOOKUP($D$172,'EJEMPLO DE NOMINA'!$E$1:$BU$97,7,FALSE)</f>
        <v>0</v>
      </c>
      <c r="E182" s="89">
        <f>HLOOKUP($D$172,'EJEMPLO DE NOMINA'!$E$1:$BU$97,15,FALSE)</f>
        <v>0</v>
      </c>
      <c r="F182" s="89">
        <f>HLOOKUP($D$172,'EJEMPLO DE NOMINA'!$E$1:$BU$97,23,FALSE)</f>
        <v>0</v>
      </c>
      <c r="G182" s="89">
        <f>HLOOKUP($D$172,'EJEMPLO DE NOMINA'!$E$1:$BU$97,31,FALSE)</f>
        <v>0</v>
      </c>
      <c r="H182" s="89">
        <f>HLOOKUP($D$172,'EJEMPLO DE NOMINA'!$E$1:$BU$97,39,FALSE)</f>
        <v>0</v>
      </c>
      <c r="I182" s="89">
        <f>HLOOKUP($D$172,'EJEMPLO DE NOMINA'!$E$1:$BU$97,47,FALSE)</f>
        <v>0</v>
      </c>
      <c r="J182" s="89">
        <f>HLOOKUP($D$172,'EJEMPLO DE NOMINA'!$E$1:$BU$97,55,FALSE)</f>
        <v>0</v>
      </c>
      <c r="K182" s="89">
        <f>HLOOKUP($D$172,'EJEMPLO DE NOMINA'!$E$1:$BU$97,63,FALSE)</f>
        <v>0</v>
      </c>
      <c r="L182" s="89">
        <f>HLOOKUP($D$172,'EJEMPLO DE NOMINA'!$E$1:$BU$97,71,FALSE)</f>
        <v>0</v>
      </c>
      <c r="M182" s="89">
        <f>HLOOKUP($D$172,'EJEMPLO DE NOMINA'!$E$1:$BU$97,79,FALSE)</f>
        <v>0</v>
      </c>
      <c r="N182" s="89">
        <f>HLOOKUP($D$172,'EJEMPLO DE NOMINA'!$E$1:$BU$97,87,FALSE)</f>
        <v>0</v>
      </c>
      <c r="O182" s="89">
        <f>HLOOKUP($D$172,'EJEMPLO DE NOMINA'!$E$1:$BU$97,95,FALSE)</f>
        <v>0</v>
      </c>
      <c r="P182" s="92">
        <f>AVERAGE(D182:O182)</f>
        <v>0</v>
      </c>
      <c r="Q182" s="87"/>
    </row>
    <row r="183" spans="2:17" x14ac:dyDescent="0.25">
      <c r="B183" s="5"/>
      <c r="C183" s="62" t="s">
        <v>37</v>
      </c>
      <c r="D183" s="91">
        <f>HLOOKUP($D$172,'EJEMPLO DE NOMINA'!$E$1:$BU$97,8,FALSE)</f>
        <v>0</v>
      </c>
      <c r="E183" s="89">
        <f>HLOOKUP($D$172,'EJEMPLO DE NOMINA'!$E$1:$BU$97,16,FALSE)</f>
        <v>0</v>
      </c>
      <c r="F183" s="89">
        <f>HLOOKUP($D$172,'EJEMPLO DE NOMINA'!$E$1:$BU$97,24,FALSE)</f>
        <v>0</v>
      </c>
      <c r="G183" s="89">
        <f>HLOOKUP($D$172,'EJEMPLO DE NOMINA'!$E$1:$BU$97,32,FALSE)</f>
        <v>0</v>
      </c>
      <c r="H183" s="89">
        <f>HLOOKUP($D$172,'EJEMPLO DE NOMINA'!$E$1:$BU$97,40,FALSE)</f>
        <v>0</v>
      </c>
      <c r="I183" s="89">
        <f>HLOOKUP($D$172,'EJEMPLO DE NOMINA'!$E$1:$BU$97,48,FALSE)</f>
        <v>0</v>
      </c>
      <c r="J183" s="89">
        <f>HLOOKUP($D$172,'EJEMPLO DE NOMINA'!$E$1:$BU$97,56,FALSE)</f>
        <v>0</v>
      </c>
      <c r="K183" s="89">
        <f>HLOOKUP($D$172,'EJEMPLO DE NOMINA'!$E$1:$BU$97,64,FALSE)</f>
        <v>0</v>
      </c>
      <c r="L183" s="89">
        <f>HLOOKUP($D$172,'EJEMPLO DE NOMINA'!$E$1:$BU$97,72,FALSE)</f>
        <v>0</v>
      </c>
      <c r="M183" s="89">
        <f>HLOOKUP($D$172,'EJEMPLO DE NOMINA'!$E$1:$BU$97,80,FALSE)</f>
        <v>0</v>
      </c>
      <c r="N183" s="89">
        <f>HLOOKUP($D$172,'EJEMPLO DE NOMINA'!$E$1:$BU$97,88,FALSE)</f>
        <v>0</v>
      </c>
      <c r="O183" s="89">
        <f>HLOOKUP($D$172,'EJEMPLO DE NOMINA'!$E$1:$BU$97,96,FALSE)</f>
        <v>0</v>
      </c>
      <c r="P183" s="90">
        <f>SUM(D183:O183)</f>
        <v>0</v>
      </c>
      <c r="Q183" s="87"/>
    </row>
    <row r="184" spans="2:17" x14ac:dyDescent="0.25">
      <c r="B184" s="5"/>
      <c r="C184" s="62" t="s">
        <v>38</v>
      </c>
      <c r="D184" s="91">
        <f>HLOOKUP($D$172,'EJEMPLO DE NOMINA'!$E$1:$BU$97,9,FALSE)</f>
        <v>0</v>
      </c>
      <c r="E184" s="89">
        <f>HLOOKUP($D$172,'EJEMPLO DE NOMINA'!$E$1:$BU$97,17,FALSE)</f>
        <v>0</v>
      </c>
      <c r="F184" s="89">
        <f>HLOOKUP($D$172,'EJEMPLO DE NOMINA'!$E$1:$BU$97,25,FALSE)</f>
        <v>0</v>
      </c>
      <c r="G184" s="89">
        <f>HLOOKUP($D$172,'EJEMPLO DE NOMINA'!$E$1:$BU$97,33,FALSE)</f>
        <v>0</v>
      </c>
      <c r="H184" s="89">
        <f>HLOOKUP($D$172,'EJEMPLO DE NOMINA'!$E$1:$BU$97,41,FALSE)</f>
        <v>0</v>
      </c>
      <c r="I184" s="89">
        <f>HLOOKUP($D$172,'EJEMPLO DE NOMINA'!$E$1:$BU$97,49,FALSE)</f>
        <v>0</v>
      </c>
      <c r="J184" s="89">
        <f>HLOOKUP($D$172,'EJEMPLO DE NOMINA'!$E$1:$BU$97,57,FALSE)</f>
        <v>0</v>
      </c>
      <c r="K184" s="89">
        <f>HLOOKUP($D$172,'EJEMPLO DE NOMINA'!$E$1:$BU$97,65,FALSE)</f>
        <v>0</v>
      </c>
      <c r="L184" s="89">
        <f>HLOOKUP($D$172,'EJEMPLO DE NOMINA'!$E$1:$BU$97,73,FALSE)</f>
        <v>0</v>
      </c>
      <c r="M184" s="89">
        <f>HLOOKUP($D$172,'EJEMPLO DE NOMINA'!$E$1:$BU$97,81,FALSE)</f>
        <v>0</v>
      </c>
      <c r="N184" s="89">
        <f>HLOOKUP($D$172,'EJEMPLO DE NOMINA'!$E$1:$BU$97,89,FALSE)</f>
        <v>0</v>
      </c>
      <c r="O184" s="89">
        <f>HLOOKUP($D$172,'EJEMPLO DE NOMINA'!$E$1:$BU$97,97,FALSE)</f>
        <v>0</v>
      </c>
      <c r="P184" s="90">
        <f>SUM(D184:O184)</f>
        <v>0</v>
      </c>
      <c r="Q184" s="87"/>
    </row>
    <row r="185" spans="2:17" x14ac:dyDescent="0.25">
      <c r="B185" s="5"/>
      <c r="C185" s="94" t="s">
        <v>39</v>
      </c>
      <c r="D185" s="97">
        <f>+D183</f>
        <v>0</v>
      </c>
      <c r="E185" s="97">
        <f t="shared" ref="E185:O185" si="40">+E183</f>
        <v>0</v>
      </c>
      <c r="F185" s="97">
        <f t="shared" si="40"/>
        <v>0</v>
      </c>
      <c r="G185" s="97">
        <f t="shared" si="40"/>
        <v>0</v>
      </c>
      <c r="H185" s="97">
        <f t="shared" si="40"/>
        <v>0</v>
      </c>
      <c r="I185" s="97">
        <f t="shared" si="40"/>
        <v>0</v>
      </c>
      <c r="J185" s="97">
        <f t="shared" si="40"/>
        <v>0</v>
      </c>
      <c r="K185" s="97">
        <f t="shared" si="40"/>
        <v>0</v>
      </c>
      <c r="L185" s="97">
        <f t="shared" si="40"/>
        <v>0</v>
      </c>
      <c r="M185" s="97">
        <f t="shared" si="40"/>
        <v>0</v>
      </c>
      <c r="N185" s="97">
        <f t="shared" si="40"/>
        <v>0</v>
      </c>
      <c r="O185" s="97">
        <f t="shared" si="40"/>
        <v>0</v>
      </c>
      <c r="P185" s="90">
        <f>SUM(D185:O185)</f>
        <v>0</v>
      </c>
      <c r="Q185" s="87"/>
    </row>
    <row r="186" spans="2:17" x14ac:dyDescent="0.25">
      <c r="B186" s="5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87"/>
    </row>
    <row r="187" spans="2:17" x14ac:dyDescent="0.25">
      <c r="B187" s="5"/>
      <c r="C187" s="62" t="s">
        <v>12</v>
      </c>
      <c r="D187" s="98">
        <v>5.0999999999999997E-2</v>
      </c>
      <c r="E187" s="98">
        <v>5.0999999999999997E-2</v>
      </c>
      <c r="F187" s="98">
        <v>5.0999999999999997E-2</v>
      </c>
      <c r="G187" s="98">
        <v>5.0999999999999997E-2</v>
      </c>
      <c r="H187" s="98">
        <v>5.0999999999999997E-2</v>
      </c>
      <c r="I187" s="98">
        <v>5.0999999999999997E-2</v>
      </c>
      <c r="J187" s="98">
        <v>5.0999999999999997E-2</v>
      </c>
      <c r="K187" s="98">
        <v>5.0999999999999997E-2</v>
      </c>
      <c r="L187" s="98">
        <v>5.0999999999999997E-2</v>
      </c>
      <c r="M187" s="98">
        <v>5.0999999999999997E-2</v>
      </c>
      <c r="N187" s="98">
        <v>5.0999999999999997E-2</v>
      </c>
      <c r="O187" s="98">
        <v>5.0999999999999997E-2</v>
      </c>
      <c r="P187" s="66"/>
      <c r="Q187" s="87"/>
    </row>
    <row r="188" spans="2:17" x14ac:dyDescent="0.25">
      <c r="B188" s="5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87"/>
    </row>
    <row r="189" spans="2:17" x14ac:dyDescent="0.25">
      <c r="B189" s="5"/>
      <c r="C189" s="62" t="s">
        <v>13</v>
      </c>
      <c r="D189" s="97">
        <f t="shared" ref="D189:O189" si="41">+D185*D187</f>
        <v>0</v>
      </c>
      <c r="E189" s="97">
        <f t="shared" si="41"/>
        <v>0</v>
      </c>
      <c r="F189" s="97">
        <f t="shared" si="41"/>
        <v>0</v>
      </c>
      <c r="G189" s="97">
        <f t="shared" si="41"/>
        <v>0</v>
      </c>
      <c r="H189" s="97">
        <f t="shared" si="41"/>
        <v>0</v>
      </c>
      <c r="I189" s="97">
        <f t="shared" si="41"/>
        <v>0</v>
      </c>
      <c r="J189" s="97">
        <f t="shared" si="41"/>
        <v>0</v>
      </c>
      <c r="K189" s="97">
        <f t="shared" si="41"/>
        <v>0</v>
      </c>
      <c r="L189" s="97">
        <f t="shared" si="41"/>
        <v>0</v>
      </c>
      <c r="M189" s="97">
        <f t="shared" si="41"/>
        <v>0</v>
      </c>
      <c r="N189" s="97">
        <f t="shared" si="41"/>
        <v>0</v>
      </c>
      <c r="O189" s="97">
        <f t="shared" si="41"/>
        <v>0</v>
      </c>
      <c r="P189" s="90">
        <f>SUM(D189:O189)</f>
        <v>0</v>
      </c>
      <c r="Q189" s="87"/>
    </row>
    <row r="190" spans="2:17" x14ac:dyDescent="0.25">
      <c r="B190" s="5"/>
      <c r="C190" s="62" t="s">
        <v>22</v>
      </c>
      <c r="D190" s="97">
        <f t="shared" ref="D190:O190" si="42">+D181</f>
        <v>0</v>
      </c>
      <c r="E190" s="97">
        <f t="shared" si="42"/>
        <v>0</v>
      </c>
      <c r="F190" s="97">
        <f t="shared" si="42"/>
        <v>0</v>
      </c>
      <c r="G190" s="97">
        <f t="shared" si="42"/>
        <v>0</v>
      </c>
      <c r="H190" s="97">
        <f t="shared" si="42"/>
        <v>0</v>
      </c>
      <c r="I190" s="97">
        <f t="shared" si="42"/>
        <v>0</v>
      </c>
      <c r="J190" s="97">
        <f t="shared" si="42"/>
        <v>0</v>
      </c>
      <c r="K190" s="97">
        <f t="shared" si="42"/>
        <v>0</v>
      </c>
      <c r="L190" s="97">
        <f t="shared" si="42"/>
        <v>0</v>
      </c>
      <c r="M190" s="97">
        <f t="shared" si="42"/>
        <v>0</v>
      </c>
      <c r="N190" s="97">
        <f t="shared" si="42"/>
        <v>0</v>
      </c>
      <c r="O190" s="97">
        <f t="shared" si="42"/>
        <v>0</v>
      </c>
      <c r="P190" s="90">
        <f>SUM(D190:O190)</f>
        <v>0</v>
      </c>
      <c r="Q190" s="87"/>
    </row>
    <row r="191" spans="2:17" x14ac:dyDescent="0.25">
      <c r="B191" s="5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87"/>
    </row>
    <row r="192" spans="2:17" x14ac:dyDescent="0.25">
      <c r="B192" s="5"/>
      <c r="C192" s="99" t="s">
        <v>14</v>
      </c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87"/>
    </row>
    <row r="193" spans="2:17" x14ac:dyDescent="0.25">
      <c r="B193" s="5"/>
      <c r="C193" s="62" t="s">
        <v>15</v>
      </c>
      <c r="D193" s="97">
        <f t="shared" ref="D193:O193" si="43">+D175-D189</f>
        <v>0</v>
      </c>
      <c r="E193" s="97">
        <f t="shared" si="43"/>
        <v>0</v>
      </c>
      <c r="F193" s="97">
        <f t="shared" si="43"/>
        <v>0</v>
      </c>
      <c r="G193" s="97">
        <f t="shared" si="43"/>
        <v>0</v>
      </c>
      <c r="H193" s="97">
        <f t="shared" si="43"/>
        <v>0</v>
      </c>
      <c r="I193" s="97">
        <f t="shared" si="43"/>
        <v>0</v>
      </c>
      <c r="J193" s="97">
        <f t="shared" si="43"/>
        <v>0</v>
      </c>
      <c r="K193" s="97">
        <f t="shared" si="43"/>
        <v>0</v>
      </c>
      <c r="L193" s="97">
        <f t="shared" si="43"/>
        <v>0</v>
      </c>
      <c r="M193" s="97">
        <f t="shared" si="43"/>
        <v>0</v>
      </c>
      <c r="N193" s="97">
        <f t="shared" si="43"/>
        <v>0</v>
      </c>
      <c r="O193" s="97">
        <f t="shared" si="43"/>
        <v>0</v>
      </c>
      <c r="P193" s="90">
        <f>SUM(D193:O193)</f>
        <v>0</v>
      </c>
      <c r="Q193" s="87"/>
    </row>
    <row r="194" spans="2:17" x14ac:dyDescent="0.25">
      <c r="B194" s="5"/>
      <c r="C194" s="62" t="s">
        <v>16</v>
      </c>
      <c r="D194" s="97">
        <f t="shared" ref="D194:O194" si="44">+D181-D189</f>
        <v>0</v>
      </c>
      <c r="E194" s="97">
        <f t="shared" si="44"/>
        <v>0</v>
      </c>
      <c r="F194" s="97">
        <f t="shared" si="44"/>
        <v>0</v>
      </c>
      <c r="G194" s="97">
        <f t="shared" si="44"/>
        <v>0</v>
      </c>
      <c r="H194" s="97">
        <f t="shared" si="44"/>
        <v>0</v>
      </c>
      <c r="I194" s="97">
        <f t="shared" si="44"/>
        <v>0</v>
      </c>
      <c r="J194" s="97">
        <f t="shared" si="44"/>
        <v>0</v>
      </c>
      <c r="K194" s="97">
        <f t="shared" si="44"/>
        <v>0</v>
      </c>
      <c r="L194" s="97">
        <f>+L181-L189</f>
        <v>0</v>
      </c>
      <c r="M194" s="97">
        <f t="shared" si="44"/>
        <v>0</v>
      </c>
      <c r="N194" s="97">
        <f t="shared" si="44"/>
        <v>0</v>
      </c>
      <c r="O194" s="97">
        <f t="shared" si="44"/>
        <v>0</v>
      </c>
      <c r="P194" s="90">
        <f>SUM(D194:O194)</f>
        <v>0</v>
      </c>
      <c r="Q194" s="87"/>
    </row>
    <row r="195" spans="2:17" x14ac:dyDescent="0.25">
      <c r="B195" s="5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87"/>
    </row>
    <row r="196" spans="2:17" x14ac:dyDescent="0.25">
      <c r="B196" s="5"/>
      <c r="C196" s="75" t="s">
        <v>17</v>
      </c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90">
        <f>SUM(D196:O196)</f>
        <v>0</v>
      </c>
      <c r="Q196" s="87"/>
    </row>
    <row r="197" spans="2:17" x14ac:dyDescent="0.25">
      <c r="B197" s="5"/>
      <c r="C197" s="75" t="s">
        <v>18</v>
      </c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90">
        <f>SUM(D197:O197)</f>
        <v>0</v>
      </c>
      <c r="Q197" s="87"/>
    </row>
    <row r="198" spans="2:17" x14ac:dyDescent="0.25">
      <c r="B198" s="5"/>
      <c r="C198" s="9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87"/>
    </row>
    <row r="199" spans="2:17" x14ac:dyDescent="0.25">
      <c r="B199" s="5"/>
      <c r="C199" s="101" t="s">
        <v>19</v>
      </c>
      <c r="D199" s="102">
        <f t="shared" ref="D199:O199" si="45">+D189+D196+D197</f>
        <v>0</v>
      </c>
      <c r="E199" s="102">
        <f t="shared" si="45"/>
        <v>0</v>
      </c>
      <c r="F199" s="102">
        <f t="shared" si="45"/>
        <v>0</v>
      </c>
      <c r="G199" s="102">
        <f t="shared" si="45"/>
        <v>0</v>
      </c>
      <c r="H199" s="102">
        <f t="shared" si="45"/>
        <v>0</v>
      </c>
      <c r="I199" s="102">
        <f t="shared" si="45"/>
        <v>0</v>
      </c>
      <c r="J199" s="102">
        <f t="shared" si="45"/>
        <v>0</v>
      </c>
      <c r="K199" s="102">
        <f t="shared" si="45"/>
        <v>0</v>
      </c>
      <c r="L199" s="102">
        <f t="shared" si="45"/>
        <v>0</v>
      </c>
      <c r="M199" s="102">
        <f t="shared" si="45"/>
        <v>0</v>
      </c>
      <c r="N199" s="102">
        <f t="shared" si="45"/>
        <v>0</v>
      </c>
      <c r="O199" s="102">
        <f t="shared" si="45"/>
        <v>0</v>
      </c>
      <c r="P199" s="103">
        <f>SUM(D199:O199)</f>
        <v>0</v>
      </c>
      <c r="Q199" s="87"/>
    </row>
    <row r="200" spans="2:17" ht="15.75" thickBot="1" x14ac:dyDescent="0.3">
      <c r="B200" s="6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5"/>
    </row>
    <row r="201" spans="2:17" ht="15.75" thickBot="1" x14ac:dyDescent="0.3"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</row>
    <row r="202" spans="2:17" x14ac:dyDescent="0.25">
      <c r="B202" s="4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1"/>
    </row>
    <row r="203" spans="2:17" x14ac:dyDescent="0.25">
      <c r="B203" s="5"/>
      <c r="C203" s="82" t="s">
        <v>11</v>
      </c>
      <c r="D203" s="83" t="s">
        <v>99</v>
      </c>
      <c r="E203" s="84"/>
      <c r="F203" s="84"/>
      <c r="G203" s="85"/>
      <c r="H203" s="171"/>
      <c r="I203" s="172"/>
      <c r="J203" s="172"/>
      <c r="K203" s="172"/>
      <c r="L203" s="172"/>
      <c r="M203" s="172"/>
      <c r="N203" s="172"/>
      <c r="O203" s="173"/>
      <c r="P203" s="86" t="s">
        <v>6</v>
      </c>
      <c r="Q203" s="87"/>
    </row>
    <row r="204" spans="2:17" x14ac:dyDescent="0.25">
      <c r="B204" s="5"/>
      <c r="C204" s="66"/>
      <c r="D204" s="174" t="s">
        <v>41</v>
      </c>
      <c r="E204" s="174"/>
      <c r="F204" s="174"/>
      <c r="G204" s="174"/>
      <c r="H204" s="171"/>
      <c r="I204" s="172"/>
      <c r="J204" s="172"/>
      <c r="K204" s="172"/>
      <c r="L204" s="172"/>
      <c r="M204" s="172"/>
      <c r="N204" s="172"/>
      <c r="O204" s="173"/>
      <c r="P204" s="88"/>
      <c r="Q204" s="87"/>
    </row>
    <row r="205" spans="2:17" x14ac:dyDescent="0.25">
      <c r="B205" s="5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87"/>
    </row>
    <row r="206" spans="2:17" x14ac:dyDescent="0.25">
      <c r="B206" s="5"/>
      <c r="C206" s="62" t="s">
        <v>27</v>
      </c>
      <c r="D206" s="89">
        <f>HLOOKUP($D$203,'EJEMPLO DE NOMINA'!$E$1:$BU$97,2,FALSE)</f>
        <v>97914.370000000024</v>
      </c>
      <c r="E206" s="89">
        <f>HLOOKUP($D$203,'EJEMPLO DE NOMINA'!$E$1:$BU$97,10,FALSE)</f>
        <v>111548.83000000003</v>
      </c>
      <c r="F206" s="89">
        <f>HLOOKUP($D$203,'EJEMPLO DE NOMINA'!$E$1:$BU$97,18,FALSE)</f>
        <v>132221.63000000006</v>
      </c>
      <c r="G206" s="89">
        <f>HLOOKUP($D$203,'EJEMPLO DE NOMINA'!$E$1:$BU$97,26,FALSE)</f>
        <v>0</v>
      </c>
      <c r="H206" s="89">
        <f>HLOOKUP($D$203,'EJEMPLO DE NOMINA'!$E$1:$BU$97,34,FALSE)</f>
        <v>0</v>
      </c>
      <c r="I206" s="89">
        <f>HLOOKUP($D$203,'EJEMPLO DE NOMINA'!$E$1:$BU$97,42,FALSE)</f>
        <v>0</v>
      </c>
      <c r="J206" s="89">
        <f>HLOOKUP($D$203,'EJEMPLO DE NOMINA'!$E$1:$BU$97,50,FALSE)</f>
        <v>0</v>
      </c>
      <c r="K206" s="89">
        <f>HLOOKUP($D$203,'EJEMPLO DE NOMINA'!$E$1:$BU$97,58,FALSE)</f>
        <v>0</v>
      </c>
      <c r="L206" s="89">
        <f>HLOOKUP($D$203,'EJEMPLO DE NOMINA'!$E$1:$BU$97,66,FALSE)</f>
        <v>0</v>
      </c>
      <c r="M206" s="89">
        <f>HLOOKUP($D$203,'EJEMPLO DE NOMINA'!$E$1:$BU$97,74,FALSE)</f>
        <v>0</v>
      </c>
      <c r="N206" s="89">
        <f>HLOOKUP($D$203,'EJEMPLO DE NOMINA'!$E$1:$BU$97,82,FALSE)</f>
        <v>0</v>
      </c>
      <c r="O206" s="89">
        <f>HLOOKUP($D$203,'EJEMPLO DE NOMINA'!$E$1:$BU$97,90,FALSE)</f>
        <v>0</v>
      </c>
      <c r="P206" s="90">
        <f>SUM(D206:O206)</f>
        <v>341684.83000000013</v>
      </c>
      <c r="Q206" s="87"/>
    </row>
    <row r="207" spans="2:17" x14ac:dyDescent="0.25">
      <c r="B207" s="5"/>
      <c r="C207" s="62" t="s">
        <v>26</v>
      </c>
      <c r="D207" s="91">
        <f>HLOOKUP($D$203,'EJEMPLO DE NOMINA'!$E$1:$BU$97,3,FALSE)</f>
        <v>85</v>
      </c>
      <c r="E207" s="89">
        <f>HLOOKUP($D$203,'EJEMPLO DE NOMINA'!$E$1:$BU$97,11,FALSE)</f>
        <v>91</v>
      </c>
      <c r="F207" s="89">
        <f>HLOOKUP($D$203,'EJEMPLO DE NOMINA'!$E$1:$BU$97,19,FALSE)</f>
        <v>127</v>
      </c>
      <c r="G207" s="89">
        <f>HLOOKUP($D$203,'EJEMPLO DE NOMINA'!$E$1:$BU$97,27,FALSE)</f>
        <v>0</v>
      </c>
      <c r="H207" s="89">
        <f>HLOOKUP($D$203,'EJEMPLO DE NOMINA'!$E$1:$BU$97,35,FALSE)</f>
        <v>0</v>
      </c>
      <c r="I207" s="89">
        <f>HLOOKUP($D$203,'EJEMPLO DE NOMINA'!$E$1:$BU$97,43,FALSE)</f>
        <v>0</v>
      </c>
      <c r="J207" s="89">
        <f>HLOOKUP($D$203,'EJEMPLO DE NOMINA'!$E$1:$BU$97,51,FALSE)</f>
        <v>0</v>
      </c>
      <c r="K207" s="89">
        <f>HLOOKUP($D$203,'EJEMPLO DE NOMINA'!$E$1:$BU$97,59,FALSE)</f>
        <v>0</v>
      </c>
      <c r="L207" s="89">
        <f>HLOOKUP($D$203,'EJEMPLO DE NOMINA'!$E$1:$BU$97,67,FALSE)</f>
        <v>0</v>
      </c>
      <c r="M207" s="89">
        <f>HLOOKUP($D$203,'EJEMPLO DE NOMINA'!$E$1:$BU$97,75,FALSE)</f>
        <v>0</v>
      </c>
      <c r="N207" s="89">
        <f>HLOOKUP($D$203,'EJEMPLO DE NOMINA'!$E$1:$BU$97,83,FALSE)</f>
        <v>0</v>
      </c>
      <c r="O207" s="89">
        <f>HLOOKUP($D$203,'EJEMPLO DE NOMINA'!$E$1:$BU$97,91,FALSE)</f>
        <v>0</v>
      </c>
      <c r="P207" s="92">
        <f>AVERAGE(D207:O207)</f>
        <v>25.25</v>
      </c>
      <c r="Q207" s="87"/>
    </row>
    <row r="208" spans="2:17" x14ac:dyDescent="0.25">
      <c r="B208" s="5"/>
      <c r="C208" s="62" t="s">
        <v>33</v>
      </c>
      <c r="D208" s="91">
        <f>HLOOKUP($D$203,'EJEMPLO DE NOMINA'!$E$1:$BU$97,4,FALSE)</f>
        <v>8672373.9000000022</v>
      </c>
      <c r="E208" s="89">
        <f>HLOOKUP($D$203,'EJEMPLO DE NOMINA'!$E$1:$BU$97,12,FALSE)</f>
        <v>9219173.2399999984</v>
      </c>
      <c r="F208" s="89">
        <f>HLOOKUP($D$203,'EJEMPLO DE NOMINA'!$E$1:$BU$97,20,FALSE)</f>
        <v>9295468.4600000009</v>
      </c>
      <c r="G208" s="89">
        <f>HLOOKUP($D$203,'EJEMPLO DE NOMINA'!$E$1:$BU$97,28,FALSE)</f>
        <v>0</v>
      </c>
      <c r="H208" s="89">
        <f>HLOOKUP($D$203,'EJEMPLO DE NOMINA'!$E$1:$BU$97,36,FALSE)</f>
        <v>0</v>
      </c>
      <c r="I208" s="89">
        <f>HLOOKUP($D$203,'EJEMPLO DE NOMINA'!$E$1:$BU$97,44,FALSE)</f>
        <v>0</v>
      </c>
      <c r="J208" s="89">
        <f>HLOOKUP($D$203,'EJEMPLO DE NOMINA'!$E$1:$BU$97,52,FALSE)</f>
        <v>0</v>
      </c>
      <c r="K208" s="89">
        <f>HLOOKUP($D$203,'EJEMPLO DE NOMINA'!$E$1:$BU$97,60,FALSE)</f>
        <v>0</v>
      </c>
      <c r="L208" s="89">
        <f>HLOOKUP($D$203,'EJEMPLO DE NOMINA'!$E$1:$BU$97,68,FALSE)</f>
        <v>0</v>
      </c>
      <c r="M208" s="89">
        <f>HLOOKUP($D$203,'EJEMPLO DE NOMINA'!$E$1:$BU$97,76,FALSE)</f>
        <v>0</v>
      </c>
      <c r="N208" s="89">
        <f>HLOOKUP($D$203,'EJEMPLO DE NOMINA'!$E$1:$BU$97,84,FALSE)</f>
        <v>0</v>
      </c>
      <c r="O208" s="89">
        <f>HLOOKUP($D$203,'EJEMPLO DE NOMINA'!$E$1:$BU$97,92,FALSE)</f>
        <v>0</v>
      </c>
      <c r="P208" s="90">
        <f>SUM(D208:O208)</f>
        <v>27187015.600000001</v>
      </c>
      <c r="Q208" s="93"/>
    </row>
    <row r="209" spans="2:17" x14ac:dyDescent="0.25">
      <c r="B209" s="5"/>
      <c r="C209" s="62" t="s">
        <v>34</v>
      </c>
      <c r="D209" s="91">
        <f>HLOOKUP($D$203,'EJEMPLO DE NOMINA'!$E$1:$BU$97,5,FALSE)</f>
        <v>2035749.14</v>
      </c>
      <c r="E209" s="89">
        <f>HLOOKUP($D$203,'EJEMPLO DE NOMINA'!$E$1:$BU$97,13,FALSE)</f>
        <v>1986337.0099999995</v>
      </c>
      <c r="F209" s="89">
        <f>HLOOKUP($D$203,'EJEMPLO DE NOMINA'!$E$1:$BU$97,21,FALSE)</f>
        <v>3945669.709999999</v>
      </c>
      <c r="G209" s="89">
        <f>HLOOKUP($D$203,'EJEMPLO DE NOMINA'!$E$1:$BU$97,29,FALSE)</f>
        <v>0</v>
      </c>
      <c r="H209" s="89">
        <f>HLOOKUP($D$203,'EJEMPLO DE NOMINA'!$E$1:$BU$97,37,FALSE)</f>
        <v>0</v>
      </c>
      <c r="I209" s="89">
        <f>HLOOKUP($D$203,'EJEMPLO DE NOMINA'!$E$1:$BU$97,45,FALSE)</f>
        <v>0</v>
      </c>
      <c r="J209" s="89">
        <f>HLOOKUP($D$203,'EJEMPLO DE NOMINA'!$E$1:$BU$97,53,FALSE)</f>
        <v>0</v>
      </c>
      <c r="K209" s="89">
        <f>HLOOKUP($D$203,'EJEMPLO DE NOMINA'!$E$1:$BU$97,61,FALSE)</f>
        <v>0</v>
      </c>
      <c r="L209" s="89">
        <f>HLOOKUP($D$203,'EJEMPLO DE NOMINA'!$E$1:$BU$97,69,FALSE)</f>
        <v>0</v>
      </c>
      <c r="M209" s="89">
        <f>HLOOKUP($D$203,'EJEMPLO DE NOMINA'!$E$1:$BU$97,77,FALSE)</f>
        <v>0</v>
      </c>
      <c r="N209" s="89">
        <f>HLOOKUP($D$203,'EJEMPLO DE NOMINA'!$E$1:$BU$97,85,FALSE)</f>
        <v>0</v>
      </c>
      <c r="O209" s="89">
        <f>HLOOKUP($D$203,'EJEMPLO DE NOMINA'!$E$1:$BU$97,93,FALSE)</f>
        <v>0</v>
      </c>
      <c r="P209" s="90">
        <f>SUM(D209:O209)</f>
        <v>7967755.8599999985</v>
      </c>
      <c r="Q209" s="93"/>
    </row>
    <row r="210" spans="2:17" x14ac:dyDescent="0.25">
      <c r="B210" s="5"/>
      <c r="C210" s="94" t="s">
        <v>39</v>
      </c>
      <c r="D210" s="95">
        <f>+D208</f>
        <v>8672373.9000000022</v>
      </c>
      <c r="E210" s="95">
        <f t="shared" ref="E210:O210" si="46">+E208</f>
        <v>9219173.2399999984</v>
      </c>
      <c r="F210" s="95">
        <f t="shared" si="46"/>
        <v>9295468.4600000009</v>
      </c>
      <c r="G210" s="95">
        <f t="shared" si="46"/>
        <v>0</v>
      </c>
      <c r="H210" s="95">
        <f t="shared" si="46"/>
        <v>0</v>
      </c>
      <c r="I210" s="95">
        <f t="shared" si="46"/>
        <v>0</v>
      </c>
      <c r="J210" s="95">
        <f t="shared" si="46"/>
        <v>0</v>
      </c>
      <c r="K210" s="95">
        <f t="shared" si="46"/>
        <v>0</v>
      </c>
      <c r="L210" s="95">
        <f t="shared" si="46"/>
        <v>0</v>
      </c>
      <c r="M210" s="95">
        <f t="shared" si="46"/>
        <v>0</v>
      </c>
      <c r="N210" s="95">
        <f t="shared" si="46"/>
        <v>0</v>
      </c>
      <c r="O210" s="95">
        <f t="shared" si="46"/>
        <v>0</v>
      </c>
      <c r="P210" s="90">
        <f>SUM(D210:O210)</f>
        <v>27187015.600000001</v>
      </c>
      <c r="Q210" s="93"/>
    </row>
    <row r="211" spans="2:17" x14ac:dyDescent="0.25">
      <c r="B211" s="5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3"/>
    </row>
    <row r="212" spans="2:17" x14ac:dyDescent="0.25">
      <c r="B212" s="5"/>
      <c r="C212" s="62" t="s">
        <v>35</v>
      </c>
      <c r="D212" s="91">
        <f>HLOOKUP($D$203,'EJEMPLO DE NOMINA'!$E$1:$BU$97,6,FALSE)</f>
        <v>96808.72000000003</v>
      </c>
      <c r="E212" s="89">
        <f>HLOOKUP($D$203,'EJEMPLO DE NOMINA'!$E$1:$BU$97,14,FALSE)</f>
        <v>110963.37000000002</v>
      </c>
      <c r="F212" s="89">
        <f>HLOOKUP($D$203,'EJEMPLO DE NOMINA'!$E$1:$BU$97,22,FALSE)</f>
        <v>130062.87000000002</v>
      </c>
      <c r="G212" s="89">
        <f>HLOOKUP($D$203,'EJEMPLO DE NOMINA'!$E$1:$BU$97,30,FALSE)</f>
        <v>0</v>
      </c>
      <c r="H212" s="89">
        <f>HLOOKUP($D$203,'EJEMPLO DE NOMINA'!$E$1:$BU$97,38,FALSE)</f>
        <v>0</v>
      </c>
      <c r="I212" s="89">
        <f>HLOOKUP($D$203,'EJEMPLO DE NOMINA'!$E$1:$BU$97,46,FALSE)</f>
        <v>0</v>
      </c>
      <c r="J212" s="89">
        <f>HLOOKUP($D$203,'EJEMPLO DE NOMINA'!$E$1:$BU$97,54,FALSE)</f>
        <v>0</v>
      </c>
      <c r="K212" s="89">
        <f>HLOOKUP($D$203,'EJEMPLO DE NOMINA'!$E$1:$BU$97,62,FALSE)</f>
        <v>0</v>
      </c>
      <c r="L212" s="89">
        <f>HLOOKUP($D$203,'EJEMPLO DE NOMINA'!$E$1:$BU$97,70,FALSE)</f>
        <v>0</v>
      </c>
      <c r="M212" s="89">
        <f>HLOOKUP($D$203,'EJEMPLO DE NOMINA'!$E$1:$BU$97,78,FALSE)</f>
        <v>0</v>
      </c>
      <c r="N212" s="89">
        <f>HLOOKUP($D$203,'EJEMPLO DE NOMINA'!$E$1:$BU$97,86,FALSE)</f>
        <v>0</v>
      </c>
      <c r="O212" s="89">
        <f>HLOOKUP($D$203,'EJEMPLO DE NOMINA'!$E$1:$BU$97,94,FALSE)</f>
        <v>0</v>
      </c>
      <c r="P212" s="90">
        <f>SUM(D212:O212)</f>
        <v>337834.96000000008</v>
      </c>
      <c r="Q212" s="87"/>
    </row>
    <row r="213" spans="2:17" x14ac:dyDescent="0.25">
      <c r="B213" s="5"/>
      <c r="C213" s="62" t="s">
        <v>36</v>
      </c>
      <c r="D213" s="91">
        <f>HLOOKUP($D$203,'EJEMPLO DE NOMINA'!$E$1:$BU$97,7,FALSE)</f>
        <v>83</v>
      </c>
      <c r="E213" s="89">
        <f>HLOOKUP($D$203,'EJEMPLO DE NOMINA'!$E$1:$BU$97,15,FALSE)</f>
        <v>89</v>
      </c>
      <c r="F213" s="89">
        <f>HLOOKUP($D$203,'EJEMPLO DE NOMINA'!$E$1:$BU$97,23,FALSE)</f>
        <v>95</v>
      </c>
      <c r="G213" s="89">
        <f>HLOOKUP($D$203,'EJEMPLO DE NOMINA'!$E$1:$BU$97,31,FALSE)</f>
        <v>0</v>
      </c>
      <c r="H213" s="89">
        <f>HLOOKUP($D$203,'EJEMPLO DE NOMINA'!$E$1:$BU$97,39,FALSE)</f>
        <v>0</v>
      </c>
      <c r="I213" s="89">
        <f>HLOOKUP($D$203,'EJEMPLO DE NOMINA'!$E$1:$BU$97,47,FALSE)</f>
        <v>0</v>
      </c>
      <c r="J213" s="89">
        <f>HLOOKUP($D$203,'EJEMPLO DE NOMINA'!$E$1:$BU$97,55,FALSE)</f>
        <v>0</v>
      </c>
      <c r="K213" s="89">
        <f>HLOOKUP($D$203,'EJEMPLO DE NOMINA'!$E$1:$BU$97,63,FALSE)</f>
        <v>0</v>
      </c>
      <c r="L213" s="89">
        <f>HLOOKUP($D$203,'EJEMPLO DE NOMINA'!$E$1:$BU$97,71,FALSE)</f>
        <v>0</v>
      </c>
      <c r="M213" s="89">
        <f>HLOOKUP($D$203,'EJEMPLO DE NOMINA'!$E$1:$BU$97,79,FALSE)</f>
        <v>0</v>
      </c>
      <c r="N213" s="89">
        <f>HLOOKUP($D$203,'EJEMPLO DE NOMINA'!$E$1:$BU$97,87,FALSE)</f>
        <v>0</v>
      </c>
      <c r="O213" s="89">
        <f>HLOOKUP($D$203,'EJEMPLO DE NOMINA'!$E$1:$BU$97,95,FALSE)</f>
        <v>0</v>
      </c>
      <c r="P213" s="92">
        <f>AVERAGE(D213:O213)</f>
        <v>22.25</v>
      </c>
      <c r="Q213" s="87"/>
    </row>
    <row r="214" spans="2:17" x14ac:dyDescent="0.25">
      <c r="B214" s="5"/>
      <c r="C214" s="62" t="s">
        <v>37</v>
      </c>
      <c r="D214" s="91">
        <f>HLOOKUP($D$203,'EJEMPLO DE NOMINA'!$E$1:$BU$97,8,FALSE)</f>
        <v>8576633.7500000037</v>
      </c>
      <c r="E214" s="89">
        <f>HLOOKUP($D$203,'EJEMPLO DE NOMINA'!$E$1:$BU$97,16,FALSE)</f>
        <v>9170748.549999997</v>
      </c>
      <c r="F214" s="89">
        <f>HLOOKUP($D$203,'EJEMPLO DE NOMINA'!$E$1:$BU$97,24,FALSE)</f>
        <v>9278919.2400000002</v>
      </c>
      <c r="G214" s="89">
        <f>HLOOKUP($D$203,'EJEMPLO DE NOMINA'!$E$1:$BU$97,32,FALSE)</f>
        <v>0</v>
      </c>
      <c r="H214" s="89">
        <f>HLOOKUP($D$203,'EJEMPLO DE NOMINA'!$E$1:$BU$97,40,FALSE)</f>
        <v>0</v>
      </c>
      <c r="I214" s="89">
        <f>HLOOKUP($D$203,'EJEMPLO DE NOMINA'!$E$1:$BU$97,48,FALSE)</f>
        <v>0</v>
      </c>
      <c r="J214" s="89">
        <f>HLOOKUP($D$203,'EJEMPLO DE NOMINA'!$E$1:$BU$97,56,FALSE)</f>
        <v>0</v>
      </c>
      <c r="K214" s="89">
        <f>HLOOKUP($D$203,'EJEMPLO DE NOMINA'!$E$1:$BU$97,64,FALSE)</f>
        <v>0</v>
      </c>
      <c r="L214" s="89">
        <f>HLOOKUP($D$203,'EJEMPLO DE NOMINA'!$E$1:$BU$97,72,FALSE)</f>
        <v>0</v>
      </c>
      <c r="M214" s="89">
        <f>HLOOKUP($D$203,'EJEMPLO DE NOMINA'!$E$1:$BU$97,80,FALSE)</f>
        <v>0</v>
      </c>
      <c r="N214" s="89">
        <f>HLOOKUP($D$203,'EJEMPLO DE NOMINA'!$E$1:$BU$97,88,FALSE)</f>
        <v>0</v>
      </c>
      <c r="O214" s="89">
        <f>HLOOKUP($D$203,'EJEMPLO DE NOMINA'!$E$1:$BU$97,96,FALSE)</f>
        <v>0</v>
      </c>
      <c r="P214" s="90">
        <f>SUM(D214:O214)</f>
        <v>27026301.539999999</v>
      </c>
      <c r="Q214" s="87"/>
    </row>
    <row r="215" spans="2:17" x14ac:dyDescent="0.25">
      <c r="B215" s="5"/>
      <c r="C215" s="62" t="s">
        <v>38</v>
      </c>
      <c r="D215" s="91">
        <f>HLOOKUP($D$203,'EJEMPLO DE NOMINA'!$E$1:$BU$97,9,FALSE)</f>
        <v>1993099.0999999999</v>
      </c>
      <c r="E215" s="89">
        <f>HLOOKUP($D$203,'EJEMPLO DE NOMINA'!$E$1:$BU$97,17,FALSE)</f>
        <v>1976215.9199999995</v>
      </c>
      <c r="F215" s="89">
        <f>HLOOKUP($D$203,'EJEMPLO DE NOMINA'!$E$1:$BU$97,25,FALSE)</f>
        <v>3746345.3399999989</v>
      </c>
      <c r="G215" s="89">
        <f>HLOOKUP($D$203,'EJEMPLO DE NOMINA'!$E$1:$BU$97,33,FALSE)</f>
        <v>0</v>
      </c>
      <c r="H215" s="89">
        <f>HLOOKUP($D$203,'EJEMPLO DE NOMINA'!$E$1:$BU$97,41,FALSE)</f>
        <v>0</v>
      </c>
      <c r="I215" s="89">
        <f>HLOOKUP($D$203,'EJEMPLO DE NOMINA'!$E$1:$BU$97,49,FALSE)</f>
        <v>0</v>
      </c>
      <c r="J215" s="89">
        <f>HLOOKUP($D$203,'EJEMPLO DE NOMINA'!$E$1:$BU$97,57,FALSE)</f>
        <v>0</v>
      </c>
      <c r="K215" s="89">
        <f>HLOOKUP($D$203,'EJEMPLO DE NOMINA'!$E$1:$BU$97,65,FALSE)</f>
        <v>0</v>
      </c>
      <c r="L215" s="89">
        <f>HLOOKUP($D$203,'EJEMPLO DE NOMINA'!$E$1:$BU$97,73,FALSE)</f>
        <v>0</v>
      </c>
      <c r="M215" s="89">
        <f>HLOOKUP($D$203,'EJEMPLO DE NOMINA'!$E$1:$BU$97,81,FALSE)</f>
        <v>0</v>
      </c>
      <c r="N215" s="89">
        <f>HLOOKUP($D$203,'EJEMPLO DE NOMINA'!$E$1:$BU$97,89,FALSE)</f>
        <v>0</v>
      </c>
      <c r="O215" s="89">
        <f>HLOOKUP($D$203,'EJEMPLO DE NOMINA'!$E$1:$BU$97,97,FALSE)</f>
        <v>0</v>
      </c>
      <c r="P215" s="90">
        <f>SUM(D215:O215)</f>
        <v>7715660.3599999985</v>
      </c>
      <c r="Q215" s="87"/>
    </row>
    <row r="216" spans="2:17" x14ac:dyDescent="0.25">
      <c r="B216" s="5"/>
      <c r="C216" s="94" t="s">
        <v>39</v>
      </c>
      <c r="D216" s="97">
        <f>+D214</f>
        <v>8576633.7500000037</v>
      </c>
      <c r="E216" s="97">
        <f t="shared" ref="E216:O216" si="47">+E214</f>
        <v>9170748.549999997</v>
      </c>
      <c r="F216" s="97">
        <f t="shared" si="47"/>
        <v>9278919.2400000002</v>
      </c>
      <c r="G216" s="97">
        <f t="shared" si="47"/>
        <v>0</v>
      </c>
      <c r="H216" s="97">
        <f t="shared" si="47"/>
        <v>0</v>
      </c>
      <c r="I216" s="97">
        <f t="shared" si="47"/>
        <v>0</v>
      </c>
      <c r="J216" s="97">
        <f t="shared" si="47"/>
        <v>0</v>
      </c>
      <c r="K216" s="97">
        <f t="shared" si="47"/>
        <v>0</v>
      </c>
      <c r="L216" s="97">
        <f t="shared" si="47"/>
        <v>0</v>
      </c>
      <c r="M216" s="97">
        <f t="shared" si="47"/>
        <v>0</v>
      </c>
      <c r="N216" s="97">
        <f t="shared" si="47"/>
        <v>0</v>
      </c>
      <c r="O216" s="97">
        <f t="shared" si="47"/>
        <v>0</v>
      </c>
      <c r="P216" s="90">
        <f>SUM(D216:O216)</f>
        <v>27026301.539999999</v>
      </c>
      <c r="Q216" s="87"/>
    </row>
    <row r="217" spans="2:17" x14ac:dyDescent="0.25">
      <c r="B217" s="5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87"/>
    </row>
    <row r="218" spans="2:17" x14ac:dyDescent="0.25">
      <c r="B218" s="5"/>
      <c r="C218" s="62" t="s">
        <v>12</v>
      </c>
      <c r="D218" s="98">
        <v>0.01</v>
      </c>
      <c r="E218" s="98">
        <v>0.01</v>
      </c>
      <c r="F218" s="98">
        <v>0.01</v>
      </c>
      <c r="G218" s="98">
        <v>0.01</v>
      </c>
      <c r="H218" s="98">
        <v>0.01</v>
      </c>
      <c r="I218" s="98">
        <v>0.01</v>
      </c>
      <c r="J218" s="98">
        <v>0.01</v>
      </c>
      <c r="K218" s="98">
        <v>0.01</v>
      </c>
      <c r="L218" s="98">
        <v>0.01</v>
      </c>
      <c r="M218" s="98">
        <v>0.01</v>
      </c>
      <c r="N218" s="98">
        <v>0.01</v>
      </c>
      <c r="O218" s="98">
        <v>0.01</v>
      </c>
      <c r="P218" s="66"/>
      <c r="Q218" s="87"/>
    </row>
    <row r="219" spans="2:17" x14ac:dyDescent="0.25">
      <c r="B219" s="5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87"/>
    </row>
    <row r="220" spans="2:17" x14ac:dyDescent="0.25">
      <c r="B220" s="5"/>
      <c r="C220" s="62" t="s">
        <v>13</v>
      </c>
      <c r="D220" s="97">
        <f t="shared" ref="D220:O220" si="48">+D216*D218</f>
        <v>85766.337500000038</v>
      </c>
      <c r="E220" s="97">
        <f t="shared" si="48"/>
        <v>91707.485499999966</v>
      </c>
      <c r="F220" s="97">
        <f t="shared" si="48"/>
        <v>92789.1924</v>
      </c>
      <c r="G220" s="97">
        <f t="shared" si="48"/>
        <v>0</v>
      </c>
      <c r="H220" s="97">
        <f t="shared" si="48"/>
        <v>0</v>
      </c>
      <c r="I220" s="97">
        <f t="shared" si="48"/>
        <v>0</v>
      </c>
      <c r="J220" s="97">
        <f t="shared" si="48"/>
        <v>0</v>
      </c>
      <c r="K220" s="97">
        <f t="shared" si="48"/>
        <v>0</v>
      </c>
      <c r="L220" s="97">
        <f t="shared" si="48"/>
        <v>0</v>
      </c>
      <c r="M220" s="97">
        <f>+M216*M218</f>
        <v>0</v>
      </c>
      <c r="N220" s="97">
        <f>+N216*N218</f>
        <v>0</v>
      </c>
      <c r="O220" s="97">
        <f t="shared" si="48"/>
        <v>0</v>
      </c>
      <c r="P220" s="90">
        <f>SUM(D220:O220)</f>
        <v>270263.01540000003</v>
      </c>
      <c r="Q220" s="87"/>
    </row>
    <row r="221" spans="2:17" x14ac:dyDescent="0.25">
      <c r="B221" s="5"/>
      <c r="C221" s="62" t="s">
        <v>22</v>
      </c>
      <c r="D221" s="97">
        <f t="shared" ref="D221:O221" si="49">+D212</f>
        <v>96808.72000000003</v>
      </c>
      <c r="E221" s="97">
        <f t="shared" si="49"/>
        <v>110963.37000000002</v>
      </c>
      <c r="F221" s="97">
        <f t="shared" si="49"/>
        <v>130062.87000000002</v>
      </c>
      <c r="G221" s="97">
        <f t="shared" si="49"/>
        <v>0</v>
      </c>
      <c r="H221" s="97">
        <f t="shared" si="49"/>
        <v>0</v>
      </c>
      <c r="I221" s="97">
        <f t="shared" si="49"/>
        <v>0</v>
      </c>
      <c r="J221" s="97">
        <f t="shared" si="49"/>
        <v>0</v>
      </c>
      <c r="K221" s="97">
        <f t="shared" si="49"/>
        <v>0</v>
      </c>
      <c r="L221" s="97">
        <f t="shared" si="49"/>
        <v>0</v>
      </c>
      <c r="M221" s="97">
        <f t="shared" si="49"/>
        <v>0</v>
      </c>
      <c r="N221" s="97">
        <f t="shared" si="49"/>
        <v>0</v>
      </c>
      <c r="O221" s="97">
        <f t="shared" si="49"/>
        <v>0</v>
      </c>
      <c r="P221" s="90">
        <f>SUM(D221:O221)</f>
        <v>337834.96000000008</v>
      </c>
      <c r="Q221" s="87"/>
    </row>
    <row r="222" spans="2:17" x14ac:dyDescent="0.25">
      <c r="B222" s="5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87"/>
    </row>
    <row r="223" spans="2:17" x14ac:dyDescent="0.25">
      <c r="B223" s="5"/>
      <c r="C223" s="99" t="s">
        <v>14</v>
      </c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87"/>
    </row>
    <row r="224" spans="2:17" x14ac:dyDescent="0.25">
      <c r="B224" s="5"/>
      <c r="C224" s="62" t="s">
        <v>15</v>
      </c>
      <c r="D224" s="97">
        <f t="shared" ref="D224:O224" si="50">+D206-D220</f>
        <v>12148.032499999987</v>
      </c>
      <c r="E224" s="97">
        <f t="shared" si="50"/>
        <v>19841.344500000065</v>
      </c>
      <c r="F224" s="97">
        <f t="shared" si="50"/>
        <v>39432.437600000063</v>
      </c>
      <c r="G224" s="97">
        <f t="shared" si="50"/>
        <v>0</v>
      </c>
      <c r="H224" s="97">
        <f t="shared" si="50"/>
        <v>0</v>
      </c>
      <c r="I224" s="97">
        <f t="shared" si="50"/>
        <v>0</v>
      </c>
      <c r="J224" s="97">
        <f t="shared" si="50"/>
        <v>0</v>
      </c>
      <c r="K224" s="97">
        <f t="shared" si="50"/>
        <v>0</v>
      </c>
      <c r="L224" s="97">
        <f t="shared" si="50"/>
        <v>0</v>
      </c>
      <c r="M224" s="97">
        <f t="shared" si="50"/>
        <v>0</v>
      </c>
      <c r="N224" s="97">
        <f t="shared" si="50"/>
        <v>0</v>
      </c>
      <c r="O224" s="97">
        <f t="shared" si="50"/>
        <v>0</v>
      </c>
      <c r="P224" s="90">
        <f>SUM(D224:O224)</f>
        <v>71421.814600000114</v>
      </c>
      <c r="Q224" s="87"/>
    </row>
    <row r="225" spans="2:17" x14ac:dyDescent="0.25">
      <c r="B225" s="5"/>
      <c r="C225" s="62" t="s">
        <v>16</v>
      </c>
      <c r="D225" s="97">
        <f t="shared" ref="D225:O225" si="51">+D212-D220</f>
        <v>11042.382499999992</v>
      </c>
      <c r="E225" s="97">
        <f t="shared" si="51"/>
        <v>19255.884500000058</v>
      </c>
      <c r="F225" s="97">
        <f t="shared" si="51"/>
        <v>37273.677600000025</v>
      </c>
      <c r="G225" s="97">
        <f t="shared" si="51"/>
        <v>0</v>
      </c>
      <c r="H225" s="97">
        <f t="shared" si="51"/>
        <v>0</v>
      </c>
      <c r="I225" s="97">
        <f t="shared" si="51"/>
        <v>0</v>
      </c>
      <c r="J225" s="97">
        <f t="shared" si="51"/>
        <v>0</v>
      </c>
      <c r="K225" s="97">
        <f t="shared" si="51"/>
        <v>0</v>
      </c>
      <c r="L225" s="97">
        <f t="shared" si="51"/>
        <v>0</v>
      </c>
      <c r="M225" s="97">
        <f>+M212-M220</f>
        <v>0</v>
      </c>
      <c r="N225" s="97">
        <f>+N212-N220</f>
        <v>0</v>
      </c>
      <c r="O225" s="97">
        <f t="shared" si="51"/>
        <v>0</v>
      </c>
      <c r="P225" s="90">
        <f>SUM(D225:O225)</f>
        <v>67571.944600000075</v>
      </c>
      <c r="Q225" s="87"/>
    </row>
    <row r="226" spans="2:17" x14ac:dyDescent="0.25">
      <c r="B226" s="5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87"/>
    </row>
    <row r="227" spans="2:17" x14ac:dyDescent="0.25">
      <c r="B227" s="5"/>
      <c r="C227" s="75" t="s">
        <v>17</v>
      </c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90">
        <f>SUM(D227:O227)</f>
        <v>0</v>
      </c>
      <c r="Q227" s="87"/>
    </row>
    <row r="228" spans="2:17" x14ac:dyDescent="0.25">
      <c r="B228" s="5"/>
      <c r="C228" s="75" t="s">
        <v>18</v>
      </c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90">
        <f>SUM(D228:O228)</f>
        <v>0</v>
      </c>
      <c r="Q228" s="87"/>
    </row>
    <row r="229" spans="2:17" x14ac:dyDescent="0.25">
      <c r="B229" s="5"/>
      <c r="C229" s="9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87"/>
    </row>
    <row r="230" spans="2:17" x14ac:dyDescent="0.25">
      <c r="B230" s="5"/>
      <c r="C230" s="101" t="s">
        <v>19</v>
      </c>
      <c r="D230" s="102">
        <f t="shared" ref="D230:O230" si="52">+D220+D227+D228</f>
        <v>85766.337500000038</v>
      </c>
      <c r="E230" s="102">
        <f t="shared" si="52"/>
        <v>91707.485499999966</v>
      </c>
      <c r="F230" s="102">
        <f t="shared" si="52"/>
        <v>92789.1924</v>
      </c>
      <c r="G230" s="102">
        <f t="shared" si="52"/>
        <v>0</v>
      </c>
      <c r="H230" s="102">
        <f t="shared" si="52"/>
        <v>0</v>
      </c>
      <c r="I230" s="102">
        <f t="shared" si="52"/>
        <v>0</v>
      </c>
      <c r="J230" s="102">
        <f t="shared" si="52"/>
        <v>0</v>
      </c>
      <c r="K230" s="102">
        <f t="shared" si="52"/>
        <v>0</v>
      </c>
      <c r="L230" s="102">
        <f t="shared" si="52"/>
        <v>0</v>
      </c>
      <c r="M230" s="102">
        <f t="shared" si="52"/>
        <v>0</v>
      </c>
      <c r="N230" s="102">
        <f t="shared" si="52"/>
        <v>0</v>
      </c>
      <c r="O230" s="102">
        <f t="shared" si="52"/>
        <v>0</v>
      </c>
      <c r="P230" s="103">
        <f>SUM(D230:O230)</f>
        <v>270263.01540000003</v>
      </c>
      <c r="Q230" s="87"/>
    </row>
    <row r="231" spans="2:17" ht="15.75" thickBot="1" x14ac:dyDescent="0.3">
      <c r="B231" s="6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5"/>
    </row>
    <row r="232" spans="2:17" x14ac:dyDescent="0.25">
      <c r="B232" s="3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77"/>
      <c r="N232" s="77"/>
      <c r="O232" s="77"/>
      <c r="P232" s="66"/>
      <c r="Q232" s="66"/>
    </row>
    <row r="233" spans="2:17" hidden="1" x14ac:dyDescent="0.25">
      <c r="B233" s="4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1"/>
    </row>
    <row r="234" spans="2:17" hidden="1" x14ac:dyDescent="0.25">
      <c r="B234" s="5"/>
      <c r="C234" s="82" t="s">
        <v>11</v>
      </c>
      <c r="D234" s="83"/>
      <c r="E234" s="84"/>
      <c r="F234" s="84"/>
      <c r="G234" s="85"/>
      <c r="H234" s="171"/>
      <c r="I234" s="172"/>
      <c r="J234" s="172"/>
      <c r="K234" s="172"/>
      <c r="L234" s="172"/>
      <c r="M234" s="172"/>
      <c r="N234" s="172"/>
      <c r="O234" s="173"/>
      <c r="P234" s="86" t="s">
        <v>6</v>
      </c>
      <c r="Q234" s="87"/>
    </row>
    <row r="235" spans="2:17" hidden="1" x14ac:dyDescent="0.25">
      <c r="B235" s="5"/>
      <c r="C235" s="66"/>
      <c r="D235" s="174" t="s">
        <v>41</v>
      </c>
      <c r="E235" s="174"/>
      <c r="F235" s="174"/>
      <c r="G235" s="174"/>
      <c r="H235" s="171"/>
      <c r="I235" s="172"/>
      <c r="J235" s="172"/>
      <c r="K235" s="172"/>
      <c r="L235" s="172"/>
      <c r="M235" s="172"/>
      <c r="N235" s="172"/>
      <c r="O235" s="173"/>
      <c r="P235" s="88"/>
      <c r="Q235" s="87"/>
    </row>
    <row r="236" spans="2:17" hidden="1" x14ac:dyDescent="0.25">
      <c r="B236" s="5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87"/>
    </row>
    <row r="237" spans="2:17" hidden="1" x14ac:dyDescent="0.25">
      <c r="B237" s="5"/>
      <c r="C237" s="62" t="s">
        <v>27</v>
      </c>
      <c r="D237" s="89" t="e">
        <f>HLOOKUP($D$234,'EJEMPLO DE NOMINA'!$E$1:$BU$97,2,FALSE)</f>
        <v>#N/A</v>
      </c>
      <c r="E237" s="89" t="e">
        <f>HLOOKUP($D$234,'EJEMPLO DE NOMINA'!$E$1:$BU$97,10,FALSE)</f>
        <v>#N/A</v>
      </c>
      <c r="F237" s="89" t="e">
        <f>HLOOKUP($D$234,'EJEMPLO DE NOMINA'!$E$1:$BU$97,18,FALSE)</f>
        <v>#N/A</v>
      </c>
      <c r="G237" s="89" t="e">
        <f>HLOOKUP($D$234,'EJEMPLO DE NOMINA'!$E$1:$BU$97,26,FALSE)</f>
        <v>#N/A</v>
      </c>
      <c r="H237" s="89" t="e">
        <f>HLOOKUP($D$234,'EJEMPLO DE NOMINA'!$E$1:$BU$97,34,FALSE)</f>
        <v>#N/A</v>
      </c>
      <c r="I237" s="89" t="e">
        <f>HLOOKUP($D$234,'EJEMPLO DE NOMINA'!$E$1:$BU$97,42,FALSE)</f>
        <v>#N/A</v>
      </c>
      <c r="J237" s="89" t="e">
        <f>HLOOKUP($D$234,'EJEMPLO DE NOMINA'!$E$1:$BU$97,50,FALSE)</f>
        <v>#N/A</v>
      </c>
      <c r="K237" s="89" t="e">
        <f>HLOOKUP($D$234,'EJEMPLO DE NOMINA'!$E$1:$BU$97,58,FALSE)</f>
        <v>#N/A</v>
      </c>
      <c r="L237" s="89" t="e">
        <f>HLOOKUP($D$234,'EJEMPLO DE NOMINA'!$E$1:$BU$97,66,FALSE)</f>
        <v>#N/A</v>
      </c>
      <c r="M237" s="89" t="e">
        <f>HLOOKUP($D$234,'EJEMPLO DE NOMINA'!$E$1:$BU$97,74,FALSE)</f>
        <v>#N/A</v>
      </c>
      <c r="N237" s="89" t="e">
        <f>HLOOKUP($D$234,'EJEMPLO DE NOMINA'!$E$1:$BU$97,82,FALSE)</f>
        <v>#N/A</v>
      </c>
      <c r="O237" s="89" t="e">
        <f>HLOOKUP($D$234,'EJEMPLO DE NOMINA'!$E$1:$BU$97,90,FALSE)</f>
        <v>#N/A</v>
      </c>
      <c r="P237" s="90" t="e">
        <f>SUM(D237:O237)</f>
        <v>#N/A</v>
      </c>
      <c r="Q237" s="87"/>
    </row>
    <row r="238" spans="2:17" hidden="1" x14ac:dyDescent="0.25">
      <c r="B238" s="5"/>
      <c r="C238" s="62" t="s">
        <v>26</v>
      </c>
      <c r="D238" s="91" t="e">
        <f>HLOOKUP($D$234,'EJEMPLO DE NOMINA'!$E$1:$BU$97,3,FALSE)</f>
        <v>#N/A</v>
      </c>
      <c r="E238" s="89" t="e">
        <f>HLOOKUP($D$234,'EJEMPLO DE NOMINA'!$E$1:$BU$97,11,FALSE)</f>
        <v>#N/A</v>
      </c>
      <c r="F238" s="89" t="e">
        <f>HLOOKUP($D$234,'EJEMPLO DE NOMINA'!$E$1:$BU$97,19,FALSE)</f>
        <v>#N/A</v>
      </c>
      <c r="G238" s="89" t="e">
        <f>HLOOKUP($D$234,'EJEMPLO DE NOMINA'!$E$1:$BU$97,27,FALSE)</f>
        <v>#N/A</v>
      </c>
      <c r="H238" s="89" t="e">
        <f>HLOOKUP($D$234,'EJEMPLO DE NOMINA'!$E$1:$BU$97,35,FALSE)</f>
        <v>#N/A</v>
      </c>
      <c r="I238" s="89" t="e">
        <f>HLOOKUP($D$234,'EJEMPLO DE NOMINA'!$E$1:$BU$97,43,FALSE)</f>
        <v>#N/A</v>
      </c>
      <c r="J238" s="89" t="e">
        <f>HLOOKUP($D$234,'EJEMPLO DE NOMINA'!$E$1:$BU$97,51,FALSE)</f>
        <v>#N/A</v>
      </c>
      <c r="K238" s="89" t="e">
        <f>HLOOKUP($D$234,'EJEMPLO DE NOMINA'!$E$1:$BU$97,59,FALSE)</f>
        <v>#N/A</v>
      </c>
      <c r="L238" s="89" t="e">
        <f>HLOOKUP($D$234,'EJEMPLO DE NOMINA'!$E$1:$BU$97,67,FALSE)</f>
        <v>#N/A</v>
      </c>
      <c r="M238" s="89" t="e">
        <f>HLOOKUP($D$234,'EJEMPLO DE NOMINA'!$E$1:$BU$97,75,FALSE)</f>
        <v>#N/A</v>
      </c>
      <c r="N238" s="89" t="e">
        <f>HLOOKUP($D$234,'EJEMPLO DE NOMINA'!$E$1:$BU$97,83,FALSE)</f>
        <v>#N/A</v>
      </c>
      <c r="O238" s="89" t="e">
        <f>HLOOKUP($D$234,'EJEMPLO DE NOMINA'!$E$1:$BU$97,91,FALSE)</f>
        <v>#N/A</v>
      </c>
      <c r="P238" s="92" t="e">
        <f>AVERAGE(D238:O238)</f>
        <v>#N/A</v>
      </c>
      <c r="Q238" s="87"/>
    </row>
    <row r="239" spans="2:17" hidden="1" x14ac:dyDescent="0.25">
      <c r="B239" s="5"/>
      <c r="C239" s="62" t="s">
        <v>33</v>
      </c>
      <c r="D239" s="91" t="e">
        <f>HLOOKUP($D$234,'EJEMPLO DE NOMINA'!$E$1:$BU$97,4,FALSE)</f>
        <v>#N/A</v>
      </c>
      <c r="E239" s="89" t="e">
        <f>HLOOKUP($D$234,'EJEMPLO DE NOMINA'!$E$1:$BU$97,12,FALSE)</f>
        <v>#N/A</v>
      </c>
      <c r="F239" s="89" t="e">
        <f>HLOOKUP($D$234,'EJEMPLO DE NOMINA'!$E$1:$BU$97,20,FALSE)</f>
        <v>#N/A</v>
      </c>
      <c r="G239" s="89" t="e">
        <f>HLOOKUP($D$234,'EJEMPLO DE NOMINA'!$E$1:$BU$97,28,FALSE)</f>
        <v>#N/A</v>
      </c>
      <c r="H239" s="89" t="e">
        <f>HLOOKUP($D$234,'EJEMPLO DE NOMINA'!$E$1:$BU$97,36,FALSE)</f>
        <v>#N/A</v>
      </c>
      <c r="I239" s="89" t="e">
        <f>HLOOKUP($D$234,'EJEMPLO DE NOMINA'!$E$1:$BU$97,44,FALSE)</f>
        <v>#N/A</v>
      </c>
      <c r="J239" s="89" t="e">
        <f>HLOOKUP($D$234,'EJEMPLO DE NOMINA'!$E$1:$BU$97,52,FALSE)</f>
        <v>#N/A</v>
      </c>
      <c r="K239" s="89" t="e">
        <f>HLOOKUP($D$234,'EJEMPLO DE NOMINA'!$E$1:$BU$97,60,FALSE)</f>
        <v>#N/A</v>
      </c>
      <c r="L239" s="89" t="e">
        <f>HLOOKUP($D$234,'EJEMPLO DE NOMINA'!$E$1:$BU$97,68,FALSE)</f>
        <v>#N/A</v>
      </c>
      <c r="M239" s="89" t="e">
        <f>HLOOKUP($D$234,'EJEMPLO DE NOMINA'!$E$1:$BU$97,76,FALSE)</f>
        <v>#N/A</v>
      </c>
      <c r="N239" s="89" t="e">
        <f>HLOOKUP($D$234,'EJEMPLO DE NOMINA'!$E$1:$BU$97,84,FALSE)</f>
        <v>#N/A</v>
      </c>
      <c r="O239" s="89" t="e">
        <f>HLOOKUP($D$234,'EJEMPLO DE NOMINA'!$E$1:$BU$97,92,FALSE)</f>
        <v>#N/A</v>
      </c>
      <c r="P239" s="90" t="e">
        <f>SUM(D239:O239)</f>
        <v>#N/A</v>
      </c>
      <c r="Q239" s="93"/>
    </row>
    <row r="240" spans="2:17" hidden="1" x14ac:dyDescent="0.25">
      <c r="B240" s="5"/>
      <c r="C240" s="62" t="s">
        <v>34</v>
      </c>
      <c r="D240" s="91" t="e">
        <f>HLOOKUP($D$234,'EJEMPLO DE NOMINA'!$E$1:$BU$97,5,FALSE)</f>
        <v>#N/A</v>
      </c>
      <c r="E240" s="89" t="e">
        <f>HLOOKUP($D$234,'EJEMPLO DE NOMINA'!$E$1:$BU$97,13,FALSE)</f>
        <v>#N/A</v>
      </c>
      <c r="F240" s="89" t="e">
        <f>HLOOKUP($D$234,'EJEMPLO DE NOMINA'!$E$1:$BU$97,21,FALSE)</f>
        <v>#N/A</v>
      </c>
      <c r="G240" s="89" t="e">
        <f>HLOOKUP($D$234,'EJEMPLO DE NOMINA'!$E$1:$BU$97,29,FALSE)</f>
        <v>#N/A</v>
      </c>
      <c r="H240" s="89" t="e">
        <f>HLOOKUP($D$234,'EJEMPLO DE NOMINA'!$E$1:$BU$97,37,FALSE)</f>
        <v>#N/A</v>
      </c>
      <c r="I240" s="89" t="e">
        <f>HLOOKUP($D$234,'EJEMPLO DE NOMINA'!$E$1:$BU$97,45,FALSE)</f>
        <v>#N/A</v>
      </c>
      <c r="J240" s="89" t="e">
        <f>HLOOKUP($D$234,'EJEMPLO DE NOMINA'!$E$1:$BU$97,53,FALSE)</f>
        <v>#N/A</v>
      </c>
      <c r="K240" s="89" t="e">
        <f>HLOOKUP($D$234,'EJEMPLO DE NOMINA'!$E$1:$BU$97,61,FALSE)</f>
        <v>#N/A</v>
      </c>
      <c r="L240" s="89" t="e">
        <f>HLOOKUP($D$234,'EJEMPLO DE NOMINA'!$E$1:$BU$97,69,FALSE)</f>
        <v>#N/A</v>
      </c>
      <c r="M240" s="89" t="e">
        <f>HLOOKUP($D$234,'EJEMPLO DE NOMINA'!$E$1:$BU$97,77,FALSE)</f>
        <v>#N/A</v>
      </c>
      <c r="N240" s="89" t="e">
        <f>HLOOKUP($D$234,'EJEMPLO DE NOMINA'!$E$1:$BU$97,85,FALSE)</f>
        <v>#N/A</v>
      </c>
      <c r="O240" s="89" t="e">
        <f>HLOOKUP($D$234,'EJEMPLO DE NOMINA'!$E$1:$BU$97,93,FALSE)</f>
        <v>#N/A</v>
      </c>
      <c r="P240" s="90" t="e">
        <f>SUM(D240:O240)</f>
        <v>#N/A</v>
      </c>
      <c r="Q240" s="93"/>
    </row>
    <row r="241" spans="2:17" hidden="1" x14ac:dyDescent="0.25">
      <c r="B241" s="5"/>
      <c r="C241" s="94" t="s">
        <v>39</v>
      </c>
      <c r="D241" s="95" t="e">
        <f>+D239</f>
        <v>#N/A</v>
      </c>
      <c r="E241" s="95" t="e">
        <f t="shared" ref="E241:O241" si="53">+E239</f>
        <v>#N/A</v>
      </c>
      <c r="F241" s="95" t="e">
        <f t="shared" si="53"/>
        <v>#N/A</v>
      </c>
      <c r="G241" s="95" t="e">
        <f t="shared" si="53"/>
        <v>#N/A</v>
      </c>
      <c r="H241" s="95" t="e">
        <f t="shared" si="53"/>
        <v>#N/A</v>
      </c>
      <c r="I241" s="95" t="e">
        <f t="shared" si="53"/>
        <v>#N/A</v>
      </c>
      <c r="J241" s="95" t="e">
        <f t="shared" si="53"/>
        <v>#N/A</v>
      </c>
      <c r="K241" s="95" t="e">
        <f t="shared" si="53"/>
        <v>#N/A</v>
      </c>
      <c r="L241" s="95" t="e">
        <f t="shared" si="53"/>
        <v>#N/A</v>
      </c>
      <c r="M241" s="95" t="e">
        <f t="shared" si="53"/>
        <v>#N/A</v>
      </c>
      <c r="N241" s="95" t="e">
        <f t="shared" si="53"/>
        <v>#N/A</v>
      </c>
      <c r="O241" s="95" t="e">
        <f t="shared" si="53"/>
        <v>#N/A</v>
      </c>
      <c r="P241" s="90" t="e">
        <f>SUM(D241:O241)</f>
        <v>#N/A</v>
      </c>
      <c r="Q241" s="93"/>
    </row>
    <row r="242" spans="2:17" hidden="1" x14ac:dyDescent="0.25">
      <c r="B242" s="5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3"/>
    </row>
    <row r="243" spans="2:17" hidden="1" x14ac:dyDescent="0.25">
      <c r="B243" s="5"/>
      <c r="C243" s="62" t="s">
        <v>35</v>
      </c>
      <c r="D243" s="91" t="e">
        <f>HLOOKUP($D$234,'EJEMPLO DE NOMINA'!$E$1:$BU$97,6,FALSE)</f>
        <v>#N/A</v>
      </c>
      <c r="E243" s="89" t="e">
        <f>HLOOKUP($D$234,'EJEMPLO DE NOMINA'!$E$1:$BU$97,14,FALSE)</f>
        <v>#N/A</v>
      </c>
      <c r="F243" s="89" t="e">
        <f>HLOOKUP($D$234,'EJEMPLO DE NOMINA'!$E$1:$BU$97,22,FALSE)</f>
        <v>#N/A</v>
      </c>
      <c r="G243" s="89" t="e">
        <f>HLOOKUP($D$234,'EJEMPLO DE NOMINA'!$E$1:$BU$97,30,FALSE)</f>
        <v>#N/A</v>
      </c>
      <c r="H243" s="89" t="e">
        <f>HLOOKUP($D$234,'EJEMPLO DE NOMINA'!$E$1:$BU$97,38,FALSE)</f>
        <v>#N/A</v>
      </c>
      <c r="I243" s="89" t="e">
        <f>HLOOKUP($D$234,'EJEMPLO DE NOMINA'!$E$1:$BU$97,46,FALSE)</f>
        <v>#N/A</v>
      </c>
      <c r="J243" s="89" t="e">
        <f>HLOOKUP($D$234,'EJEMPLO DE NOMINA'!$E$1:$BU$97,54,FALSE)</f>
        <v>#N/A</v>
      </c>
      <c r="K243" s="89" t="e">
        <f>HLOOKUP($D$234,'EJEMPLO DE NOMINA'!$E$1:$BU$97,62,FALSE)</f>
        <v>#N/A</v>
      </c>
      <c r="L243" s="89" t="e">
        <f>HLOOKUP($D$234,'EJEMPLO DE NOMINA'!$E$1:$BU$97,70,FALSE)</f>
        <v>#N/A</v>
      </c>
      <c r="M243" s="89" t="e">
        <f>HLOOKUP($D$234,'EJEMPLO DE NOMINA'!$E$1:$BU$97,78,FALSE)</f>
        <v>#N/A</v>
      </c>
      <c r="N243" s="89" t="e">
        <f>HLOOKUP($D$234,'EJEMPLO DE NOMINA'!$E$1:$BU$97,86,FALSE)</f>
        <v>#N/A</v>
      </c>
      <c r="O243" s="89" t="e">
        <f>HLOOKUP($D$234,'EJEMPLO DE NOMINA'!$E$1:$BU$97,94,FALSE)</f>
        <v>#N/A</v>
      </c>
      <c r="P243" s="90" t="e">
        <f>SUM(D243:O243)</f>
        <v>#N/A</v>
      </c>
      <c r="Q243" s="87"/>
    </row>
    <row r="244" spans="2:17" hidden="1" x14ac:dyDescent="0.25">
      <c r="B244" s="5"/>
      <c r="C244" s="62" t="s">
        <v>36</v>
      </c>
      <c r="D244" s="91" t="e">
        <f>HLOOKUP($D$234,'EJEMPLO DE NOMINA'!$E$1:$BU$97,7,FALSE)</f>
        <v>#N/A</v>
      </c>
      <c r="E244" s="89" t="e">
        <f>HLOOKUP($D$234,'EJEMPLO DE NOMINA'!$E$1:$BU$97,15,FALSE)</f>
        <v>#N/A</v>
      </c>
      <c r="F244" s="89" t="e">
        <f>HLOOKUP($D$234,'EJEMPLO DE NOMINA'!$E$1:$BU$97,23,FALSE)</f>
        <v>#N/A</v>
      </c>
      <c r="G244" s="89" t="e">
        <f>HLOOKUP($D$234,'EJEMPLO DE NOMINA'!$E$1:$BU$97,31,FALSE)</f>
        <v>#N/A</v>
      </c>
      <c r="H244" s="89" t="e">
        <f>HLOOKUP($D$234,'EJEMPLO DE NOMINA'!$E$1:$BU$97,39,FALSE)</f>
        <v>#N/A</v>
      </c>
      <c r="I244" s="89" t="e">
        <f>HLOOKUP($D$234,'EJEMPLO DE NOMINA'!$E$1:$BU$97,47,FALSE)</f>
        <v>#N/A</v>
      </c>
      <c r="J244" s="89" t="e">
        <f>HLOOKUP($D$234,'EJEMPLO DE NOMINA'!$E$1:$BU$97,55,FALSE)</f>
        <v>#N/A</v>
      </c>
      <c r="K244" s="89" t="e">
        <f>HLOOKUP($D$234,'EJEMPLO DE NOMINA'!$E$1:$BU$97,63,FALSE)</f>
        <v>#N/A</v>
      </c>
      <c r="L244" s="89" t="e">
        <f>HLOOKUP($D$234,'EJEMPLO DE NOMINA'!$E$1:$BU$97,71,FALSE)</f>
        <v>#N/A</v>
      </c>
      <c r="M244" s="89" t="e">
        <f>HLOOKUP($D$234,'EJEMPLO DE NOMINA'!$E$1:$BU$97,79,FALSE)</f>
        <v>#N/A</v>
      </c>
      <c r="N244" s="89" t="e">
        <f>HLOOKUP($D$234,'EJEMPLO DE NOMINA'!$E$1:$BU$97,87,FALSE)</f>
        <v>#N/A</v>
      </c>
      <c r="O244" s="89" t="e">
        <f>HLOOKUP($D$234,'EJEMPLO DE NOMINA'!$E$1:$BU$97,95,FALSE)</f>
        <v>#N/A</v>
      </c>
      <c r="P244" s="92" t="e">
        <f>AVERAGE(D244:O244)</f>
        <v>#N/A</v>
      </c>
      <c r="Q244" s="87"/>
    </row>
    <row r="245" spans="2:17" hidden="1" x14ac:dyDescent="0.25">
      <c r="B245" s="5"/>
      <c r="C245" s="62" t="s">
        <v>37</v>
      </c>
      <c r="D245" s="91" t="e">
        <f>HLOOKUP($D$234,'EJEMPLO DE NOMINA'!$E$1:$BU$97,8,FALSE)</f>
        <v>#N/A</v>
      </c>
      <c r="E245" s="89" t="e">
        <f>HLOOKUP($D$234,'EJEMPLO DE NOMINA'!$E$1:$BU$97,16,FALSE)</f>
        <v>#N/A</v>
      </c>
      <c r="F245" s="89" t="e">
        <f>HLOOKUP($D$234,'EJEMPLO DE NOMINA'!$E$1:$BU$97,24,FALSE)</f>
        <v>#N/A</v>
      </c>
      <c r="G245" s="89" t="e">
        <f>HLOOKUP($D$234,'EJEMPLO DE NOMINA'!$E$1:$BU$97,32,FALSE)</f>
        <v>#N/A</v>
      </c>
      <c r="H245" s="89" t="e">
        <f>HLOOKUP($D$234,'EJEMPLO DE NOMINA'!$E$1:$BU$97,40,FALSE)</f>
        <v>#N/A</v>
      </c>
      <c r="I245" s="89" t="e">
        <f>HLOOKUP($D$234,'EJEMPLO DE NOMINA'!$E$1:$BU$97,48,FALSE)</f>
        <v>#N/A</v>
      </c>
      <c r="J245" s="89" t="e">
        <f>HLOOKUP($D$234,'EJEMPLO DE NOMINA'!$E$1:$BU$97,56,FALSE)</f>
        <v>#N/A</v>
      </c>
      <c r="K245" s="89" t="e">
        <f>HLOOKUP($D$234,'EJEMPLO DE NOMINA'!$E$1:$BU$97,64,FALSE)</f>
        <v>#N/A</v>
      </c>
      <c r="L245" s="89" t="e">
        <f>HLOOKUP($D$234,'EJEMPLO DE NOMINA'!$E$1:$BU$97,72,FALSE)</f>
        <v>#N/A</v>
      </c>
      <c r="M245" s="89" t="e">
        <f>HLOOKUP($D$234,'EJEMPLO DE NOMINA'!$E$1:$BU$97,80,FALSE)</f>
        <v>#N/A</v>
      </c>
      <c r="N245" s="89" t="e">
        <f>HLOOKUP($D$234,'EJEMPLO DE NOMINA'!$E$1:$BU$97,88,FALSE)</f>
        <v>#N/A</v>
      </c>
      <c r="O245" s="89" t="e">
        <f>HLOOKUP($D$234,'EJEMPLO DE NOMINA'!$E$1:$BU$97,96,FALSE)</f>
        <v>#N/A</v>
      </c>
      <c r="P245" s="90" t="e">
        <f>SUM(D245:O245)</f>
        <v>#N/A</v>
      </c>
      <c r="Q245" s="87"/>
    </row>
    <row r="246" spans="2:17" hidden="1" x14ac:dyDescent="0.25">
      <c r="B246" s="5"/>
      <c r="C246" s="62" t="s">
        <v>38</v>
      </c>
      <c r="D246" s="91" t="e">
        <f>HLOOKUP($D$234,'EJEMPLO DE NOMINA'!$E$1:$BU$97,9,FALSE)</f>
        <v>#N/A</v>
      </c>
      <c r="E246" s="89" t="e">
        <f>HLOOKUP($D$234,'EJEMPLO DE NOMINA'!$E$1:$BU$97,17,FALSE)</f>
        <v>#N/A</v>
      </c>
      <c r="F246" s="89" t="e">
        <f>HLOOKUP($D$234,'EJEMPLO DE NOMINA'!$E$1:$BU$97,25,FALSE)</f>
        <v>#N/A</v>
      </c>
      <c r="G246" s="89" t="e">
        <f>HLOOKUP($D$234,'EJEMPLO DE NOMINA'!$E$1:$BU$97,33,FALSE)</f>
        <v>#N/A</v>
      </c>
      <c r="H246" s="89" t="e">
        <f>HLOOKUP($D$234,'EJEMPLO DE NOMINA'!$E$1:$BU$97,41,FALSE)</f>
        <v>#N/A</v>
      </c>
      <c r="I246" s="89" t="e">
        <f>HLOOKUP($D$234,'EJEMPLO DE NOMINA'!$E$1:$BU$97,49,FALSE)</f>
        <v>#N/A</v>
      </c>
      <c r="J246" s="89" t="e">
        <f>HLOOKUP($D$234,'EJEMPLO DE NOMINA'!$E$1:$BU$97,57,FALSE)</f>
        <v>#N/A</v>
      </c>
      <c r="K246" s="89" t="e">
        <f>HLOOKUP($D$234,'EJEMPLO DE NOMINA'!$E$1:$BU$97,65,FALSE)</f>
        <v>#N/A</v>
      </c>
      <c r="L246" s="89" t="e">
        <f>HLOOKUP($D$234,'EJEMPLO DE NOMINA'!$E$1:$BU$97,73,FALSE)</f>
        <v>#N/A</v>
      </c>
      <c r="M246" s="89" t="e">
        <f>HLOOKUP($D$234,'EJEMPLO DE NOMINA'!$E$1:$BU$97,81,FALSE)</f>
        <v>#N/A</v>
      </c>
      <c r="N246" s="89" t="e">
        <f>HLOOKUP($D$234,'EJEMPLO DE NOMINA'!$E$1:$BU$97,89,FALSE)</f>
        <v>#N/A</v>
      </c>
      <c r="O246" s="89" t="e">
        <f>HLOOKUP($D$234,'EJEMPLO DE NOMINA'!$E$1:$BU$97,97,FALSE)</f>
        <v>#N/A</v>
      </c>
      <c r="P246" s="90" t="e">
        <f>SUM(D246:O246)</f>
        <v>#N/A</v>
      </c>
      <c r="Q246" s="87"/>
    </row>
    <row r="247" spans="2:17" hidden="1" x14ac:dyDescent="0.25">
      <c r="B247" s="5"/>
      <c r="C247" s="94" t="s">
        <v>39</v>
      </c>
      <c r="D247" s="97" t="e">
        <f>+D245</f>
        <v>#N/A</v>
      </c>
      <c r="E247" s="97" t="e">
        <f t="shared" ref="E247:O247" si="54">+E245</f>
        <v>#N/A</v>
      </c>
      <c r="F247" s="97" t="e">
        <f t="shared" si="54"/>
        <v>#N/A</v>
      </c>
      <c r="G247" s="97" t="e">
        <f t="shared" si="54"/>
        <v>#N/A</v>
      </c>
      <c r="H247" s="97" t="e">
        <f t="shared" si="54"/>
        <v>#N/A</v>
      </c>
      <c r="I247" s="97" t="e">
        <f t="shared" si="54"/>
        <v>#N/A</v>
      </c>
      <c r="J247" s="97" t="e">
        <f t="shared" si="54"/>
        <v>#N/A</v>
      </c>
      <c r="K247" s="97" t="e">
        <f t="shared" si="54"/>
        <v>#N/A</v>
      </c>
      <c r="L247" s="97" t="e">
        <f t="shared" si="54"/>
        <v>#N/A</v>
      </c>
      <c r="M247" s="97" t="e">
        <f t="shared" si="54"/>
        <v>#N/A</v>
      </c>
      <c r="N247" s="97" t="e">
        <f t="shared" si="54"/>
        <v>#N/A</v>
      </c>
      <c r="O247" s="97" t="e">
        <f t="shared" si="54"/>
        <v>#N/A</v>
      </c>
      <c r="P247" s="90" t="e">
        <f>SUM(D247:O247)</f>
        <v>#N/A</v>
      </c>
      <c r="Q247" s="87"/>
    </row>
    <row r="248" spans="2:17" hidden="1" x14ac:dyDescent="0.25">
      <c r="B248" s="5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87"/>
    </row>
    <row r="249" spans="2:17" hidden="1" x14ac:dyDescent="0.25">
      <c r="B249" s="5"/>
      <c r="C249" s="62" t="s">
        <v>12</v>
      </c>
      <c r="D249" s="98">
        <v>0.02</v>
      </c>
      <c r="E249" s="98">
        <v>0.02</v>
      </c>
      <c r="F249" s="98">
        <v>0.02</v>
      </c>
      <c r="G249" s="98">
        <v>0.02</v>
      </c>
      <c r="H249" s="98">
        <v>0.02</v>
      </c>
      <c r="I249" s="98">
        <v>0.02</v>
      </c>
      <c r="J249" s="98">
        <v>0.02</v>
      </c>
      <c r="K249" s="98">
        <v>0.02</v>
      </c>
      <c r="L249" s="98">
        <v>0.02</v>
      </c>
      <c r="M249" s="98">
        <v>0.02</v>
      </c>
      <c r="N249" s="98">
        <v>0.02</v>
      </c>
      <c r="O249" s="98">
        <v>0.02</v>
      </c>
      <c r="P249" s="66"/>
      <c r="Q249" s="87"/>
    </row>
    <row r="250" spans="2:17" hidden="1" x14ac:dyDescent="0.25">
      <c r="B250" s="5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87"/>
    </row>
    <row r="251" spans="2:17" hidden="1" x14ac:dyDescent="0.25">
      <c r="B251" s="5"/>
      <c r="C251" s="62" t="s">
        <v>13</v>
      </c>
      <c r="D251" s="97" t="e">
        <f t="shared" ref="D251:O251" si="55">+D247*D249</f>
        <v>#N/A</v>
      </c>
      <c r="E251" s="97" t="e">
        <f t="shared" si="55"/>
        <v>#N/A</v>
      </c>
      <c r="F251" s="97" t="e">
        <f t="shared" si="55"/>
        <v>#N/A</v>
      </c>
      <c r="G251" s="97" t="e">
        <f t="shared" si="55"/>
        <v>#N/A</v>
      </c>
      <c r="H251" s="97" t="e">
        <f t="shared" si="55"/>
        <v>#N/A</v>
      </c>
      <c r="I251" s="97" t="e">
        <f t="shared" si="55"/>
        <v>#N/A</v>
      </c>
      <c r="J251" s="97" t="e">
        <f t="shared" si="55"/>
        <v>#N/A</v>
      </c>
      <c r="K251" s="97" t="e">
        <f t="shared" si="55"/>
        <v>#N/A</v>
      </c>
      <c r="L251" s="97" t="e">
        <f t="shared" si="55"/>
        <v>#N/A</v>
      </c>
      <c r="M251" s="97" t="e">
        <f t="shared" si="55"/>
        <v>#N/A</v>
      </c>
      <c r="N251" s="97" t="e">
        <f t="shared" si="55"/>
        <v>#N/A</v>
      </c>
      <c r="O251" s="97" t="e">
        <f t="shared" si="55"/>
        <v>#N/A</v>
      </c>
      <c r="P251" s="90" t="e">
        <f>SUM(D251:O251)</f>
        <v>#N/A</v>
      </c>
      <c r="Q251" s="87"/>
    </row>
    <row r="252" spans="2:17" hidden="1" x14ac:dyDescent="0.25">
      <c r="B252" s="5"/>
      <c r="C252" s="62" t="s">
        <v>22</v>
      </c>
      <c r="D252" s="97" t="e">
        <f t="shared" ref="D252:O252" si="56">+D243</f>
        <v>#N/A</v>
      </c>
      <c r="E252" s="97" t="e">
        <f t="shared" si="56"/>
        <v>#N/A</v>
      </c>
      <c r="F252" s="97" t="e">
        <f t="shared" si="56"/>
        <v>#N/A</v>
      </c>
      <c r="G252" s="97" t="e">
        <f t="shared" si="56"/>
        <v>#N/A</v>
      </c>
      <c r="H252" s="97" t="e">
        <f t="shared" si="56"/>
        <v>#N/A</v>
      </c>
      <c r="I252" s="97" t="e">
        <f t="shared" si="56"/>
        <v>#N/A</v>
      </c>
      <c r="J252" s="97" t="e">
        <f t="shared" si="56"/>
        <v>#N/A</v>
      </c>
      <c r="K252" s="97" t="e">
        <f t="shared" si="56"/>
        <v>#N/A</v>
      </c>
      <c r="L252" s="97" t="e">
        <f t="shared" si="56"/>
        <v>#N/A</v>
      </c>
      <c r="M252" s="97" t="e">
        <f t="shared" si="56"/>
        <v>#N/A</v>
      </c>
      <c r="N252" s="97" t="e">
        <f t="shared" si="56"/>
        <v>#N/A</v>
      </c>
      <c r="O252" s="97" t="e">
        <f t="shared" si="56"/>
        <v>#N/A</v>
      </c>
      <c r="P252" s="90" t="e">
        <f>SUM(D252:O252)</f>
        <v>#N/A</v>
      </c>
      <c r="Q252" s="87"/>
    </row>
    <row r="253" spans="2:17" hidden="1" x14ac:dyDescent="0.25">
      <c r="B253" s="5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87"/>
    </row>
    <row r="254" spans="2:17" hidden="1" x14ac:dyDescent="0.25">
      <c r="B254" s="5"/>
      <c r="C254" s="99" t="s">
        <v>14</v>
      </c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87"/>
    </row>
    <row r="255" spans="2:17" hidden="1" x14ac:dyDescent="0.25">
      <c r="B255" s="5"/>
      <c r="C255" s="62" t="s">
        <v>15</v>
      </c>
      <c r="D255" s="97" t="e">
        <f t="shared" ref="D255:O255" si="57">+D237-D251</f>
        <v>#N/A</v>
      </c>
      <c r="E255" s="97" t="e">
        <f t="shared" si="57"/>
        <v>#N/A</v>
      </c>
      <c r="F255" s="97" t="e">
        <f t="shared" si="57"/>
        <v>#N/A</v>
      </c>
      <c r="G255" s="97" t="e">
        <f t="shared" si="57"/>
        <v>#N/A</v>
      </c>
      <c r="H255" s="97" t="e">
        <f t="shared" si="57"/>
        <v>#N/A</v>
      </c>
      <c r="I255" s="97" t="e">
        <f t="shared" si="57"/>
        <v>#N/A</v>
      </c>
      <c r="J255" s="97" t="e">
        <f t="shared" si="57"/>
        <v>#N/A</v>
      </c>
      <c r="K255" s="97" t="e">
        <f t="shared" si="57"/>
        <v>#N/A</v>
      </c>
      <c r="L255" s="97" t="e">
        <f t="shared" si="57"/>
        <v>#N/A</v>
      </c>
      <c r="M255" s="97" t="e">
        <f t="shared" si="57"/>
        <v>#N/A</v>
      </c>
      <c r="N255" s="97" t="e">
        <f t="shared" si="57"/>
        <v>#N/A</v>
      </c>
      <c r="O255" s="97" t="e">
        <f t="shared" si="57"/>
        <v>#N/A</v>
      </c>
      <c r="P255" s="90" t="e">
        <f>SUM(D255:O255)</f>
        <v>#N/A</v>
      </c>
      <c r="Q255" s="87"/>
    </row>
    <row r="256" spans="2:17" hidden="1" x14ac:dyDescent="0.25">
      <c r="B256" s="5"/>
      <c r="C256" s="62" t="s">
        <v>16</v>
      </c>
      <c r="D256" s="97" t="e">
        <f t="shared" ref="D256:O256" si="58">+D243-D251</f>
        <v>#N/A</v>
      </c>
      <c r="E256" s="97" t="e">
        <f t="shared" si="58"/>
        <v>#N/A</v>
      </c>
      <c r="F256" s="97" t="e">
        <f t="shared" si="58"/>
        <v>#N/A</v>
      </c>
      <c r="G256" s="97" t="e">
        <f t="shared" si="58"/>
        <v>#N/A</v>
      </c>
      <c r="H256" s="97" t="e">
        <f t="shared" si="58"/>
        <v>#N/A</v>
      </c>
      <c r="I256" s="97" t="e">
        <f t="shared" si="58"/>
        <v>#N/A</v>
      </c>
      <c r="J256" s="97" t="e">
        <f t="shared" si="58"/>
        <v>#N/A</v>
      </c>
      <c r="K256" s="97" t="e">
        <f t="shared" si="58"/>
        <v>#N/A</v>
      </c>
      <c r="L256" s="97" t="e">
        <f t="shared" si="58"/>
        <v>#N/A</v>
      </c>
      <c r="M256" s="97" t="e">
        <f t="shared" si="58"/>
        <v>#N/A</v>
      </c>
      <c r="N256" s="97" t="e">
        <f t="shared" si="58"/>
        <v>#N/A</v>
      </c>
      <c r="O256" s="97" t="e">
        <f t="shared" si="58"/>
        <v>#N/A</v>
      </c>
      <c r="P256" s="90" t="e">
        <f>SUM(D256:O256)</f>
        <v>#N/A</v>
      </c>
      <c r="Q256" s="87"/>
    </row>
    <row r="257" spans="2:17" hidden="1" x14ac:dyDescent="0.25">
      <c r="B257" s="5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87"/>
    </row>
    <row r="258" spans="2:17" hidden="1" x14ac:dyDescent="0.25">
      <c r="B258" s="5"/>
      <c r="C258" s="75" t="s">
        <v>17</v>
      </c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90">
        <f>SUM(D258:O258)</f>
        <v>0</v>
      </c>
      <c r="Q258" s="87"/>
    </row>
    <row r="259" spans="2:17" hidden="1" x14ac:dyDescent="0.25">
      <c r="B259" s="5"/>
      <c r="C259" s="75" t="s">
        <v>18</v>
      </c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90">
        <f>SUM(D259:O259)</f>
        <v>0</v>
      </c>
      <c r="Q259" s="87"/>
    </row>
    <row r="260" spans="2:17" hidden="1" x14ac:dyDescent="0.25">
      <c r="B260" s="5"/>
      <c r="C260" s="9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87"/>
    </row>
    <row r="261" spans="2:17" hidden="1" x14ac:dyDescent="0.25">
      <c r="B261" s="5"/>
      <c r="C261" s="101" t="s">
        <v>19</v>
      </c>
      <c r="D261" s="102" t="e">
        <f t="shared" ref="D261:O261" si="59">+D251+D258+D259</f>
        <v>#N/A</v>
      </c>
      <c r="E261" s="102" t="e">
        <f t="shared" si="59"/>
        <v>#N/A</v>
      </c>
      <c r="F261" s="102" t="e">
        <f t="shared" si="59"/>
        <v>#N/A</v>
      </c>
      <c r="G261" s="102" t="e">
        <f t="shared" si="59"/>
        <v>#N/A</v>
      </c>
      <c r="H261" s="102" t="e">
        <f t="shared" si="59"/>
        <v>#N/A</v>
      </c>
      <c r="I261" s="102" t="e">
        <f t="shared" si="59"/>
        <v>#N/A</v>
      </c>
      <c r="J261" s="102" t="e">
        <f t="shared" si="59"/>
        <v>#N/A</v>
      </c>
      <c r="K261" s="102" t="e">
        <f t="shared" si="59"/>
        <v>#N/A</v>
      </c>
      <c r="L261" s="102" t="e">
        <f t="shared" si="59"/>
        <v>#N/A</v>
      </c>
      <c r="M261" s="102" t="e">
        <f t="shared" si="59"/>
        <v>#N/A</v>
      </c>
      <c r="N261" s="102" t="e">
        <f t="shared" si="59"/>
        <v>#N/A</v>
      </c>
      <c r="O261" s="102" t="e">
        <f t="shared" si="59"/>
        <v>#N/A</v>
      </c>
      <c r="P261" s="103" t="e">
        <f>SUM(D261:O261)</f>
        <v>#N/A</v>
      </c>
      <c r="Q261" s="87"/>
    </row>
    <row r="262" spans="2:17" ht="15.75" hidden="1" thickBot="1" x14ac:dyDescent="0.3">
      <c r="B262" s="6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5"/>
    </row>
    <row r="263" spans="2:17" ht="15.75" hidden="1" thickBot="1" x14ac:dyDescent="0.3"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</row>
    <row r="264" spans="2:17" hidden="1" x14ac:dyDescent="0.25">
      <c r="B264" s="4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1"/>
    </row>
    <row r="265" spans="2:17" hidden="1" x14ac:dyDescent="0.25">
      <c r="B265" s="5"/>
      <c r="C265" s="82" t="s">
        <v>11</v>
      </c>
      <c r="D265" s="83"/>
      <c r="E265" s="84"/>
      <c r="F265" s="84"/>
      <c r="G265" s="85"/>
      <c r="H265" s="171"/>
      <c r="I265" s="172"/>
      <c r="J265" s="172"/>
      <c r="K265" s="172"/>
      <c r="L265" s="172"/>
      <c r="M265" s="172"/>
      <c r="N265" s="172"/>
      <c r="O265" s="173"/>
      <c r="P265" s="86" t="s">
        <v>6</v>
      </c>
      <c r="Q265" s="87"/>
    </row>
    <row r="266" spans="2:17" hidden="1" x14ac:dyDescent="0.25">
      <c r="B266" s="5"/>
      <c r="C266" s="66"/>
      <c r="D266" s="174" t="s">
        <v>41</v>
      </c>
      <c r="E266" s="174"/>
      <c r="F266" s="174"/>
      <c r="G266" s="174"/>
      <c r="H266" s="171"/>
      <c r="I266" s="172"/>
      <c r="J266" s="172"/>
      <c r="K266" s="172"/>
      <c r="L266" s="172"/>
      <c r="M266" s="172"/>
      <c r="N266" s="172"/>
      <c r="O266" s="173"/>
      <c r="P266" s="88"/>
      <c r="Q266" s="87"/>
    </row>
    <row r="267" spans="2:17" hidden="1" x14ac:dyDescent="0.25">
      <c r="B267" s="5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87"/>
    </row>
    <row r="268" spans="2:17" hidden="1" x14ac:dyDescent="0.25">
      <c r="B268" s="5"/>
      <c r="C268" s="62" t="s">
        <v>27</v>
      </c>
      <c r="D268" s="89" t="e">
        <f>HLOOKUP($D$265,'EJEMPLO DE NOMINA'!$E$1:$BU$97,2,FALSE)</f>
        <v>#N/A</v>
      </c>
      <c r="E268" s="89" t="e">
        <f>HLOOKUP($D$265,'EJEMPLO DE NOMINA'!$E$1:$BU$97,10,FALSE)</f>
        <v>#N/A</v>
      </c>
      <c r="F268" s="89" t="e">
        <f>HLOOKUP($D$265,'EJEMPLO DE NOMINA'!$E$1:$BU$97,18,FALSE)</f>
        <v>#N/A</v>
      </c>
      <c r="G268" s="89" t="e">
        <f>HLOOKUP($D$265,'EJEMPLO DE NOMINA'!$E$1:$BU$97,26,FALSE)</f>
        <v>#N/A</v>
      </c>
      <c r="H268" s="89" t="e">
        <f>HLOOKUP($D$265,'EJEMPLO DE NOMINA'!$E$1:$BU$97,34,FALSE)</f>
        <v>#N/A</v>
      </c>
      <c r="I268" s="89" t="e">
        <f>HLOOKUP($D$265,'EJEMPLO DE NOMINA'!$E$1:$BU$97,42,FALSE)</f>
        <v>#N/A</v>
      </c>
      <c r="J268" s="89" t="e">
        <f>HLOOKUP($D$265,'EJEMPLO DE NOMINA'!$E$1:$BU$97,50,FALSE)</f>
        <v>#N/A</v>
      </c>
      <c r="K268" s="89" t="e">
        <f>HLOOKUP($D$265,'EJEMPLO DE NOMINA'!$E$1:$BU$97,58,FALSE)</f>
        <v>#N/A</v>
      </c>
      <c r="L268" s="89" t="e">
        <f>HLOOKUP($D$265,'EJEMPLO DE NOMINA'!$E$1:$BU$97,66,FALSE)</f>
        <v>#N/A</v>
      </c>
      <c r="M268" s="89" t="e">
        <f>HLOOKUP($D$265,'EJEMPLO DE NOMINA'!$E$1:$BU$97,74,FALSE)</f>
        <v>#N/A</v>
      </c>
      <c r="N268" s="89" t="e">
        <f>HLOOKUP($D$265,'EJEMPLO DE NOMINA'!$E$1:$BU$97,82,FALSE)</f>
        <v>#N/A</v>
      </c>
      <c r="O268" s="89" t="e">
        <f>HLOOKUP($D$265,'EJEMPLO DE NOMINA'!$E$1:$BU$97,90,FALSE)</f>
        <v>#N/A</v>
      </c>
      <c r="P268" s="90" t="e">
        <f>SUM(D268:O268)</f>
        <v>#N/A</v>
      </c>
      <c r="Q268" s="87"/>
    </row>
    <row r="269" spans="2:17" hidden="1" x14ac:dyDescent="0.25">
      <c r="B269" s="5"/>
      <c r="C269" s="62" t="s">
        <v>26</v>
      </c>
      <c r="D269" s="91" t="e">
        <f>HLOOKUP($D$265,'EJEMPLO DE NOMINA'!$E$1:$BU$97,3,FALSE)</f>
        <v>#N/A</v>
      </c>
      <c r="E269" s="89" t="e">
        <f>HLOOKUP($D$265,'EJEMPLO DE NOMINA'!$E$1:$BU$97,11,FALSE)</f>
        <v>#N/A</v>
      </c>
      <c r="F269" s="89" t="e">
        <f>HLOOKUP($D$265,'EJEMPLO DE NOMINA'!$E$1:$BU$97,19,FALSE)</f>
        <v>#N/A</v>
      </c>
      <c r="G269" s="89" t="e">
        <f>HLOOKUP($D$265,'EJEMPLO DE NOMINA'!$E$1:$BU$97,27,FALSE)</f>
        <v>#N/A</v>
      </c>
      <c r="H269" s="89" t="e">
        <f>HLOOKUP($D$265,'EJEMPLO DE NOMINA'!$E$1:$BU$97,35,FALSE)</f>
        <v>#N/A</v>
      </c>
      <c r="I269" s="89" t="e">
        <f>HLOOKUP($D$265,'EJEMPLO DE NOMINA'!$E$1:$BU$97,43,FALSE)</f>
        <v>#N/A</v>
      </c>
      <c r="J269" s="89" t="e">
        <f>HLOOKUP($D$265,'EJEMPLO DE NOMINA'!$E$1:$BU$97,51,FALSE)</f>
        <v>#N/A</v>
      </c>
      <c r="K269" s="89" t="e">
        <f>HLOOKUP($D$265,'EJEMPLO DE NOMINA'!$E$1:$BU$97,59,FALSE)</f>
        <v>#N/A</v>
      </c>
      <c r="L269" s="89" t="e">
        <f>HLOOKUP($D$265,'EJEMPLO DE NOMINA'!$E$1:$BU$97,67,FALSE)</f>
        <v>#N/A</v>
      </c>
      <c r="M269" s="89" t="e">
        <f>HLOOKUP($D$265,'EJEMPLO DE NOMINA'!$E$1:$BU$97,75,FALSE)</f>
        <v>#N/A</v>
      </c>
      <c r="N269" s="89" t="e">
        <f>HLOOKUP($D$265,'EJEMPLO DE NOMINA'!$E$1:$BU$97,83,FALSE)</f>
        <v>#N/A</v>
      </c>
      <c r="O269" s="89" t="e">
        <f>HLOOKUP($D$265,'EJEMPLO DE NOMINA'!$E$1:$BU$97,91,FALSE)</f>
        <v>#N/A</v>
      </c>
      <c r="P269" s="92" t="e">
        <f>AVERAGE(D269:O269)</f>
        <v>#N/A</v>
      </c>
      <c r="Q269" s="87"/>
    </row>
    <row r="270" spans="2:17" hidden="1" x14ac:dyDescent="0.25">
      <c r="B270" s="5"/>
      <c r="C270" s="62" t="s">
        <v>33</v>
      </c>
      <c r="D270" s="91" t="e">
        <f>HLOOKUP($D$265,'EJEMPLO DE NOMINA'!$E$1:$BU$97,4,FALSE)</f>
        <v>#N/A</v>
      </c>
      <c r="E270" s="89" t="e">
        <f>HLOOKUP($D$265,'EJEMPLO DE NOMINA'!$E$1:$BU$97,12,FALSE)</f>
        <v>#N/A</v>
      </c>
      <c r="F270" s="89" t="e">
        <f>HLOOKUP($D$265,'EJEMPLO DE NOMINA'!$E$1:$BU$97,20,FALSE)</f>
        <v>#N/A</v>
      </c>
      <c r="G270" s="89" t="e">
        <f>HLOOKUP($D$265,'EJEMPLO DE NOMINA'!$E$1:$BU$97,28,FALSE)</f>
        <v>#N/A</v>
      </c>
      <c r="H270" s="89" t="e">
        <f>HLOOKUP($D$265,'EJEMPLO DE NOMINA'!$E$1:$BU$97,36,FALSE)</f>
        <v>#N/A</v>
      </c>
      <c r="I270" s="89" t="e">
        <f>HLOOKUP($D$265,'EJEMPLO DE NOMINA'!$E$1:$BU$97,44,FALSE)</f>
        <v>#N/A</v>
      </c>
      <c r="J270" s="89" t="e">
        <f>HLOOKUP($D$265,'EJEMPLO DE NOMINA'!$E$1:$BU$97,52,FALSE)</f>
        <v>#N/A</v>
      </c>
      <c r="K270" s="89" t="e">
        <f>HLOOKUP($D$265,'EJEMPLO DE NOMINA'!$E$1:$BU$97,60,FALSE)</f>
        <v>#N/A</v>
      </c>
      <c r="L270" s="89" t="e">
        <f>HLOOKUP($D$265,'EJEMPLO DE NOMINA'!$E$1:$BU$97,68,FALSE)</f>
        <v>#N/A</v>
      </c>
      <c r="M270" s="89" t="e">
        <f>HLOOKUP($D$265,'EJEMPLO DE NOMINA'!$E$1:$BU$97,76,FALSE)</f>
        <v>#N/A</v>
      </c>
      <c r="N270" s="89" t="e">
        <f>HLOOKUP($D$265,'EJEMPLO DE NOMINA'!$E$1:$BU$97,84,FALSE)</f>
        <v>#N/A</v>
      </c>
      <c r="O270" s="89" t="e">
        <f>HLOOKUP($D$265,'EJEMPLO DE NOMINA'!$E$1:$BU$97,92,FALSE)</f>
        <v>#N/A</v>
      </c>
      <c r="P270" s="90" t="e">
        <f>SUM(D270:O270)</f>
        <v>#N/A</v>
      </c>
      <c r="Q270" s="93"/>
    </row>
    <row r="271" spans="2:17" hidden="1" x14ac:dyDescent="0.25">
      <c r="B271" s="5"/>
      <c r="C271" s="62" t="s">
        <v>34</v>
      </c>
      <c r="D271" s="91" t="e">
        <f>HLOOKUP($D$265,'EJEMPLO DE NOMINA'!$E$1:$BU$97,5,FALSE)</f>
        <v>#N/A</v>
      </c>
      <c r="E271" s="89" t="e">
        <f>HLOOKUP($D$265,'EJEMPLO DE NOMINA'!$E$1:$BU$97,13,FALSE)</f>
        <v>#N/A</v>
      </c>
      <c r="F271" s="89" t="e">
        <f>HLOOKUP($D$265,'EJEMPLO DE NOMINA'!$E$1:$BU$97,21,FALSE)</f>
        <v>#N/A</v>
      </c>
      <c r="G271" s="89" t="e">
        <f>HLOOKUP($D$265,'EJEMPLO DE NOMINA'!$E$1:$BU$97,29,FALSE)</f>
        <v>#N/A</v>
      </c>
      <c r="H271" s="89" t="e">
        <f>HLOOKUP($D$265,'EJEMPLO DE NOMINA'!$E$1:$BU$97,37,FALSE)</f>
        <v>#N/A</v>
      </c>
      <c r="I271" s="89" t="e">
        <f>HLOOKUP($D$265,'EJEMPLO DE NOMINA'!$E$1:$BU$97,45,FALSE)</f>
        <v>#N/A</v>
      </c>
      <c r="J271" s="89" t="e">
        <f>HLOOKUP($D$265,'EJEMPLO DE NOMINA'!$E$1:$BU$97,53,FALSE)</f>
        <v>#N/A</v>
      </c>
      <c r="K271" s="89" t="e">
        <f>HLOOKUP($D$265,'EJEMPLO DE NOMINA'!$E$1:$BU$97,61,FALSE)</f>
        <v>#N/A</v>
      </c>
      <c r="L271" s="89" t="e">
        <f>HLOOKUP($D$265,'EJEMPLO DE NOMINA'!$E$1:$BU$97,69,FALSE)</f>
        <v>#N/A</v>
      </c>
      <c r="M271" s="89" t="e">
        <f>HLOOKUP($D$265,'EJEMPLO DE NOMINA'!$E$1:$BU$97,77,FALSE)</f>
        <v>#N/A</v>
      </c>
      <c r="N271" s="89" t="e">
        <f>HLOOKUP($D$265,'EJEMPLO DE NOMINA'!$E$1:$BU$97,85,FALSE)</f>
        <v>#N/A</v>
      </c>
      <c r="O271" s="89" t="e">
        <f>HLOOKUP($D$265,'EJEMPLO DE NOMINA'!$E$1:$BU$97,93,FALSE)</f>
        <v>#N/A</v>
      </c>
      <c r="P271" s="90" t="e">
        <f>SUM(D271:O271)</f>
        <v>#N/A</v>
      </c>
      <c r="Q271" s="93"/>
    </row>
    <row r="272" spans="2:17" hidden="1" x14ac:dyDescent="0.25">
      <c r="B272" s="5"/>
      <c r="C272" s="94" t="s">
        <v>39</v>
      </c>
      <c r="D272" s="95" t="e">
        <f>+D270</f>
        <v>#N/A</v>
      </c>
      <c r="E272" s="95" t="e">
        <f t="shared" ref="E272:O272" si="60">+E270</f>
        <v>#N/A</v>
      </c>
      <c r="F272" s="95" t="e">
        <f t="shared" si="60"/>
        <v>#N/A</v>
      </c>
      <c r="G272" s="95" t="e">
        <f t="shared" si="60"/>
        <v>#N/A</v>
      </c>
      <c r="H272" s="95" t="e">
        <f t="shared" si="60"/>
        <v>#N/A</v>
      </c>
      <c r="I272" s="95" t="e">
        <f t="shared" si="60"/>
        <v>#N/A</v>
      </c>
      <c r="J272" s="95" t="e">
        <f t="shared" si="60"/>
        <v>#N/A</v>
      </c>
      <c r="K272" s="95" t="e">
        <f t="shared" si="60"/>
        <v>#N/A</v>
      </c>
      <c r="L272" s="95" t="e">
        <f t="shared" si="60"/>
        <v>#N/A</v>
      </c>
      <c r="M272" s="95" t="e">
        <f t="shared" si="60"/>
        <v>#N/A</v>
      </c>
      <c r="N272" s="95" t="e">
        <f t="shared" si="60"/>
        <v>#N/A</v>
      </c>
      <c r="O272" s="95" t="e">
        <f t="shared" si="60"/>
        <v>#N/A</v>
      </c>
      <c r="P272" s="90" t="e">
        <f>SUM(D272:O272)</f>
        <v>#N/A</v>
      </c>
      <c r="Q272" s="93"/>
    </row>
    <row r="273" spans="2:17" hidden="1" x14ac:dyDescent="0.25">
      <c r="B273" s="5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3"/>
    </row>
    <row r="274" spans="2:17" hidden="1" x14ac:dyDescent="0.25">
      <c r="B274" s="5"/>
      <c r="C274" s="62" t="s">
        <v>35</v>
      </c>
      <c r="D274" s="91" t="e">
        <f>HLOOKUP($D$265,'EJEMPLO DE NOMINA'!$E$1:$BU$97,6,FALSE)</f>
        <v>#N/A</v>
      </c>
      <c r="E274" s="89" t="e">
        <f>HLOOKUP($D$265,'EJEMPLO DE NOMINA'!$E$1:$BU$97,14,FALSE)</f>
        <v>#N/A</v>
      </c>
      <c r="F274" s="89" t="e">
        <f>HLOOKUP($D$265,'EJEMPLO DE NOMINA'!$E$1:$BU$97,22,FALSE)</f>
        <v>#N/A</v>
      </c>
      <c r="G274" s="89" t="e">
        <f>HLOOKUP($D$265,'EJEMPLO DE NOMINA'!$E$1:$BU$97,30,FALSE)</f>
        <v>#N/A</v>
      </c>
      <c r="H274" s="89" t="e">
        <f>HLOOKUP($D$265,'EJEMPLO DE NOMINA'!$E$1:$BU$97,38,FALSE)</f>
        <v>#N/A</v>
      </c>
      <c r="I274" s="89" t="e">
        <f>HLOOKUP($D$265,'EJEMPLO DE NOMINA'!$E$1:$BU$97,46,FALSE)</f>
        <v>#N/A</v>
      </c>
      <c r="J274" s="89" t="e">
        <f>HLOOKUP($D$265,'EJEMPLO DE NOMINA'!$E$1:$BU$97,54,FALSE)</f>
        <v>#N/A</v>
      </c>
      <c r="K274" s="89" t="e">
        <f>HLOOKUP($D$265,'EJEMPLO DE NOMINA'!$E$1:$BU$97,62,FALSE)</f>
        <v>#N/A</v>
      </c>
      <c r="L274" s="89" t="e">
        <f>HLOOKUP($D$265,'EJEMPLO DE NOMINA'!$E$1:$BU$97,70,FALSE)</f>
        <v>#N/A</v>
      </c>
      <c r="M274" s="89" t="e">
        <f>HLOOKUP($D$265,'EJEMPLO DE NOMINA'!$E$1:$BU$97,78,FALSE)</f>
        <v>#N/A</v>
      </c>
      <c r="N274" s="89" t="e">
        <f>HLOOKUP($D$265,'EJEMPLO DE NOMINA'!$E$1:$BU$97,86,FALSE)</f>
        <v>#N/A</v>
      </c>
      <c r="O274" s="89" t="e">
        <f>HLOOKUP($D$265,'EJEMPLO DE NOMINA'!$E$1:$BU$97,94,FALSE)</f>
        <v>#N/A</v>
      </c>
      <c r="P274" s="90" t="e">
        <f>SUM(D274:O274)</f>
        <v>#N/A</v>
      </c>
      <c r="Q274" s="87"/>
    </row>
    <row r="275" spans="2:17" hidden="1" x14ac:dyDescent="0.25">
      <c r="B275" s="5"/>
      <c r="C275" s="62" t="s">
        <v>36</v>
      </c>
      <c r="D275" s="91" t="e">
        <f>HLOOKUP($D$265,'EJEMPLO DE NOMINA'!$E$1:$BU$97,7,FALSE)</f>
        <v>#N/A</v>
      </c>
      <c r="E275" s="89" t="e">
        <f>HLOOKUP($D$265,'EJEMPLO DE NOMINA'!$E$1:$BU$97,15,FALSE)</f>
        <v>#N/A</v>
      </c>
      <c r="F275" s="89" t="e">
        <f>HLOOKUP($D$265,'EJEMPLO DE NOMINA'!$E$1:$BU$97,23,FALSE)</f>
        <v>#N/A</v>
      </c>
      <c r="G275" s="89" t="e">
        <f>HLOOKUP($D$265,'EJEMPLO DE NOMINA'!$E$1:$BU$97,31,FALSE)</f>
        <v>#N/A</v>
      </c>
      <c r="H275" s="89" t="e">
        <f>HLOOKUP($D$265,'EJEMPLO DE NOMINA'!$E$1:$BU$97,39,FALSE)</f>
        <v>#N/A</v>
      </c>
      <c r="I275" s="89" t="e">
        <f>HLOOKUP($D$265,'EJEMPLO DE NOMINA'!$E$1:$BU$97,47,FALSE)</f>
        <v>#N/A</v>
      </c>
      <c r="J275" s="89" t="e">
        <f>HLOOKUP($D$265,'EJEMPLO DE NOMINA'!$E$1:$BU$97,55,FALSE)</f>
        <v>#N/A</v>
      </c>
      <c r="K275" s="89" t="e">
        <f>HLOOKUP($D$265,'EJEMPLO DE NOMINA'!$E$1:$BU$97,63,FALSE)</f>
        <v>#N/A</v>
      </c>
      <c r="L275" s="89" t="e">
        <f>HLOOKUP($D$265,'EJEMPLO DE NOMINA'!$E$1:$BU$97,71,FALSE)</f>
        <v>#N/A</v>
      </c>
      <c r="M275" s="89" t="e">
        <f>HLOOKUP($D$265,'EJEMPLO DE NOMINA'!$E$1:$BU$97,79,FALSE)</f>
        <v>#N/A</v>
      </c>
      <c r="N275" s="89" t="e">
        <f>HLOOKUP($D$265,'EJEMPLO DE NOMINA'!$E$1:$BU$97,87,FALSE)</f>
        <v>#N/A</v>
      </c>
      <c r="O275" s="89" t="e">
        <f>HLOOKUP($D$265,'EJEMPLO DE NOMINA'!$E$1:$BU$97,95,FALSE)</f>
        <v>#N/A</v>
      </c>
      <c r="P275" s="92" t="e">
        <f>AVERAGE(D275:O275)</f>
        <v>#N/A</v>
      </c>
      <c r="Q275" s="87"/>
    </row>
    <row r="276" spans="2:17" hidden="1" x14ac:dyDescent="0.25">
      <c r="B276" s="5"/>
      <c r="C276" s="62" t="s">
        <v>37</v>
      </c>
      <c r="D276" s="91" t="e">
        <f>HLOOKUP($D$265,'EJEMPLO DE NOMINA'!$E$1:$BU$97,8,FALSE)</f>
        <v>#N/A</v>
      </c>
      <c r="E276" s="89" t="e">
        <f>HLOOKUP($D$265,'EJEMPLO DE NOMINA'!$E$1:$BU$97,16,FALSE)</f>
        <v>#N/A</v>
      </c>
      <c r="F276" s="89" t="e">
        <f>HLOOKUP($D$265,'EJEMPLO DE NOMINA'!$E$1:$BU$97,24,FALSE)</f>
        <v>#N/A</v>
      </c>
      <c r="G276" s="89" t="e">
        <f>HLOOKUP($D$265,'EJEMPLO DE NOMINA'!$E$1:$BU$97,32,FALSE)</f>
        <v>#N/A</v>
      </c>
      <c r="H276" s="89" t="e">
        <f>HLOOKUP($D$265,'EJEMPLO DE NOMINA'!$E$1:$BU$97,40,FALSE)</f>
        <v>#N/A</v>
      </c>
      <c r="I276" s="89" t="e">
        <f>HLOOKUP($D$265,'EJEMPLO DE NOMINA'!$E$1:$BU$97,48,FALSE)</f>
        <v>#N/A</v>
      </c>
      <c r="J276" s="89" t="e">
        <f>HLOOKUP($D$265,'EJEMPLO DE NOMINA'!$E$1:$BU$97,56,FALSE)</f>
        <v>#N/A</v>
      </c>
      <c r="K276" s="89" t="e">
        <f>HLOOKUP($D$265,'EJEMPLO DE NOMINA'!$E$1:$BU$97,64,FALSE)</f>
        <v>#N/A</v>
      </c>
      <c r="L276" s="89" t="e">
        <f>HLOOKUP($D$265,'EJEMPLO DE NOMINA'!$E$1:$BU$97,72,FALSE)</f>
        <v>#N/A</v>
      </c>
      <c r="M276" s="89" t="e">
        <f>HLOOKUP($D$265,'EJEMPLO DE NOMINA'!$E$1:$BU$97,80,FALSE)</f>
        <v>#N/A</v>
      </c>
      <c r="N276" s="89" t="e">
        <f>HLOOKUP($D$265,'EJEMPLO DE NOMINA'!$E$1:$BU$97,88,FALSE)</f>
        <v>#N/A</v>
      </c>
      <c r="O276" s="89" t="e">
        <f>HLOOKUP($D$265,'EJEMPLO DE NOMINA'!$E$1:$BU$97,96,FALSE)</f>
        <v>#N/A</v>
      </c>
      <c r="P276" s="90" t="e">
        <f>SUM(D276:O276)</f>
        <v>#N/A</v>
      </c>
      <c r="Q276" s="87"/>
    </row>
    <row r="277" spans="2:17" hidden="1" x14ac:dyDescent="0.25">
      <c r="B277" s="5"/>
      <c r="C277" s="62" t="s">
        <v>38</v>
      </c>
      <c r="D277" s="91" t="e">
        <f>HLOOKUP($D$265,'EJEMPLO DE NOMINA'!$E$1:$BU$97,9,FALSE)</f>
        <v>#N/A</v>
      </c>
      <c r="E277" s="89" t="e">
        <f>HLOOKUP($D$265,'EJEMPLO DE NOMINA'!$E$1:$BU$97,17,FALSE)</f>
        <v>#N/A</v>
      </c>
      <c r="F277" s="89" t="e">
        <f>HLOOKUP($D$265,'EJEMPLO DE NOMINA'!$E$1:$BU$97,25,FALSE)</f>
        <v>#N/A</v>
      </c>
      <c r="G277" s="89" t="e">
        <f>HLOOKUP($D$265,'EJEMPLO DE NOMINA'!$E$1:$BU$97,33,FALSE)</f>
        <v>#N/A</v>
      </c>
      <c r="H277" s="89" t="e">
        <f>HLOOKUP($D$265,'EJEMPLO DE NOMINA'!$E$1:$BU$97,41,FALSE)</f>
        <v>#N/A</v>
      </c>
      <c r="I277" s="89" t="e">
        <f>HLOOKUP($D$265,'EJEMPLO DE NOMINA'!$E$1:$BU$97,49,FALSE)</f>
        <v>#N/A</v>
      </c>
      <c r="J277" s="89" t="e">
        <f>HLOOKUP($D$265,'EJEMPLO DE NOMINA'!$E$1:$BU$97,57,FALSE)</f>
        <v>#N/A</v>
      </c>
      <c r="K277" s="89" t="e">
        <f>HLOOKUP($D$265,'EJEMPLO DE NOMINA'!$E$1:$BU$97,65,FALSE)</f>
        <v>#N/A</v>
      </c>
      <c r="L277" s="89" t="e">
        <f>HLOOKUP($D$265,'EJEMPLO DE NOMINA'!$E$1:$BU$97,73,FALSE)</f>
        <v>#N/A</v>
      </c>
      <c r="M277" s="89" t="e">
        <f>HLOOKUP($D$265,'EJEMPLO DE NOMINA'!$E$1:$BU$97,81,FALSE)</f>
        <v>#N/A</v>
      </c>
      <c r="N277" s="89" t="e">
        <f>HLOOKUP($D$265,'EJEMPLO DE NOMINA'!$E$1:$BU$97,89,FALSE)</f>
        <v>#N/A</v>
      </c>
      <c r="O277" s="89" t="e">
        <f>HLOOKUP($D$265,'EJEMPLO DE NOMINA'!$E$1:$BU$97,97,FALSE)</f>
        <v>#N/A</v>
      </c>
      <c r="P277" s="90" t="e">
        <f>SUM(D277:O277)</f>
        <v>#N/A</v>
      </c>
      <c r="Q277" s="87"/>
    </row>
    <row r="278" spans="2:17" hidden="1" x14ac:dyDescent="0.25">
      <c r="B278" s="5"/>
      <c r="C278" s="94" t="s">
        <v>39</v>
      </c>
      <c r="D278" s="97" t="e">
        <f>+D276</f>
        <v>#N/A</v>
      </c>
      <c r="E278" s="97" t="e">
        <f t="shared" ref="E278:O278" si="61">+E276</f>
        <v>#N/A</v>
      </c>
      <c r="F278" s="97" t="e">
        <f t="shared" si="61"/>
        <v>#N/A</v>
      </c>
      <c r="G278" s="97" t="e">
        <f t="shared" si="61"/>
        <v>#N/A</v>
      </c>
      <c r="H278" s="97" t="e">
        <f t="shared" si="61"/>
        <v>#N/A</v>
      </c>
      <c r="I278" s="97" t="e">
        <f t="shared" si="61"/>
        <v>#N/A</v>
      </c>
      <c r="J278" s="97" t="e">
        <f t="shared" si="61"/>
        <v>#N/A</v>
      </c>
      <c r="K278" s="97" t="e">
        <f t="shared" si="61"/>
        <v>#N/A</v>
      </c>
      <c r="L278" s="97" t="e">
        <f t="shared" si="61"/>
        <v>#N/A</v>
      </c>
      <c r="M278" s="97" t="e">
        <f t="shared" si="61"/>
        <v>#N/A</v>
      </c>
      <c r="N278" s="97" t="e">
        <f t="shared" si="61"/>
        <v>#N/A</v>
      </c>
      <c r="O278" s="97" t="e">
        <f t="shared" si="61"/>
        <v>#N/A</v>
      </c>
      <c r="P278" s="90" t="e">
        <f>SUM(D278:O278)</f>
        <v>#N/A</v>
      </c>
      <c r="Q278" s="87"/>
    </row>
    <row r="279" spans="2:17" hidden="1" x14ac:dyDescent="0.25">
      <c r="B279" s="5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87"/>
    </row>
    <row r="280" spans="2:17" hidden="1" x14ac:dyDescent="0.25">
      <c r="B280" s="5"/>
      <c r="C280" s="62" t="s">
        <v>12</v>
      </c>
      <c r="D280" s="98">
        <v>0.02</v>
      </c>
      <c r="E280" s="98">
        <v>0.02</v>
      </c>
      <c r="F280" s="98">
        <v>0.02</v>
      </c>
      <c r="G280" s="98">
        <v>0.02</v>
      </c>
      <c r="H280" s="98">
        <v>0.02</v>
      </c>
      <c r="I280" s="98">
        <v>0.02</v>
      </c>
      <c r="J280" s="98">
        <v>0.02</v>
      </c>
      <c r="K280" s="98">
        <v>0.02</v>
      </c>
      <c r="L280" s="98">
        <v>0.02</v>
      </c>
      <c r="M280" s="98">
        <v>0.02</v>
      </c>
      <c r="N280" s="98">
        <v>0.02</v>
      </c>
      <c r="O280" s="98">
        <v>0.02</v>
      </c>
      <c r="P280" s="66"/>
      <c r="Q280" s="87"/>
    </row>
    <row r="281" spans="2:17" hidden="1" x14ac:dyDescent="0.25">
      <c r="B281" s="5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87"/>
    </row>
    <row r="282" spans="2:17" hidden="1" x14ac:dyDescent="0.25">
      <c r="B282" s="5"/>
      <c r="C282" s="62" t="s">
        <v>13</v>
      </c>
      <c r="D282" s="97" t="e">
        <f t="shared" ref="D282:O282" si="62">+D278*D280</f>
        <v>#N/A</v>
      </c>
      <c r="E282" s="97" t="e">
        <f t="shared" si="62"/>
        <v>#N/A</v>
      </c>
      <c r="F282" s="97" t="e">
        <f t="shared" si="62"/>
        <v>#N/A</v>
      </c>
      <c r="G282" s="97" t="e">
        <f t="shared" si="62"/>
        <v>#N/A</v>
      </c>
      <c r="H282" s="97" t="e">
        <f t="shared" si="62"/>
        <v>#N/A</v>
      </c>
      <c r="I282" s="97" t="e">
        <f t="shared" si="62"/>
        <v>#N/A</v>
      </c>
      <c r="J282" s="97" t="e">
        <f t="shared" si="62"/>
        <v>#N/A</v>
      </c>
      <c r="K282" s="97" t="e">
        <f t="shared" si="62"/>
        <v>#N/A</v>
      </c>
      <c r="L282" s="97" t="e">
        <f t="shared" si="62"/>
        <v>#N/A</v>
      </c>
      <c r="M282" s="97" t="e">
        <f t="shared" si="62"/>
        <v>#N/A</v>
      </c>
      <c r="N282" s="97" t="e">
        <f t="shared" si="62"/>
        <v>#N/A</v>
      </c>
      <c r="O282" s="97" t="e">
        <f t="shared" si="62"/>
        <v>#N/A</v>
      </c>
      <c r="P282" s="90" t="e">
        <f>SUM(D282:O282)</f>
        <v>#N/A</v>
      </c>
      <c r="Q282" s="87"/>
    </row>
    <row r="283" spans="2:17" hidden="1" x14ac:dyDescent="0.25">
      <c r="B283" s="5"/>
      <c r="C283" s="62" t="s">
        <v>22</v>
      </c>
      <c r="D283" s="97" t="e">
        <f t="shared" ref="D283:O283" si="63">+D274</f>
        <v>#N/A</v>
      </c>
      <c r="E283" s="97" t="e">
        <f t="shared" si="63"/>
        <v>#N/A</v>
      </c>
      <c r="F283" s="97" t="e">
        <f t="shared" si="63"/>
        <v>#N/A</v>
      </c>
      <c r="G283" s="97" t="e">
        <f t="shared" si="63"/>
        <v>#N/A</v>
      </c>
      <c r="H283" s="97" t="e">
        <f t="shared" si="63"/>
        <v>#N/A</v>
      </c>
      <c r="I283" s="97" t="e">
        <f t="shared" si="63"/>
        <v>#N/A</v>
      </c>
      <c r="J283" s="97" t="e">
        <f t="shared" si="63"/>
        <v>#N/A</v>
      </c>
      <c r="K283" s="97" t="e">
        <f t="shared" si="63"/>
        <v>#N/A</v>
      </c>
      <c r="L283" s="97" t="e">
        <f t="shared" si="63"/>
        <v>#N/A</v>
      </c>
      <c r="M283" s="97" t="e">
        <f t="shared" si="63"/>
        <v>#N/A</v>
      </c>
      <c r="N283" s="97" t="e">
        <f t="shared" si="63"/>
        <v>#N/A</v>
      </c>
      <c r="O283" s="97" t="e">
        <f t="shared" si="63"/>
        <v>#N/A</v>
      </c>
      <c r="P283" s="90" t="e">
        <f>SUM(D283:O283)</f>
        <v>#N/A</v>
      </c>
      <c r="Q283" s="87"/>
    </row>
    <row r="284" spans="2:17" hidden="1" x14ac:dyDescent="0.25">
      <c r="B284" s="5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87"/>
    </row>
    <row r="285" spans="2:17" hidden="1" x14ac:dyDescent="0.25">
      <c r="B285" s="5"/>
      <c r="C285" s="99" t="s">
        <v>14</v>
      </c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87"/>
    </row>
    <row r="286" spans="2:17" hidden="1" x14ac:dyDescent="0.25">
      <c r="B286" s="5"/>
      <c r="C286" s="62" t="s">
        <v>15</v>
      </c>
      <c r="D286" s="97" t="e">
        <f t="shared" ref="D286:O286" si="64">+D268-D282</f>
        <v>#N/A</v>
      </c>
      <c r="E286" s="97" t="e">
        <f t="shared" si="64"/>
        <v>#N/A</v>
      </c>
      <c r="F286" s="97" t="e">
        <f t="shared" si="64"/>
        <v>#N/A</v>
      </c>
      <c r="G286" s="97" t="e">
        <f t="shared" si="64"/>
        <v>#N/A</v>
      </c>
      <c r="H286" s="97" t="e">
        <f t="shared" si="64"/>
        <v>#N/A</v>
      </c>
      <c r="I286" s="97" t="e">
        <f t="shared" si="64"/>
        <v>#N/A</v>
      </c>
      <c r="J286" s="97" t="e">
        <f t="shared" si="64"/>
        <v>#N/A</v>
      </c>
      <c r="K286" s="97" t="e">
        <f t="shared" si="64"/>
        <v>#N/A</v>
      </c>
      <c r="L286" s="97" t="e">
        <f t="shared" si="64"/>
        <v>#N/A</v>
      </c>
      <c r="M286" s="97" t="e">
        <f t="shared" si="64"/>
        <v>#N/A</v>
      </c>
      <c r="N286" s="97" t="e">
        <f t="shared" si="64"/>
        <v>#N/A</v>
      </c>
      <c r="O286" s="97" t="e">
        <f t="shared" si="64"/>
        <v>#N/A</v>
      </c>
      <c r="P286" s="90" t="e">
        <f>SUM(D286:O286)</f>
        <v>#N/A</v>
      </c>
      <c r="Q286" s="87"/>
    </row>
    <row r="287" spans="2:17" hidden="1" x14ac:dyDescent="0.25">
      <c r="B287" s="5"/>
      <c r="C287" s="62" t="s">
        <v>16</v>
      </c>
      <c r="D287" s="97" t="e">
        <f t="shared" ref="D287:O287" si="65">+D274-D282</f>
        <v>#N/A</v>
      </c>
      <c r="E287" s="97" t="e">
        <f t="shared" si="65"/>
        <v>#N/A</v>
      </c>
      <c r="F287" s="97" t="e">
        <f t="shared" si="65"/>
        <v>#N/A</v>
      </c>
      <c r="G287" s="97" t="e">
        <f t="shared" si="65"/>
        <v>#N/A</v>
      </c>
      <c r="H287" s="97" t="e">
        <f t="shared" si="65"/>
        <v>#N/A</v>
      </c>
      <c r="I287" s="97" t="e">
        <f t="shared" si="65"/>
        <v>#N/A</v>
      </c>
      <c r="J287" s="97" t="e">
        <f t="shared" si="65"/>
        <v>#N/A</v>
      </c>
      <c r="K287" s="97" t="e">
        <f t="shared" si="65"/>
        <v>#N/A</v>
      </c>
      <c r="L287" s="97" t="e">
        <f t="shared" si="65"/>
        <v>#N/A</v>
      </c>
      <c r="M287" s="97" t="e">
        <f t="shared" si="65"/>
        <v>#N/A</v>
      </c>
      <c r="N287" s="97" t="e">
        <f t="shared" si="65"/>
        <v>#N/A</v>
      </c>
      <c r="O287" s="97" t="e">
        <f t="shared" si="65"/>
        <v>#N/A</v>
      </c>
      <c r="P287" s="90" t="e">
        <f>SUM(D287:O287)</f>
        <v>#N/A</v>
      </c>
      <c r="Q287" s="87"/>
    </row>
    <row r="288" spans="2:17" hidden="1" x14ac:dyDescent="0.25">
      <c r="B288" s="5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87"/>
    </row>
    <row r="289" spans="2:17" hidden="1" x14ac:dyDescent="0.25">
      <c r="B289" s="5"/>
      <c r="C289" s="75" t="s">
        <v>17</v>
      </c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90">
        <f>SUM(D289:O289)</f>
        <v>0</v>
      </c>
      <c r="Q289" s="87"/>
    </row>
    <row r="290" spans="2:17" hidden="1" x14ac:dyDescent="0.25">
      <c r="B290" s="5"/>
      <c r="C290" s="75" t="s">
        <v>18</v>
      </c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90">
        <f>SUM(D290:O290)</f>
        <v>0</v>
      </c>
      <c r="Q290" s="87"/>
    </row>
    <row r="291" spans="2:17" hidden="1" x14ac:dyDescent="0.25">
      <c r="B291" s="5"/>
      <c r="C291" s="9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87"/>
    </row>
    <row r="292" spans="2:17" hidden="1" x14ac:dyDescent="0.25">
      <c r="B292" s="5"/>
      <c r="C292" s="101" t="s">
        <v>19</v>
      </c>
      <c r="D292" s="102" t="e">
        <f t="shared" ref="D292:O292" si="66">+D282+D289+D290</f>
        <v>#N/A</v>
      </c>
      <c r="E292" s="102" t="e">
        <f t="shared" si="66"/>
        <v>#N/A</v>
      </c>
      <c r="F292" s="102" t="e">
        <f t="shared" si="66"/>
        <v>#N/A</v>
      </c>
      <c r="G292" s="102" t="e">
        <f t="shared" si="66"/>
        <v>#N/A</v>
      </c>
      <c r="H292" s="102" t="e">
        <f t="shared" si="66"/>
        <v>#N/A</v>
      </c>
      <c r="I292" s="102" t="e">
        <f t="shared" si="66"/>
        <v>#N/A</v>
      </c>
      <c r="J292" s="102" t="e">
        <f t="shared" si="66"/>
        <v>#N/A</v>
      </c>
      <c r="K292" s="102" t="e">
        <f t="shared" si="66"/>
        <v>#N/A</v>
      </c>
      <c r="L292" s="102" t="e">
        <f t="shared" si="66"/>
        <v>#N/A</v>
      </c>
      <c r="M292" s="102" t="e">
        <f t="shared" si="66"/>
        <v>#N/A</v>
      </c>
      <c r="N292" s="102" t="e">
        <f t="shared" si="66"/>
        <v>#N/A</v>
      </c>
      <c r="O292" s="102" t="e">
        <f t="shared" si="66"/>
        <v>#N/A</v>
      </c>
      <c r="P292" s="103" t="e">
        <f>SUM(D292:O292)</f>
        <v>#N/A</v>
      </c>
      <c r="Q292" s="87"/>
    </row>
    <row r="293" spans="2:17" ht="15.75" hidden="1" thickBot="1" x14ac:dyDescent="0.3">
      <c r="B293" s="6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5"/>
    </row>
    <row r="294" spans="2:17" ht="15.75" hidden="1" thickBot="1" x14ac:dyDescent="0.3">
      <c r="B294" s="3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77"/>
      <c r="N294" s="77"/>
      <c r="O294" s="77"/>
      <c r="P294" s="66"/>
      <c r="Q294" s="66"/>
    </row>
    <row r="295" spans="2:17" hidden="1" x14ac:dyDescent="0.25">
      <c r="B295" s="4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1"/>
    </row>
    <row r="296" spans="2:17" hidden="1" x14ac:dyDescent="0.25">
      <c r="B296" s="5"/>
      <c r="C296" s="82" t="s">
        <v>11</v>
      </c>
      <c r="D296" s="83"/>
      <c r="E296" s="84"/>
      <c r="F296" s="84"/>
      <c r="G296" s="85"/>
      <c r="H296" s="171"/>
      <c r="I296" s="172"/>
      <c r="J296" s="172"/>
      <c r="K296" s="172"/>
      <c r="L296" s="172"/>
      <c r="M296" s="172"/>
      <c r="N296" s="172"/>
      <c r="O296" s="173"/>
      <c r="P296" s="86" t="s">
        <v>6</v>
      </c>
      <c r="Q296" s="87"/>
    </row>
    <row r="297" spans="2:17" hidden="1" x14ac:dyDescent="0.25">
      <c r="B297" s="5"/>
      <c r="C297" s="66"/>
      <c r="D297" s="174" t="s">
        <v>41</v>
      </c>
      <c r="E297" s="174"/>
      <c r="F297" s="174"/>
      <c r="G297" s="174"/>
      <c r="H297" s="171"/>
      <c r="I297" s="172"/>
      <c r="J297" s="172"/>
      <c r="K297" s="172"/>
      <c r="L297" s="172"/>
      <c r="M297" s="172"/>
      <c r="N297" s="172"/>
      <c r="O297" s="173"/>
      <c r="P297" s="88"/>
      <c r="Q297" s="87"/>
    </row>
    <row r="298" spans="2:17" hidden="1" x14ac:dyDescent="0.25">
      <c r="B298" s="5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87"/>
    </row>
    <row r="299" spans="2:17" hidden="1" x14ac:dyDescent="0.25">
      <c r="B299" s="5"/>
      <c r="C299" s="62" t="s">
        <v>27</v>
      </c>
      <c r="D299" s="89" t="e">
        <f>HLOOKUP($D$296,'EJEMPLO DE NOMINA'!$E$1:$BU$97,2,FALSE)</f>
        <v>#N/A</v>
      </c>
      <c r="E299" s="89" t="e">
        <f>HLOOKUP($D$296,'EJEMPLO DE NOMINA'!$E$1:$BU$97,10,FALSE)</f>
        <v>#N/A</v>
      </c>
      <c r="F299" s="89" t="e">
        <f>HLOOKUP($D$296,'EJEMPLO DE NOMINA'!$E$1:$BU$97,18,FALSE)</f>
        <v>#N/A</v>
      </c>
      <c r="G299" s="89" t="e">
        <f>HLOOKUP($D$296,'EJEMPLO DE NOMINA'!$E$1:$BU$97,26,FALSE)</f>
        <v>#N/A</v>
      </c>
      <c r="H299" s="89" t="e">
        <f>HLOOKUP($D$296,'EJEMPLO DE NOMINA'!$E$1:$BU$97,34,FALSE)</f>
        <v>#N/A</v>
      </c>
      <c r="I299" s="89" t="e">
        <f>HLOOKUP($D$296,'EJEMPLO DE NOMINA'!$E$1:$BU$97,42,FALSE)</f>
        <v>#N/A</v>
      </c>
      <c r="J299" s="89" t="e">
        <f>HLOOKUP($D$296,'EJEMPLO DE NOMINA'!$E$1:$BU$97,50,FALSE)</f>
        <v>#N/A</v>
      </c>
      <c r="K299" s="89" t="e">
        <f>HLOOKUP($D$296,'EJEMPLO DE NOMINA'!$E$1:$BU$97,58,FALSE)</f>
        <v>#N/A</v>
      </c>
      <c r="L299" s="89" t="e">
        <f>HLOOKUP($D$296,'EJEMPLO DE NOMINA'!$E$1:$BU$97,66,FALSE)</f>
        <v>#N/A</v>
      </c>
      <c r="M299" s="89" t="e">
        <f>HLOOKUP($D$296,'EJEMPLO DE NOMINA'!$E$1:$BU$97,74,FALSE)</f>
        <v>#N/A</v>
      </c>
      <c r="N299" s="89" t="e">
        <f>HLOOKUP($D$296,'EJEMPLO DE NOMINA'!$E$1:$BU$97,82,FALSE)</f>
        <v>#N/A</v>
      </c>
      <c r="O299" s="89" t="e">
        <f>HLOOKUP($D$296,'EJEMPLO DE NOMINA'!$E$1:$BU$97,90,FALSE)</f>
        <v>#N/A</v>
      </c>
      <c r="P299" s="90" t="e">
        <f>SUM(D299:O299)</f>
        <v>#N/A</v>
      </c>
      <c r="Q299" s="87"/>
    </row>
    <row r="300" spans="2:17" hidden="1" x14ac:dyDescent="0.25">
      <c r="B300" s="5"/>
      <c r="C300" s="62" t="s">
        <v>26</v>
      </c>
      <c r="D300" s="91" t="e">
        <f>HLOOKUP($D$296,'EJEMPLO DE NOMINA'!$E$1:$BU$97,3,FALSE)</f>
        <v>#N/A</v>
      </c>
      <c r="E300" s="89" t="e">
        <f>HLOOKUP($D$296,'EJEMPLO DE NOMINA'!$E$1:$BU$97,11,FALSE)</f>
        <v>#N/A</v>
      </c>
      <c r="F300" s="89" t="e">
        <f>HLOOKUP($D$296,'EJEMPLO DE NOMINA'!$E$1:$BU$97,19,FALSE)</f>
        <v>#N/A</v>
      </c>
      <c r="G300" s="89" t="e">
        <f>HLOOKUP($D$296,'EJEMPLO DE NOMINA'!$E$1:$BU$97,27,FALSE)</f>
        <v>#N/A</v>
      </c>
      <c r="H300" s="89" t="e">
        <f>HLOOKUP($D$296,'EJEMPLO DE NOMINA'!$E$1:$BU$97,35,FALSE)</f>
        <v>#N/A</v>
      </c>
      <c r="I300" s="89" t="e">
        <f>HLOOKUP($D$296,'EJEMPLO DE NOMINA'!$E$1:$BU$97,43,FALSE)</f>
        <v>#N/A</v>
      </c>
      <c r="J300" s="89" t="e">
        <f>HLOOKUP($D$296,'EJEMPLO DE NOMINA'!$E$1:$BU$97,51,FALSE)</f>
        <v>#N/A</v>
      </c>
      <c r="K300" s="89" t="e">
        <f>HLOOKUP($D$296,'EJEMPLO DE NOMINA'!$E$1:$BU$97,59,FALSE)</f>
        <v>#N/A</v>
      </c>
      <c r="L300" s="89" t="e">
        <f>HLOOKUP($D$296,'EJEMPLO DE NOMINA'!$E$1:$BU$97,67,FALSE)</f>
        <v>#N/A</v>
      </c>
      <c r="M300" s="89" t="e">
        <f>HLOOKUP($D$296,'EJEMPLO DE NOMINA'!$E$1:$BU$97,75,FALSE)</f>
        <v>#N/A</v>
      </c>
      <c r="N300" s="89" t="e">
        <f>HLOOKUP($D$296,'EJEMPLO DE NOMINA'!$E$1:$BU$97,83,FALSE)</f>
        <v>#N/A</v>
      </c>
      <c r="O300" s="89" t="e">
        <f>HLOOKUP($D$296,'EJEMPLO DE NOMINA'!$E$1:$BU$97,91,FALSE)</f>
        <v>#N/A</v>
      </c>
      <c r="P300" s="92" t="e">
        <f>AVERAGE(D300:O300)</f>
        <v>#N/A</v>
      </c>
      <c r="Q300" s="87"/>
    </row>
    <row r="301" spans="2:17" hidden="1" x14ac:dyDescent="0.25">
      <c r="B301" s="5"/>
      <c r="C301" s="62" t="s">
        <v>33</v>
      </c>
      <c r="D301" s="91" t="e">
        <f>HLOOKUP($D$296,'EJEMPLO DE NOMINA'!$E$1:$BU$97,4,FALSE)</f>
        <v>#N/A</v>
      </c>
      <c r="E301" s="89" t="e">
        <f>HLOOKUP($D$296,'EJEMPLO DE NOMINA'!$E$1:$BU$97,12,FALSE)</f>
        <v>#N/A</v>
      </c>
      <c r="F301" s="89" t="e">
        <f>HLOOKUP($D$296,'EJEMPLO DE NOMINA'!$E$1:$BU$97,20,FALSE)</f>
        <v>#N/A</v>
      </c>
      <c r="G301" s="89" t="e">
        <f>HLOOKUP($D$296,'EJEMPLO DE NOMINA'!$E$1:$BU$97,28,FALSE)</f>
        <v>#N/A</v>
      </c>
      <c r="H301" s="89" t="e">
        <f>HLOOKUP($D$296,'EJEMPLO DE NOMINA'!$E$1:$BU$97,36,FALSE)</f>
        <v>#N/A</v>
      </c>
      <c r="I301" s="89" t="e">
        <f>HLOOKUP($D$296,'EJEMPLO DE NOMINA'!$E$1:$BU$97,44,FALSE)</f>
        <v>#N/A</v>
      </c>
      <c r="J301" s="89" t="e">
        <f>HLOOKUP($D$296,'EJEMPLO DE NOMINA'!$E$1:$BU$97,52,FALSE)</f>
        <v>#N/A</v>
      </c>
      <c r="K301" s="89" t="e">
        <f>HLOOKUP($D$296,'EJEMPLO DE NOMINA'!$E$1:$BU$97,60,FALSE)</f>
        <v>#N/A</v>
      </c>
      <c r="L301" s="89" t="e">
        <f>HLOOKUP($D$296,'EJEMPLO DE NOMINA'!$E$1:$BU$97,68,FALSE)</f>
        <v>#N/A</v>
      </c>
      <c r="M301" s="89" t="e">
        <f>HLOOKUP($D$296,'EJEMPLO DE NOMINA'!$E$1:$BU$97,76,FALSE)</f>
        <v>#N/A</v>
      </c>
      <c r="N301" s="89" t="e">
        <f>HLOOKUP($D$296,'EJEMPLO DE NOMINA'!$E$1:$BU$97,84,FALSE)</f>
        <v>#N/A</v>
      </c>
      <c r="O301" s="89" t="e">
        <f>HLOOKUP($D$296,'EJEMPLO DE NOMINA'!$E$1:$BU$97,92,FALSE)</f>
        <v>#N/A</v>
      </c>
      <c r="P301" s="90" t="e">
        <f>SUM(D301:O301)</f>
        <v>#N/A</v>
      </c>
      <c r="Q301" s="93"/>
    </row>
    <row r="302" spans="2:17" hidden="1" x14ac:dyDescent="0.25">
      <c r="B302" s="5"/>
      <c r="C302" s="62" t="s">
        <v>34</v>
      </c>
      <c r="D302" s="91" t="e">
        <f>HLOOKUP($D$296,'EJEMPLO DE NOMINA'!$E$1:$BU$97,5,FALSE)</f>
        <v>#N/A</v>
      </c>
      <c r="E302" s="89" t="e">
        <f>HLOOKUP($D$296,'EJEMPLO DE NOMINA'!$E$1:$BU$97,13,FALSE)</f>
        <v>#N/A</v>
      </c>
      <c r="F302" s="89" t="e">
        <f>HLOOKUP($D$296,'EJEMPLO DE NOMINA'!$E$1:$BU$97,21,FALSE)</f>
        <v>#N/A</v>
      </c>
      <c r="G302" s="89" t="e">
        <f>HLOOKUP($D$296,'EJEMPLO DE NOMINA'!$E$1:$BU$97,29,FALSE)</f>
        <v>#N/A</v>
      </c>
      <c r="H302" s="89" t="e">
        <f>HLOOKUP($D$296,'EJEMPLO DE NOMINA'!$E$1:$BU$97,37,FALSE)</f>
        <v>#N/A</v>
      </c>
      <c r="I302" s="89" t="e">
        <f>HLOOKUP($D$296,'EJEMPLO DE NOMINA'!$E$1:$BU$97,45,FALSE)</f>
        <v>#N/A</v>
      </c>
      <c r="J302" s="89" t="e">
        <f>HLOOKUP($D$296,'EJEMPLO DE NOMINA'!$E$1:$BU$97,53,FALSE)</f>
        <v>#N/A</v>
      </c>
      <c r="K302" s="89" t="e">
        <f>HLOOKUP($D$296,'EJEMPLO DE NOMINA'!$E$1:$BU$97,61,FALSE)</f>
        <v>#N/A</v>
      </c>
      <c r="L302" s="89" t="e">
        <f>HLOOKUP($D$296,'EJEMPLO DE NOMINA'!$E$1:$BU$97,69,FALSE)</f>
        <v>#N/A</v>
      </c>
      <c r="M302" s="89" t="e">
        <f>HLOOKUP($D$296,'EJEMPLO DE NOMINA'!$E$1:$BU$97,77,FALSE)</f>
        <v>#N/A</v>
      </c>
      <c r="N302" s="89" t="e">
        <f>HLOOKUP($D$296,'EJEMPLO DE NOMINA'!$E$1:$BU$97,85,FALSE)</f>
        <v>#N/A</v>
      </c>
      <c r="O302" s="89" t="e">
        <f>HLOOKUP($D$296,'EJEMPLO DE NOMINA'!$E$1:$BU$97,93,FALSE)</f>
        <v>#N/A</v>
      </c>
      <c r="P302" s="90" t="e">
        <f>SUM(D302:O302)</f>
        <v>#N/A</v>
      </c>
      <c r="Q302" s="93"/>
    </row>
    <row r="303" spans="2:17" hidden="1" x14ac:dyDescent="0.25">
      <c r="B303" s="5"/>
      <c r="C303" s="94" t="s">
        <v>39</v>
      </c>
      <c r="D303" s="95" t="e">
        <f>+D301</f>
        <v>#N/A</v>
      </c>
      <c r="E303" s="95" t="e">
        <f t="shared" ref="E303:O303" si="67">+E301</f>
        <v>#N/A</v>
      </c>
      <c r="F303" s="95" t="e">
        <f t="shared" si="67"/>
        <v>#N/A</v>
      </c>
      <c r="G303" s="95" t="e">
        <f t="shared" si="67"/>
        <v>#N/A</v>
      </c>
      <c r="H303" s="95" t="e">
        <f t="shared" si="67"/>
        <v>#N/A</v>
      </c>
      <c r="I303" s="95" t="e">
        <f t="shared" si="67"/>
        <v>#N/A</v>
      </c>
      <c r="J303" s="95" t="e">
        <f t="shared" si="67"/>
        <v>#N/A</v>
      </c>
      <c r="K303" s="95" t="e">
        <f t="shared" si="67"/>
        <v>#N/A</v>
      </c>
      <c r="L303" s="95" t="e">
        <f t="shared" si="67"/>
        <v>#N/A</v>
      </c>
      <c r="M303" s="95" t="e">
        <f t="shared" si="67"/>
        <v>#N/A</v>
      </c>
      <c r="N303" s="95" t="e">
        <f t="shared" si="67"/>
        <v>#N/A</v>
      </c>
      <c r="O303" s="95" t="e">
        <f t="shared" si="67"/>
        <v>#N/A</v>
      </c>
      <c r="P303" s="90" t="e">
        <f>SUM(D303:O303)</f>
        <v>#N/A</v>
      </c>
      <c r="Q303" s="93"/>
    </row>
    <row r="304" spans="2:17" hidden="1" x14ac:dyDescent="0.25">
      <c r="B304" s="5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3"/>
    </row>
    <row r="305" spans="2:17" hidden="1" x14ac:dyDescent="0.25">
      <c r="B305" s="5"/>
      <c r="C305" s="62" t="s">
        <v>35</v>
      </c>
      <c r="D305" s="91" t="e">
        <f>HLOOKUP($D$296,'EJEMPLO DE NOMINA'!$E$1:$BU$97,6,FALSE)</f>
        <v>#N/A</v>
      </c>
      <c r="E305" s="89" t="e">
        <f>HLOOKUP($D$296,'EJEMPLO DE NOMINA'!$E$1:$BU$97,14,FALSE)</f>
        <v>#N/A</v>
      </c>
      <c r="F305" s="89" t="e">
        <f>HLOOKUP($D$296,'EJEMPLO DE NOMINA'!$E$1:$BU$97,22,FALSE)</f>
        <v>#N/A</v>
      </c>
      <c r="G305" s="89" t="e">
        <f>HLOOKUP($D$296,'EJEMPLO DE NOMINA'!$E$1:$BU$97,30,FALSE)</f>
        <v>#N/A</v>
      </c>
      <c r="H305" s="89" t="e">
        <f>HLOOKUP($D$296,'EJEMPLO DE NOMINA'!$E$1:$BU$97,38,FALSE)</f>
        <v>#N/A</v>
      </c>
      <c r="I305" s="89" t="e">
        <f>HLOOKUP($D$296,'EJEMPLO DE NOMINA'!$E$1:$BU$97,46,FALSE)</f>
        <v>#N/A</v>
      </c>
      <c r="J305" s="89" t="e">
        <f>HLOOKUP($D$296,'EJEMPLO DE NOMINA'!$E$1:$BU$97,54,FALSE)</f>
        <v>#N/A</v>
      </c>
      <c r="K305" s="89" t="e">
        <f>HLOOKUP($D$296,'EJEMPLO DE NOMINA'!$E$1:$BU$97,62,FALSE)</f>
        <v>#N/A</v>
      </c>
      <c r="L305" s="89" t="e">
        <f>HLOOKUP($D$296,'EJEMPLO DE NOMINA'!$E$1:$BU$97,70,FALSE)</f>
        <v>#N/A</v>
      </c>
      <c r="M305" s="89" t="e">
        <f>HLOOKUP($D$296,'EJEMPLO DE NOMINA'!$E$1:$BU$97,78,FALSE)</f>
        <v>#N/A</v>
      </c>
      <c r="N305" s="89" t="e">
        <f>HLOOKUP($D$296,'EJEMPLO DE NOMINA'!$E$1:$BU$97,86,FALSE)</f>
        <v>#N/A</v>
      </c>
      <c r="O305" s="89" t="e">
        <f>HLOOKUP($D$296,'EJEMPLO DE NOMINA'!$E$1:$BU$97,94,FALSE)</f>
        <v>#N/A</v>
      </c>
      <c r="P305" s="90" t="e">
        <f>SUM(D305:O305)</f>
        <v>#N/A</v>
      </c>
      <c r="Q305" s="87"/>
    </row>
    <row r="306" spans="2:17" hidden="1" x14ac:dyDescent="0.25">
      <c r="B306" s="5"/>
      <c r="C306" s="62" t="s">
        <v>36</v>
      </c>
      <c r="D306" s="91" t="e">
        <f>HLOOKUP($D$296,'EJEMPLO DE NOMINA'!$E$1:$BU$97,7,FALSE)</f>
        <v>#N/A</v>
      </c>
      <c r="E306" s="89" t="e">
        <f>HLOOKUP($D$296,'EJEMPLO DE NOMINA'!$E$1:$BU$97,15,FALSE)</f>
        <v>#N/A</v>
      </c>
      <c r="F306" s="89" t="e">
        <f>HLOOKUP($D$296,'EJEMPLO DE NOMINA'!$E$1:$BU$97,23,FALSE)</f>
        <v>#N/A</v>
      </c>
      <c r="G306" s="89" t="e">
        <f>HLOOKUP($D$296,'EJEMPLO DE NOMINA'!$E$1:$BU$97,31,FALSE)</f>
        <v>#N/A</v>
      </c>
      <c r="H306" s="89" t="e">
        <f>HLOOKUP($D$296,'EJEMPLO DE NOMINA'!$E$1:$BU$97,39,FALSE)</f>
        <v>#N/A</v>
      </c>
      <c r="I306" s="89" t="e">
        <f>HLOOKUP($D$296,'EJEMPLO DE NOMINA'!$E$1:$BU$97,47,FALSE)</f>
        <v>#N/A</v>
      </c>
      <c r="J306" s="89" t="e">
        <f>HLOOKUP($D$296,'EJEMPLO DE NOMINA'!$E$1:$BU$97,55,FALSE)</f>
        <v>#N/A</v>
      </c>
      <c r="K306" s="89" t="e">
        <f>HLOOKUP($D$296,'EJEMPLO DE NOMINA'!$E$1:$BU$97,63,FALSE)</f>
        <v>#N/A</v>
      </c>
      <c r="L306" s="89" t="e">
        <f>HLOOKUP($D$296,'EJEMPLO DE NOMINA'!$E$1:$BU$97,71,FALSE)</f>
        <v>#N/A</v>
      </c>
      <c r="M306" s="89" t="e">
        <f>HLOOKUP($D$296,'EJEMPLO DE NOMINA'!$E$1:$BU$97,79,FALSE)</f>
        <v>#N/A</v>
      </c>
      <c r="N306" s="89" t="e">
        <f>HLOOKUP($D$296,'EJEMPLO DE NOMINA'!$E$1:$BU$97,87,FALSE)</f>
        <v>#N/A</v>
      </c>
      <c r="O306" s="89" t="e">
        <f>HLOOKUP($D$296,'EJEMPLO DE NOMINA'!$E$1:$BU$97,95,FALSE)</f>
        <v>#N/A</v>
      </c>
      <c r="P306" s="92" t="e">
        <f>AVERAGE(D306:O306)</f>
        <v>#N/A</v>
      </c>
      <c r="Q306" s="87"/>
    </row>
    <row r="307" spans="2:17" hidden="1" x14ac:dyDescent="0.25">
      <c r="B307" s="5"/>
      <c r="C307" s="62" t="s">
        <v>37</v>
      </c>
      <c r="D307" s="91" t="e">
        <f>HLOOKUP($D$296,'EJEMPLO DE NOMINA'!$E$1:$BU$97,8,FALSE)</f>
        <v>#N/A</v>
      </c>
      <c r="E307" s="89" t="e">
        <f>HLOOKUP($D$296,'EJEMPLO DE NOMINA'!$E$1:$BU$97,16,FALSE)</f>
        <v>#N/A</v>
      </c>
      <c r="F307" s="89" t="e">
        <f>HLOOKUP($D$296,'EJEMPLO DE NOMINA'!$E$1:$BU$97,24,FALSE)</f>
        <v>#N/A</v>
      </c>
      <c r="G307" s="89" t="e">
        <f>HLOOKUP($D$296,'EJEMPLO DE NOMINA'!$E$1:$BU$97,32,FALSE)</f>
        <v>#N/A</v>
      </c>
      <c r="H307" s="89" t="e">
        <f>HLOOKUP($D$296,'EJEMPLO DE NOMINA'!$E$1:$BU$97,40,FALSE)</f>
        <v>#N/A</v>
      </c>
      <c r="I307" s="89" t="e">
        <f>HLOOKUP($D$296,'EJEMPLO DE NOMINA'!$E$1:$BU$97,48,FALSE)</f>
        <v>#N/A</v>
      </c>
      <c r="J307" s="89" t="e">
        <f>HLOOKUP($D$296,'EJEMPLO DE NOMINA'!$E$1:$BU$97,56,FALSE)</f>
        <v>#N/A</v>
      </c>
      <c r="K307" s="89" t="e">
        <f>HLOOKUP($D$296,'EJEMPLO DE NOMINA'!$E$1:$BU$97,64,FALSE)</f>
        <v>#N/A</v>
      </c>
      <c r="L307" s="89" t="e">
        <f>HLOOKUP($D$296,'EJEMPLO DE NOMINA'!$E$1:$BU$97,72,FALSE)</f>
        <v>#N/A</v>
      </c>
      <c r="M307" s="89" t="e">
        <f>HLOOKUP($D$296,'EJEMPLO DE NOMINA'!$E$1:$BU$97,80,FALSE)</f>
        <v>#N/A</v>
      </c>
      <c r="N307" s="89" t="e">
        <f>HLOOKUP($D$296,'EJEMPLO DE NOMINA'!$E$1:$BU$97,88,FALSE)</f>
        <v>#N/A</v>
      </c>
      <c r="O307" s="89" t="e">
        <f>HLOOKUP($D$296,'EJEMPLO DE NOMINA'!$E$1:$BU$97,96,FALSE)</f>
        <v>#N/A</v>
      </c>
      <c r="P307" s="90" t="e">
        <f>SUM(D307:O307)</f>
        <v>#N/A</v>
      </c>
      <c r="Q307" s="87"/>
    </row>
    <row r="308" spans="2:17" hidden="1" x14ac:dyDescent="0.25">
      <c r="B308" s="5"/>
      <c r="C308" s="62" t="s">
        <v>38</v>
      </c>
      <c r="D308" s="91" t="e">
        <f>HLOOKUP($D$296,'EJEMPLO DE NOMINA'!$E$1:$BU$97,9,FALSE)</f>
        <v>#N/A</v>
      </c>
      <c r="E308" s="89" t="e">
        <f>HLOOKUP($D$296,'EJEMPLO DE NOMINA'!$E$1:$BU$97,17,FALSE)</f>
        <v>#N/A</v>
      </c>
      <c r="F308" s="89" t="e">
        <f>HLOOKUP($D$296,'EJEMPLO DE NOMINA'!$E$1:$BU$97,25,FALSE)</f>
        <v>#N/A</v>
      </c>
      <c r="G308" s="89" t="e">
        <f>HLOOKUP($D$296,'EJEMPLO DE NOMINA'!$E$1:$BU$97,33,FALSE)</f>
        <v>#N/A</v>
      </c>
      <c r="H308" s="89" t="e">
        <f>HLOOKUP($D$296,'EJEMPLO DE NOMINA'!$E$1:$BU$97,41,FALSE)</f>
        <v>#N/A</v>
      </c>
      <c r="I308" s="89" t="e">
        <f>HLOOKUP($D$296,'EJEMPLO DE NOMINA'!$E$1:$BU$97,49,FALSE)</f>
        <v>#N/A</v>
      </c>
      <c r="J308" s="89" t="e">
        <f>HLOOKUP($D$296,'EJEMPLO DE NOMINA'!$E$1:$BU$97,57,FALSE)</f>
        <v>#N/A</v>
      </c>
      <c r="K308" s="89" t="e">
        <f>HLOOKUP($D$296,'EJEMPLO DE NOMINA'!$E$1:$BU$97,65,FALSE)</f>
        <v>#N/A</v>
      </c>
      <c r="L308" s="89" t="e">
        <f>HLOOKUP($D$296,'EJEMPLO DE NOMINA'!$E$1:$BU$97,73,FALSE)</f>
        <v>#N/A</v>
      </c>
      <c r="M308" s="89" t="e">
        <f>HLOOKUP($D$296,'EJEMPLO DE NOMINA'!$E$1:$BU$97,81,FALSE)</f>
        <v>#N/A</v>
      </c>
      <c r="N308" s="89" t="e">
        <f>HLOOKUP($D$296,'EJEMPLO DE NOMINA'!$E$1:$BU$97,89,FALSE)</f>
        <v>#N/A</v>
      </c>
      <c r="O308" s="89" t="e">
        <f>HLOOKUP($D$296,'EJEMPLO DE NOMINA'!$E$1:$BU$97,97,FALSE)</f>
        <v>#N/A</v>
      </c>
      <c r="P308" s="90" t="e">
        <f>SUM(D308:O308)</f>
        <v>#N/A</v>
      </c>
      <c r="Q308" s="87"/>
    </row>
    <row r="309" spans="2:17" hidden="1" x14ac:dyDescent="0.25">
      <c r="B309" s="5"/>
      <c r="C309" s="94" t="s">
        <v>39</v>
      </c>
      <c r="D309" s="97" t="e">
        <f>+D307</f>
        <v>#N/A</v>
      </c>
      <c r="E309" s="97" t="e">
        <f t="shared" ref="E309:O309" si="68">+E307</f>
        <v>#N/A</v>
      </c>
      <c r="F309" s="97" t="e">
        <f t="shared" si="68"/>
        <v>#N/A</v>
      </c>
      <c r="G309" s="97" t="e">
        <f t="shared" si="68"/>
        <v>#N/A</v>
      </c>
      <c r="H309" s="97" t="e">
        <f t="shared" si="68"/>
        <v>#N/A</v>
      </c>
      <c r="I309" s="97" t="e">
        <f t="shared" si="68"/>
        <v>#N/A</v>
      </c>
      <c r="J309" s="97" t="e">
        <f t="shared" si="68"/>
        <v>#N/A</v>
      </c>
      <c r="K309" s="97" t="e">
        <f t="shared" si="68"/>
        <v>#N/A</v>
      </c>
      <c r="L309" s="97" t="e">
        <f t="shared" si="68"/>
        <v>#N/A</v>
      </c>
      <c r="M309" s="97" t="e">
        <f t="shared" si="68"/>
        <v>#N/A</v>
      </c>
      <c r="N309" s="97" t="e">
        <f t="shared" si="68"/>
        <v>#N/A</v>
      </c>
      <c r="O309" s="97" t="e">
        <f t="shared" si="68"/>
        <v>#N/A</v>
      </c>
      <c r="P309" s="90" t="e">
        <f>SUM(D309:O309)</f>
        <v>#N/A</v>
      </c>
      <c r="Q309" s="87"/>
    </row>
    <row r="310" spans="2:17" hidden="1" x14ac:dyDescent="0.25">
      <c r="B310" s="5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87"/>
    </row>
    <row r="311" spans="2:17" hidden="1" x14ac:dyDescent="0.25">
      <c r="B311" s="5"/>
      <c r="C311" s="62" t="s">
        <v>12</v>
      </c>
      <c r="D311" s="98">
        <v>0.02</v>
      </c>
      <c r="E311" s="98">
        <v>0.02</v>
      </c>
      <c r="F311" s="98">
        <v>0.02</v>
      </c>
      <c r="G311" s="98">
        <v>0.02</v>
      </c>
      <c r="H311" s="98">
        <v>0.02</v>
      </c>
      <c r="I311" s="98">
        <v>0.02</v>
      </c>
      <c r="J311" s="98">
        <v>0.02</v>
      </c>
      <c r="K311" s="98">
        <v>0.02</v>
      </c>
      <c r="L311" s="98">
        <v>0.02</v>
      </c>
      <c r="M311" s="98">
        <v>0.02</v>
      </c>
      <c r="N311" s="98">
        <v>0.02</v>
      </c>
      <c r="O311" s="98">
        <v>0.02</v>
      </c>
      <c r="P311" s="66"/>
      <c r="Q311" s="87"/>
    </row>
    <row r="312" spans="2:17" hidden="1" x14ac:dyDescent="0.25">
      <c r="B312" s="5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87"/>
    </row>
    <row r="313" spans="2:17" hidden="1" x14ac:dyDescent="0.25">
      <c r="B313" s="5"/>
      <c r="C313" s="62" t="s">
        <v>13</v>
      </c>
      <c r="D313" s="97" t="e">
        <f t="shared" ref="D313:O313" si="69">+D309*D311</f>
        <v>#N/A</v>
      </c>
      <c r="E313" s="97" t="e">
        <f t="shared" si="69"/>
        <v>#N/A</v>
      </c>
      <c r="F313" s="97" t="e">
        <f t="shared" si="69"/>
        <v>#N/A</v>
      </c>
      <c r="G313" s="97" t="e">
        <f t="shared" si="69"/>
        <v>#N/A</v>
      </c>
      <c r="H313" s="97" t="e">
        <f t="shared" si="69"/>
        <v>#N/A</v>
      </c>
      <c r="I313" s="97" t="e">
        <f t="shared" si="69"/>
        <v>#N/A</v>
      </c>
      <c r="J313" s="97" t="e">
        <f t="shared" si="69"/>
        <v>#N/A</v>
      </c>
      <c r="K313" s="97" t="e">
        <f t="shared" si="69"/>
        <v>#N/A</v>
      </c>
      <c r="L313" s="97" t="e">
        <f t="shared" si="69"/>
        <v>#N/A</v>
      </c>
      <c r="M313" s="97" t="e">
        <f t="shared" si="69"/>
        <v>#N/A</v>
      </c>
      <c r="N313" s="97" t="e">
        <f t="shared" si="69"/>
        <v>#N/A</v>
      </c>
      <c r="O313" s="97" t="e">
        <f t="shared" si="69"/>
        <v>#N/A</v>
      </c>
      <c r="P313" s="90" t="e">
        <f>SUM(D313:O313)</f>
        <v>#N/A</v>
      </c>
      <c r="Q313" s="87"/>
    </row>
    <row r="314" spans="2:17" hidden="1" x14ac:dyDescent="0.25">
      <c r="B314" s="5"/>
      <c r="C314" s="62" t="s">
        <v>22</v>
      </c>
      <c r="D314" s="97" t="e">
        <f t="shared" ref="D314:O314" si="70">+D305</f>
        <v>#N/A</v>
      </c>
      <c r="E314" s="97" t="e">
        <f t="shared" si="70"/>
        <v>#N/A</v>
      </c>
      <c r="F314" s="97" t="e">
        <f t="shared" si="70"/>
        <v>#N/A</v>
      </c>
      <c r="G314" s="97" t="e">
        <f t="shared" si="70"/>
        <v>#N/A</v>
      </c>
      <c r="H314" s="97" t="e">
        <f t="shared" si="70"/>
        <v>#N/A</v>
      </c>
      <c r="I314" s="97" t="e">
        <f t="shared" si="70"/>
        <v>#N/A</v>
      </c>
      <c r="J314" s="97" t="e">
        <f t="shared" si="70"/>
        <v>#N/A</v>
      </c>
      <c r="K314" s="97" t="e">
        <f t="shared" si="70"/>
        <v>#N/A</v>
      </c>
      <c r="L314" s="97" t="e">
        <f t="shared" si="70"/>
        <v>#N/A</v>
      </c>
      <c r="M314" s="97" t="e">
        <f t="shared" si="70"/>
        <v>#N/A</v>
      </c>
      <c r="N314" s="97" t="e">
        <f t="shared" si="70"/>
        <v>#N/A</v>
      </c>
      <c r="O314" s="97" t="e">
        <f t="shared" si="70"/>
        <v>#N/A</v>
      </c>
      <c r="P314" s="90" t="e">
        <f>SUM(D314:O314)</f>
        <v>#N/A</v>
      </c>
      <c r="Q314" s="87"/>
    </row>
    <row r="315" spans="2:17" hidden="1" x14ac:dyDescent="0.25">
      <c r="B315" s="5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87"/>
    </row>
    <row r="316" spans="2:17" hidden="1" x14ac:dyDescent="0.25">
      <c r="B316" s="5"/>
      <c r="C316" s="99" t="s">
        <v>14</v>
      </c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87"/>
    </row>
    <row r="317" spans="2:17" hidden="1" x14ac:dyDescent="0.25">
      <c r="B317" s="5"/>
      <c r="C317" s="62" t="s">
        <v>15</v>
      </c>
      <c r="D317" s="97" t="e">
        <f t="shared" ref="D317:O317" si="71">+D299-D313</f>
        <v>#N/A</v>
      </c>
      <c r="E317" s="97" t="e">
        <f t="shared" si="71"/>
        <v>#N/A</v>
      </c>
      <c r="F317" s="97" t="e">
        <f t="shared" si="71"/>
        <v>#N/A</v>
      </c>
      <c r="G317" s="97" t="e">
        <f t="shared" si="71"/>
        <v>#N/A</v>
      </c>
      <c r="H317" s="97" t="e">
        <f t="shared" si="71"/>
        <v>#N/A</v>
      </c>
      <c r="I317" s="97" t="e">
        <f t="shared" si="71"/>
        <v>#N/A</v>
      </c>
      <c r="J317" s="97" t="e">
        <f t="shared" si="71"/>
        <v>#N/A</v>
      </c>
      <c r="K317" s="97" t="e">
        <f t="shared" si="71"/>
        <v>#N/A</v>
      </c>
      <c r="L317" s="97" t="e">
        <f t="shared" si="71"/>
        <v>#N/A</v>
      </c>
      <c r="M317" s="97" t="e">
        <f t="shared" si="71"/>
        <v>#N/A</v>
      </c>
      <c r="N317" s="97" t="e">
        <f t="shared" si="71"/>
        <v>#N/A</v>
      </c>
      <c r="O317" s="97" t="e">
        <f t="shared" si="71"/>
        <v>#N/A</v>
      </c>
      <c r="P317" s="90" t="e">
        <f>SUM(D317:O317)</f>
        <v>#N/A</v>
      </c>
      <c r="Q317" s="87"/>
    </row>
    <row r="318" spans="2:17" hidden="1" x14ac:dyDescent="0.25">
      <c r="B318" s="5"/>
      <c r="C318" s="62" t="s">
        <v>16</v>
      </c>
      <c r="D318" s="97" t="e">
        <f t="shared" ref="D318:O318" si="72">+D305-D313</f>
        <v>#N/A</v>
      </c>
      <c r="E318" s="97" t="e">
        <f t="shared" si="72"/>
        <v>#N/A</v>
      </c>
      <c r="F318" s="97" t="e">
        <f t="shared" si="72"/>
        <v>#N/A</v>
      </c>
      <c r="G318" s="97" t="e">
        <f t="shared" si="72"/>
        <v>#N/A</v>
      </c>
      <c r="H318" s="97" t="e">
        <f t="shared" si="72"/>
        <v>#N/A</v>
      </c>
      <c r="I318" s="97" t="e">
        <f t="shared" si="72"/>
        <v>#N/A</v>
      </c>
      <c r="J318" s="97" t="e">
        <f t="shared" si="72"/>
        <v>#N/A</v>
      </c>
      <c r="K318" s="97" t="e">
        <f t="shared" si="72"/>
        <v>#N/A</v>
      </c>
      <c r="L318" s="97" t="e">
        <f t="shared" si="72"/>
        <v>#N/A</v>
      </c>
      <c r="M318" s="97" t="e">
        <f t="shared" si="72"/>
        <v>#N/A</v>
      </c>
      <c r="N318" s="97" t="e">
        <f t="shared" si="72"/>
        <v>#N/A</v>
      </c>
      <c r="O318" s="97" t="e">
        <f t="shared" si="72"/>
        <v>#N/A</v>
      </c>
      <c r="P318" s="90" t="e">
        <f>SUM(D318:O318)</f>
        <v>#N/A</v>
      </c>
      <c r="Q318" s="87"/>
    </row>
    <row r="319" spans="2:17" hidden="1" x14ac:dyDescent="0.25">
      <c r="B319" s="5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87"/>
    </row>
    <row r="320" spans="2:17" hidden="1" x14ac:dyDescent="0.25">
      <c r="B320" s="5"/>
      <c r="C320" s="75" t="s">
        <v>17</v>
      </c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90">
        <f>SUM(D320:O320)</f>
        <v>0</v>
      </c>
      <c r="Q320" s="87"/>
    </row>
    <row r="321" spans="2:17" hidden="1" x14ac:dyDescent="0.25">
      <c r="B321" s="5"/>
      <c r="C321" s="75" t="s">
        <v>18</v>
      </c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90">
        <f>SUM(D321:O321)</f>
        <v>0</v>
      </c>
      <c r="Q321" s="87"/>
    </row>
    <row r="322" spans="2:17" hidden="1" x14ac:dyDescent="0.25">
      <c r="B322" s="5"/>
      <c r="C322" s="9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87"/>
    </row>
    <row r="323" spans="2:17" hidden="1" x14ac:dyDescent="0.25">
      <c r="B323" s="5"/>
      <c r="C323" s="101" t="s">
        <v>19</v>
      </c>
      <c r="D323" s="102" t="e">
        <f t="shared" ref="D323:O323" si="73">+D313+D320+D321</f>
        <v>#N/A</v>
      </c>
      <c r="E323" s="102" t="e">
        <f t="shared" si="73"/>
        <v>#N/A</v>
      </c>
      <c r="F323" s="102" t="e">
        <f t="shared" si="73"/>
        <v>#N/A</v>
      </c>
      <c r="G323" s="102" t="e">
        <f t="shared" si="73"/>
        <v>#N/A</v>
      </c>
      <c r="H323" s="102" t="e">
        <f t="shared" si="73"/>
        <v>#N/A</v>
      </c>
      <c r="I323" s="102" t="e">
        <f t="shared" si="73"/>
        <v>#N/A</v>
      </c>
      <c r="J323" s="102" t="e">
        <f t="shared" si="73"/>
        <v>#N/A</v>
      </c>
      <c r="K323" s="102" t="e">
        <f t="shared" si="73"/>
        <v>#N/A</v>
      </c>
      <c r="L323" s="102" t="e">
        <f t="shared" si="73"/>
        <v>#N/A</v>
      </c>
      <c r="M323" s="102" t="e">
        <f t="shared" si="73"/>
        <v>#N/A</v>
      </c>
      <c r="N323" s="102" t="e">
        <f t="shared" si="73"/>
        <v>#N/A</v>
      </c>
      <c r="O323" s="102" t="e">
        <f t="shared" si="73"/>
        <v>#N/A</v>
      </c>
      <c r="P323" s="103" t="e">
        <f>SUM(D323:O323)</f>
        <v>#N/A</v>
      </c>
      <c r="Q323" s="87"/>
    </row>
    <row r="324" spans="2:17" ht="15.75" hidden="1" thickBot="1" x14ac:dyDescent="0.3">
      <c r="B324" s="6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5"/>
    </row>
    <row r="325" spans="2:17" ht="15.75" hidden="1" thickBot="1" x14ac:dyDescent="0.3"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</row>
    <row r="326" spans="2:17" hidden="1" x14ac:dyDescent="0.25">
      <c r="B326" s="4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1"/>
    </row>
    <row r="327" spans="2:17" hidden="1" x14ac:dyDescent="0.25">
      <c r="B327" s="5"/>
      <c r="C327" s="82" t="s">
        <v>11</v>
      </c>
      <c r="D327" s="83"/>
      <c r="E327" s="84"/>
      <c r="F327" s="84"/>
      <c r="G327" s="85"/>
      <c r="H327" s="171"/>
      <c r="I327" s="172"/>
      <c r="J327" s="172"/>
      <c r="K327" s="172"/>
      <c r="L327" s="172"/>
      <c r="M327" s="172"/>
      <c r="N327" s="172"/>
      <c r="O327" s="173"/>
      <c r="P327" s="86" t="s">
        <v>6</v>
      </c>
      <c r="Q327" s="87"/>
    </row>
    <row r="328" spans="2:17" hidden="1" x14ac:dyDescent="0.25">
      <c r="B328" s="5"/>
      <c r="C328" s="66"/>
      <c r="D328" s="174" t="s">
        <v>41</v>
      </c>
      <c r="E328" s="174"/>
      <c r="F328" s="174"/>
      <c r="G328" s="174"/>
      <c r="H328" s="171"/>
      <c r="I328" s="172"/>
      <c r="J328" s="172"/>
      <c r="K328" s="172"/>
      <c r="L328" s="172"/>
      <c r="M328" s="172"/>
      <c r="N328" s="172"/>
      <c r="O328" s="173"/>
      <c r="P328" s="88"/>
      <c r="Q328" s="87"/>
    </row>
    <row r="329" spans="2:17" hidden="1" x14ac:dyDescent="0.25">
      <c r="B329" s="5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87"/>
    </row>
    <row r="330" spans="2:17" hidden="1" x14ac:dyDescent="0.25">
      <c r="B330" s="5"/>
      <c r="C330" s="62" t="s">
        <v>27</v>
      </c>
      <c r="D330" s="89" t="e">
        <f>HLOOKUP($D$327,'EJEMPLO DE NOMINA'!$E$1:$BU$97,2,FALSE)</f>
        <v>#N/A</v>
      </c>
      <c r="E330" s="89" t="e">
        <f>HLOOKUP($D$327,'EJEMPLO DE NOMINA'!$E$1:$BU$97,10,FALSE)</f>
        <v>#N/A</v>
      </c>
      <c r="F330" s="89" t="e">
        <f>HLOOKUP($D$327,'EJEMPLO DE NOMINA'!$E$1:$BU$97,18,FALSE)</f>
        <v>#N/A</v>
      </c>
      <c r="G330" s="89" t="e">
        <f>HLOOKUP($D$327,'EJEMPLO DE NOMINA'!$E$1:$BU$97,26,FALSE)</f>
        <v>#N/A</v>
      </c>
      <c r="H330" s="89" t="e">
        <f>HLOOKUP($D$327,'EJEMPLO DE NOMINA'!$E$1:$BU$97,34,FALSE)</f>
        <v>#N/A</v>
      </c>
      <c r="I330" s="89" t="e">
        <f>HLOOKUP($D$327,'EJEMPLO DE NOMINA'!$E$1:$BU$97,42,FALSE)</f>
        <v>#N/A</v>
      </c>
      <c r="J330" s="89" t="e">
        <f>HLOOKUP($D$327,'EJEMPLO DE NOMINA'!$E$1:$BU$97,50,FALSE)</f>
        <v>#N/A</v>
      </c>
      <c r="K330" s="89" t="e">
        <f>HLOOKUP($D$327,'EJEMPLO DE NOMINA'!$E$1:$BU$97,58,FALSE)</f>
        <v>#N/A</v>
      </c>
      <c r="L330" s="89" t="e">
        <f>HLOOKUP($D$327,'EJEMPLO DE NOMINA'!$E$1:$BU$97,66,FALSE)</f>
        <v>#N/A</v>
      </c>
      <c r="M330" s="89" t="e">
        <f>HLOOKUP($D$327,'EJEMPLO DE NOMINA'!$E$1:$BU$97,74,FALSE)</f>
        <v>#N/A</v>
      </c>
      <c r="N330" s="89" t="e">
        <f>HLOOKUP($D$327,'EJEMPLO DE NOMINA'!$E$1:$BU$97,82,FALSE)</f>
        <v>#N/A</v>
      </c>
      <c r="O330" s="89" t="e">
        <f>HLOOKUP($D$327,'EJEMPLO DE NOMINA'!$E$1:$BU$97,90,FALSE)</f>
        <v>#N/A</v>
      </c>
      <c r="P330" s="90" t="e">
        <f>SUM(D330:O330)</f>
        <v>#N/A</v>
      </c>
      <c r="Q330" s="87"/>
    </row>
    <row r="331" spans="2:17" hidden="1" x14ac:dyDescent="0.25">
      <c r="B331" s="5"/>
      <c r="C331" s="62" t="s">
        <v>26</v>
      </c>
      <c r="D331" s="91" t="e">
        <f>HLOOKUP($D$327,'EJEMPLO DE NOMINA'!$E$1:$BU$97,3,FALSE)</f>
        <v>#N/A</v>
      </c>
      <c r="E331" s="89" t="e">
        <f>HLOOKUP($D$327,'EJEMPLO DE NOMINA'!$E$1:$BU$97,11,FALSE)</f>
        <v>#N/A</v>
      </c>
      <c r="F331" s="89" t="e">
        <f>HLOOKUP($D$327,'EJEMPLO DE NOMINA'!$E$1:$BU$97,19,FALSE)</f>
        <v>#N/A</v>
      </c>
      <c r="G331" s="89" t="e">
        <f>HLOOKUP($D$327,'EJEMPLO DE NOMINA'!$E$1:$BU$97,27,FALSE)</f>
        <v>#N/A</v>
      </c>
      <c r="H331" s="89" t="e">
        <f>HLOOKUP($D$327,'EJEMPLO DE NOMINA'!$E$1:$BU$97,35,FALSE)</f>
        <v>#N/A</v>
      </c>
      <c r="I331" s="89" t="e">
        <f>HLOOKUP($D$327,'EJEMPLO DE NOMINA'!$E$1:$BU$97,43,FALSE)</f>
        <v>#N/A</v>
      </c>
      <c r="J331" s="89" t="e">
        <f>HLOOKUP($D$327,'EJEMPLO DE NOMINA'!$E$1:$BU$97,51,FALSE)</f>
        <v>#N/A</v>
      </c>
      <c r="K331" s="89" t="e">
        <f>HLOOKUP($D$327,'EJEMPLO DE NOMINA'!$E$1:$BU$97,59,FALSE)</f>
        <v>#N/A</v>
      </c>
      <c r="L331" s="89" t="e">
        <f>HLOOKUP($D$327,'EJEMPLO DE NOMINA'!$E$1:$BU$97,67,FALSE)</f>
        <v>#N/A</v>
      </c>
      <c r="M331" s="89" t="e">
        <f>HLOOKUP($D$327,'EJEMPLO DE NOMINA'!$E$1:$BU$97,75,FALSE)</f>
        <v>#N/A</v>
      </c>
      <c r="N331" s="89" t="e">
        <f>HLOOKUP($D$327,'EJEMPLO DE NOMINA'!$E$1:$BU$97,83,FALSE)</f>
        <v>#N/A</v>
      </c>
      <c r="O331" s="89" t="e">
        <f>HLOOKUP($D$327,'EJEMPLO DE NOMINA'!$E$1:$BU$97,91,FALSE)</f>
        <v>#N/A</v>
      </c>
      <c r="P331" s="92" t="e">
        <f>AVERAGE(D331:O331)</f>
        <v>#N/A</v>
      </c>
      <c r="Q331" s="87"/>
    </row>
    <row r="332" spans="2:17" hidden="1" x14ac:dyDescent="0.25">
      <c r="B332" s="5"/>
      <c r="C332" s="62" t="s">
        <v>33</v>
      </c>
      <c r="D332" s="91" t="e">
        <f>HLOOKUP($D$327,'EJEMPLO DE NOMINA'!$E$1:$BU$97,4,FALSE)</f>
        <v>#N/A</v>
      </c>
      <c r="E332" s="89" t="e">
        <f>HLOOKUP($D$327,'EJEMPLO DE NOMINA'!$E$1:$BU$97,12,FALSE)</f>
        <v>#N/A</v>
      </c>
      <c r="F332" s="89" t="e">
        <f>HLOOKUP($D$327,'EJEMPLO DE NOMINA'!$E$1:$BU$97,20,FALSE)</f>
        <v>#N/A</v>
      </c>
      <c r="G332" s="89" t="e">
        <f>HLOOKUP($D$327,'EJEMPLO DE NOMINA'!$E$1:$BU$97,28,FALSE)</f>
        <v>#N/A</v>
      </c>
      <c r="H332" s="89" t="e">
        <f>HLOOKUP($D$327,'EJEMPLO DE NOMINA'!$E$1:$BU$97,36,FALSE)</f>
        <v>#N/A</v>
      </c>
      <c r="I332" s="89" t="e">
        <f>HLOOKUP($D$327,'EJEMPLO DE NOMINA'!$E$1:$BU$97,44,FALSE)</f>
        <v>#N/A</v>
      </c>
      <c r="J332" s="89" t="e">
        <f>HLOOKUP($D$327,'EJEMPLO DE NOMINA'!$E$1:$BU$97,52,FALSE)</f>
        <v>#N/A</v>
      </c>
      <c r="K332" s="89" t="e">
        <f>HLOOKUP($D$327,'EJEMPLO DE NOMINA'!$E$1:$BU$97,60,FALSE)</f>
        <v>#N/A</v>
      </c>
      <c r="L332" s="89" t="e">
        <f>HLOOKUP($D$327,'EJEMPLO DE NOMINA'!$E$1:$BU$97,68,FALSE)</f>
        <v>#N/A</v>
      </c>
      <c r="M332" s="89" t="e">
        <f>HLOOKUP($D$327,'EJEMPLO DE NOMINA'!$E$1:$BU$97,76,FALSE)</f>
        <v>#N/A</v>
      </c>
      <c r="N332" s="89" t="e">
        <f>HLOOKUP($D$327,'EJEMPLO DE NOMINA'!$E$1:$BU$97,84,FALSE)</f>
        <v>#N/A</v>
      </c>
      <c r="O332" s="89" t="e">
        <f>HLOOKUP($D$327,'EJEMPLO DE NOMINA'!$E$1:$BU$97,92,FALSE)</f>
        <v>#N/A</v>
      </c>
      <c r="P332" s="90" t="e">
        <f>SUM(D332:O332)</f>
        <v>#N/A</v>
      </c>
      <c r="Q332" s="93"/>
    </row>
    <row r="333" spans="2:17" hidden="1" x14ac:dyDescent="0.25">
      <c r="B333" s="5"/>
      <c r="C333" s="62" t="s">
        <v>34</v>
      </c>
      <c r="D333" s="91" t="e">
        <f>HLOOKUP($D$327,'EJEMPLO DE NOMINA'!$E$1:$BU$97,5,FALSE)</f>
        <v>#N/A</v>
      </c>
      <c r="E333" s="89" t="e">
        <f>HLOOKUP($D$327,'EJEMPLO DE NOMINA'!$E$1:$BU$97,13,FALSE)</f>
        <v>#N/A</v>
      </c>
      <c r="F333" s="89" t="e">
        <f>HLOOKUP($D$327,'EJEMPLO DE NOMINA'!$E$1:$BU$97,21,FALSE)</f>
        <v>#N/A</v>
      </c>
      <c r="G333" s="89" t="e">
        <f>HLOOKUP($D$327,'EJEMPLO DE NOMINA'!$E$1:$BU$97,29,FALSE)</f>
        <v>#N/A</v>
      </c>
      <c r="H333" s="89" t="e">
        <f>HLOOKUP($D$327,'EJEMPLO DE NOMINA'!$E$1:$BU$97,37,FALSE)</f>
        <v>#N/A</v>
      </c>
      <c r="I333" s="89" t="e">
        <f>HLOOKUP($D$327,'EJEMPLO DE NOMINA'!$E$1:$BU$97,45,FALSE)</f>
        <v>#N/A</v>
      </c>
      <c r="J333" s="89" t="e">
        <f>HLOOKUP($D$327,'EJEMPLO DE NOMINA'!$E$1:$BU$97,53,FALSE)</f>
        <v>#N/A</v>
      </c>
      <c r="K333" s="89" t="e">
        <f>HLOOKUP($D$327,'EJEMPLO DE NOMINA'!$E$1:$BU$97,61,FALSE)</f>
        <v>#N/A</v>
      </c>
      <c r="L333" s="89" t="e">
        <f>HLOOKUP($D$327,'EJEMPLO DE NOMINA'!$E$1:$BU$97,69,FALSE)</f>
        <v>#N/A</v>
      </c>
      <c r="M333" s="89" t="e">
        <f>HLOOKUP($D$327,'EJEMPLO DE NOMINA'!$E$1:$BU$97,77,FALSE)</f>
        <v>#N/A</v>
      </c>
      <c r="N333" s="89" t="e">
        <f>HLOOKUP($D$327,'EJEMPLO DE NOMINA'!$E$1:$BU$97,85,FALSE)</f>
        <v>#N/A</v>
      </c>
      <c r="O333" s="89" t="e">
        <f>HLOOKUP($D$327,'EJEMPLO DE NOMINA'!$E$1:$BU$97,93,FALSE)</f>
        <v>#N/A</v>
      </c>
      <c r="P333" s="90" t="e">
        <f>SUM(D333:O333)</f>
        <v>#N/A</v>
      </c>
      <c r="Q333" s="93"/>
    </row>
    <row r="334" spans="2:17" hidden="1" x14ac:dyDescent="0.25">
      <c r="B334" s="5"/>
      <c r="C334" s="94" t="s">
        <v>39</v>
      </c>
      <c r="D334" s="95" t="e">
        <f>+D332</f>
        <v>#N/A</v>
      </c>
      <c r="E334" s="95" t="e">
        <f t="shared" ref="E334:O334" si="74">+E332</f>
        <v>#N/A</v>
      </c>
      <c r="F334" s="95" t="e">
        <f t="shared" si="74"/>
        <v>#N/A</v>
      </c>
      <c r="G334" s="95" t="e">
        <f t="shared" si="74"/>
        <v>#N/A</v>
      </c>
      <c r="H334" s="95" t="e">
        <f t="shared" si="74"/>
        <v>#N/A</v>
      </c>
      <c r="I334" s="95" t="e">
        <f t="shared" si="74"/>
        <v>#N/A</v>
      </c>
      <c r="J334" s="95" t="e">
        <f t="shared" si="74"/>
        <v>#N/A</v>
      </c>
      <c r="K334" s="95" t="e">
        <f t="shared" si="74"/>
        <v>#N/A</v>
      </c>
      <c r="L334" s="95" t="e">
        <f t="shared" si="74"/>
        <v>#N/A</v>
      </c>
      <c r="M334" s="95" t="e">
        <f t="shared" si="74"/>
        <v>#N/A</v>
      </c>
      <c r="N334" s="95" t="e">
        <f t="shared" si="74"/>
        <v>#N/A</v>
      </c>
      <c r="O334" s="95" t="e">
        <f t="shared" si="74"/>
        <v>#N/A</v>
      </c>
      <c r="P334" s="90" t="e">
        <f>SUM(D334:O334)</f>
        <v>#N/A</v>
      </c>
      <c r="Q334" s="93"/>
    </row>
    <row r="335" spans="2:17" hidden="1" x14ac:dyDescent="0.25">
      <c r="B335" s="5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3"/>
    </row>
    <row r="336" spans="2:17" hidden="1" x14ac:dyDescent="0.25">
      <c r="B336" s="5"/>
      <c r="C336" s="62" t="s">
        <v>35</v>
      </c>
      <c r="D336" s="91" t="e">
        <f>HLOOKUP($D$327,'EJEMPLO DE NOMINA'!$E$1:$BU$97,6,FALSE)</f>
        <v>#N/A</v>
      </c>
      <c r="E336" s="89" t="e">
        <f>HLOOKUP($D$327,'EJEMPLO DE NOMINA'!$E$1:$BU$97,14,FALSE)</f>
        <v>#N/A</v>
      </c>
      <c r="F336" s="89" t="e">
        <f>HLOOKUP($D$327,'EJEMPLO DE NOMINA'!$E$1:$BU$97,22,FALSE)</f>
        <v>#N/A</v>
      </c>
      <c r="G336" s="89" t="e">
        <f>HLOOKUP($D$327,'EJEMPLO DE NOMINA'!$E$1:$BU$97,30,FALSE)</f>
        <v>#N/A</v>
      </c>
      <c r="H336" s="89" t="e">
        <f>HLOOKUP($D$327,'EJEMPLO DE NOMINA'!$E$1:$BU$97,38,FALSE)</f>
        <v>#N/A</v>
      </c>
      <c r="I336" s="89" t="e">
        <f>HLOOKUP($D$327,'EJEMPLO DE NOMINA'!$E$1:$BU$97,46,FALSE)</f>
        <v>#N/A</v>
      </c>
      <c r="J336" s="89" t="e">
        <f>HLOOKUP($D$327,'EJEMPLO DE NOMINA'!$E$1:$BU$97,54,FALSE)</f>
        <v>#N/A</v>
      </c>
      <c r="K336" s="89" t="e">
        <f>HLOOKUP($D$327,'EJEMPLO DE NOMINA'!$E$1:$BU$97,62,FALSE)</f>
        <v>#N/A</v>
      </c>
      <c r="L336" s="89" t="e">
        <f>HLOOKUP($D$327,'EJEMPLO DE NOMINA'!$E$1:$BU$97,70,FALSE)</f>
        <v>#N/A</v>
      </c>
      <c r="M336" s="89" t="e">
        <f>HLOOKUP($D$327,'EJEMPLO DE NOMINA'!$E$1:$BU$97,78,FALSE)</f>
        <v>#N/A</v>
      </c>
      <c r="N336" s="89" t="e">
        <f>HLOOKUP($D$327,'EJEMPLO DE NOMINA'!$E$1:$BU$97,86,FALSE)</f>
        <v>#N/A</v>
      </c>
      <c r="O336" s="89" t="e">
        <f>HLOOKUP($D$327,'EJEMPLO DE NOMINA'!$E$1:$BU$97,94,FALSE)</f>
        <v>#N/A</v>
      </c>
      <c r="P336" s="90" t="e">
        <f>SUM(D336:O336)</f>
        <v>#N/A</v>
      </c>
      <c r="Q336" s="87"/>
    </row>
    <row r="337" spans="2:17" hidden="1" x14ac:dyDescent="0.25">
      <c r="B337" s="5"/>
      <c r="C337" s="62" t="s">
        <v>36</v>
      </c>
      <c r="D337" s="91" t="e">
        <f>HLOOKUP($D$327,'EJEMPLO DE NOMINA'!$E$1:$BU$97,7,FALSE)</f>
        <v>#N/A</v>
      </c>
      <c r="E337" s="89" t="e">
        <f>HLOOKUP($D$327,'EJEMPLO DE NOMINA'!$E$1:$BU$97,15,FALSE)</f>
        <v>#N/A</v>
      </c>
      <c r="F337" s="89" t="e">
        <f>HLOOKUP($D$327,'EJEMPLO DE NOMINA'!$E$1:$BU$97,23,FALSE)</f>
        <v>#N/A</v>
      </c>
      <c r="G337" s="89" t="e">
        <f>HLOOKUP($D$327,'EJEMPLO DE NOMINA'!$E$1:$BU$97,31,FALSE)</f>
        <v>#N/A</v>
      </c>
      <c r="H337" s="89" t="e">
        <f>HLOOKUP($D$327,'EJEMPLO DE NOMINA'!$E$1:$BU$97,39,FALSE)</f>
        <v>#N/A</v>
      </c>
      <c r="I337" s="89" t="e">
        <f>HLOOKUP($D$327,'EJEMPLO DE NOMINA'!$E$1:$BU$97,47,FALSE)</f>
        <v>#N/A</v>
      </c>
      <c r="J337" s="89" t="e">
        <f>HLOOKUP($D$327,'EJEMPLO DE NOMINA'!$E$1:$BU$97,55,FALSE)</f>
        <v>#N/A</v>
      </c>
      <c r="K337" s="89" t="e">
        <f>HLOOKUP($D$327,'EJEMPLO DE NOMINA'!$E$1:$BU$97,63,FALSE)</f>
        <v>#N/A</v>
      </c>
      <c r="L337" s="89" t="e">
        <f>HLOOKUP($D$327,'EJEMPLO DE NOMINA'!$E$1:$BU$97,71,FALSE)</f>
        <v>#N/A</v>
      </c>
      <c r="M337" s="89" t="e">
        <f>HLOOKUP($D$327,'EJEMPLO DE NOMINA'!$E$1:$BU$97,79,FALSE)</f>
        <v>#N/A</v>
      </c>
      <c r="N337" s="89" t="e">
        <f>HLOOKUP($D$327,'EJEMPLO DE NOMINA'!$E$1:$BU$97,87,FALSE)</f>
        <v>#N/A</v>
      </c>
      <c r="O337" s="89" t="e">
        <f>HLOOKUP($D$327,'EJEMPLO DE NOMINA'!$E$1:$BU$97,95,FALSE)</f>
        <v>#N/A</v>
      </c>
      <c r="P337" s="92" t="e">
        <f>AVERAGE(D337:O337)</f>
        <v>#N/A</v>
      </c>
      <c r="Q337" s="87"/>
    </row>
    <row r="338" spans="2:17" hidden="1" x14ac:dyDescent="0.25">
      <c r="B338" s="5"/>
      <c r="C338" s="62" t="s">
        <v>37</v>
      </c>
      <c r="D338" s="91" t="e">
        <f>HLOOKUP($D$327,'EJEMPLO DE NOMINA'!$E$1:$BU$97,8,FALSE)</f>
        <v>#N/A</v>
      </c>
      <c r="E338" s="89" t="e">
        <f>HLOOKUP($D$327,'EJEMPLO DE NOMINA'!$E$1:$BU$97,16,FALSE)</f>
        <v>#N/A</v>
      </c>
      <c r="F338" s="89" t="e">
        <f>HLOOKUP($D$327,'EJEMPLO DE NOMINA'!$E$1:$BU$97,24,FALSE)</f>
        <v>#N/A</v>
      </c>
      <c r="G338" s="89" t="e">
        <f>HLOOKUP($D$327,'EJEMPLO DE NOMINA'!$E$1:$BU$97,32,FALSE)</f>
        <v>#N/A</v>
      </c>
      <c r="H338" s="89" t="e">
        <f>HLOOKUP($D$327,'EJEMPLO DE NOMINA'!$E$1:$BU$97,40,FALSE)</f>
        <v>#N/A</v>
      </c>
      <c r="I338" s="89" t="e">
        <f>HLOOKUP($D$327,'EJEMPLO DE NOMINA'!$E$1:$BU$97,48,FALSE)</f>
        <v>#N/A</v>
      </c>
      <c r="J338" s="89" t="e">
        <f>HLOOKUP($D$327,'EJEMPLO DE NOMINA'!$E$1:$BU$97,56,FALSE)</f>
        <v>#N/A</v>
      </c>
      <c r="K338" s="89" t="e">
        <f>HLOOKUP($D$327,'EJEMPLO DE NOMINA'!$E$1:$BU$97,64,FALSE)</f>
        <v>#N/A</v>
      </c>
      <c r="L338" s="89" t="e">
        <f>HLOOKUP($D$327,'EJEMPLO DE NOMINA'!$E$1:$BU$97,72,FALSE)</f>
        <v>#N/A</v>
      </c>
      <c r="M338" s="89" t="e">
        <f>HLOOKUP($D$327,'EJEMPLO DE NOMINA'!$E$1:$BU$97,80,FALSE)</f>
        <v>#N/A</v>
      </c>
      <c r="N338" s="89" t="e">
        <f>HLOOKUP($D$327,'EJEMPLO DE NOMINA'!$E$1:$BU$97,88,FALSE)</f>
        <v>#N/A</v>
      </c>
      <c r="O338" s="89" t="e">
        <f>HLOOKUP($D$327,'EJEMPLO DE NOMINA'!$E$1:$BU$97,96,FALSE)</f>
        <v>#N/A</v>
      </c>
      <c r="P338" s="90" t="e">
        <f>SUM(D338:O338)</f>
        <v>#N/A</v>
      </c>
      <c r="Q338" s="87"/>
    </row>
    <row r="339" spans="2:17" hidden="1" x14ac:dyDescent="0.25">
      <c r="B339" s="5"/>
      <c r="C339" s="62" t="s">
        <v>38</v>
      </c>
      <c r="D339" s="91" t="e">
        <f>HLOOKUP($D$327,'EJEMPLO DE NOMINA'!$E$1:$BU$97,9,FALSE)</f>
        <v>#N/A</v>
      </c>
      <c r="E339" s="89" t="e">
        <f>HLOOKUP($D$327,'EJEMPLO DE NOMINA'!$E$1:$BU$97,17,FALSE)</f>
        <v>#N/A</v>
      </c>
      <c r="F339" s="89" t="e">
        <f>HLOOKUP($D$327,'EJEMPLO DE NOMINA'!$E$1:$BU$97,25,FALSE)</f>
        <v>#N/A</v>
      </c>
      <c r="G339" s="89" t="e">
        <f>HLOOKUP($D$327,'EJEMPLO DE NOMINA'!$E$1:$BU$97,33,FALSE)</f>
        <v>#N/A</v>
      </c>
      <c r="H339" s="89" t="e">
        <f>HLOOKUP($D$327,'EJEMPLO DE NOMINA'!$E$1:$BU$97,41,FALSE)</f>
        <v>#N/A</v>
      </c>
      <c r="I339" s="89" t="e">
        <f>HLOOKUP($D$327,'EJEMPLO DE NOMINA'!$E$1:$BU$97,49,FALSE)</f>
        <v>#N/A</v>
      </c>
      <c r="J339" s="89" t="e">
        <f>HLOOKUP($D$327,'EJEMPLO DE NOMINA'!$E$1:$BU$97,57,FALSE)</f>
        <v>#N/A</v>
      </c>
      <c r="K339" s="89" t="e">
        <f>HLOOKUP($D$327,'EJEMPLO DE NOMINA'!$E$1:$BU$97,65,FALSE)</f>
        <v>#N/A</v>
      </c>
      <c r="L339" s="89" t="e">
        <f>HLOOKUP($D$327,'EJEMPLO DE NOMINA'!$E$1:$BU$97,73,FALSE)</f>
        <v>#N/A</v>
      </c>
      <c r="M339" s="89" t="e">
        <f>HLOOKUP($D$327,'EJEMPLO DE NOMINA'!$E$1:$BU$97,81,FALSE)</f>
        <v>#N/A</v>
      </c>
      <c r="N339" s="89" t="e">
        <f>HLOOKUP($D$327,'EJEMPLO DE NOMINA'!$E$1:$BU$97,89,FALSE)</f>
        <v>#N/A</v>
      </c>
      <c r="O339" s="89" t="e">
        <f>HLOOKUP($D$327,'EJEMPLO DE NOMINA'!$E$1:$BU$97,97,FALSE)</f>
        <v>#N/A</v>
      </c>
      <c r="P339" s="90" t="e">
        <f>SUM(D339:O339)</f>
        <v>#N/A</v>
      </c>
      <c r="Q339" s="87"/>
    </row>
    <row r="340" spans="2:17" hidden="1" x14ac:dyDescent="0.25">
      <c r="B340" s="5"/>
      <c r="C340" s="94" t="s">
        <v>39</v>
      </c>
      <c r="D340" s="97" t="e">
        <f>+D338</f>
        <v>#N/A</v>
      </c>
      <c r="E340" s="97" t="e">
        <f t="shared" ref="E340:O340" si="75">+E338</f>
        <v>#N/A</v>
      </c>
      <c r="F340" s="97" t="e">
        <f t="shared" si="75"/>
        <v>#N/A</v>
      </c>
      <c r="G340" s="97" t="e">
        <f t="shared" si="75"/>
        <v>#N/A</v>
      </c>
      <c r="H340" s="97" t="e">
        <f t="shared" si="75"/>
        <v>#N/A</v>
      </c>
      <c r="I340" s="97" t="e">
        <f t="shared" si="75"/>
        <v>#N/A</v>
      </c>
      <c r="J340" s="97" t="e">
        <f t="shared" si="75"/>
        <v>#N/A</v>
      </c>
      <c r="K340" s="97" t="e">
        <f t="shared" si="75"/>
        <v>#N/A</v>
      </c>
      <c r="L340" s="97" t="e">
        <f t="shared" si="75"/>
        <v>#N/A</v>
      </c>
      <c r="M340" s="97" t="e">
        <f t="shared" si="75"/>
        <v>#N/A</v>
      </c>
      <c r="N340" s="97" t="e">
        <f t="shared" si="75"/>
        <v>#N/A</v>
      </c>
      <c r="O340" s="97" t="e">
        <f t="shared" si="75"/>
        <v>#N/A</v>
      </c>
      <c r="P340" s="90" t="e">
        <f>SUM(D340:O340)</f>
        <v>#N/A</v>
      </c>
      <c r="Q340" s="87"/>
    </row>
    <row r="341" spans="2:17" hidden="1" x14ac:dyDescent="0.25">
      <c r="B341" s="5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87"/>
    </row>
    <row r="342" spans="2:17" hidden="1" x14ac:dyDescent="0.25">
      <c r="B342" s="5"/>
      <c r="C342" s="62" t="s">
        <v>12</v>
      </c>
      <c r="D342" s="98">
        <v>0.02</v>
      </c>
      <c r="E342" s="98">
        <v>0.02</v>
      </c>
      <c r="F342" s="98">
        <v>0.02</v>
      </c>
      <c r="G342" s="98">
        <v>0.02</v>
      </c>
      <c r="H342" s="98">
        <v>0.02</v>
      </c>
      <c r="I342" s="98">
        <v>0.02</v>
      </c>
      <c r="J342" s="98">
        <v>0.02</v>
      </c>
      <c r="K342" s="98">
        <v>0.02</v>
      </c>
      <c r="L342" s="98">
        <v>0.02</v>
      </c>
      <c r="M342" s="98">
        <v>0.02</v>
      </c>
      <c r="N342" s="98">
        <v>0.02</v>
      </c>
      <c r="O342" s="98">
        <v>0.02</v>
      </c>
      <c r="P342" s="66"/>
      <c r="Q342" s="87"/>
    </row>
    <row r="343" spans="2:17" hidden="1" x14ac:dyDescent="0.25">
      <c r="B343" s="5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87"/>
    </row>
    <row r="344" spans="2:17" hidden="1" x14ac:dyDescent="0.25">
      <c r="B344" s="5"/>
      <c r="C344" s="62" t="s">
        <v>13</v>
      </c>
      <c r="D344" s="97" t="e">
        <f t="shared" ref="D344:O344" si="76">+D340*D342</f>
        <v>#N/A</v>
      </c>
      <c r="E344" s="97" t="e">
        <f t="shared" si="76"/>
        <v>#N/A</v>
      </c>
      <c r="F344" s="97" t="e">
        <f t="shared" si="76"/>
        <v>#N/A</v>
      </c>
      <c r="G344" s="97" t="e">
        <f t="shared" si="76"/>
        <v>#N/A</v>
      </c>
      <c r="H344" s="97" t="e">
        <f t="shared" si="76"/>
        <v>#N/A</v>
      </c>
      <c r="I344" s="97" t="e">
        <f t="shared" si="76"/>
        <v>#N/A</v>
      </c>
      <c r="J344" s="97" t="e">
        <f t="shared" si="76"/>
        <v>#N/A</v>
      </c>
      <c r="K344" s="97" t="e">
        <f t="shared" si="76"/>
        <v>#N/A</v>
      </c>
      <c r="L344" s="97" t="e">
        <f t="shared" si="76"/>
        <v>#N/A</v>
      </c>
      <c r="M344" s="97" t="e">
        <f t="shared" si="76"/>
        <v>#N/A</v>
      </c>
      <c r="N344" s="97" t="e">
        <f t="shared" si="76"/>
        <v>#N/A</v>
      </c>
      <c r="O344" s="97" t="e">
        <f t="shared" si="76"/>
        <v>#N/A</v>
      </c>
      <c r="P344" s="90" t="e">
        <f>SUM(D344:O344)</f>
        <v>#N/A</v>
      </c>
      <c r="Q344" s="87"/>
    </row>
    <row r="345" spans="2:17" hidden="1" x14ac:dyDescent="0.25">
      <c r="B345" s="5"/>
      <c r="C345" s="62" t="s">
        <v>22</v>
      </c>
      <c r="D345" s="97" t="e">
        <f t="shared" ref="D345:O345" si="77">+D336</f>
        <v>#N/A</v>
      </c>
      <c r="E345" s="97" t="e">
        <f t="shared" si="77"/>
        <v>#N/A</v>
      </c>
      <c r="F345" s="97" t="e">
        <f t="shared" si="77"/>
        <v>#N/A</v>
      </c>
      <c r="G345" s="97" t="e">
        <f t="shared" si="77"/>
        <v>#N/A</v>
      </c>
      <c r="H345" s="97" t="e">
        <f t="shared" si="77"/>
        <v>#N/A</v>
      </c>
      <c r="I345" s="97" t="e">
        <f t="shared" si="77"/>
        <v>#N/A</v>
      </c>
      <c r="J345" s="97" t="e">
        <f t="shared" si="77"/>
        <v>#N/A</v>
      </c>
      <c r="K345" s="97" t="e">
        <f t="shared" si="77"/>
        <v>#N/A</v>
      </c>
      <c r="L345" s="97" t="e">
        <f t="shared" si="77"/>
        <v>#N/A</v>
      </c>
      <c r="M345" s="97" t="e">
        <f t="shared" si="77"/>
        <v>#N/A</v>
      </c>
      <c r="N345" s="97" t="e">
        <f t="shared" si="77"/>
        <v>#N/A</v>
      </c>
      <c r="O345" s="97" t="e">
        <f t="shared" si="77"/>
        <v>#N/A</v>
      </c>
      <c r="P345" s="90" t="e">
        <f>SUM(D345:O345)</f>
        <v>#N/A</v>
      </c>
      <c r="Q345" s="87"/>
    </row>
    <row r="346" spans="2:17" hidden="1" x14ac:dyDescent="0.25">
      <c r="B346" s="5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87"/>
    </row>
    <row r="347" spans="2:17" hidden="1" x14ac:dyDescent="0.25">
      <c r="B347" s="5"/>
      <c r="C347" s="99" t="s">
        <v>14</v>
      </c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87"/>
    </row>
    <row r="348" spans="2:17" hidden="1" x14ac:dyDescent="0.25">
      <c r="B348" s="5"/>
      <c r="C348" s="62" t="s">
        <v>15</v>
      </c>
      <c r="D348" s="97" t="e">
        <f t="shared" ref="D348:O348" si="78">+D330-D344</f>
        <v>#N/A</v>
      </c>
      <c r="E348" s="97" t="e">
        <f t="shared" si="78"/>
        <v>#N/A</v>
      </c>
      <c r="F348" s="97" t="e">
        <f t="shared" si="78"/>
        <v>#N/A</v>
      </c>
      <c r="G348" s="97" t="e">
        <f t="shared" si="78"/>
        <v>#N/A</v>
      </c>
      <c r="H348" s="97" t="e">
        <f t="shared" si="78"/>
        <v>#N/A</v>
      </c>
      <c r="I348" s="97" t="e">
        <f t="shared" si="78"/>
        <v>#N/A</v>
      </c>
      <c r="J348" s="97" t="e">
        <f t="shared" si="78"/>
        <v>#N/A</v>
      </c>
      <c r="K348" s="97" t="e">
        <f t="shared" si="78"/>
        <v>#N/A</v>
      </c>
      <c r="L348" s="97" t="e">
        <f t="shared" si="78"/>
        <v>#N/A</v>
      </c>
      <c r="M348" s="97" t="e">
        <f t="shared" si="78"/>
        <v>#N/A</v>
      </c>
      <c r="N348" s="97" t="e">
        <f t="shared" si="78"/>
        <v>#N/A</v>
      </c>
      <c r="O348" s="97" t="e">
        <f t="shared" si="78"/>
        <v>#N/A</v>
      </c>
      <c r="P348" s="90" t="e">
        <f>SUM(D348:O348)</f>
        <v>#N/A</v>
      </c>
      <c r="Q348" s="87"/>
    </row>
    <row r="349" spans="2:17" hidden="1" x14ac:dyDescent="0.25">
      <c r="B349" s="5"/>
      <c r="C349" s="62" t="s">
        <v>16</v>
      </c>
      <c r="D349" s="97" t="e">
        <f t="shared" ref="D349:O349" si="79">+D336-D344</f>
        <v>#N/A</v>
      </c>
      <c r="E349" s="97" t="e">
        <f t="shared" si="79"/>
        <v>#N/A</v>
      </c>
      <c r="F349" s="97" t="e">
        <f t="shared" si="79"/>
        <v>#N/A</v>
      </c>
      <c r="G349" s="97" t="e">
        <f t="shared" si="79"/>
        <v>#N/A</v>
      </c>
      <c r="H349" s="97" t="e">
        <f t="shared" si="79"/>
        <v>#N/A</v>
      </c>
      <c r="I349" s="97" t="e">
        <f t="shared" si="79"/>
        <v>#N/A</v>
      </c>
      <c r="J349" s="97" t="e">
        <f t="shared" si="79"/>
        <v>#N/A</v>
      </c>
      <c r="K349" s="97" t="e">
        <f t="shared" si="79"/>
        <v>#N/A</v>
      </c>
      <c r="L349" s="97" t="e">
        <f t="shared" si="79"/>
        <v>#N/A</v>
      </c>
      <c r="M349" s="97" t="e">
        <f t="shared" si="79"/>
        <v>#N/A</v>
      </c>
      <c r="N349" s="97" t="e">
        <f t="shared" si="79"/>
        <v>#N/A</v>
      </c>
      <c r="O349" s="97" t="e">
        <f t="shared" si="79"/>
        <v>#N/A</v>
      </c>
      <c r="P349" s="90" t="e">
        <f>SUM(D349:O349)</f>
        <v>#N/A</v>
      </c>
      <c r="Q349" s="87"/>
    </row>
    <row r="350" spans="2:17" hidden="1" x14ac:dyDescent="0.25">
      <c r="B350" s="5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87"/>
    </row>
    <row r="351" spans="2:17" hidden="1" x14ac:dyDescent="0.25">
      <c r="B351" s="5"/>
      <c r="C351" s="75" t="s">
        <v>17</v>
      </c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90">
        <f>SUM(D351:O351)</f>
        <v>0</v>
      </c>
      <c r="Q351" s="87"/>
    </row>
    <row r="352" spans="2:17" hidden="1" x14ac:dyDescent="0.25">
      <c r="B352" s="5"/>
      <c r="C352" s="75" t="s">
        <v>18</v>
      </c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90">
        <f>SUM(D352:O352)</f>
        <v>0</v>
      </c>
      <c r="Q352" s="87"/>
    </row>
    <row r="353" spans="2:17" hidden="1" x14ac:dyDescent="0.25">
      <c r="B353" s="5"/>
      <c r="C353" s="9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87"/>
    </row>
    <row r="354" spans="2:17" hidden="1" x14ac:dyDescent="0.25">
      <c r="B354" s="5"/>
      <c r="C354" s="101" t="s">
        <v>19</v>
      </c>
      <c r="D354" s="102" t="e">
        <f t="shared" ref="D354:O354" si="80">+D344+D351+D352</f>
        <v>#N/A</v>
      </c>
      <c r="E354" s="102" t="e">
        <f t="shared" si="80"/>
        <v>#N/A</v>
      </c>
      <c r="F354" s="102" t="e">
        <f t="shared" si="80"/>
        <v>#N/A</v>
      </c>
      <c r="G354" s="102" t="e">
        <f t="shared" si="80"/>
        <v>#N/A</v>
      </c>
      <c r="H354" s="102" t="e">
        <f t="shared" si="80"/>
        <v>#N/A</v>
      </c>
      <c r="I354" s="102" t="e">
        <f t="shared" si="80"/>
        <v>#N/A</v>
      </c>
      <c r="J354" s="102" t="e">
        <f t="shared" si="80"/>
        <v>#N/A</v>
      </c>
      <c r="K354" s="102" t="e">
        <f t="shared" si="80"/>
        <v>#N/A</v>
      </c>
      <c r="L354" s="102" t="e">
        <f t="shared" si="80"/>
        <v>#N/A</v>
      </c>
      <c r="M354" s="102" t="e">
        <f t="shared" si="80"/>
        <v>#N/A</v>
      </c>
      <c r="N354" s="102" t="e">
        <f t="shared" si="80"/>
        <v>#N/A</v>
      </c>
      <c r="O354" s="102" t="e">
        <f t="shared" si="80"/>
        <v>#N/A</v>
      </c>
      <c r="P354" s="103" t="e">
        <f>SUM(D354:O354)</f>
        <v>#N/A</v>
      </c>
      <c r="Q354" s="87"/>
    </row>
    <row r="355" spans="2:17" ht="15.75" hidden="1" thickBot="1" x14ac:dyDescent="0.3">
      <c r="B355" s="6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5"/>
    </row>
    <row r="356" spans="2:17" ht="15.75" hidden="1" thickBot="1" x14ac:dyDescent="0.3">
      <c r="B356" s="3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77"/>
      <c r="N356" s="77"/>
      <c r="O356" s="77"/>
      <c r="P356" s="66"/>
      <c r="Q356" s="66"/>
    </row>
    <row r="357" spans="2:17" hidden="1" x14ac:dyDescent="0.25">
      <c r="B357" s="4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1"/>
    </row>
    <row r="358" spans="2:17" hidden="1" x14ac:dyDescent="0.25">
      <c r="B358" s="5"/>
      <c r="C358" s="82" t="s">
        <v>11</v>
      </c>
      <c r="D358" s="83"/>
      <c r="E358" s="84"/>
      <c r="F358" s="84"/>
      <c r="G358" s="85"/>
      <c r="H358" s="171"/>
      <c r="I358" s="172"/>
      <c r="J358" s="172"/>
      <c r="K358" s="172"/>
      <c r="L358" s="172"/>
      <c r="M358" s="172"/>
      <c r="N358" s="172"/>
      <c r="O358" s="173"/>
      <c r="P358" s="86" t="s">
        <v>6</v>
      </c>
      <c r="Q358" s="87"/>
    </row>
    <row r="359" spans="2:17" hidden="1" x14ac:dyDescent="0.25">
      <c r="B359" s="5"/>
      <c r="C359" s="66"/>
      <c r="D359" s="174" t="s">
        <v>41</v>
      </c>
      <c r="E359" s="174"/>
      <c r="F359" s="174"/>
      <c r="G359" s="174"/>
      <c r="H359" s="171"/>
      <c r="I359" s="172"/>
      <c r="J359" s="172"/>
      <c r="K359" s="172"/>
      <c r="L359" s="172"/>
      <c r="M359" s="172"/>
      <c r="N359" s="172"/>
      <c r="O359" s="173"/>
      <c r="P359" s="88"/>
      <c r="Q359" s="87"/>
    </row>
    <row r="360" spans="2:17" hidden="1" x14ac:dyDescent="0.25">
      <c r="B360" s="5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87"/>
    </row>
    <row r="361" spans="2:17" hidden="1" x14ac:dyDescent="0.25">
      <c r="B361" s="5"/>
      <c r="C361" s="62" t="s">
        <v>27</v>
      </c>
      <c r="D361" s="89" t="e">
        <f>HLOOKUP($D$358,'EJEMPLO DE NOMINA'!$E$1:$BU$97,2,FALSE)</f>
        <v>#N/A</v>
      </c>
      <c r="E361" s="89" t="e">
        <f>HLOOKUP($D$358,'EJEMPLO DE NOMINA'!$E$1:$BU$97,10,FALSE)</f>
        <v>#N/A</v>
      </c>
      <c r="F361" s="89" t="e">
        <f>HLOOKUP($D$358,'EJEMPLO DE NOMINA'!$E$1:$BU$97,18,FALSE)</f>
        <v>#N/A</v>
      </c>
      <c r="G361" s="89" t="e">
        <f>HLOOKUP($D$358,'EJEMPLO DE NOMINA'!$E$1:$BU$97,26,FALSE)</f>
        <v>#N/A</v>
      </c>
      <c r="H361" s="89" t="e">
        <f>HLOOKUP($D$358,'EJEMPLO DE NOMINA'!$E$1:$BU$97,34,FALSE)</f>
        <v>#N/A</v>
      </c>
      <c r="I361" s="89" t="e">
        <f>HLOOKUP($D$358,'EJEMPLO DE NOMINA'!$E$1:$BU$97,42,FALSE)</f>
        <v>#N/A</v>
      </c>
      <c r="J361" s="89" t="e">
        <f>HLOOKUP($D$358,'EJEMPLO DE NOMINA'!$E$1:$BU$97,50,FALSE)</f>
        <v>#N/A</v>
      </c>
      <c r="K361" s="89" t="e">
        <f>HLOOKUP($D$358,'EJEMPLO DE NOMINA'!$E$1:$BU$97,58,FALSE)</f>
        <v>#N/A</v>
      </c>
      <c r="L361" s="89" t="e">
        <f>HLOOKUP($D$358,'EJEMPLO DE NOMINA'!$E$1:$BU$97,66,FALSE)</f>
        <v>#N/A</v>
      </c>
      <c r="M361" s="89" t="e">
        <f>HLOOKUP($D$358,'EJEMPLO DE NOMINA'!$E$1:$BU$97,74,FALSE)</f>
        <v>#N/A</v>
      </c>
      <c r="N361" s="89" t="e">
        <f>HLOOKUP($D$358,'EJEMPLO DE NOMINA'!$E$1:$BU$97,82,FALSE)</f>
        <v>#N/A</v>
      </c>
      <c r="O361" s="89" t="e">
        <f>HLOOKUP($D$358,'EJEMPLO DE NOMINA'!$E$1:$BU$97,90,FALSE)</f>
        <v>#N/A</v>
      </c>
      <c r="P361" s="90" t="e">
        <f>SUM(D361:O361)</f>
        <v>#N/A</v>
      </c>
      <c r="Q361" s="87"/>
    </row>
    <row r="362" spans="2:17" hidden="1" x14ac:dyDescent="0.25">
      <c r="B362" s="5"/>
      <c r="C362" s="62" t="s">
        <v>26</v>
      </c>
      <c r="D362" s="91" t="e">
        <f>HLOOKUP($D$358,'EJEMPLO DE NOMINA'!$E$1:$BU$97,3,FALSE)</f>
        <v>#N/A</v>
      </c>
      <c r="E362" s="89" t="e">
        <f>HLOOKUP($D$358,'EJEMPLO DE NOMINA'!$E$1:$BU$97,11,FALSE)</f>
        <v>#N/A</v>
      </c>
      <c r="F362" s="89" t="e">
        <f>HLOOKUP($D$358,'EJEMPLO DE NOMINA'!$E$1:$BU$97,19,FALSE)</f>
        <v>#N/A</v>
      </c>
      <c r="G362" s="89" t="e">
        <f>HLOOKUP($D$358,'EJEMPLO DE NOMINA'!$E$1:$BU$97,27,FALSE)</f>
        <v>#N/A</v>
      </c>
      <c r="H362" s="89" t="e">
        <f>HLOOKUP($D$358,'EJEMPLO DE NOMINA'!$E$1:$BU$97,35,FALSE)</f>
        <v>#N/A</v>
      </c>
      <c r="I362" s="89" t="e">
        <f>HLOOKUP($D$358,'EJEMPLO DE NOMINA'!$E$1:$BU$97,43,FALSE)</f>
        <v>#N/A</v>
      </c>
      <c r="J362" s="89" t="e">
        <f>HLOOKUP($D$358,'EJEMPLO DE NOMINA'!$E$1:$BU$97,51,FALSE)</f>
        <v>#N/A</v>
      </c>
      <c r="K362" s="89" t="e">
        <f>HLOOKUP($D$358,'EJEMPLO DE NOMINA'!$E$1:$BU$97,59,FALSE)</f>
        <v>#N/A</v>
      </c>
      <c r="L362" s="89" t="e">
        <f>HLOOKUP($D$358,'EJEMPLO DE NOMINA'!$E$1:$BU$97,67,FALSE)</f>
        <v>#N/A</v>
      </c>
      <c r="M362" s="89" t="e">
        <f>HLOOKUP($D$358,'EJEMPLO DE NOMINA'!$E$1:$BU$97,75,FALSE)</f>
        <v>#N/A</v>
      </c>
      <c r="N362" s="89" t="e">
        <f>HLOOKUP($D$358,'EJEMPLO DE NOMINA'!$E$1:$BU$97,83,FALSE)</f>
        <v>#N/A</v>
      </c>
      <c r="O362" s="89" t="e">
        <f>HLOOKUP($D$358,'EJEMPLO DE NOMINA'!$E$1:$BU$97,91,FALSE)</f>
        <v>#N/A</v>
      </c>
      <c r="P362" s="92" t="e">
        <f>AVERAGE(D362:O362)</f>
        <v>#N/A</v>
      </c>
      <c r="Q362" s="87"/>
    </row>
    <row r="363" spans="2:17" hidden="1" x14ac:dyDescent="0.25">
      <c r="B363" s="5"/>
      <c r="C363" s="62" t="s">
        <v>33</v>
      </c>
      <c r="D363" s="91" t="e">
        <f>HLOOKUP($D$358,'EJEMPLO DE NOMINA'!$E$1:$BU$97,4,FALSE)</f>
        <v>#N/A</v>
      </c>
      <c r="E363" s="89" t="e">
        <f>HLOOKUP($D$358,'EJEMPLO DE NOMINA'!$E$1:$BU$97,12,FALSE)</f>
        <v>#N/A</v>
      </c>
      <c r="F363" s="89" t="e">
        <f>HLOOKUP($D$358,'EJEMPLO DE NOMINA'!$E$1:$BU$97,20,FALSE)</f>
        <v>#N/A</v>
      </c>
      <c r="G363" s="89" t="e">
        <f>HLOOKUP($D$358,'EJEMPLO DE NOMINA'!$E$1:$BU$97,28,FALSE)</f>
        <v>#N/A</v>
      </c>
      <c r="H363" s="89" t="e">
        <f>HLOOKUP($D$358,'EJEMPLO DE NOMINA'!$E$1:$BU$97,36,FALSE)</f>
        <v>#N/A</v>
      </c>
      <c r="I363" s="89" t="e">
        <f>HLOOKUP($D$358,'EJEMPLO DE NOMINA'!$E$1:$BU$97,44,FALSE)</f>
        <v>#N/A</v>
      </c>
      <c r="J363" s="89" t="e">
        <f>HLOOKUP($D$358,'EJEMPLO DE NOMINA'!$E$1:$BU$97,52,FALSE)</f>
        <v>#N/A</v>
      </c>
      <c r="K363" s="89" t="e">
        <f>HLOOKUP($D$358,'EJEMPLO DE NOMINA'!$E$1:$BU$97,60,FALSE)</f>
        <v>#N/A</v>
      </c>
      <c r="L363" s="89" t="e">
        <f>HLOOKUP($D$358,'EJEMPLO DE NOMINA'!$E$1:$BU$97,68,FALSE)</f>
        <v>#N/A</v>
      </c>
      <c r="M363" s="89" t="e">
        <f>HLOOKUP($D$358,'EJEMPLO DE NOMINA'!$E$1:$BU$97,76,FALSE)</f>
        <v>#N/A</v>
      </c>
      <c r="N363" s="89" t="e">
        <f>HLOOKUP($D$358,'EJEMPLO DE NOMINA'!$E$1:$BU$97,84,FALSE)</f>
        <v>#N/A</v>
      </c>
      <c r="O363" s="89" t="e">
        <f>HLOOKUP($D$358,'EJEMPLO DE NOMINA'!$E$1:$BU$97,92,FALSE)</f>
        <v>#N/A</v>
      </c>
      <c r="P363" s="90" t="e">
        <f>SUM(D363:O363)</f>
        <v>#N/A</v>
      </c>
      <c r="Q363" s="93"/>
    </row>
    <row r="364" spans="2:17" hidden="1" x14ac:dyDescent="0.25">
      <c r="B364" s="5"/>
      <c r="C364" s="62" t="s">
        <v>34</v>
      </c>
      <c r="D364" s="91" t="e">
        <f>HLOOKUP($D$358,'EJEMPLO DE NOMINA'!$E$1:$BU$97,5,FALSE)</f>
        <v>#N/A</v>
      </c>
      <c r="E364" s="89" t="e">
        <f>HLOOKUP($D$358,'EJEMPLO DE NOMINA'!$E$1:$BU$97,13,FALSE)</f>
        <v>#N/A</v>
      </c>
      <c r="F364" s="89" t="e">
        <f>HLOOKUP($D$358,'EJEMPLO DE NOMINA'!$E$1:$BU$97,21,FALSE)</f>
        <v>#N/A</v>
      </c>
      <c r="G364" s="89" t="e">
        <f>HLOOKUP($D$358,'EJEMPLO DE NOMINA'!$E$1:$BU$97,29,FALSE)</f>
        <v>#N/A</v>
      </c>
      <c r="H364" s="89" t="e">
        <f>HLOOKUP($D$358,'EJEMPLO DE NOMINA'!$E$1:$BU$97,37,FALSE)</f>
        <v>#N/A</v>
      </c>
      <c r="I364" s="89" t="e">
        <f>HLOOKUP($D$358,'EJEMPLO DE NOMINA'!$E$1:$BU$97,45,FALSE)</f>
        <v>#N/A</v>
      </c>
      <c r="J364" s="89" t="e">
        <f>HLOOKUP($D$358,'EJEMPLO DE NOMINA'!$E$1:$BU$97,53,FALSE)</f>
        <v>#N/A</v>
      </c>
      <c r="K364" s="89" t="e">
        <f>HLOOKUP($D$358,'EJEMPLO DE NOMINA'!$E$1:$BU$97,61,FALSE)</f>
        <v>#N/A</v>
      </c>
      <c r="L364" s="89" t="e">
        <f>HLOOKUP($D$358,'EJEMPLO DE NOMINA'!$E$1:$BU$97,69,FALSE)</f>
        <v>#N/A</v>
      </c>
      <c r="M364" s="89" t="e">
        <f>HLOOKUP($D$358,'EJEMPLO DE NOMINA'!$E$1:$BU$97,77,FALSE)</f>
        <v>#N/A</v>
      </c>
      <c r="N364" s="89" t="e">
        <f>HLOOKUP($D$358,'EJEMPLO DE NOMINA'!$E$1:$BU$97,85,FALSE)</f>
        <v>#N/A</v>
      </c>
      <c r="O364" s="89" t="e">
        <f>HLOOKUP($D$358,'EJEMPLO DE NOMINA'!$E$1:$BU$97,93,FALSE)</f>
        <v>#N/A</v>
      </c>
      <c r="P364" s="90" t="e">
        <f>SUM(D364:O364)</f>
        <v>#N/A</v>
      </c>
      <c r="Q364" s="93"/>
    </row>
    <row r="365" spans="2:17" hidden="1" x14ac:dyDescent="0.25">
      <c r="B365" s="5"/>
      <c r="C365" s="94" t="s">
        <v>39</v>
      </c>
      <c r="D365" s="95" t="e">
        <f>+D363</f>
        <v>#N/A</v>
      </c>
      <c r="E365" s="95" t="e">
        <f t="shared" ref="E365:O365" si="81">+E363</f>
        <v>#N/A</v>
      </c>
      <c r="F365" s="95" t="e">
        <f t="shared" si="81"/>
        <v>#N/A</v>
      </c>
      <c r="G365" s="95" t="e">
        <f t="shared" si="81"/>
        <v>#N/A</v>
      </c>
      <c r="H365" s="95" t="e">
        <f t="shared" si="81"/>
        <v>#N/A</v>
      </c>
      <c r="I365" s="95" t="e">
        <f t="shared" si="81"/>
        <v>#N/A</v>
      </c>
      <c r="J365" s="95" t="e">
        <f t="shared" si="81"/>
        <v>#N/A</v>
      </c>
      <c r="K365" s="95" t="e">
        <f t="shared" si="81"/>
        <v>#N/A</v>
      </c>
      <c r="L365" s="95" t="e">
        <f t="shared" si="81"/>
        <v>#N/A</v>
      </c>
      <c r="M365" s="95" t="e">
        <f t="shared" si="81"/>
        <v>#N/A</v>
      </c>
      <c r="N365" s="95" t="e">
        <f t="shared" si="81"/>
        <v>#N/A</v>
      </c>
      <c r="O365" s="95" t="e">
        <f t="shared" si="81"/>
        <v>#N/A</v>
      </c>
      <c r="P365" s="90" t="e">
        <f>SUM(D365:O365)</f>
        <v>#N/A</v>
      </c>
      <c r="Q365" s="93"/>
    </row>
    <row r="366" spans="2:17" hidden="1" x14ac:dyDescent="0.25">
      <c r="B366" s="5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3"/>
    </row>
    <row r="367" spans="2:17" hidden="1" x14ac:dyDescent="0.25">
      <c r="B367" s="5"/>
      <c r="C367" s="62" t="s">
        <v>35</v>
      </c>
      <c r="D367" s="91" t="e">
        <f>HLOOKUP($D$358,'EJEMPLO DE NOMINA'!$E$1:$BU$97,6,FALSE)</f>
        <v>#N/A</v>
      </c>
      <c r="E367" s="89" t="e">
        <f>HLOOKUP($D$358,'EJEMPLO DE NOMINA'!$E$1:$BU$97,14,FALSE)</f>
        <v>#N/A</v>
      </c>
      <c r="F367" s="89" t="e">
        <f>HLOOKUP($D$358,'EJEMPLO DE NOMINA'!$E$1:$BU$97,22,FALSE)</f>
        <v>#N/A</v>
      </c>
      <c r="G367" s="89" t="e">
        <f>HLOOKUP($D$358,'EJEMPLO DE NOMINA'!$E$1:$BU$97,30,FALSE)</f>
        <v>#N/A</v>
      </c>
      <c r="H367" s="89" t="e">
        <f>HLOOKUP($D$358,'EJEMPLO DE NOMINA'!$E$1:$BU$97,38,FALSE)</f>
        <v>#N/A</v>
      </c>
      <c r="I367" s="89" t="e">
        <f>HLOOKUP($D$358,'EJEMPLO DE NOMINA'!$E$1:$BU$97,46,FALSE)</f>
        <v>#N/A</v>
      </c>
      <c r="J367" s="89" t="e">
        <f>HLOOKUP($D$358,'EJEMPLO DE NOMINA'!$E$1:$BU$97,54,FALSE)</f>
        <v>#N/A</v>
      </c>
      <c r="K367" s="89" t="e">
        <f>HLOOKUP($D$358,'EJEMPLO DE NOMINA'!$E$1:$BU$97,62,FALSE)</f>
        <v>#N/A</v>
      </c>
      <c r="L367" s="89" t="e">
        <f>HLOOKUP($D$358,'EJEMPLO DE NOMINA'!$E$1:$BU$97,70,FALSE)</f>
        <v>#N/A</v>
      </c>
      <c r="M367" s="89" t="e">
        <f>HLOOKUP($D$358,'EJEMPLO DE NOMINA'!$E$1:$BU$97,78,FALSE)</f>
        <v>#N/A</v>
      </c>
      <c r="N367" s="89" t="e">
        <f>HLOOKUP($D$358,'EJEMPLO DE NOMINA'!$E$1:$BU$97,86,FALSE)</f>
        <v>#N/A</v>
      </c>
      <c r="O367" s="89" t="e">
        <f>HLOOKUP($D$358,'EJEMPLO DE NOMINA'!$E$1:$BU$97,94,FALSE)</f>
        <v>#N/A</v>
      </c>
      <c r="P367" s="90" t="e">
        <f>SUM(D367:O367)</f>
        <v>#N/A</v>
      </c>
      <c r="Q367" s="87"/>
    </row>
    <row r="368" spans="2:17" hidden="1" x14ac:dyDescent="0.25">
      <c r="B368" s="5"/>
      <c r="C368" s="62" t="s">
        <v>36</v>
      </c>
      <c r="D368" s="91" t="e">
        <f>HLOOKUP($D$358,'EJEMPLO DE NOMINA'!$E$1:$BU$97,7,FALSE)</f>
        <v>#N/A</v>
      </c>
      <c r="E368" s="89" t="e">
        <f>HLOOKUP($D$358,'EJEMPLO DE NOMINA'!$E$1:$BU$97,15,FALSE)</f>
        <v>#N/A</v>
      </c>
      <c r="F368" s="89" t="e">
        <f>HLOOKUP($D$358,'EJEMPLO DE NOMINA'!$E$1:$BU$97,23,FALSE)</f>
        <v>#N/A</v>
      </c>
      <c r="G368" s="89" t="e">
        <f>HLOOKUP($D$358,'EJEMPLO DE NOMINA'!$E$1:$BU$97,31,FALSE)</f>
        <v>#N/A</v>
      </c>
      <c r="H368" s="89" t="e">
        <f>HLOOKUP($D$358,'EJEMPLO DE NOMINA'!$E$1:$BU$97,39,FALSE)</f>
        <v>#N/A</v>
      </c>
      <c r="I368" s="89" t="e">
        <f>HLOOKUP($D$358,'EJEMPLO DE NOMINA'!$E$1:$BU$97,47,FALSE)</f>
        <v>#N/A</v>
      </c>
      <c r="J368" s="89" t="e">
        <f>HLOOKUP($D$358,'EJEMPLO DE NOMINA'!$E$1:$BU$97,55,FALSE)</f>
        <v>#N/A</v>
      </c>
      <c r="K368" s="89" t="e">
        <f>HLOOKUP($D$358,'EJEMPLO DE NOMINA'!$E$1:$BU$97,63,FALSE)</f>
        <v>#N/A</v>
      </c>
      <c r="L368" s="89" t="e">
        <f>HLOOKUP($D$358,'EJEMPLO DE NOMINA'!$E$1:$BU$97,71,FALSE)</f>
        <v>#N/A</v>
      </c>
      <c r="M368" s="89" t="e">
        <f>HLOOKUP($D$358,'EJEMPLO DE NOMINA'!$E$1:$BU$97,79,FALSE)</f>
        <v>#N/A</v>
      </c>
      <c r="N368" s="89" t="e">
        <f>HLOOKUP($D$358,'EJEMPLO DE NOMINA'!$E$1:$BU$97,87,FALSE)</f>
        <v>#N/A</v>
      </c>
      <c r="O368" s="89" t="e">
        <f>HLOOKUP($D$358,'EJEMPLO DE NOMINA'!$E$1:$BU$97,95,FALSE)</f>
        <v>#N/A</v>
      </c>
      <c r="P368" s="92" t="e">
        <f>AVERAGE(D368:O368)</f>
        <v>#N/A</v>
      </c>
      <c r="Q368" s="87"/>
    </row>
    <row r="369" spans="2:17" hidden="1" x14ac:dyDescent="0.25">
      <c r="B369" s="5"/>
      <c r="C369" s="62" t="s">
        <v>37</v>
      </c>
      <c r="D369" s="91" t="e">
        <f>HLOOKUP($D$358,'EJEMPLO DE NOMINA'!$E$1:$BU$97,8,FALSE)</f>
        <v>#N/A</v>
      </c>
      <c r="E369" s="89" t="e">
        <f>HLOOKUP($D$358,'EJEMPLO DE NOMINA'!$E$1:$BU$97,16,FALSE)</f>
        <v>#N/A</v>
      </c>
      <c r="F369" s="89" t="e">
        <f>HLOOKUP($D$358,'EJEMPLO DE NOMINA'!$E$1:$BU$97,24,FALSE)</f>
        <v>#N/A</v>
      </c>
      <c r="G369" s="89" t="e">
        <f>HLOOKUP($D$358,'EJEMPLO DE NOMINA'!$E$1:$BU$97,32,FALSE)</f>
        <v>#N/A</v>
      </c>
      <c r="H369" s="89" t="e">
        <f>HLOOKUP($D$358,'EJEMPLO DE NOMINA'!$E$1:$BU$97,40,FALSE)</f>
        <v>#N/A</v>
      </c>
      <c r="I369" s="89" t="e">
        <f>HLOOKUP($D$358,'EJEMPLO DE NOMINA'!$E$1:$BU$97,48,FALSE)</f>
        <v>#N/A</v>
      </c>
      <c r="J369" s="89" t="e">
        <f>HLOOKUP($D$358,'EJEMPLO DE NOMINA'!$E$1:$BU$97,56,FALSE)</f>
        <v>#N/A</v>
      </c>
      <c r="K369" s="89" t="e">
        <f>HLOOKUP($D$358,'EJEMPLO DE NOMINA'!$E$1:$BU$97,64,FALSE)</f>
        <v>#N/A</v>
      </c>
      <c r="L369" s="89" t="e">
        <f>HLOOKUP($D$358,'EJEMPLO DE NOMINA'!$E$1:$BU$97,72,FALSE)</f>
        <v>#N/A</v>
      </c>
      <c r="M369" s="89" t="e">
        <f>HLOOKUP($D$358,'EJEMPLO DE NOMINA'!$E$1:$BU$97,80,FALSE)</f>
        <v>#N/A</v>
      </c>
      <c r="N369" s="89" t="e">
        <f>HLOOKUP($D$358,'EJEMPLO DE NOMINA'!$E$1:$BU$97,88,FALSE)</f>
        <v>#N/A</v>
      </c>
      <c r="O369" s="89" t="e">
        <f>HLOOKUP($D$358,'EJEMPLO DE NOMINA'!$E$1:$BU$97,96,FALSE)</f>
        <v>#N/A</v>
      </c>
      <c r="P369" s="90" t="e">
        <f>SUM(D369:O369)</f>
        <v>#N/A</v>
      </c>
      <c r="Q369" s="87"/>
    </row>
    <row r="370" spans="2:17" hidden="1" x14ac:dyDescent="0.25">
      <c r="B370" s="5"/>
      <c r="C370" s="62" t="s">
        <v>38</v>
      </c>
      <c r="D370" s="91" t="e">
        <f>HLOOKUP($D$358,'EJEMPLO DE NOMINA'!$E$1:$BU$97,9,FALSE)</f>
        <v>#N/A</v>
      </c>
      <c r="E370" s="89" t="e">
        <f>HLOOKUP($D$358,'EJEMPLO DE NOMINA'!$E$1:$BU$97,17,FALSE)</f>
        <v>#N/A</v>
      </c>
      <c r="F370" s="89" t="e">
        <f>HLOOKUP($D$358,'EJEMPLO DE NOMINA'!$E$1:$BU$97,25,FALSE)</f>
        <v>#N/A</v>
      </c>
      <c r="G370" s="89" t="e">
        <f>HLOOKUP($D$358,'EJEMPLO DE NOMINA'!$E$1:$BU$97,33,FALSE)</f>
        <v>#N/A</v>
      </c>
      <c r="H370" s="89" t="e">
        <f>HLOOKUP($D$358,'EJEMPLO DE NOMINA'!$E$1:$BU$97,41,FALSE)</f>
        <v>#N/A</v>
      </c>
      <c r="I370" s="89" t="e">
        <f>HLOOKUP($D$358,'EJEMPLO DE NOMINA'!$E$1:$BU$97,49,FALSE)</f>
        <v>#N/A</v>
      </c>
      <c r="J370" s="89" t="e">
        <f>HLOOKUP($D$358,'EJEMPLO DE NOMINA'!$E$1:$BU$97,57,FALSE)</f>
        <v>#N/A</v>
      </c>
      <c r="K370" s="89" t="e">
        <f>HLOOKUP($D$358,'EJEMPLO DE NOMINA'!$E$1:$BU$97,65,FALSE)</f>
        <v>#N/A</v>
      </c>
      <c r="L370" s="89" t="e">
        <f>HLOOKUP($D$358,'EJEMPLO DE NOMINA'!$E$1:$BU$97,73,FALSE)</f>
        <v>#N/A</v>
      </c>
      <c r="M370" s="89" t="e">
        <f>HLOOKUP($D$358,'EJEMPLO DE NOMINA'!$E$1:$BU$97,81,FALSE)</f>
        <v>#N/A</v>
      </c>
      <c r="N370" s="89" t="e">
        <f>HLOOKUP($D$358,'EJEMPLO DE NOMINA'!$E$1:$BU$97,89,FALSE)</f>
        <v>#N/A</v>
      </c>
      <c r="O370" s="89" t="e">
        <f>HLOOKUP($D$358,'EJEMPLO DE NOMINA'!$E$1:$BU$97,97,FALSE)</f>
        <v>#N/A</v>
      </c>
      <c r="P370" s="90" t="e">
        <f>SUM(D370:O370)</f>
        <v>#N/A</v>
      </c>
      <c r="Q370" s="87"/>
    </row>
    <row r="371" spans="2:17" hidden="1" x14ac:dyDescent="0.25">
      <c r="B371" s="5"/>
      <c r="C371" s="94" t="s">
        <v>39</v>
      </c>
      <c r="D371" s="97" t="e">
        <f>+D369</f>
        <v>#N/A</v>
      </c>
      <c r="E371" s="97" t="e">
        <f t="shared" ref="E371:O371" si="82">+E369</f>
        <v>#N/A</v>
      </c>
      <c r="F371" s="97" t="e">
        <f t="shared" si="82"/>
        <v>#N/A</v>
      </c>
      <c r="G371" s="97" t="e">
        <f t="shared" si="82"/>
        <v>#N/A</v>
      </c>
      <c r="H371" s="97" t="e">
        <f t="shared" si="82"/>
        <v>#N/A</v>
      </c>
      <c r="I371" s="97" t="e">
        <f t="shared" si="82"/>
        <v>#N/A</v>
      </c>
      <c r="J371" s="97" t="e">
        <f t="shared" si="82"/>
        <v>#N/A</v>
      </c>
      <c r="K371" s="97" t="e">
        <f t="shared" si="82"/>
        <v>#N/A</v>
      </c>
      <c r="L371" s="97" t="e">
        <f t="shared" si="82"/>
        <v>#N/A</v>
      </c>
      <c r="M371" s="97" t="e">
        <f t="shared" si="82"/>
        <v>#N/A</v>
      </c>
      <c r="N371" s="97" t="e">
        <f t="shared" si="82"/>
        <v>#N/A</v>
      </c>
      <c r="O371" s="97" t="e">
        <f t="shared" si="82"/>
        <v>#N/A</v>
      </c>
      <c r="P371" s="90" t="e">
        <f>SUM(D371:O371)</f>
        <v>#N/A</v>
      </c>
      <c r="Q371" s="87"/>
    </row>
    <row r="372" spans="2:17" hidden="1" x14ac:dyDescent="0.25">
      <c r="B372" s="5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87"/>
    </row>
    <row r="373" spans="2:17" hidden="1" x14ac:dyDescent="0.25">
      <c r="B373" s="5"/>
      <c r="C373" s="62" t="s">
        <v>12</v>
      </c>
      <c r="D373" s="98">
        <v>0.02</v>
      </c>
      <c r="E373" s="98">
        <v>0.02</v>
      </c>
      <c r="F373" s="98">
        <v>0.02</v>
      </c>
      <c r="G373" s="98">
        <v>0.02</v>
      </c>
      <c r="H373" s="98">
        <v>0.02</v>
      </c>
      <c r="I373" s="98">
        <v>0.02</v>
      </c>
      <c r="J373" s="98">
        <v>0.02</v>
      </c>
      <c r="K373" s="98">
        <v>0.02</v>
      </c>
      <c r="L373" s="98">
        <v>0.02</v>
      </c>
      <c r="M373" s="98">
        <v>0.02</v>
      </c>
      <c r="N373" s="98">
        <v>0.02</v>
      </c>
      <c r="O373" s="98">
        <v>0.02</v>
      </c>
      <c r="P373" s="66"/>
      <c r="Q373" s="87"/>
    </row>
    <row r="374" spans="2:17" hidden="1" x14ac:dyDescent="0.25">
      <c r="B374" s="5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87"/>
    </row>
    <row r="375" spans="2:17" hidden="1" x14ac:dyDescent="0.25">
      <c r="B375" s="5"/>
      <c r="C375" s="62" t="s">
        <v>13</v>
      </c>
      <c r="D375" s="97" t="e">
        <f t="shared" ref="D375:O375" si="83">+D371*D373</f>
        <v>#N/A</v>
      </c>
      <c r="E375" s="97" t="e">
        <f t="shared" si="83"/>
        <v>#N/A</v>
      </c>
      <c r="F375" s="97" t="e">
        <f t="shared" si="83"/>
        <v>#N/A</v>
      </c>
      <c r="G375" s="97" t="e">
        <f t="shared" si="83"/>
        <v>#N/A</v>
      </c>
      <c r="H375" s="97" t="e">
        <f t="shared" si="83"/>
        <v>#N/A</v>
      </c>
      <c r="I375" s="97" t="e">
        <f t="shared" si="83"/>
        <v>#N/A</v>
      </c>
      <c r="J375" s="97" t="e">
        <f t="shared" si="83"/>
        <v>#N/A</v>
      </c>
      <c r="K375" s="97" t="e">
        <f t="shared" si="83"/>
        <v>#N/A</v>
      </c>
      <c r="L375" s="97" t="e">
        <f t="shared" si="83"/>
        <v>#N/A</v>
      </c>
      <c r="M375" s="97" t="e">
        <f t="shared" si="83"/>
        <v>#N/A</v>
      </c>
      <c r="N375" s="97" t="e">
        <f t="shared" si="83"/>
        <v>#N/A</v>
      </c>
      <c r="O375" s="97" t="e">
        <f t="shared" si="83"/>
        <v>#N/A</v>
      </c>
      <c r="P375" s="90" t="e">
        <f>SUM(D375:O375)</f>
        <v>#N/A</v>
      </c>
      <c r="Q375" s="87"/>
    </row>
    <row r="376" spans="2:17" hidden="1" x14ac:dyDescent="0.25">
      <c r="B376" s="5"/>
      <c r="C376" s="62" t="s">
        <v>22</v>
      </c>
      <c r="D376" s="97" t="e">
        <f t="shared" ref="D376:O376" si="84">+D367</f>
        <v>#N/A</v>
      </c>
      <c r="E376" s="97" t="e">
        <f t="shared" si="84"/>
        <v>#N/A</v>
      </c>
      <c r="F376" s="97" t="e">
        <f t="shared" si="84"/>
        <v>#N/A</v>
      </c>
      <c r="G376" s="97" t="e">
        <f t="shared" si="84"/>
        <v>#N/A</v>
      </c>
      <c r="H376" s="97" t="e">
        <f t="shared" si="84"/>
        <v>#N/A</v>
      </c>
      <c r="I376" s="97" t="e">
        <f t="shared" si="84"/>
        <v>#N/A</v>
      </c>
      <c r="J376" s="97" t="e">
        <f t="shared" si="84"/>
        <v>#N/A</v>
      </c>
      <c r="K376" s="97" t="e">
        <f t="shared" si="84"/>
        <v>#N/A</v>
      </c>
      <c r="L376" s="97" t="e">
        <f t="shared" si="84"/>
        <v>#N/A</v>
      </c>
      <c r="M376" s="97" t="e">
        <f t="shared" si="84"/>
        <v>#N/A</v>
      </c>
      <c r="N376" s="97" t="e">
        <f t="shared" si="84"/>
        <v>#N/A</v>
      </c>
      <c r="O376" s="97" t="e">
        <f t="shared" si="84"/>
        <v>#N/A</v>
      </c>
      <c r="P376" s="90" t="e">
        <f>SUM(D376:O376)</f>
        <v>#N/A</v>
      </c>
      <c r="Q376" s="87"/>
    </row>
    <row r="377" spans="2:17" hidden="1" x14ac:dyDescent="0.25">
      <c r="B377" s="5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87"/>
    </row>
    <row r="378" spans="2:17" hidden="1" x14ac:dyDescent="0.25">
      <c r="B378" s="5"/>
      <c r="C378" s="99" t="s">
        <v>14</v>
      </c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87"/>
    </row>
    <row r="379" spans="2:17" hidden="1" x14ac:dyDescent="0.25">
      <c r="B379" s="5"/>
      <c r="C379" s="62" t="s">
        <v>15</v>
      </c>
      <c r="D379" s="97" t="e">
        <f t="shared" ref="D379:O379" si="85">+D361-D375</f>
        <v>#N/A</v>
      </c>
      <c r="E379" s="97" t="e">
        <f t="shared" si="85"/>
        <v>#N/A</v>
      </c>
      <c r="F379" s="97" t="e">
        <f t="shared" si="85"/>
        <v>#N/A</v>
      </c>
      <c r="G379" s="97" t="e">
        <f t="shared" si="85"/>
        <v>#N/A</v>
      </c>
      <c r="H379" s="97" t="e">
        <f t="shared" si="85"/>
        <v>#N/A</v>
      </c>
      <c r="I379" s="97" t="e">
        <f t="shared" si="85"/>
        <v>#N/A</v>
      </c>
      <c r="J379" s="97" t="e">
        <f t="shared" si="85"/>
        <v>#N/A</v>
      </c>
      <c r="K379" s="97" t="e">
        <f t="shared" si="85"/>
        <v>#N/A</v>
      </c>
      <c r="L379" s="97" t="e">
        <f t="shared" si="85"/>
        <v>#N/A</v>
      </c>
      <c r="M379" s="97" t="e">
        <f t="shared" si="85"/>
        <v>#N/A</v>
      </c>
      <c r="N379" s="97" t="e">
        <f t="shared" si="85"/>
        <v>#N/A</v>
      </c>
      <c r="O379" s="97" t="e">
        <f t="shared" si="85"/>
        <v>#N/A</v>
      </c>
      <c r="P379" s="90" t="e">
        <f>SUM(D379:O379)</f>
        <v>#N/A</v>
      </c>
      <c r="Q379" s="87"/>
    </row>
    <row r="380" spans="2:17" hidden="1" x14ac:dyDescent="0.25">
      <c r="B380" s="5"/>
      <c r="C380" s="62" t="s">
        <v>16</v>
      </c>
      <c r="D380" s="97" t="e">
        <f t="shared" ref="D380:O380" si="86">+D367-D375</f>
        <v>#N/A</v>
      </c>
      <c r="E380" s="97" t="e">
        <f t="shared" si="86"/>
        <v>#N/A</v>
      </c>
      <c r="F380" s="97" t="e">
        <f t="shared" si="86"/>
        <v>#N/A</v>
      </c>
      <c r="G380" s="97" t="e">
        <f t="shared" si="86"/>
        <v>#N/A</v>
      </c>
      <c r="H380" s="97" t="e">
        <f t="shared" si="86"/>
        <v>#N/A</v>
      </c>
      <c r="I380" s="97" t="e">
        <f t="shared" si="86"/>
        <v>#N/A</v>
      </c>
      <c r="J380" s="97" t="e">
        <f t="shared" si="86"/>
        <v>#N/A</v>
      </c>
      <c r="K380" s="97" t="e">
        <f t="shared" si="86"/>
        <v>#N/A</v>
      </c>
      <c r="L380" s="97" t="e">
        <f t="shared" si="86"/>
        <v>#N/A</v>
      </c>
      <c r="M380" s="97" t="e">
        <f t="shared" si="86"/>
        <v>#N/A</v>
      </c>
      <c r="N380" s="97" t="e">
        <f t="shared" si="86"/>
        <v>#N/A</v>
      </c>
      <c r="O380" s="97" t="e">
        <f t="shared" si="86"/>
        <v>#N/A</v>
      </c>
      <c r="P380" s="90" t="e">
        <f>SUM(D380:O380)</f>
        <v>#N/A</v>
      </c>
      <c r="Q380" s="87"/>
    </row>
    <row r="381" spans="2:17" hidden="1" x14ac:dyDescent="0.25">
      <c r="B381" s="5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87"/>
    </row>
    <row r="382" spans="2:17" hidden="1" x14ac:dyDescent="0.25">
      <c r="B382" s="5"/>
      <c r="C382" s="75" t="s">
        <v>17</v>
      </c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90">
        <f>SUM(D382:O382)</f>
        <v>0</v>
      </c>
      <c r="Q382" s="87"/>
    </row>
    <row r="383" spans="2:17" hidden="1" x14ac:dyDescent="0.25">
      <c r="B383" s="5"/>
      <c r="C383" s="75" t="s">
        <v>18</v>
      </c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90">
        <f>SUM(D383:O383)</f>
        <v>0</v>
      </c>
      <c r="Q383" s="87"/>
    </row>
    <row r="384" spans="2:17" hidden="1" x14ac:dyDescent="0.25">
      <c r="B384" s="5"/>
      <c r="C384" s="9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87"/>
    </row>
    <row r="385" spans="2:17" hidden="1" x14ac:dyDescent="0.25">
      <c r="B385" s="5"/>
      <c r="C385" s="101" t="s">
        <v>19</v>
      </c>
      <c r="D385" s="102" t="e">
        <f t="shared" ref="D385:O385" si="87">+D375+D382+D383</f>
        <v>#N/A</v>
      </c>
      <c r="E385" s="102" t="e">
        <f t="shared" si="87"/>
        <v>#N/A</v>
      </c>
      <c r="F385" s="102" t="e">
        <f t="shared" si="87"/>
        <v>#N/A</v>
      </c>
      <c r="G385" s="102" t="e">
        <f t="shared" si="87"/>
        <v>#N/A</v>
      </c>
      <c r="H385" s="102" t="e">
        <f t="shared" si="87"/>
        <v>#N/A</v>
      </c>
      <c r="I385" s="102" t="e">
        <f t="shared" si="87"/>
        <v>#N/A</v>
      </c>
      <c r="J385" s="102" t="e">
        <f t="shared" si="87"/>
        <v>#N/A</v>
      </c>
      <c r="K385" s="102" t="e">
        <f t="shared" si="87"/>
        <v>#N/A</v>
      </c>
      <c r="L385" s="102" t="e">
        <f t="shared" si="87"/>
        <v>#N/A</v>
      </c>
      <c r="M385" s="102" t="e">
        <f t="shared" si="87"/>
        <v>#N/A</v>
      </c>
      <c r="N385" s="102" t="e">
        <f t="shared" si="87"/>
        <v>#N/A</v>
      </c>
      <c r="O385" s="102" t="e">
        <f t="shared" si="87"/>
        <v>#N/A</v>
      </c>
      <c r="P385" s="103" t="e">
        <f>SUM(D385:O385)</f>
        <v>#N/A</v>
      </c>
      <c r="Q385" s="87"/>
    </row>
    <row r="386" spans="2:17" ht="15.75" hidden="1" thickBot="1" x14ac:dyDescent="0.3">
      <c r="B386" s="6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5"/>
    </row>
    <row r="387" spans="2:17" ht="15.75" hidden="1" thickBot="1" x14ac:dyDescent="0.3"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</row>
    <row r="388" spans="2:17" hidden="1" x14ac:dyDescent="0.25">
      <c r="B388" s="4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1"/>
    </row>
    <row r="389" spans="2:17" hidden="1" x14ac:dyDescent="0.25">
      <c r="B389" s="5"/>
      <c r="C389" s="82" t="s">
        <v>11</v>
      </c>
      <c r="D389" s="83"/>
      <c r="E389" s="84"/>
      <c r="F389" s="84"/>
      <c r="G389" s="85"/>
      <c r="H389" s="171"/>
      <c r="I389" s="172"/>
      <c r="J389" s="172"/>
      <c r="K389" s="172"/>
      <c r="L389" s="172"/>
      <c r="M389" s="172"/>
      <c r="N389" s="172"/>
      <c r="O389" s="173"/>
      <c r="P389" s="86" t="s">
        <v>6</v>
      </c>
      <c r="Q389" s="87"/>
    </row>
    <row r="390" spans="2:17" hidden="1" x14ac:dyDescent="0.25">
      <c r="B390" s="5"/>
      <c r="C390" s="66"/>
      <c r="D390" s="174" t="s">
        <v>41</v>
      </c>
      <c r="E390" s="174"/>
      <c r="F390" s="174"/>
      <c r="G390" s="174"/>
      <c r="H390" s="171"/>
      <c r="I390" s="172"/>
      <c r="J390" s="172"/>
      <c r="K390" s="172"/>
      <c r="L390" s="172"/>
      <c r="M390" s="172"/>
      <c r="N390" s="172"/>
      <c r="O390" s="173"/>
      <c r="P390" s="88"/>
      <c r="Q390" s="87"/>
    </row>
    <row r="391" spans="2:17" hidden="1" x14ac:dyDescent="0.25">
      <c r="B391" s="5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87"/>
    </row>
    <row r="392" spans="2:17" hidden="1" x14ac:dyDescent="0.25">
      <c r="B392" s="5"/>
      <c r="C392" s="62" t="s">
        <v>27</v>
      </c>
      <c r="D392" s="89" t="e">
        <f>HLOOKUP($D$389,'EJEMPLO DE NOMINA'!$E$1:$BU$97,2,FALSE)</f>
        <v>#N/A</v>
      </c>
      <c r="E392" s="89" t="e">
        <f>HLOOKUP($D$389,'EJEMPLO DE NOMINA'!$E$1:$BU$97,10,FALSE)</f>
        <v>#N/A</v>
      </c>
      <c r="F392" s="89" t="e">
        <f>HLOOKUP($D$389,'EJEMPLO DE NOMINA'!$E$1:$BU$97,18,FALSE)</f>
        <v>#N/A</v>
      </c>
      <c r="G392" s="89" t="e">
        <f>HLOOKUP($D$389,'EJEMPLO DE NOMINA'!$E$1:$BU$97,26,FALSE)</f>
        <v>#N/A</v>
      </c>
      <c r="H392" s="89" t="e">
        <f>HLOOKUP($D$389,'EJEMPLO DE NOMINA'!$E$1:$BU$97,34,FALSE)</f>
        <v>#N/A</v>
      </c>
      <c r="I392" s="89" t="e">
        <f>HLOOKUP($D$389,'EJEMPLO DE NOMINA'!$E$1:$BU$97,42,FALSE)</f>
        <v>#N/A</v>
      </c>
      <c r="J392" s="89" t="e">
        <f>HLOOKUP($D$389,'EJEMPLO DE NOMINA'!$E$1:$BU$97,50,FALSE)</f>
        <v>#N/A</v>
      </c>
      <c r="K392" s="89" t="e">
        <f>HLOOKUP($D$389,'EJEMPLO DE NOMINA'!$E$1:$BU$97,58,FALSE)</f>
        <v>#N/A</v>
      </c>
      <c r="L392" s="89" t="e">
        <f>HLOOKUP($D$389,'EJEMPLO DE NOMINA'!$E$1:$BU$97,66,FALSE)</f>
        <v>#N/A</v>
      </c>
      <c r="M392" s="89" t="e">
        <f>HLOOKUP($D$389,'EJEMPLO DE NOMINA'!$E$1:$BU$97,74,FALSE)</f>
        <v>#N/A</v>
      </c>
      <c r="N392" s="89" t="e">
        <f>HLOOKUP($D$389,'EJEMPLO DE NOMINA'!$E$1:$BU$97,82,FALSE)</f>
        <v>#N/A</v>
      </c>
      <c r="O392" s="89" t="e">
        <f>HLOOKUP($D$389,'EJEMPLO DE NOMINA'!$E$1:$BU$97,90,FALSE)</f>
        <v>#N/A</v>
      </c>
      <c r="P392" s="90" t="e">
        <f>SUM(D392:O392)</f>
        <v>#N/A</v>
      </c>
      <c r="Q392" s="87"/>
    </row>
    <row r="393" spans="2:17" hidden="1" x14ac:dyDescent="0.25">
      <c r="B393" s="5"/>
      <c r="C393" s="62" t="s">
        <v>26</v>
      </c>
      <c r="D393" s="91" t="e">
        <f>HLOOKUP($D$389,'EJEMPLO DE NOMINA'!$E$1:$BU$97,3,FALSE)</f>
        <v>#N/A</v>
      </c>
      <c r="E393" s="89" t="e">
        <f>HLOOKUP($D$389,'EJEMPLO DE NOMINA'!$E$1:$BU$97,11,FALSE)</f>
        <v>#N/A</v>
      </c>
      <c r="F393" s="89" t="e">
        <f>HLOOKUP($D$389,'EJEMPLO DE NOMINA'!$E$1:$BU$97,19,FALSE)</f>
        <v>#N/A</v>
      </c>
      <c r="G393" s="89" t="e">
        <f>HLOOKUP($D$389,'EJEMPLO DE NOMINA'!$E$1:$BU$97,27,FALSE)</f>
        <v>#N/A</v>
      </c>
      <c r="H393" s="89" t="e">
        <f>HLOOKUP($D$389,'EJEMPLO DE NOMINA'!$E$1:$BU$97,35,FALSE)</f>
        <v>#N/A</v>
      </c>
      <c r="I393" s="89" t="e">
        <f>HLOOKUP($D$389,'EJEMPLO DE NOMINA'!$E$1:$BU$97,43,FALSE)</f>
        <v>#N/A</v>
      </c>
      <c r="J393" s="89" t="e">
        <f>HLOOKUP($D$389,'EJEMPLO DE NOMINA'!$E$1:$BU$97,51,FALSE)</f>
        <v>#N/A</v>
      </c>
      <c r="K393" s="89" t="e">
        <f>HLOOKUP($D$389,'EJEMPLO DE NOMINA'!$E$1:$BU$97,59,FALSE)</f>
        <v>#N/A</v>
      </c>
      <c r="L393" s="89" t="e">
        <f>HLOOKUP($D$389,'EJEMPLO DE NOMINA'!$E$1:$BU$97,67,FALSE)</f>
        <v>#N/A</v>
      </c>
      <c r="M393" s="89" t="e">
        <f>HLOOKUP($D$389,'EJEMPLO DE NOMINA'!$E$1:$BU$97,75,FALSE)</f>
        <v>#N/A</v>
      </c>
      <c r="N393" s="89" t="e">
        <f>HLOOKUP($D$389,'EJEMPLO DE NOMINA'!$E$1:$BU$97,83,FALSE)</f>
        <v>#N/A</v>
      </c>
      <c r="O393" s="89" t="e">
        <f>HLOOKUP($D$389,'EJEMPLO DE NOMINA'!$E$1:$BU$97,91,FALSE)</f>
        <v>#N/A</v>
      </c>
      <c r="P393" s="92" t="e">
        <f>AVERAGE(D393:O393)</f>
        <v>#N/A</v>
      </c>
      <c r="Q393" s="87"/>
    </row>
    <row r="394" spans="2:17" hidden="1" x14ac:dyDescent="0.25">
      <c r="B394" s="5"/>
      <c r="C394" s="62" t="s">
        <v>33</v>
      </c>
      <c r="D394" s="91" t="e">
        <f>HLOOKUP($D$389,'EJEMPLO DE NOMINA'!$E$1:$BU$97,4,FALSE)</f>
        <v>#N/A</v>
      </c>
      <c r="E394" s="89" t="e">
        <f>HLOOKUP($D$389,'EJEMPLO DE NOMINA'!$E$1:$BU$97,12,FALSE)</f>
        <v>#N/A</v>
      </c>
      <c r="F394" s="89" t="e">
        <f>HLOOKUP($D$389,'EJEMPLO DE NOMINA'!$E$1:$BU$97,20,FALSE)</f>
        <v>#N/A</v>
      </c>
      <c r="G394" s="89" t="e">
        <f>HLOOKUP($D$389,'EJEMPLO DE NOMINA'!$E$1:$BU$97,28,FALSE)</f>
        <v>#N/A</v>
      </c>
      <c r="H394" s="89" t="e">
        <f>HLOOKUP($D$389,'EJEMPLO DE NOMINA'!$E$1:$BU$97,36,FALSE)</f>
        <v>#N/A</v>
      </c>
      <c r="I394" s="89" t="e">
        <f>HLOOKUP($D$389,'EJEMPLO DE NOMINA'!$E$1:$BU$97,44,FALSE)</f>
        <v>#N/A</v>
      </c>
      <c r="J394" s="89" t="e">
        <f>HLOOKUP($D$389,'EJEMPLO DE NOMINA'!$E$1:$BU$97,52,FALSE)</f>
        <v>#N/A</v>
      </c>
      <c r="K394" s="89" t="e">
        <f>HLOOKUP($D$389,'EJEMPLO DE NOMINA'!$E$1:$BU$97,60,FALSE)</f>
        <v>#N/A</v>
      </c>
      <c r="L394" s="89" t="e">
        <f>HLOOKUP($D$389,'EJEMPLO DE NOMINA'!$E$1:$BU$97,68,FALSE)</f>
        <v>#N/A</v>
      </c>
      <c r="M394" s="89" t="e">
        <f>HLOOKUP($D$389,'EJEMPLO DE NOMINA'!$E$1:$BU$97,76,FALSE)</f>
        <v>#N/A</v>
      </c>
      <c r="N394" s="89" t="e">
        <f>HLOOKUP($D$389,'EJEMPLO DE NOMINA'!$E$1:$BU$97,84,FALSE)</f>
        <v>#N/A</v>
      </c>
      <c r="O394" s="89" t="e">
        <f>HLOOKUP($D$389,'EJEMPLO DE NOMINA'!$E$1:$BU$97,92,FALSE)</f>
        <v>#N/A</v>
      </c>
      <c r="P394" s="90" t="e">
        <f>SUM(D394:O394)</f>
        <v>#N/A</v>
      </c>
      <c r="Q394" s="93"/>
    </row>
    <row r="395" spans="2:17" hidden="1" x14ac:dyDescent="0.25">
      <c r="B395" s="5"/>
      <c r="C395" s="62" t="s">
        <v>34</v>
      </c>
      <c r="D395" s="91" t="e">
        <f>HLOOKUP($D$389,'EJEMPLO DE NOMINA'!$E$1:$BU$97,5,FALSE)</f>
        <v>#N/A</v>
      </c>
      <c r="E395" s="89" t="e">
        <f>HLOOKUP($D$389,'EJEMPLO DE NOMINA'!$E$1:$BU$97,13,FALSE)</f>
        <v>#N/A</v>
      </c>
      <c r="F395" s="89" t="e">
        <f>HLOOKUP($D$389,'EJEMPLO DE NOMINA'!$E$1:$BU$97,21,FALSE)</f>
        <v>#N/A</v>
      </c>
      <c r="G395" s="89" t="e">
        <f>HLOOKUP($D$389,'EJEMPLO DE NOMINA'!$E$1:$BU$97,29,FALSE)</f>
        <v>#N/A</v>
      </c>
      <c r="H395" s="89" t="e">
        <f>HLOOKUP($D$389,'EJEMPLO DE NOMINA'!$E$1:$BU$97,37,FALSE)</f>
        <v>#N/A</v>
      </c>
      <c r="I395" s="89" t="e">
        <f>HLOOKUP($D$389,'EJEMPLO DE NOMINA'!$E$1:$BU$97,45,FALSE)</f>
        <v>#N/A</v>
      </c>
      <c r="J395" s="89" t="e">
        <f>HLOOKUP($D$389,'EJEMPLO DE NOMINA'!$E$1:$BU$97,53,FALSE)</f>
        <v>#N/A</v>
      </c>
      <c r="K395" s="89" t="e">
        <f>HLOOKUP($D$389,'EJEMPLO DE NOMINA'!$E$1:$BU$97,61,FALSE)</f>
        <v>#N/A</v>
      </c>
      <c r="L395" s="89" t="e">
        <f>HLOOKUP($D$389,'EJEMPLO DE NOMINA'!$E$1:$BU$97,69,FALSE)</f>
        <v>#N/A</v>
      </c>
      <c r="M395" s="89" t="e">
        <f>HLOOKUP($D$389,'EJEMPLO DE NOMINA'!$E$1:$BU$97,77,FALSE)</f>
        <v>#N/A</v>
      </c>
      <c r="N395" s="89" t="e">
        <f>HLOOKUP($D$389,'EJEMPLO DE NOMINA'!$E$1:$BU$97,85,FALSE)</f>
        <v>#N/A</v>
      </c>
      <c r="O395" s="89" t="e">
        <f>HLOOKUP($D$389,'EJEMPLO DE NOMINA'!$E$1:$BU$97,93,FALSE)</f>
        <v>#N/A</v>
      </c>
      <c r="P395" s="90" t="e">
        <f>SUM(D395:O395)</f>
        <v>#N/A</v>
      </c>
      <c r="Q395" s="93"/>
    </row>
    <row r="396" spans="2:17" hidden="1" x14ac:dyDescent="0.25">
      <c r="B396" s="5"/>
      <c r="C396" s="94" t="s">
        <v>39</v>
      </c>
      <c r="D396" s="95" t="e">
        <f>+D394</f>
        <v>#N/A</v>
      </c>
      <c r="E396" s="95" t="e">
        <f t="shared" ref="E396:O396" si="88">+E394</f>
        <v>#N/A</v>
      </c>
      <c r="F396" s="95" t="e">
        <f t="shared" si="88"/>
        <v>#N/A</v>
      </c>
      <c r="G396" s="95" t="e">
        <f t="shared" si="88"/>
        <v>#N/A</v>
      </c>
      <c r="H396" s="95" t="e">
        <f t="shared" si="88"/>
        <v>#N/A</v>
      </c>
      <c r="I396" s="95" t="e">
        <f t="shared" si="88"/>
        <v>#N/A</v>
      </c>
      <c r="J396" s="95" t="e">
        <f t="shared" si="88"/>
        <v>#N/A</v>
      </c>
      <c r="K396" s="95" t="e">
        <f t="shared" si="88"/>
        <v>#N/A</v>
      </c>
      <c r="L396" s="95" t="e">
        <f t="shared" si="88"/>
        <v>#N/A</v>
      </c>
      <c r="M396" s="95" t="e">
        <f t="shared" si="88"/>
        <v>#N/A</v>
      </c>
      <c r="N396" s="95" t="e">
        <f t="shared" si="88"/>
        <v>#N/A</v>
      </c>
      <c r="O396" s="95" t="e">
        <f t="shared" si="88"/>
        <v>#N/A</v>
      </c>
      <c r="P396" s="90" t="e">
        <f>SUM(D396:O396)</f>
        <v>#N/A</v>
      </c>
      <c r="Q396" s="93"/>
    </row>
    <row r="397" spans="2:17" hidden="1" x14ac:dyDescent="0.25">
      <c r="B397" s="5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3"/>
    </row>
    <row r="398" spans="2:17" hidden="1" x14ac:dyDescent="0.25">
      <c r="B398" s="5"/>
      <c r="C398" s="62" t="s">
        <v>35</v>
      </c>
      <c r="D398" s="91" t="e">
        <f>HLOOKUP($D$389,'EJEMPLO DE NOMINA'!$E$1:$BU$97,6,FALSE)</f>
        <v>#N/A</v>
      </c>
      <c r="E398" s="89" t="e">
        <f>HLOOKUP($D$389,'EJEMPLO DE NOMINA'!$E$1:$BU$97,14,FALSE)</f>
        <v>#N/A</v>
      </c>
      <c r="F398" s="89" t="e">
        <f>HLOOKUP($D$389,'EJEMPLO DE NOMINA'!$E$1:$BU$97,22,FALSE)</f>
        <v>#N/A</v>
      </c>
      <c r="G398" s="89" t="e">
        <f>HLOOKUP($D$389,'EJEMPLO DE NOMINA'!$E$1:$BU$97,30,FALSE)</f>
        <v>#N/A</v>
      </c>
      <c r="H398" s="89" t="e">
        <f>HLOOKUP($D$389,'EJEMPLO DE NOMINA'!$E$1:$BU$97,38,FALSE)</f>
        <v>#N/A</v>
      </c>
      <c r="I398" s="89" t="e">
        <f>HLOOKUP($D$389,'EJEMPLO DE NOMINA'!$E$1:$BU$97,46,FALSE)</f>
        <v>#N/A</v>
      </c>
      <c r="J398" s="89" t="e">
        <f>HLOOKUP($D$389,'EJEMPLO DE NOMINA'!$E$1:$BU$97,54,FALSE)</f>
        <v>#N/A</v>
      </c>
      <c r="K398" s="89" t="e">
        <f>HLOOKUP($D$389,'EJEMPLO DE NOMINA'!$E$1:$BU$97,62,FALSE)</f>
        <v>#N/A</v>
      </c>
      <c r="L398" s="89" t="e">
        <f>HLOOKUP($D$389,'EJEMPLO DE NOMINA'!$E$1:$BU$97,70,FALSE)</f>
        <v>#N/A</v>
      </c>
      <c r="M398" s="89" t="e">
        <f>HLOOKUP($D$389,'EJEMPLO DE NOMINA'!$E$1:$BU$97,78,FALSE)</f>
        <v>#N/A</v>
      </c>
      <c r="N398" s="89" t="e">
        <f>HLOOKUP($D$389,'EJEMPLO DE NOMINA'!$E$1:$BU$97,86,FALSE)</f>
        <v>#N/A</v>
      </c>
      <c r="O398" s="89" t="e">
        <f>HLOOKUP($D$389,'EJEMPLO DE NOMINA'!$E$1:$BU$97,94,FALSE)</f>
        <v>#N/A</v>
      </c>
      <c r="P398" s="90" t="e">
        <f>SUM(D398:O398)</f>
        <v>#N/A</v>
      </c>
      <c r="Q398" s="87"/>
    </row>
    <row r="399" spans="2:17" hidden="1" x14ac:dyDescent="0.25">
      <c r="B399" s="5"/>
      <c r="C399" s="62" t="s">
        <v>36</v>
      </c>
      <c r="D399" s="91" t="e">
        <f>HLOOKUP($D$389,'EJEMPLO DE NOMINA'!$E$1:$BU$97,7,FALSE)</f>
        <v>#N/A</v>
      </c>
      <c r="E399" s="89" t="e">
        <f>HLOOKUP($D$389,'EJEMPLO DE NOMINA'!$E$1:$BU$97,15,FALSE)</f>
        <v>#N/A</v>
      </c>
      <c r="F399" s="89" t="e">
        <f>HLOOKUP($D$389,'EJEMPLO DE NOMINA'!$E$1:$BU$97,23,FALSE)</f>
        <v>#N/A</v>
      </c>
      <c r="G399" s="89" t="e">
        <f>HLOOKUP($D$389,'EJEMPLO DE NOMINA'!$E$1:$BU$97,31,FALSE)</f>
        <v>#N/A</v>
      </c>
      <c r="H399" s="89" t="e">
        <f>HLOOKUP($D$389,'EJEMPLO DE NOMINA'!$E$1:$BU$97,39,FALSE)</f>
        <v>#N/A</v>
      </c>
      <c r="I399" s="89" t="e">
        <f>HLOOKUP($D$389,'EJEMPLO DE NOMINA'!$E$1:$BU$97,47,FALSE)</f>
        <v>#N/A</v>
      </c>
      <c r="J399" s="89" t="e">
        <f>HLOOKUP($D$389,'EJEMPLO DE NOMINA'!$E$1:$BU$97,55,FALSE)</f>
        <v>#N/A</v>
      </c>
      <c r="K399" s="89" t="e">
        <f>HLOOKUP($D$389,'EJEMPLO DE NOMINA'!$E$1:$BU$97,63,FALSE)</f>
        <v>#N/A</v>
      </c>
      <c r="L399" s="89" t="e">
        <f>HLOOKUP($D$389,'EJEMPLO DE NOMINA'!$E$1:$BU$97,71,FALSE)</f>
        <v>#N/A</v>
      </c>
      <c r="M399" s="89" t="e">
        <f>HLOOKUP($D$389,'EJEMPLO DE NOMINA'!$E$1:$BU$97,79,FALSE)</f>
        <v>#N/A</v>
      </c>
      <c r="N399" s="89" t="e">
        <f>HLOOKUP($D$389,'EJEMPLO DE NOMINA'!$E$1:$BU$97,87,FALSE)</f>
        <v>#N/A</v>
      </c>
      <c r="O399" s="89" t="e">
        <f>HLOOKUP($D$389,'EJEMPLO DE NOMINA'!$E$1:$BU$97,95,FALSE)</f>
        <v>#N/A</v>
      </c>
      <c r="P399" s="92" t="e">
        <f>AVERAGE(D399:O399)</f>
        <v>#N/A</v>
      </c>
      <c r="Q399" s="87"/>
    </row>
    <row r="400" spans="2:17" hidden="1" x14ac:dyDescent="0.25">
      <c r="B400" s="5"/>
      <c r="C400" s="62" t="s">
        <v>37</v>
      </c>
      <c r="D400" s="91" t="e">
        <f>HLOOKUP($D$389,'EJEMPLO DE NOMINA'!$E$1:$BU$97,8,FALSE)</f>
        <v>#N/A</v>
      </c>
      <c r="E400" s="89" t="e">
        <f>HLOOKUP($D$389,'EJEMPLO DE NOMINA'!$E$1:$BU$97,16,FALSE)</f>
        <v>#N/A</v>
      </c>
      <c r="F400" s="89" t="e">
        <f>HLOOKUP($D$389,'EJEMPLO DE NOMINA'!$E$1:$BU$97,24,FALSE)</f>
        <v>#N/A</v>
      </c>
      <c r="G400" s="89" t="e">
        <f>HLOOKUP($D$389,'EJEMPLO DE NOMINA'!$E$1:$BU$97,32,FALSE)</f>
        <v>#N/A</v>
      </c>
      <c r="H400" s="89" t="e">
        <f>HLOOKUP($D$389,'EJEMPLO DE NOMINA'!$E$1:$BU$97,40,FALSE)</f>
        <v>#N/A</v>
      </c>
      <c r="I400" s="89" t="e">
        <f>HLOOKUP($D$389,'EJEMPLO DE NOMINA'!$E$1:$BU$97,48,FALSE)</f>
        <v>#N/A</v>
      </c>
      <c r="J400" s="89" t="e">
        <f>HLOOKUP($D$389,'EJEMPLO DE NOMINA'!$E$1:$BU$97,56,FALSE)</f>
        <v>#N/A</v>
      </c>
      <c r="K400" s="89" t="e">
        <f>HLOOKUP($D$389,'EJEMPLO DE NOMINA'!$E$1:$BU$97,64,FALSE)</f>
        <v>#N/A</v>
      </c>
      <c r="L400" s="89" t="e">
        <f>HLOOKUP($D$389,'EJEMPLO DE NOMINA'!$E$1:$BU$97,72,FALSE)</f>
        <v>#N/A</v>
      </c>
      <c r="M400" s="89" t="e">
        <f>HLOOKUP($D$389,'EJEMPLO DE NOMINA'!$E$1:$BU$97,80,FALSE)</f>
        <v>#N/A</v>
      </c>
      <c r="N400" s="89" t="e">
        <f>HLOOKUP($D$389,'EJEMPLO DE NOMINA'!$E$1:$BU$97,88,FALSE)</f>
        <v>#N/A</v>
      </c>
      <c r="O400" s="89" t="e">
        <f>HLOOKUP($D$389,'EJEMPLO DE NOMINA'!$E$1:$BU$97,96,FALSE)</f>
        <v>#N/A</v>
      </c>
      <c r="P400" s="90" t="e">
        <f>SUM(D400:O400)</f>
        <v>#N/A</v>
      </c>
      <c r="Q400" s="87"/>
    </row>
    <row r="401" spans="2:17" hidden="1" x14ac:dyDescent="0.25">
      <c r="B401" s="5"/>
      <c r="C401" s="62" t="s">
        <v>38</v>
      </c>
      <c r="D401" s="91" t="e">
        <f>HLOOKUP($D$389,'EJEMPLO DE NOMINA'!$E$1:$BU$97,9,FALSE)</f>
        <v>#N/A</v>
      </c>
      <c r="E401" s="89" t="e">
        <f>HLOOKUP($D$389,'EJEMPLO DE NOMINA'!$E$1:$BU$97,17,FALSE)</f>
        <v>#N/A</v>
      </c>
      <c r="F401" s="89" t="e">
        <f>HLOOKUP($D$389,'EJEMPLO DE NOMINA'!$E$1:$BU$97,25,FALSE)</f>
        <v>#N/A</v>
      </c>
      <c r="G401" s="89" t="e">
        <f>HLOOKUP($D$389,'EJEMPLO DE NOMINA'!$E$1:$BU$97,33,FALSE)</f>
        <v>#N/A</v>
      </c>
      <c r="H401" s="89" t="e">
        <f>HLOOKUP($D$389,'EJEMPLO DE NOMINA'!$E$1:$BU$97,41,FALSE)</f>
        <v>#N/A</v>
      </c>
      <c r="I401" s="89" t="e">
        <f>HLOOKUP($D$389,'EJEMPLO DE NOMINA'!$E$1:$BU$97,49,FALSE)</f>
        <v>#N/A</v>
      </c>
      <c r="J401" s="89" t="e">
        <f>HLOOKUP($D$389,'EJEMPLO DE NOMINA'!$E$1:$BU$97,57,FALSE)</f>
        <v>#N/A</v>
      </c>
      <c r="K401" s="89" t="e">
        <f>HLOOKUP($D$389,'EJEMPLO DE NOMINA'!$E$1:$BU$97,65,FALSE)</f>
        <v>#N/A</v>
      </c>
      <c r="L401" s="89" t="e">
        <f>HLOOKUP($D$389,'EJEMPLO DE NOMINA'!$E$1:$BU$97,73,FALSE)</f>
        <v>#N/A</v>
      </c>
      <c r="M401" s="89" t="e">
        <f>HLOOKUP($D$389,'EJEMPLO DE NOMINA'!$E$1:$BU$97,81,FALSE)</f>
        <v>#N/A</v>
      </c>
      <c r="N401" s="89" t="e">
        <f>HLOOKUP($D$389,'EJEMPLO DE NOMINA'!$E$1:$BU$97,89,FALSE)</f>
        <v>#N/A</v>
      </c>
      <c r="O401" s="89" t="e">
        <f>HLOOKUP($D$389,'EJEMPLO DE NOMINA'!$E$1:$BU$97,97,FALSE)</f>
        <v>#N/A</v>
      </c>
      <c r="P401" s="90" t="e">
        <f>SUM(D401:O401)</f>
        <v>#N/A</v>
      </c>
      <c r="Q401" s="87"/>
    </row>
    <row r="402" spans="2:17" hidden="1" x14ac:dyDescent="0.25">
      <c r="B402" s="5"/>
      <c r="C402" s="94" t="s">
        <v>39</v>
      </c>
      <c r="D402" s="97" t="e">
        <f>+D400</f>
        <v>#N/A</v>
      </c>
      <c r="E402" s="97" t="e">
        <f t="shared" ref="E402:O402" si="89">+E400</f>
        <v>#N/A</v>
      </c>
      <c r="F402" s="97" t="e">
        <f t="shared" si="89"/>
        <v>#N/A</v>
      </c>
      <c r="G402" s="97" t="e">
        <f t="shared" si="89"/>
        <v>#N/A</v>
      </c>
      <c r="H402" s="97" t="e">
        <f t="shared" si="89"/>
        <v>#N/A</v>
      </c>
      <c r="I402" s="97" t="e">
        <f t="shared" si="89"/>
        <v>#N/A</v>
      </c>
      <c r="J402" s="97" t="e">
        <f t="shared" si="89"/>
        <v>#N/A</v>
      </c>
      <c r="K402" s="97" t="e">
        <f t="shared" si="89"/>
        <v>#N/A</v>
      </c>
      <c r="L402" s="97" t="e">
        <f t="shared" si="89"/>
        <v>#N/A</v>
      </c>
      <c r="M402" s="97" t="e">
        <f t="shared" si="89"/>
        <v>#N/A</v>
      </c>
      <c r="N402" s="97" t="e">
        <f t="shared" si="89"/>
        <v>#N/A</v>
      </c>
      <c r="O402" s="97" t="e">
        <f t="shared" si="89"/>
        <v>#N/A</v>
      </c>
      <c r="P402" s="90" t="e">
        <f>SUM(D402:O402)</f>
        <v>#N/A</v>
      </c>
      <c r="Q402" s="87"/>
    </row>
    <row r="403" spans="2:17" hidden="1" x14ac:dyDescent="0.25">
      <c r="B403" s="5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87"/>
    </row>
    <row r="404" spans="2:17" hidden="1" x14ac:dyDescent="0.25">
      <c r="B404" s="5"/>
      <c r="C404" s="62" t="s">
        <v>12</v>
      </c>
      <c r="D404" s="98">
        <v>0.02</v>
      </c>
      <c r="E404" s="98">
        <v>0.02</v>
      </c>
      <c r="F404" s="98">
        <v>0.02</v>
      </c>
      <c r="G404" s="98">
        <v>0.02</v>
      </c>
      <c r="H404" s="98">
        <v>0.02</v>
      </c>
      <c r="I404" s="98">
        <v>0.02</v>
      </c>
      <c r="J404" s="98">
        <v>0.02</v>
      </c>
      <c r="K404" s="98">
        <v>0.02</v>
      </c>
      <c r="L404" s="98">
        <v>0.02</v>
      </c>
      <c r="M404" s="98">
        <v>0.02</v>
      </c>
      <c r="N404" s="98">
        <v>0.02</v>
      </c>
      <c r="O404" s="98">
        <v>0.02</v>
      </c>
      <c r="P404" s="66"/>
      <c r="Q404" s="87"/>
    </row>
    <row r="405" spans="2:17" hidden="1" x14ac:dyDescent="0.25">
      <c r="B405" s="5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87"/>
    </row>
    <row r="406" spans="2:17" hidden="1" x14ac:dyDescent="0.25">
      <c r="B406" s="5"/>
      <c r="C406" s="62" t="s">
        <v>13</v>
      </c>
      <c r="D406" s="97" t="e">
        <f t="shared" ref="D406:O406" si="90">+D402*D404</f>
        <v>#N/A</v>
      </c>
      <c r="E406" s="97" t="e">
        <f t="shared" si="90"/>
        <v>#N/A</v>
      </c>
      <c r="F406" s="97" t="e">
        <f t="shared" si="90"/>
        <v>#N/A</v>
      </c>
      <c r="G406" s="97" t="e">
        <f t="shared" si="90"/>
        <v>#N/A</v>
      </c>
      <c r="H406" s="97" t="e">
        <f t="shared" si="90"/>
        <v>#N/A</v>
      </c>
      <c r="I406" s="97" t="e">
        <f t="shared" si="90"/>
        <v>#N/A</v>
      </c>
      <c r="J406" s="97" t="e">
        <f t="shared" si="90"/>
        <v>#N/A</v>
      </c>
      <c r="K406" s="97" t="e">
        <f t="shared" si="90"/>
        <v>#N/A</v>
      </c>
      <c r="L406" s="97" t="e">
        <f t="shared" si="90"/>
        <v>#N/A</v>
      </c>
      <c r="M406" s="97" t="e">
        <f t="shared" si="90"/>
        <v>#N/A</v>
      </c>
      <c r="N406" s="97" t="e">
        <f t="shared" si="90"/>
        <v>#N/A</v>
      </c>
      <c r="O406" s="97" t="e">
        <f t="shared" si="90"/>
        <v>#N/A</v>
      </c>
      <c r="P406" s="90" t="e">
        <f>SUM(D406:O406)</f>
        <v>#N/A</v>
      </c>
      <c r="Q406" s="87"/>
    </row>
    <row r="407" spans="2:17" hidden="1" x14ac:dyDescent="0.25">
      <c r="B407" s="5"/>
      <c r="C407" s="62" t="s">
        <v>22</v>
      </c>
      <c r="D407" s="97" t="e">
        <f t="shared" ref="D407:O407" si="91">+D398</f>
        <v>#N/A</v>
      </c>
      <c r="E407" s="97" t="e">
        <f t="shared" si="91"/>
        <v>#N/A</v>
      </c>
      <c r="F407" s="97" t="e">
        <f t="shared" si="91"/>
        <v>#N/A</v>
      </c>
      <c r="G407" s="97" t="e">
        <f t="shared" si="91"/>
        <v>#N/A</v>
      </c>
      <c r="H407" s="97" t="e">
        <f t="shared" si="91"/>
        <v>#N/A</v>
      </c>
      <c r="I407" s="97" t="e">
        <f t="shared" si="91"/>
        <v>#N/A</v>
      </c>
      <c r="J407" s="97" t="e">
        <f t="shared" si="91"/>
        <v>#N/A</v>
      </c>
      <c r="K407" s="97" t="e">
        <f t="shared" si="91"/>
        <v>#N/A</v>
      </c>
      <c r="L407" s="97" t="e">
        <f t="shared" si="91"/>
        <v>#N/A</v>
      </c>
      <c r="M407" s="97" t="e">
        <f t="shared" si="91"/>
        <v>#N/A</v>
      </c>
      <c r="N407" s="97" t="e">
        <f t="shared" si="91"/>
        <v>#N/A</v>
      </c>
      <c r="O407" s="97" t="e">
        <f t="shared" si="91"/>
        <v>#N/A</v>
      </c>
      <c r="P407" s="90" t="e">
        <f>SUM(D407:O407)</f>
        <v>#N/A</v>
      </c>
      <c r="Q407" s="87"/>
    </row>
    <row r="408" spans="2:17" hidden="1" x14ac:dyDescent="0.25">
      <c r="B408" s="5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87"/>
    </row>
    <row r="409" spans="2:17" hidden="1" x14ac:dyDescent="0.25">
      <c r="B409" s="5"/>
      <c r="C409" s="99" t="s">
        <v>14</v>
      </c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87"/>
    </row>
    <row r="410" spans="2:17" hidden="1" x14ac:dyDescent="0.25">
      <c r="B410" s="5"/>
      <c r="C410" s="62" t="s">
        <v>15</v>
      </c>
      <c r="D410" s="97" t="e">
        <f t="shared" ref="D410:O410" si="92">+D392-D406</f>
        <v>#N/A</v>
      </c>
      <c r="E410" s="97" t="e">
        <f t="shared" si="92"/>
        <v>#N/A</v>
      </c>
      <c r="F410" s="97" t="e">
        <f t="shared" si="92"/>
        <v>#N/A</v>
      </c>
      <c r="G410" s="97" t="e">
        <f t="shared" si="92"/>
        <v>#N/A</v>
      </c>
      <c r="H410" s="97" t="e">
        <f t="shared" si="92"/>
        <v>#N/A</v>
      </c>
      <c r="I410" s="97" t="e">
        <f t="shared" si="92"/>
        <v>#N/A</v>
      </c>
      <c r="J410" s="97" t="e">
        <f t="shared" si="92"/>
        <v>#N/A</v>
      </c>
      <c r="K410" s="97" t="e">
        <f t="shared" si="92"/>
        <v>#N/A</v>
      </c>
      <c r="L410" s="97" t="e">
        <f t="shared" si="92"/>
        <v>#N/A</v>
      </c>
      <c r="M410" s="97" t="e">
        <f t="shared" si="92"/>
        <v>#N/A</v>
      </c>
      <c r="N410" s="97" t="e">
        <f t="shared" si="92"/>
        <v>#N/A</v>
      </c>
      <c r="O410" s="97" t="e">
        <f t="shared" si="92"/>
        <v>#N/A</v>
      </c>
      <c r="P410" s="90" t="e">
        <f>SUM(D410:O410)</f>
        <v>#N/A</v>
      </c>
      <c r="Q410" s="87"/>
    </row>
    <row r="411" spans="2:17" hidden="1" x14ac:dyDescent="0.25">
      <c r="B411" s="5"/>
      <c r="C411" s="62" t="s">
        <v>16</v>
      </c>
      <c r="D411" s="97" t="e">
        <f t="shared" ref="D411:O411" si="93">+D398-D406</f>
        <v>#N/A</v>
      </c>
      <c r="E411" s="97" t="e">
        <f t="shared" si="93"/>
        <v>#N/A</v>
      </c>
      <c r="F411" s="97" t="e">
        <f t="shared" si="93"/>
        <v>#N/A</v>
      </c>
      <c r="G411" s="97" t="e">
        <f t="shared" si="93"/>
        <v>#N/A</v>
      </c>
      <c r="H411" s="97" t="e">
        <f t="shared" si="93"/>
        <v>#N/A</v>
      </c>
      <c r="I411" s="97" t="e">
        <f t="shared" si="93"/>
        <v>#N/A</v>
      </c>
      <c r="J411" s="97" t="e">
        <f t="shared" si="93"/>
        <v>#N/A</v>
      </c>
      <c r="K411" s="97" t="e">
        <f t="shared" si="93"/>
        <v>#N/A</v>
      </c>
      <c r="L411" s="97" t="e">
        <f t="shared" si="93"/>
        <v>#N/A</v>
      </c>
      <c r="M411" s="97" t="e">
        <f t="shared" si="93"/>
        <v>#N/A</v>
      </c>
      <c r="N411" s="97" t="e">
        <f t="shared" si="93"/>
        <v>#N/A</v>
      </c>
      <c r="O411" s="97" t="e">
        <f t="shared" si="93"/>
        <v>#N/A</v>
      </c>
      <c r="P411" s="90" t="e">
        <f>SUM(D411:O411)</f>
        <v>#N/A</v>
      </c>
      <c r="Q411" s="87"/>
    </row>
    <row r="412" spans="2:17" hidden="1" x14ac:dyDescent="0.25">
      <c r="B412" s="5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87"/>
    </row>
    <row r="413" spans="2:17" hidden="1" x14ac:dyDescent="0.25">
      <c r="B413" s="5"/>
      <c r="C413" s="75" t="s">
        <v>17</v>
      </c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90">
        <f>SUM(D413:O413)</f>
        <v>0</v>
      </c>
      <c r="Q413" s="87"/>
    </row>
    <row r="414" spans="2:17" hidden="1" x14ac:dyDescent="0.25">
      <c r="B414" s="5"/>
      <c r="C414" s="75" t="s">
        <v>18</v>
      </c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90">
        <f>SUM(D414:O414)</f>
        <v>0</v>
      </c>
      <c r="Q414" s="87"/>
    </row>
    <row r="415" spans="2:17" hidden="1" x14ac:dyDescent="0.25">
      <c r="B415" s="5"/>
      <c r="C415" s="9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87"/>
    </row>
    <row r="416" spans="2:17" hidden="1" x14ac:dyDescent="0.25">
      <c r="B416" s="5"/>
      <c r="C416" s="101" t="s">
        <v>19</v>
      </c>
      <c r="D416" s="102" t="e">
        <f t="shared" ref="D416:O416" si="94">+D406+D413+D414</f>
        <v>#N/A</v>
      </c>
      <c r="E416" s="102" t="e">
        <f t="shared" si="94"/>
        <v>#N/A</v>
      </c>
      <c r="F416" s="102" t="e">
        <f t="shared" si="94"/>
        <v>#N/A</v>
      </c>
      <c r="G416" s="102" t="e">
        <f t="shared" si="94"/>
        <v>#N/A</v>
      </c>
      <c r="H416" s="102" t="e">
        <f t="shared" si="94"/>
        <v>#N/A</v>
      </c>
      <c r="I416" s="102" t="e">
        <f t="shared" si="94"/>
        <v>#N/A</v>
      </c>
      <c r="J416" s="102" t="e">
        <f t="shared" si="94"/>
        <v>#N/A</v>
      </c>
      <c r="K416" s="102" t="e">
        <f t="shared" si="94"/>
        <v>#N/A</v>
      </c>
      <c r="L416" s="102" t="e">
        <f t="shared" si="94"/>
        <v>#N/A</v>
      </c>
      <c r="M416" s="102" t="e">
        <f t="shared" si="94"/>
        <v>#N/A</v>
      </c>
      <c r="N416" s="102" t="e">
        <f t="shared" si="94"/>
        <v>#N/A</v>
      </c>
      <c r="O416" s="102" t="e">
        <f t="shared" si="94"/>
        <v>#N/A</v>
      </c>
      <c r="P416" s="103" t="e">
        <f>SUM(D416:O416)</f>
        <v>#N/A</v>
      </c>
      <c r="Q416" s="87"/>
    </row>
    <row r="417" spans="2:17" ht="15.75" hidden="1" thickBot="1" x14ac:dyDescent="0.3">
      <c r="B417" s="6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5"/>
    </row>
    <row r="418" spans="2:17" ht="15.75" hidden="1" thickBot="1" x14ac:dyDescent="0.3">
      <c r="B418" s="3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77"/>
      <c r="N418" s="77"/>
      <c r="O418" s="77"/>
      <c r="P418" s="66"/>
      <c r="Q418" s="66"/>
    </row>
    <row r="419" spans="2:17" hidden="1" x14ac:dyDescent="0.25">
      <c r="B419" s="4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1"/>
    </row>
    <row r="420" spans="2:17" hidden="1" x14ac:dyDescent="0.25">
      <c r="B420" s="5"/>
      <c r="C420" s="82" t="s">
        <v>11</v>
      </c>
      <c r="D420" s="83"/>
      <c r="E420" s="84"/>
      <c r="F420" s="84"/>
      <c r="G420" s="85"/>
      <c r="H420" s="171"/>
      <c r="I420" s="172"/>
      <c r="J420" s="172"/>
      <c r="K420" s="172"/>
      <c r="L420" s="172"/>
      <c r="M420" s="172"/>
      <c r="N420" s="172"/>
      <c r="O420" s="173"/>
      <c r="P420" s="86" t="s">
        <v>6</v>
      </c>
      <c r="Q420" s="87"/>
    </row>
    <row r="421" spans="2:17" hidden="1" x14ac:dyDescent="0.25">
      <c r="B421" s="5"/>
      <c r="C421" s="66"/>
      <c r="D421" s="174" t="s">
        <v>41</v>
      </c>
      <c r="E421" s="174"/>
      <c r="F421" s="174"/>
      <c r="G421" s="174"/>
      <c r="H421" s="171"/>
      <c r="I421" s="172"/>
      <c r="J421" s="172"/>
      <c r="K421" s="172"/>
      <c r="L421" s="172"/>
      <c r="M421" s="172"/>
      <c r="N421" s="172"/>
      <c r="O421" s="173"/>
      <c r="P421" s="88"/>
      <c r="Q421" s="87"/>
    </row>
    <row r="422" spans="2:17" hidden="1" x14ac:dyDescent="0.25">
      <c r="B422" s="5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87"/>
    </row>
    <row r="423" spans="2:17" hidden="1" x14ac:dyDescent="0.25">
      <c r="B423" s="5"/>
      <c r="C423" s="62" t="s">
        <v>27</v>
      </c>
      <c r="D423" s="89" t="e">
        <f>HLOOKUP($D$420,'EJEMPLO DE NOMINA'!$E$1:$BU$97,2,FALSE)</f>
        <v>#N/A</v>
      </c>
      <c r="E423" s="89" t="e">
        <f>HLOOKUP($D$420,'EJEMPLO DE NOMINA'!$E$1:$BU$97,10,FALSE)</f>
        <v>#N/A</v>
      </c>
      <c r="F423" s="89" t="e">
        <f>HLOOKUP($D$420,'EJEMPLO DE NOMINA'!$E$1:$BU$97,18,FALSE)</f>
        <v>#N/A</v>
      </c>
      <c r="G423" s="89" t="e">
        <f>HLOOKUP($D$420,'EJEMPLO DE NOMINA'!$E$1:$BU$97,26,FALSE)</f>
        <v>#N/A</v>
      </c>
      <c r="H423" s="89" t="e">
        <f>HLOOKUP($D$420,'EJEMPLO DE NOMINA'!$E$1:$BU$97,34,FALSE)</f>
        <v>#N/A</v>
      </c>
      <c r="I423" s="89" t="e">
        <f>HLOOKUP($D$420,'EJEMPLO DE NOMINA'!$E$1:$BU$97,42,FALSE)</f>
        <v>#N/A</v>
      </c>
      <c r="J423" s="89" t="e">
        <f>HLOOKUP($D$420,'EJEMPLO DE NOMINA'!$E$1:$BU$97,50,FALSE)</f>
        <v>#N/A</v>
      </c>
      <c r="K423" s="89" t="e">
        <f>HLOOKUP($D$420,'EJEMPLO DE NOMINA'!$E$1:$BU$97,58,FALSE)</f>
        <v>#N/A</v>
      </c>
      <c r="L423" s="89" t="e">
        <f>HLOOKUP($D$420,'EJEMPLO DE NOMINA'!$E$1:$BU$97,66,FALSE)</f>
        <v>#N/A</v>
      </c>
      <c r="M423" s="89" t="e">
        <f>HLOOKUP($D$420,'EJEMPLO DE NOMINA'!$E$1:$BU$97,74,FALSE)</f>
        <v>#N/A</v>
      </c>
      <c r="N423" s="89" t="e">
        <f>HLOOKUP($D$420,'EJEMPLO DE NOMINA'!$E$1:$BU$97,82,FALSE)</f>
        <v>#N/A</v>
      </c>
      <c r="O423" s="89" t="e">
        <f>HLOOKUP($D$420,'EJEMPLO DE NOMINA'!$E$1:$BU$97,90,FALSE)</f>
        <v>#N/A</v>
      </c>
      <c r="P423" s="90" t="e">
        <f>SUM(D423:O423)</f>
        <v>#N/A</v>
      </c>
      <c r="Q423" s="87"/>
    </row>
    <row r="424" spans="2:17" hidden="1" x14ac:dyDescent="0.25">
      <c r="B424" s="5"/>
      <c r="C424" s="62" t="s">
        <v>26</v>
      </c>
      <c r="D424" s="91" t="e">
        <f>HLOOKUP($D$420,'EJEMPLO DE NOMINA'!$E$1:$BU$97,3,FALSE)</f>
        <v>#N/A</v>
      </c>
      <c r="E424" s="89" t="e">
        <f>HLOOKUP($D$420,'EJEMPLO DE NOMINA'!$E$1:$BU$97,11,FALSE)</f>
        <v>#N/A</v>
      </c>
      <c r="F424" s="89" t="e">
        <f>HLOOKUP($D$420,'EJEMPLO DE NOMINA'!$E$1:$BU$97,19,FALSE)</f>
        <v>#N/A</v>
      </c>
      <c r="G424" s="89" t="e">
        <f>HLOOKUP($D$420,'EJEMPLO DE NOMINA'!$E$1:$BU$97,27,FALSE)</f>
        <v>#N/A</v>
      </c>
      <c r="H424" s="89" t="e">
        <f>HLOOKUP($D$420,'EJEMPLO DE NOMINA'!$E$1:$BU$97,35,FALSE)</f>
        <v>#N/A</v>
      </c>
      <c r="I424" s="89" t="e">
        <f>HLOOKUP($D$420,'EJEMPLO DE NOMINA'!$E$1:$BU$97,43,FALSE)</f>
        <v>#N/A</v>
      </c>
      <c r="J424" s="89" t="e">
        <f>HLOOKUP($D$420,'EJEMPLO DE NOMINA'!$E$1:$BU$97,51,FALSE)</f>
        <v>#N/A</v>
      </c>
      <c r="K424" s="89" t="e">
        <f>HLOOKUP($D$420,'EJEMPLO DE NOMINA'!$E$1:$BU$97,59,FALSE)</f>
        <v>#N/A</v>
      </c>
      <c r="L424" s="89" t="e">
        <f>HLOOKUP($D$420,'EJEMPLO DE NOMINA'!$E$1:$BU$97,67,FALSE)</f>
        <v>#N/A</v>
      </c>
      <c r="M424" s="89" t="e">
        <f>HLOOKUP($D$420,'EJEMPLO DE NOMINA'!$E$1:$BU$97,75,FALSE)</f>
        <v>#N/A</v>
      </c>
      <c r="N424" s="89" t="e">
        <f>HLOOKUP($D$420,'EJEMPLO DE NOMINA'!$E$1:$BU$97,83,FALSE)</f>
        <v>#N/A</v>
      </c>
      <c r="O424" s="89" t="e">
        <f>HLOOKUP($D$420,'EJEMPLO DE NOMINA'!$E$1:$BU$97,91,FALSE)</f>
        <v>#N/A</v>
      </c>
      <c r="P424" s="92" t="e">
        <f>AVERAGE(D424:O424)</f>
        <v>#N/A</v>
      </c>
      <c r="Q424" s="87"/>
    </row>
    <row r="425" spans="2:17" hidden="1" x14ac:dyDescent="0.25">
      <c r="B425" s="5"/>
      <c r="C425" s="62" t="s">
        <v>33</v>
      </c>
      <c r="D425" s="91" t="e">
        <f>HLOOKUP($D$420,'EJEMPLO DE NOMINA'!$E$1:$BU$97,4,FALSE)</f>
        <v>#N/A</v>
      </c>
      <c r="E425" s="89" t="e">
        <f>HLOOKUP($D$420,'EJEMPLO DE NOMINA'!$E$1:$BU$97,12,FALSE)</f>
        <v>#N/A</v>
      </c>
      <c r="F425" s="89" t="e">
        <f>HLOOKUP($D$420,'EJEMPLO DE NOMINA'!$E$1:$BU$97,20,FALSE)</f>
        <v>#N/A</v>
      </c>
      <c r="G425" s="89" t="e">
        <f>HLOOKUP($D$420,'EJEMPLO DE NOMINA'!$E$1:$BU$97,28,FALSE)</f>
        <v>#N/A</v>
      </c>
      <c r="H425" s="89" t="e">
        <f>HLOOKUP($D$420,'EJEMPLO DE NOMINA'!$E$1:$BU$97,36,FALSE)</f>
        <v>#N/A</v>
      </c>
      <c r="I425" s="89" t="e">
        <f>HLOOKUP($D$420,'EJEMPLO DE NOMINA'!$E$1:$BU$97,44,FALSE)</f>
        <v>#N/A</v>
      </c>
      <c r="J425" s="89" t="e">
        <f>HLOOKUP($D$420,'EJEMPLO DE NOMINA'!$E$1:$BU$97,52,FALSE)</f>
        <v>#N/A</v>
      </c>
      <c r="K425" s="89" t="e">
        <f>HLOOKUP($D$420,'EJEMPLO DE NOMINA'!$E$1:$BU$97,60,FALSE)</f>
        <v>#N/A</v>
      </c>
      <c r="L425" s="89" t="e">
        <f>HLOOKUP($D$420,'EJEMPLO DE NOMINA'!$E$1:$BU$97,68,FALSE)</f>
        <v>#N/A</v>
      </c>
      <c r="M425" s="89" t="e">
        <f>HLOOKUP($D$420,'EJEMPLO DE NOMINA'!$E$1:$BU$97,76,FALSE)</f>
        <v>#N/A</v>
      </c>
      <c r="N425" s="89" t="e">
        <f>HLOOKUP($D$420,'EJEMPLO DE NOMINA'!$E$1:$BU$97,84,FALSE)</f>
        <v>#N/A</v>
      </c>
      <c r="O425" s="89" t="e">
        <f>HLOOKUP($D$420,'EJEMPLO DE NOMINA'!$E$1:$BU$97,92,FALSE)</f>
        <v>#N/A</v>
      </c>
      <c r="P425" s="90" t="e">
        <f>SUM(D425:O425)</f>
        <v>#N/A</v>
      </c>
      <c r="Q425" s="93"/>
    </row>
    <row r="426" spans="2:17" hidden="1" x14ac:dyDescent="0.25">
      <c r="B426" s="5"/>
      <c r="C426" s="62" t="s">
        <v>34</v>
      </c>
      <c r="D426" s="91" t="e">
        <f>HLOOKUP($D$420,'EJEMPLO DE NOMINA'!$E$1:$BU$97,5,FALSE)</f>
        <v>#N/A</v>
      </c>
      <c r="E426" s="89" t="e">
        <f>HLOOKUP($D$420,'EJEMPLO DE NOMINA'!$E$1:$BU$97,13,FALSE)</f>
        <v>#N/A</v>
      </c>
      <c r="F426" s="89" t="e">
        <f>HLOOKUP($D$420,'EJEMPLO DE NOMINA'!$E$1:$BU$97,21,FALSE)</f>
        <v>#N/A</v>
      </c>
      <c r="G426" s="89" t="e">
        <f>HLOOKUP($D$420,'EJEMPLO DE NOMINA'!$E$1:$BU$97,29,FALSE)</f>
        <v>#N/A</v>
      </c>
      <c r="H426" s="89" t="e">
        <f>HLOOKUP($D$420,'EJEMPLO DE NOMINA'!$E$1:$BU$97,37,FALSE)</f>
        <v>#N/A</v>
      </c>
      <c r="I426" s="89" t="e">
        <f>HLOOKUP($D$420,'EJEMPLO DE NOMINA'!$E$1:$BU$97,45,FALSE)</f>
        <v>#N/A</v>
      </c>
      <c r="J426" s="89" t="e">
        <f>HLOOKUP($D$420,'EJEMPLO DE NOMINA'!$E$1:$BU$97,53,FALSE)</f>
        <v>#N/A</v>
      </c>
      <c r="K426" s="89" t="e">
        <f>HLOOKUP($D$420,'EJEMPLO DE NOMINA'!$E$1:$BU$97,61,FALSE)</f>
        <v>#N/A</v>
      </c>
      <c r="L426" s="89" t="e">
        <f>HLOOKUP($D$420,'EJEMPLO DE NOMINA'!$E$1:$BU$97,69,FALSE)</f>
        <v>#N/A</v>
      </c>
      <c r="M426" s="89" t="e">
        <f>HLOOKUP($D$420,'EJEMPLO DE NOMINA'!$E$1:$BU$97,77,FALSE)</f>
        <v>#N/A</v>
      </c>
      <c r="N426" s="89" t="e">
        <f>HLOOKUP($D$420,'EJEMPLO DE NOMINA'!$E$1:$BU$97,85,FALSE)</f>
        <v>#N/A</v>
      </c>
      <c r="O426" s="89" t="e">
        <f>HLOOKUP($D$420,'EJEMPLO DE NOMINA'!$E$1:$BU$97,93,FALSE)</f>
        <v>#N/A</v>
      </c>
      <c r="P426" s="90" t="e">
        <f>SUM(D426:O426)</f>
        <v>#N/A</v>
      </c>
      <c r="Q426" s="93"/>
    </row>
    <row r="427" spans="2:17" hidden="1" x14ac:dyDescent="0.25">
      <c r="B427" s="5"/>
      <c r="C427" s="94" t="s">
        <v>39</v>
      </c>
      <c r="D427" s="95" t="e">
        <f>+D425</f>
        <v>#N/A</v>
      </c>
      <c r="E427" s="95" t="e">
        <f t="shared" ref="E427:O427" si="95">+E425</f>
        <v>#N/A</v>
      </c>
      <c r="F427" s="95" t="e">
        <f t="shared" si="95"/>
        <v>#N/A</v>
      </c>
      <c r="G427" s="95" t="e">
        <f t="shared" si="95"/>
        <v>#N/A</v>
      </c>
      <c r="H427" s="95" t="e">
        <f t="shared" si="95"/>
        <v>#N/A</v>
      </c>
      <c r="I427" s="95" t="e">
        <f t="shared" si="95"/>
        <v>#N/A</v>
      </c>
      <c r="J427" s="95" t="e">
        <f t="shared" si="95"/>
        <v>#N/A</v>
      </c>
      <c r="K427" s="95" t="e">
        <f t="shared" si="95"/>
        <v>#N/A</v>
      </c>
      <c r="L427" s="95" t="e">
        <f t="shared" si="95"/>
        <v>#N/A</v>
      </c>
      <c r="M427" s="95" t="e">
        <f t="shared" si="95"/>
        <v>#N/A</v>
      </c>
      <c r="N427" s="95" t="e">
        <f t="shared" si="95"/>
        <v>#N/A</v>
      </c>
      <c r="O427" s="95" t="e">
        <f t="shared" si="95"/>
        <v>#N/A</v>
      </c>
      <c r="P427" s="90" t="e">
        <f>SUM(D427:O427)</f>
        <v>#N/A</v>
      </c>
      <c r="Q427" s="93"/>
    </row>
    <row r="428" spans="2:17" hidden="1" x14ac:dyDescent="0.25">
      <c r="B428" s="5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3"/>
    </row>
    <row r="429" spans="2:17" hidden="1" x14ac:dyDescent="0.25">
      <c r="B429" s="5"/>
      <c r="C429" s="62" t="s">
        <v>35</v>
      </c>
      <c r="D429" s="91" t="e">
        <f>HLOOKUP($D$420,'EJEMPLO DE NOMINA'!$E$1:$BU$97,6,FALSE)</f>
        <v>#N/A</v>
      </c>
      <c r="E429" s="89" t="e">
        <f>HLOOKUP($D$420,'EJEMPLO DE NOMINA'!$E$1:$BU$97,14,FALSE)</f>
        <v>#N/A</v>
      </c>
      <c r="F429" s="89" t="e">
        <f>HLOOKUP($D$420,'EJEMPLO DE NOMINA'!$E$1:$BU$97,22,FALSE)</f>
        <v>#N/A</v>
      </c>
      <c r="G429" s="89" t="e">
        <f>HLOOKUP($D$420,'EJEMPLO DE NOMINA'!$E$1:$BU$97,30,FALSE)</f>
        <v>#N/A</v>
      </c>
      <c r="H429" s="89" t="e">
        <f>HLOOKUP($D$420,'EJEMPLO DE NOMINA'!$E$1:$BU$97,38,FALSE)</f>
        <v>#N/A</v>
      </c>
      <c r="I429" s="89" t="e">
        <f>HLOOKUP($D$420,'EJEMPLO DE NOMINA'!$E$1:$BU$97,46,FALSE)</f>
        <v>#N/A</v>
      </c>
      <c r="J429" s="89" t="e">
        <f>HLOOKUP($D$420,'EJEMPLO DE NOMINA'!$E$1:$BU$97,54,FALSE)</f>
        <v>#N/A</v>
      </c>
      <c r="K429" s="89" t="e">
        <f>HLOOKUP($D$420,'EJEMPLO DE NOMINA'!$E$1:$BU$97,62,FALSE)</f>
        <v>#N/A</v>
      </c>
      <c r="L429" s="89" t="e">
        <f>HLOOKUP($D$420,'EJEMPLO DE NOMINA'!$E$1:$BU$97,70,FALSE)</f>
        <v>#N/A</v>
      </c>
      <c r="M429" s="89" t="e">
        <f>HLOOKUP($D$420,'EJEMPLO DE NOMINA'!$E$1:$BU$97,78,FALSE)</f>
        <v>#N/A</v>
      </c>
      <c r="N429" s="89" t="e">
        <f>HLOOKUP($D$420,'EJEMPLO DE NOMINA'!$E$1:$BU$97,86,FALSE)</f>
        <v>#N/A</v>
      </c>
      <c r="O429" s="89" t="e">
        <f>HLOOKUP($D$420,'EJEMPLO DE NOMINA'!$E$1:$BU$97,94,FALSE)</f>
        <v>#N/A</v>
      </c>
      <c r="P429" s="90" t="e">
        <f>SUM(D429:O429)</f>
        <v>#N/A</v>
      </c>
      <c r="Q429" s="87"/>
    </row>
    <row r="430" spans="2:17" hidden="1" x14ac:dyDescent="0.25">
      <c r="B430" s="5"/>
      <c r="C430" s="62" t="s">
        <v>36</v>
      </c>
      <c r="D430" s="91" t="e">
        <f>HLOOKUP($D$420,'EJEMPLO DE NOMINA'!$E$1:$BU$97,7,FALSE)</f>
        <v>#N/A</v>
      </c>
      <c r="E430" s="89" t="e">
        <f>HLOOKUP($D$420,'EJEMPLO DE NOMINA'!$E$1:$BU$97,15,FALSE)</f>
        <v>#N/A</v>
      </c>
      <c r="F430" s="89" t="e">
        <f>HLOOKUP($D$420,'EJEMPLO DE NOMINA'!$E$1:$BU$97,23,FALSE)</f>
        <v>#N/A</v>
      </c>
      <c r="G430" s="89" t="e">
        <f>HLOOKUP($D$420,'EJEMPLO DE NOMINA'!$E$1:$BU$97,31,FALSE)</f>
        <v>#N/A</v>
      </c>
      <c r="H430" s="89" t="e">
        <f>HLOOKUP($D$420,'EJEMPLO DE NOMINA'!$E$1:$BU$97,39,FALSE)</f>
        <v>#N/A</v>
      </c>
      <c r="I430" s="89" t="e">
        <f>HLOOKUP($D$420,'EJEMPLO DE NOMINA'!$E$1:$BU$97,47,FALSE)</f>
        <v>#N/A</v>
      </c>
      <c r="J430" s="89" t="e">
        <f>HLOOKUP($D$420,'EJEMPLO DE NOMINA'!$E$1:$BU$97,55,FALSE)</f>
        <v>#N/A</v>
      </c>
      <c r="K430" s="89" t="e">
        <f>HLOOKUP($D$420,'EJEMPLO DE NOMINA'!$E$1:$BU$97,63,FALSE)</f>
        <v>#N/A</v>
      </c>
      <c r="L430" s="89" t="e">
        <f>HLOOKUP($D$420,'EJEMPLO DE NOMINA'!$E$1:$BU$97,71,FALSE)</f>
        <v>#N/A</v>
      </c>
      <c r="M430" s="89" t="e">
        <f>HLOOKUP($D$420,'EJEMPLO DE NOMINA'!$E$1:$BU$97,79,FALSE)</f>
        <v>#N/A</v>
      </c>
      <c r="N430" s="89" t="e">
        <f>HLOOKUP($D$420,'EJEMPLO DE NOMINA'!$E$1:$BU$97,87,FALSE)</f>
        <v>#N/A</v>
      </c>
      <c r="O430" s="89" t="e">
        <f>HLOOKUP($D$420,'EJEMPLO DE NOMINA'!$E$1:$BU$97,95,FALSE)</f>
        <v>#N/A</v>
      </c>
      <c r="P430" s="92" t="e">
        <f>AVERAGE(D430:O430)</f>
        <v>#N/A</v>
      </c>
      <c r="Q430" s="87"/>
    </row>
    <row r="431" spans="2:17" hidden="1" x14ac:dyDescent="0.25">
      <c r="B431" s="5"/>
      <c r="C431" s="62" t="s">
        <v>37</v>
      </c>
      <c r="D431" s="91" t="e">
        <f>HLOOKUP($D$420,'EJEMPLO DE NOMINA'!$E$1:$BU$97,8,FALSE)</f>
        <v>#N/A</v>
      </c>
      <c r="E431" s="89" t="e">
        <f>HLOOKUP($D$420,'EJEMPLO DE NOMINA'!$E$1:$BU$97,16,FALSE)</f>
        <v>#N/A</v>
      </c>
      <c r="F431" s="89" t="e">
        <f>HLOOKUP($D$420,'EJEMPLO DE NOMINA'!$E$1:$BU$97,24,FALSE)</f>
        <v>#N/A</v>
      </c>
      <c r="G431" s="89" t="e">
        <f>HLOOKUP($D$420,'EJEMPLO DE NOMINA'!$E$1:$BU$97,32,FALSE)</f>
        <v>#N/A</v>
      </c>
      <c r="H431" s="89" t="e">
        <f>HLOOKUP($D$420,'EJEMPLO DE NOMINA'!$E$1:$BU$97,40,FALSE)</f>
        <v>#N/A</v>
      </c>
      <c r="I431" s="89" t="e">
        <f>HLOOKUP($D$420,'EJEMPLO DE NOMINA'!$E$1:$BU$97,48,FALSE)</f>
        <v>#N/A</v>
      </c>
      <c r="J431" s="89" t="e">
        <f>HLOOKUP($D$420,'EJEMPLO DE NOMINA'!$E$1:$BU$97,56,FALSE)</f>
        <v>#N/A</v>
      </c>
      <c r="K431" s="89" t="e">
        <f>HLOOKUP($D$420,'EJEMPLO DE NOMINA'!$E$1:$BU$97,64,FALSE)</f>
        <v>#N/A</v>
      </c>
      <c r="L431" s="89" t="e">
        <f>HLOOKUP($D$420,'EJEMPLO DE NOMINA'!$E$1:$BU$97,72,FALSE)</f>
        <v>#N/A</v>
      </c>
      <c r="M431" s="89" t="e">
        <f>HLOOKUP($D$420,'EJEMPLO DE NOMINA'!$E$1:$BU$97,80,FALSE)</f>
        <v>#N/A</v>
      </c>
      <c r="N431" s="89" t="e">
        <f>HLOOKUP($D$420,'EJEMPLO DE NOMINA'!$E$1:$BU$97,88,FALSE)</f>
        <v>#N/A</v>
      </c>
      <c r="O431" s="89" t="e">
        <f>HLOOKUP($D$420,'EJEMPLO DE NOMINA'!$E$1:$BU$97,96,FALSE)</f>
        <v>#N/A</v>
      </c>
      <c r="P431" s="90" t="e">
        <f>SUM(D431:O431)</f>
        <v>#N/A</v>
      </c>
      <c r="Q431" s="87"/>
    </row>
    <row r="432" spans="2:17" hidden="1" x14ac:dyDescent="0.25">
      <c r="B432" s="5"/>
      <c r="C432" s="62" t="s">
        <v>38</v>
      </c>
      <c r="D432" s="91" t="e">
        <f>HLOOKUP($D$420,'EJEMPLO DE NOMINA'!$E$1:$BU$97,9,FALSE)</f>
        <v>#N/A</v>
      </c>
      <c r="E432" s="89" t="e">
        <f>HLOOKUP($D$420,'EJEMPLO DE NOMINA'!$E$1:$BU$97,17,FALSE)</f>
        <v>#N/A</v>
      </c>
      <c r="F432" s="89" t="e">
        <f>HLOOKUP($D$420,'EJEMPLO DE NOMINA'!$E$1:$BU$97,25,FALSE)</f>
        <v>#N/A</v>
      </c>
      <c r="G432" s="89" t="e">
        <f>HLOOKUP($D$420,'EJEMPLO DE NOMINA'!$E$1:$BU$97,33,FALSE)</f>
        <v>#N/A</v>
      </c>
      <c r="H432" s="89" t="e">
        <f>HLOOKUP($D$420,'EJEMPLO DE NOMINA'!$E$1:$BU$97,41,FALSE)</f>
        <v>#N/A</v>
      </c>
      <c r="I432" s="89" t="e">
        <f>HLOOKUP($D$420,'EJEMPLO DE NOMINA'!$E$1:$BU$97,49,FALSE)</f>
        <v>#N/A</v>
      </c>
      <c r="J432" s="89" t="e">
        <f>HLOOKUP($D$420,'EJEMPLO DE NOMINA'!$E$1:$BU$97,57,FALSE)</f>
        <v>#N/A</v>
      </c>
      <c r="K432" s="89" t="e">
        <f>HLOOKUP($D$420,'EJEMPLO DE NOMINA'!$E$1:$BU$97,65,FALSE)</f>
        <v>#N/A</v>
      </c>
      <c r="L432" s="89" t="e">
        <f>HLOOKUP($D$420,'EJEMPLO DE NOMINA'!$E$1:$BU$97,73,FALSE)</f>
        <v>#N/A</v>
      </c>
      <c r="M432" s="89" t="e">
        <f>HLOOKUP($D$420,'EJEMPLO DE NOMINA'!$E$1:$BU$97,81,FALSE)</f>
        <v>#N/A</v>
      </c>
      <c r="N432" s="89" t="e">
        <f>HLOOKUP($D$420,'EJEMPLO DE NOMINA'!$E$1:$BU$97,89,FALSE)</f>
        <v>#N/A</v>
      </c>
      <c r="O432" s="89" t="e">
        <f>HLOOKUP($D$420,'EJEMPLO DE NOMINA'!$E$1:$BU$97,97,FALSE)</f>
        <v>#N/A</v>
      </c>
      <c r="P432" s="90" t="e">
        <f>SUM(D432:O432)</f>
        <v>#N/A</v>
      </c>
      <c r="Q432" s="87"/>
    </row>
    <row r="433" spans="2:17" hidden="1" x14ac:dyDescent="0.25">
      <c r="B433" s="5"/>
      <c r="C433" s="94" t="s">
        <v>39</v>
      </c>
      <c r="D433" s="97" t="e">
        <f>+D431</f>
        <v>#N/A</v>
      </c>
      <c r="E433" s="97" t="e">
        <f t="shared" ref="E433:O433" si="96">+E431</f>
        <v>#N/A</v>
      </c>
      <c r="F433" s="97" t="e">
        <f t="shared" si="96"/>
        <v>#N/A</v>
      </c>
      <c r="G433" s="97" t="e">
        <f t="shared" si="96"/>
        <v>#N/A</v>
      </c>
      <c r="H433" s="97" t="e">
        <f t="shared" si="96"/>
        <v>#N/A</v>
      </c>
      <c r="I433" s="97" t="e">
        <f t="shared" si="96"/>
        <v>#N/A</v>
      </c>
      <c r="J433" s="97" t="e">
        <f t="shared" si="96"/>
        <v>#N/A</v>
      </c>
      <c r="K433" s="97" t="e">
        <f t="shared" si="96"/>
        <v>#N/A</v>
      </c>
      <c r="L433" s="97" t="e">
        <f t="shared" si="96"/>
        <v>#N/A</v>
      </c>
      <c r="M433" s="97" t="e">
        <f t="shared" si="96"/>
        <v>#N/A</v>
      </c>
      <c r="N433" s="97" t="e">
        <f t="shared" si="96"/>
        <v>#N/A</v>
      </c>
      <c r="O433" s="97" t="e">
        <f t="shared" si="96"/>
        <v>#N/A</v>
      </c>
      <c r="P433" s="90" t="e">
        <f>SUM(D433:O433)</f>
        <v>#N/A</v>
      </c>
      <c r="Q433" s="87"/>
    </row>
    <row r="434" spans="2:17" hidden="1" x14ac:dyDescent="0.25">
      <c r="B434" s="5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87"/>
    </row>
    <row r="435" spans="2:17" hidden="1" x14ac:dyDescent="0.25">
      <c r="B435" s="5"/>
      <c r="C435" s="62" t="s">
        <v>12</v>
      </c>
      <c r="D435" s="98">
        <v>0.02</v>
      </c>
      <c r="E435" s="98">
        <v>0.02</v>
      </c>
      <c r="F435" s="98">
        <v>0.02</v>
      </c>
      <c r="G435" s="98">
        <v>0.02</v>
      </c>
      <c r="H435" s="98">
        <v>0.02</v>
      </c>
      <c r="I435" s="98">
        <v>0.02</v>
      </c>
      <c r="J435" s="98">
        <v>0.02</v>
      </c>
      <c r="K435" s="98">
        <v>0.02</v>
      </c>
      <c r="L435" s="98">
        <v>0.02</v>
      </c>
      <c r="M435" s="98">
        <v>0.02</v>
      </c>
      <c r="N435" s="98">
        <v>0.02</v>
      </c>
      <c r="O435" s="98">
        <v>0.02</v>
      </c>
      <c r="P435" s="66"/>
      <c r="Q435" s="87"/>
    </row>
    <row r="436" spans="2:17" hidden="1" x14ac:dyDescent="0.25">
      <c r="B436" s="5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87"/>
    </row>
    <row r="437" spans="2:17" hidden="1" x14ac:dyDescent="0.25">
      <c r="B437" s="5"/>
      <c r="C437" s="62" t="s">
        <v>13</v>
      </c>
      <c r="D437" s="97" t="e">
        <f t="shared" ref="D437:O437" si="97">+D433*D435</f>
        <v>#N/A</v>
      </c>
      <c r="E437" s="97" t="e">
        <f t="shared" si="97"/>
        <v>#N/A</v>
      </c>
      <c r="F437" s="97" t="e">
        <f t="shared" si="97"/>
        <v>#N/A</v>
      </c>
      <c r="G437" s="97" t="e">
        <f t="shared" si="97"/>
        <v>#N/A</v>
      </c>
      <c r="H437" s="97" t="e">
        <f t="shared" si="97"/>
        <v>#N/A</v>
      </c>
      <c r="I437" s="97" t="e">
        <f t="shared" si="97"/>
        <v>#N/A</v>
      </c>
      <c r="J437" s="97" t="e">
        <f t="shared" si="97"/>
        <v>#N/A</v>
      </c>
      <c r="K437" s="97" t="e">
        <f t="shared" si="97"/>
        <v>#N/A</v>
      </c>
      <c r="L437" s="97" t="e">
        <f t="shared" si="97"/>
        <v>#N/A</v>
      </c>
      <c r="M437" s="97" t="e">
        <f t="shared" si="97"/>
        <v>#N/A</v>
      </c>
      <c r="N437" s="97" t="e">
        <f t="shared" si="97"/>
        <v>#N/A</v>
      </c>
      <c r="O437" s="97" t="e">
        <f t="shared" si="97"/>
        <v>#N/A</v>
      </c>
      <c r="P437" s="90" t="e">
        <f>SUM(D437:O437)</f>
        <v>#N/A</v>
      </c>
      <c r="Q437" s="87"/>
    </row>
    <row r="438" spans="2:17" hidden="1" x14ac:dyDescent="0.25">
      <c r="B438" s="5"/>
      <c r="C438" s="62" t="s">
        <v>22</v>
      </c>
      <c r="D438" s="97" t="e">
        <f t="shared" ref="D438:O438" si="98">+D429</f>
        <v>#N/A</v>
      </c>
      <c r="E438" s="97" t="e">
        <f t="shared" si="98"/>
        <v>#N/A</v>
      </c>
      <c r="F438" s="97" t="e">
        <f t="shared" si="98"/>
        <v>#N/A</v>
      </c>
      <c r="G438" s="97" t="e">
        <f t="shared" si="98"/>
        <v>#N/A</v>
      </c>
      <c r="H438" s="97" t="e">
        <f t="shared" si="98"/>
        <v>#N/A</v>
      </c>
      <c r="I438" s="97" t="e">
        <f t="shared" si="98"/>
        <v>#N/A</v>
      </c>
      <c r="J438" s="97" t="e">
        <f t="shared" si="98"/>
        <v>#N/A</v>
      </c>
      <c r="K438" s="97" t="e">
        <f t="shared" si="98"/>
        <v>#N/A</v>
      </c>
      <c r="L438" s="97" t="e">
        <f t="shared" si="98"/>
        <v>#N/A</v>
      </c>
      <c r="M438" s="97" t="e">
        <f t="shared" si="98"/>
        <v>#N/A</v>
      </c>
      <c r="N438" s="97" t="e">
        <f t="shared" si="98"/>
        <v>#N/A</v>
      </c>
      <c r="O438" s="97" t="e">
        <f t="shared" si="98"/>
        <v>#N/A</v>
      </c>
      <c r="P438" s="90" t="e">
        <f>SUM(D438:O438)</f>
        <v>#N/A</v>
      </c>
      <c r="Q438" s="87"/>
    </row>
    <row r="439" spans="2:17" hidden="1" x14ac:dyDescent="0.25">
      <c r="B439" s="5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87"/>
    </row>
    <row r="440" spans="2:17" hidden="1" x14ac:dyDescent="0.25">
      <c r="B440" s="5"/>
      <c r="C440" s="99" t="s">
        <v>14</v>
      </c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87"/>
    </row>
    <row r="441" spans="2:17" hidden="1" x14ac:dyDescent="0.25">
      <c r="B441" s="5"/>
      <c r="C441" s="62" t="s">
        <v>15</v>
      </c>
      <c r="D441" s="97" t="e">
        <f t="shared" ref="D441:O441" si="99">+D423-D437</f>
        <v>#N/A</v>
      </c>
      <c r="E441" s="97" t="e">
        <f t="shared" si="99"/>
        <v>#N/A</v>
      </c>
      <c r="F441" s="97" t="e">
        <f t="shared" si="99"/>
        <v>#N/A</v>
      </c>
      <c r="G441" s="97" t="e">
        <f t="shared" si="99"/>
        <v>#N/A</v>
      </c>
      <c r="H441" s="97" t="e">
        <f t="shared" si="99"/>
        <v>#N/A</v>
      </c>
      <c r="I441" s="97" t="e">
        <f t="shared" si="99"/>
        <v>#N/A</v>
      </c>
      <c r="J441" s="97" t="e">
        <f t="shared" si="99"/>
        <v>#N/A</v>
      </c>
      <c r="K441" s="97" t="e">
        <f t="shared" si="99"/>
        <v>#N/A</v>
      </c>
      <c r="L441" s="97" t="e">
        <f t="shared" si="99"/>
        <v>#N/A</v>
      </c>
      <c r="M441" s="97" t="e">
        <f t="shared" si="99"/>
        <v>#N/A</v>
      </c>
      <c r="N441" s="97" t="e">
        <f t="shared" si="99"/>
        <v>#N/A</v>
      </c>
      <c r="O441" s="97" t="e">
        <f t="shared" si="99"/>
        <v>#N/A</v>
      </c>
      <c r="P441" s="90" t="e">
        <f>SUM(D441:O441)</f>
        <v>#N/A</v>
      </c>
      <c r="Q441" s="87"/>
    </row>
    <row r="442" spans="2:17" hidden="1" x14ac:dyDescent="0.25">
      <c r="B442" s="5"/>
      <c r="C442" s="62" t="s">
        <v>16</v>
      </c>
      <c r="D442" s="97" t="e">
        <f t="shared" ref="D442:O442" si="100">+D429-D437</f>
        <v>#N/A</v>
      </c>
      <c r="E442" s="97" t="e">
        <f t="shared" si="100"/>
        <v>#N/A</v>
      </c>
      <c r="F442" s="97" t="e">
        <f t="shared" si="100"/>
        <v>#N/A</v>
      </c>
      <c r="G442" s="97" t="e">
        <f t="shared" si="100"/>
        <v>#N/A</v>
      </c>
      <c r="H442" s="97" t="e">
        <f t="shared" si="100"/>
        <v>#N/A</v>
      </c>
      <c r="I442" s="97" t="e">
        <f t="shared" si="100"/>
        <v>#N/A</v>
      </c>
      <c r="J442" s="97" t="e">
        <f t="shared" si="100"/>
        <v>#N/A</v>
      </c>
      <c r="K442" s="97" t="e">
        <f t="shared" si="100"/>
        <v>#N/A</v>
      </c>
      <c r="L442" s="97" t="e">
        <f t="shared" si="100"/>
        <v>#N/A</v>
      </c>
      <c r="M442" s="97" t="e">
        <f t="shared" si="100"/>
        <v>#N/A</v>
      </c>
      <c r="N442" s="97" t="e">
        <f t="shared" si="100"/>
        <v>#N/A</v>
      </c>
      <c r="O442" s="97" t="e">
        <f t="shared" si="100"/>
        <v>#N/A</v>
      </c>
      <c r="P442" s="90" t="e">
        <f>SUM(D442:O442)</f>
        <v>#N/A</v>
      </c>
      <c r="Q442" s="87"/>
    </row>
    <row r="443" spans="2:17" hidden="1" x14ac:dyDescent="0.25">
      <c r="B443" s="5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87"/>
    </row>
    <row r="444" spans="2:17" hidden="1" x14ac:dyDescent="0.25">
      <c r="B444" s="5"/>
      <c r="C444" s="75" t="s">
        <v>17</v>
      </c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90">
        <f>SUM(D444:O444)</f>
        <v>0</v>
      </c>
      <c r="Q444" s="87"/>
    </row>
    <row r="445" spans="2:17" hidden="1" x14ac:dyDescent="0.25">
      <c r="B445" s="5"/>
      <c r="C445" s="75" t="s">
        <v>18</v>
      </c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90">
        <f>SUM(D445:O445)</f>
        <v>0</v>
      </c>
      <c r="Q445" s="87"/>
    </row>
    <row r="446" spans="2:17" hidden="1" x14ac:dyDescent="0.25">
      <c r="B446" s="5"/>
      <c r="C446" s="9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87"/>
    </row>
    <row r="447" spans="2:17" hidden="1" x14ac:dyDescent="0.25">
      <c r="B447" s="5"/>
      <c r="C447" s="101" t="s">
        <v>19</v>
      </c>
      <c r="D447" s="102" t="e">
        <f t="shared" ref="D447:O447" si="101">+D437+D444+D445</f>
        <v>#N/A</v>
      </c>
      <c r="E447" s="102" t="e">
        <f t="shared" si="101"/>
        <v>#N/A</v>
      </c>
      <c r="F447" s="102" t="e">
        <f t="shared" si="101"/>
        <v>#N/A</v>
      </c>
      <c r="G447" s="102" t="e">
        <f t="shared" si="101"/>
        <v>#N/A</v>
      </c>
      <c r="H447" s="102" t="e">
        <f t="shared" si="101"/>
        <v>#N/A</v>
      </c>
      <c r="I447" s="102" t="e">
        <f t="shared" si="101"/>
        <v>#N/A</v>
      </c>
      <c r="J447" s="102" t="e">
        <f t="shared" si="101"/>
        <v>#N/A</v>
      </c>
      <c r="K447" s="102" t="e">
        <f t="shared" si="101"/>
        <v>#N/A</v>
      </c>
      <c r="L447" s="102" t="e">
        <f t="shared" si="101"/>
        <v>#N/A</v>
      </c>
      <c r="M447" s="102" t="e">
        <f t="shared" si="101"/>
        <v>#N/A</v>
      </c>
      <c r="N447" s="102" t="e">
        <f t="shared" si="101"/>
        <v>#N/A</v>
      </c>
      <c r="O447" s="102" t="e">
        <f t="shared" si="101"/>
        <v>#N/A</v>
      </c>
      <c r="P447" s="103" t="e">
        <f>SUM(D447:O447)</f>
        <v>#N/A</v>
      </c>
      <c r="Q447" s="87"/>
    </row>
    <row r="448" spans="2:17" ht="15.75" hidden="1" thickBot="1" x14ac:dyDescent="0.3">
      <c r="B448" s="6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5"/>
    </row>
    <row r="449" spans="2:17" ht="15.75" hidden="1" thickBot="1" x14ac:dyDescent="0.3"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</row>
    <row r="450" spans="2:17" hidden="1" x14ac:dyDescent="0.25">
      <c r="B450" s="4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1"/>
    </row>
    <row r="451" spans="2:17" hidden="1" x14ac:dyDescent="0.25">
      <c r="B451" s="5"/>
      <c r="C451" s="82" t="s">
        <v>11</v>
      </c>
      <c r="D451" s="83"/>
      <c r="E451" s="84"/>
      <c r="F451" s="84"/>
      <c r="G451" s="85"/>
      <c r="H451" s="171"/>
      <c r="I451" s="172"/>
      <c r="J451" s="172"/>
      <c r="K451" s="172"/>
      <c r="L451" s="172"/>
      <c r="M451" s="172"/>
      <c r="N451" s="172"/>
      <c r="O451" s="173"/>
      <c r="P451" s="86" t="s">
        <v>6</v>
      </c>
      <c r="Q451" s="87"/>
    </row>
    <row r="452" spans="2:17" hidden="1" x14ac:dyDescent="0.25">
      <c r="B452" s="5"/>
      <c r="C452" s="66"/>
      <c r="D452" s="174" t="s">
        <v>41</v>
      </c>
      <c r="E452" s="174"/>
      <c r="F452" s="174"/>
      <c r="G452" s="174"/>
      <c r="H452" s="171"/>
      <c r="I452" s="172"/>
      <c r="J452" s="172"/>
      <c r="K452" s="172"/>
      <c r="L452" s="172"/>
      <c r="M452" s="172"/>
      <c r="N452" s="172"/>
      <c r="O452" s="173"/>
      <c r="P452" s="88"/>
      <c r="Q452" s="87"/>
    </row>
    <row r="453" spans="2:17" hidden="1" x14ac:dyDescent="0.25">
      <c r="B453" s="5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87"/>
    </row>
    <row r="454" spans="2:17" hidden="1" x14ac:dyDescent="0.25">
      <c r="B454" s="5"/>
      <c r="C454" s="62" t="s">
        <v>27</v>
      </c>
      <c r="D454" s="89" t="e">
        <f>HLOOKUP($D$451,'EJEMPLO DE NOMINA'!$E$1:$BU$97,2,FALSE)</f>
        <v>#N/A</v>
      </c>
      <c r="E454" s="89" t="e">
        <f>HLOOKUP($D$451,'EJEMPLO DE NOMINA'!$E$1:$BU$97,10,FALSE)</f>
        <v>#N/A</v>
      </c>
      <c r="F454" s="89" t="e">
        <f>HLOOKUP($D$451,'EJEMPLO DE NOMINA'!$E$1:$BU$97,18,FALSE)</f>
        <v>#N/A</v>
      </c>
      <c r="G454" s="89" t="e">
        <f>HLOOKUP($D$451,'EJEMPLO DE NOMINA'!$E$1:$BU$97,26,FALSE)</f>
        <v>#N/A</v>
      </c>
      <c r="H454" s="89" t="e">
        <f>HLOOKUP($D$451,'EJEMPLO DE NOMINA'!$E$1:$BU$97,34,FALSE)</f>
        <v>#N/A</v>
      </c>
      <c r="I454" s="89" t="e">
        <f>HLOOKUP($D$451,'EJEMPLO DE NOMINA'!$E$1:$BU$97,42,FALSE)</f>
        <v>#N/A</v>
      </c>
      <c r="J454" s="89" t="e">
        <f>HLOOKUP($D$451,'EJEMPLO DE NOMINA'!$E$1:$BU$97,50,FALSE)</f>
        <v>#N/A</v>
      </c>
      <c r="K454" s="89" t="e">
        <f>HLOOKUP($D$451,'EJEMPLO DE NOMINA'!$E$1:$BU$97,58,FALSE)</f>
        <v>#N/A</v>
      </c>
      <c r="L454" s="89" t="e">
        <f>HLOOKUP($D$451,'EJEMPLO DE NOMINA'!$E$1:$BU$97,66,FALSE)</f>
        <v>#N/A</v>
      </c>
      <c r="M454" s="89" t="e">
        <f>HLOOKUP($D$451,'EJEMPLO DE NOMINA'!$E$1:$BU$97,74,FALSE)</f>
        <v>#N/A</v>
      </c>
      <c r="N454" s="89" t="e">
        <f>HLOOKUP($D$451,'EJEMPLO DE NOMINA'!$E$1:$BU$97,82,FALSE)</f>
        <v>#N/A</v>
      </c>
      <c r="O454" s="89" t="e">
        <f>HLOOKUP($D$451,'EJEMPLO DE NOMINA'!$E$1:$BU$97,90,FALSE)</f>
        <v>#N/A</v>
      </c>
      <c r="P454" s="90" t="e">
        <f>SUM(D454:O454)</f>
        <v>#N/A</v>
      </c>
      <c r="Q454" s="87"/>
    </row>
    <row r="455" spans="2:17" hidden="1" x14ac:dyDescent="0.25">
      <c r="B455" s="5"/>
      <c r="C455" s="62" t="s">
        <v>26</v>
      </c>
      <c r="D455" s="91" t="e">
        <f>HLOOKUP($D$451,'EJEMPLO DE NOMINA'!$E$1:$BU$97,3,FALSE)</f>
        <v>#N/A</v>
      </c>
      <c r="E455" s="89" t="e">
        <f>HLOOKUP($D$451,'EJEMPLO DE NOMINA'!$E$1:$BU$97,11,FALSE)</f>
        <v>#N/A</v>
      </c>
      <c r="F455" s="89" t="e">
        <f>HLOOKUP($D$451,'EJEMPLO DE NOMINA'!$E$1:$BU$97,19,FALSE)</f>
        <v>#N/A</v>
      </c>
      <c r="G455" s="89" t="e">
        <f>HLOOKUP($D$451,'EJEMPLO DE NOMINA'!$E$1:$BU$97,27,FALSE)</f>
        <v>#N/A</v>
      </c>
      <c r="H455" s="89" t="e">
        <f>HLOOKUP($D$451,'EJEMPLO DE NOMINA'!$E$1:$BU$97,35,FALSE)</f>
        <v>#N/A</v>
      </c>
      <c r="I455" s="89" t="e">
        <f>HLOOKUP($D$451,'EJEMPLO DE NOMINA'!$E$1:$BU$97,43,FALSE)</f>
        <v>#N/A</v>
      </c>
      <c r="J455" s="89" t="e">
        <f>HLOOKUP($D$451,'EJEMPLO DE NOMINA'!$E$1:$BU$97,51,FALSE)</f>
        <v>#N/A</v>
      </c>
      <c r="K455" s="89" t="e">
        <f>HLOOKUP($D$451,'EJEMPLO DE NOMINA'!$E$1:$BU$97,59,FALSE)</f>
        <v>#N/A</v>
      </c>
      <c r="L455" s="89" t="e">
        <f>HLOOKUP($D$451,'EJEMPLO DE NOMINA'!$E$1:$BU$97,67,FALSE)</f>
        <v>#N/A</v>
      </c>
      <c r="M455" s="89" t="e">
        <f>HLOOKUP($D$451,'EJEMPLO DE NOMINA'!$E$1:$BU$97,75,FALSE)</f>
        <v>#N/A</v>
      </c>
      <c r="N455" s="89" t="e">
        <f>HLOOKUP($D$451,'EJEMPLO DE NOMINA'!$E$1:$BU$97,83,FALSE)</f>
        <v>#N/A</v>
      </c>
      <c r="O455" s="89" t="e">
        <f>HLOOKUP($D$451,'EJEMPLO DE NOMINA'!$E$1:$BU$97,91,FALSE)</f>
        <v>#N/A</v>
      </c>
      <c r="P455" s="92" t="e">
        <f>AVERAGE(D455:O455)</f>
        <v>#N/A</v>
      </c>
      <c r="Q455" s="87"/>
    </row>
    <row r="456" spans="2:17" hidden="1" x14ac:dyDescent="0.25">
      <c r="B456" s="5"/>
      <c r="C456" s="62" t="s">
        <v>33</v>
      </c>
      <c r="D456" s="91" t="e">
        <f>HLOOKUP($D$451,'EJEMPLO DE NOMINA'!$E$1:$BU$97,4,FALSE)</f>
        <v>#N/A</v>
      </c>
      <c r="E456" s="89" t="e">
        <f>HLOOKUP($D$451,'EJEMPLO DE NOMINA'!$E$1:$BU$97,12,FALSE)</f>
        <v>#N/A</v>
      </c>
      <c r="F456" s="89" t="e">
        <f>HLOOKUP($D$451,'EJEMPLO DE NOMINA'!$E$1:$BU$97,20,FALSE)</f>
        <v>#N/A</v>
      </c>
      <c r="G456" s="89" t="e">
        <f>HLOOKUP($D$451,'EJEMPLO DE NOMINA'!$E$1:$BU$97,28,FALSE)</f>
        <v>#N/A</v>
      </c>
      <c r="H456" s="89" t="e">
        <f>HLOOKUP($D$451,'EJEMPLO DE NOMINA'!$E$1:$BU$97,36,FALSE)</f>
        <v>#N/A</v>
      </c>
      <c r="I456" s="89" t="e">
        <f>HLOOKUP($D$451,'EJEMPLO DE NOMINA'!$E$1:$BU$97,44,FALSE)</f>
        <v>#N/A</v>
      </c>
      <c r="J456" s="89" t="e">
        <f>HLOOKUP($D$451,'EJEMPLO DE NOMINA'!$E$1:$BU$97,52,FALSE)</f>
        <v>#N/A</v>
      </c>
      <c r="K456" s="89" t="e">
        <f>HLOOKUP($D$451,'EJEMPLO DE NOMINA'!$E$1:$BU$97,60,FALSE)</f>
        <v>#N/A</v>
      </c>
      <c r="L456" s="89" t="e">
        <f>HLOOKUP($D$451,'EJEMPLO DE NOMINA'!$E$1:$BU$97,68,FALSE)</f>
        <v>#N/A</v>
      </c>
      <c r="M456" s="89" t="e">
        <f>HLOOKUP($D$451,'EJEMPLO DE NOMINA'!$E$1:$BU$97,76,FALSE)</f>
        <v>#N/A</v>
      </c>
      <c r="N456" s="89" t="e">
        <f>HLOOKUP($D$451,'EJEMPLO DE NOMINA'!$E$1:$BU$97,84,FALSE)</f>
        <v>#N/A</v>
      </c>
      <c r="O456" s="89" t="e">
        <f>HLOOKUP($D$451,'EJEMPLO DE NOMINA'!$E$1:$BU$97,92,FALSE)</f>
        <v>#N/A</v>
      </c>
      <c r="P456" s="90" t="e">
        <f>SUM(D456:O456)</f>
        <v>#N/A</v>
      </c>
      <c r="Q456" s="93"/>
    </row>
    <row r="457" spans="2:17" hidden="1" x14ac:dyDescent="0.25">
      <c r="B457" s="5"/>
      <c r="C457" s="62" t="s">
        <v>34</v>
      </c>
      <c r="D457" s="91" t="e">
        <f>HLOOKUP($D$451,'EJEMPLO DE NOMINA'!$E$1:$BU$97,5,FALSE)</f>
        <v>#N/A</v>
      </c>
      <c r="E457" s="89" t="e">
        <f>HLOOKUP($D$451,'EJEMPLO DE NOMINA'!$E$1:$BU$97,13,FALSE)</f>
        <v>#N/A</v>
      </c>
      <c r="F457" s="89" t="e">
        <f>HLOOKUP($D$451,'EJEMPLO DE NOMINA'!$E$1:$BU$97,21,FALSE)</f>
        <v>#N/A</v>
      </c>
      <c r="G457" s="89" t="e">
        <f>HLOOKUP($D$451,'EJEMPLO DE NOMINA'!$E$1:$BU$97,29,FALSE)</f>
        <v>#N/A</v>
      </c>
      <c r="H457" s="89" t="e">
        <f>HLOOKUP($D$451,'EJEMPLO DE NOMINA'!$E$1:$BU$97,37,FALSE)</f>
        <v>#N/A</v>
      </c>
      <c r="I457" s="89" t="e">
        <f>HLOOKUP($D$451,'EJEMPLO DE NOMINA'!$E$1:$BU$97,45,FALSE)</f>
        <v>#N/A</v>
      </c>
      <c r="J457" s="89" t="e">
        <f>HLOOKUP($D$451,'EJEMPLO DE NOMINA'!$E$1:$BU$97,53,FALSE)</f>
        <v>#N/A</v>
      </c>
      <c r="K457" s="89" t="e">
        <f>HLOOKUP($D$451,'EJEMPLO DE NOMINA'!$E$1:$BU$97,61,FALSE)</f>
        <v>#N/A</v>
      </c>
      <c r="L457" s="89" t="e">
        <f>HLOOKUP($D$451,'EJEMPLO DE NOMINA'!$E$1:$BU$97,69,FALSE)</f>
        <v>#N/A</v>
      </c>
      <c r="M457" s="89" t="e">
        <f>HLOOKUP($D$451,'EJEMPLO DE NOMINA'!$E$1:$BU$97,77,FALSE)</f>
        <v>#N/A</v>
      </c>
      <c r="N457" s="89" t="e">
        <f>HLOOKUP($D$451,'EJEMPLO DE NOMINA'!$E$1:$BU$97,85,FALSE)</f>
        <v>#N/A</v>
      </c>
      <c r="O457" s="89" t="e">
        <f>HLOOKUP($D$451,'EJEMPLO DE NOMINA'!$E$1:$BU$97,93,FALSE)</f>
        <v>#N/A</v>
      </c>
      <c r="P457" s="90" t="e">
        <f>SUM(D457:O457)</f>
        <v>#N/A</v>
      </c>
      <c r="Q457" s="93"/>
    </row>
    <row r="458" spans="2:17" hidden="1" x14ac:dyDescent="0.25">
      <c r="B458" s="5"/>
      <c r="C458" s="94" t="s">
        <v>39</v>
      </c>
      <c r="D458" s="95" t="e">
        <f>+D456</f>
        <v>#N/A</v>
      </c>
      <c r="E458" s="95" t="e">
        <f t="shared" ref="E458:O458" si="102">+E456</f>
        <v>#N/A</v>
      </c>
      <c r="F458" s="95" t="e">
        <f t="shared" si="102"/>
        <v>#N/A</v>
      </c>
      <c r="G458" s="95" t="e">
        <f t="shared" si="102"/>
        <v>#N/A</v>
      </c>
      <c r="H458" s="95" t="e">
        <f t="shared" si="102"/>
        <v>#N/A</v>
      </c>
      <c r="I458" s="95" t="e">
        <f t="shared" si="102"/>
        <v>#N/A</v>
      </c>
      <c r="J458" s="95" t="e">
        <f t="shared" si="102"/>
        <v>#N/A</v>
      </c>
      <c r="K458" s="95" t="e">
        <f t="shared" si="102"/>
        <v>#N/A</v>
      </c>
      <c r="L458" s="95" t="e">
        <f t="shared" si="102"/>
        <v>#N/A</v>
      </c>
      <c r="M458" s="95" t="e">
        <f t="shared" si="102"/>
        <v>#N/A</v>
      </c>
      <c r="N458" s="95" t="e">
        <f t="shared" si="102"/>
        <v>#N/A</v>
      </c>
      <c r="O458" s="95" t="e">
        <f t="shared" si="102"/>
        <v>#N/A</v>
      </c>
      <c r="P458" s="90" t="e">
        <f>SUM(D458:O458)</f>
        <v>#N/A</v>
      </c>
      <c r="Q458" s="93"/>
    </row>
    <row r="459" spans="2:17" hidden="1" x14ac:dyDescent="0.25">
      <c r="B459" s="5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3"/>
    </row>
    <row r="460" spans="2:17" hidden="1" x14ac:dyDescent="0.25">
      <c r="B460" s="5"/>
      <c r="C460" s="62" t="s">
        <v>35</v>
      </c>
      <c r="D460" s="91" t="e">
        <f>HLOOKUP($D$451,'EJEMPLO DE NOMINA'!$E$1:$BU$97,6,FALSE)</f>
        <v>#N/A</v>
      </c>
      <c r="E460" s="89" t="e">
        <f>HLOOKUP($D$451,'EJEMPLO DE NOMINA'!$E$1:$BU$97,14,FALSE)</f>
        <v>#N/A</v>
      </c>
      <c r="F460" s="89" t="e">
        <f>HLOOKUP($D$451,'EJEMPLO DE NOMINA'!$E$1:$BU$97,22,FALSE)</f>
        <v>#N/A</v>
      </c>
      <c r="G460" s="89" t="e">
        <f>HLOOKUP($D$451,'EJEMPLO DE NOMINA'!$E$1:$BU$97,30,FALSE)</f>
        <v>#N/A</v>
      </c>
      <c r="H460" s="89" t="e">
        <f>HLOOKUP($D$451,'EJEMPLO DE NOMINA'!$E$1:$BU$97,38,FALSE)</f>
        <v>#N/A</v>
      </c>
      <c r="I460" s="89" t="e">
        <f>HLOOKUP($D$451,'EJEMPLO DE NOMINA'!$E$1:$BU$97,46,FALSE)</f>
        <v>#N/A</v>
      </c>
      <c r="J460" s="89" t="e">
        <f>HLOOKUP($D$451,'EJEMPLO DE NOMINA'!$E$1:$BU$97,54,FALSE)</f>
        <v>#N/A</v>
      </c>
      <c r="K460" s="89" t="e">
        <f>HLOOKUP($D$451,'EJEMPLO DE NOMINA'!$E$1:$BU$97,62,FALSE)</f>
        <v>#N/A</v>
      </c>
      <c r="L460" s="89" t="e">
        <f>HLOOKUP($D$451,'EJEMPLO DE NOMINA'!$E$1:$BU$97,70,FALSE)</f>
        <v>#N/A</v>
      </c>
      <c r="M460" s="89" t="e">
        <f>HLOOKUP($D$451,'EJEMPLO DE NOMINA'!$E$1:$BU$97,78,FALSE)</f>
        <v>#N/A</v>
      </c>
      <c r="N460" s="89" t="e">
        <f>HLOOKUP($D$451,'EJEMPLO DE NOMINA'!$E$1:$BU$97,86,FALSE)</f>
        <v>#N/A</v>
      </c>
      <c r="O460" s="89" t="e">
        <f>HLOOKUP($D$451,'EJEMPLO DE NOMINA'!$E$1:$BU$97,94,FALSE)</f>
        <v>#N/A</v>
      </c>
      <c r="P460" s="90" t="e">
        <f>SUM(D460:O460)</f>
        <v>#N/A</v>
      </c>
      <c r="Q460" s="87"/>
    </row>
    <row r="461" spans="2:17" hidden="1" x14ac:dyDescent="0.25">
      <c r="B461" s="5"/>
      <c r="C461" s="62" t="s">
        <v>36</v>
      </c>
      <c r="D461" s="91" t="e">
        <f>HLOOKUP($D$451,'EJEMPLO DE NOMINA'!$E$1:$BU$97,7,FALSE)</f>
        <v>#N/A</v>
      </c>
      <c r="E461" s="89" t="e">
        <f>HLOOKUP($D$451,'EJEMPLO DE NOMINA'!$E$1:$BU$97,15,FALSE)</f>
        <v>#N/A</v>
      </c>
      <c r="F461" s="89" t="e">
        <f>HLOOKUP($D$451,'EJEMPLO DE NOMINA'!$E$1:$BU$97,23,FALSE)</f>
        <v>#N/A</v>
      </c>
      <c r="G461" s="89" t="e">
        <f>HLOOKUP($D$451,'EJEMPLO DE NOMINA'!$E$1:$BU$97,31,FALSE)</f>
        <v>#N/A</v>
      </c>
      <c r="H461" s="89" t="e">
        <f>HLOOKUP($D$451,'EJEMPLO DE NOMINA'!$E$1:$BU$97,39,FALSE)</f>
        <v>#N/A</v>
      </c>
      <c r="I461" s="89" t="e">
        <f>HLOOKUP($D$451,'EJEMPLO DE NOMINA'!$E$1:$BU$97,47,FALSE)</f>
        <v>#N/A</v>
      </c>
      <c r="J461" s="89" t="e">
        <f>HLOOKUP($D$451,'EJEMPLO DE NOMINA'!$E$1:$BU$97,55,FALSE)</f>
        <v>#N/A</v>
      </c>
      <c r="K461" s="89" t="e">
        <f>HLOOKUP($D$451,'EJEMPLO DE NOMINA'!$E$1:$BU$97,63,FALSE)</f>
        <v>#N/A</v>
      </c>
      <c r="L461" s="89" t="e">
        <f>HLOOKUP($D$451,'EJEMPLO DE NOMINA'!$E$1:$BU$97,71,FALSE)</f>
        <v>#N/A</v>
      </c>
      <c r="M461" s="89" t="e">
        <f>HLOOKUP($D$451,'EJEMPLO DE NOMINA'!$E$1:$BU$97,79,FALSE)</f>
        <v>#N/A</v>
      </c>
      <c r="N461" s="89" t="e">
        <f>HLOOKUP($D$451,'EJEMPLO DE NOMINA'!$E$1:$BU$97,87,FALSE)</f>
        <v>#N/A</v>
      </c>
      <c r="O461" s="89" t="e">
        <f>HLOOKUP($D$451,'EJEMPLO DE NOMINA'!$E$1:$BU$97,95,FALSE)</f>
        <v>#N/A</v>
      </c>
      <c r="P461" s="92" t="e">
        <f>AVERAGE(D461:O461)</f>
        <v>#N/A</v>
      </c>
      <c r="Q461" s="87"/>
    </row>
    <row r="462" spans="2:17" hidden="1" x14ac:dyDescent="0.25">
      <c r="B462" s="5"/>
      <c r="C462" s="62" t="s">
        <v>37</v>
      </c>
      <c r="D462" s="91" t="e">
        <f>HLOOKUP($D$451,'EJEMPLO DE NOMINA'!$E$1:$BU$97,8,FALSE)</f>
        <v>#N/A</v>
      </c>
      <c r="E462" s="89" t="e">
        <f>HLOOKUP($D$451,'EJEMPLO DE NOMINA'!$E$1:$BU$97,16,FALSE)</f>
        <v>#N/A</v>
      </c>
      <c r="F462" s="89" t="e">
        <f>HLOOKUP($D$451,'EJEMPLO DE NOMINA'!$E$1:$BU$97,24,FALSE)</f>
        <v>#N/A</v>
      </c>
      <c r="G462" s="89" t="e">
        <f>HLOOKUP($D$451,'EJEMPLO DE NOMINA'!$E$1:$BU$97,32,FALSE)</f>
        <v>#N/A</v>
      </c>
      <c r="H462" s="89" t="e">
        <f>HLOOKUP($D$451,'EJEMPLO DE NOMINA'!$E$1:$BU$97,40,FALSE)</f>
        <v>#N/A</v>
      </c>
      <c r="I462" s="89" t="e">
        <f>HLOOKUP($D$451,'EJEMPLO DE NOMINA'!$E$1:$BU$97,48,FALSE)</f>
        <v>#N/A</v>
      </c>
      <c r="J462" s="89" t="e">
        <f>HLOOKUP($D$451,'EJEMPLO DE NOMINA'!$E$1:$BU$97,56,FALSE)</f>
        <v>#N/A</v>
      </c>
      <c r="K462" s="89" t="e">
        <f>HLOOKUP($D$451,'EJEMPLO DE NOMINA'!$E$1:$BU$97,64,FALSE)</f>
        <v>#N/A</v>
      </c>
      <c r="L462" s="89" t="e">
        <f>HLOOKUP($D$451,'EJEMPLO DE NOMINA'!$E$1:$BU$97,72,FALSE)</f>
        <v>#N/A</v>
      </c>
      <c r="M462" s="89" t="e">
        <f>HLOOKUP($D$451,'EJEMPLO DE NOMINA'!$E$1:$BU$97,80,FALSE)</f>
        <v>#N/A</v>
      </c>
      <c r="N462" s="89" t="e">
        <f>HLOOKUP($D$451,'EJEMPLO DE NOMINA'!$E$1:$BU$97,88,FALSE)</f>
        <v>#N/A</v>
      </c>
      <c r="O462" s="89" t="e">
        <f>HLOOKUP($D$451,'EJEMPLO DE NOMINA'!$E$1:$BU$97,96,FALSE)</f>
        <v>#N/A</v>
      </c>
      <c r="P462" s="90" t="e">
        <f>SUM(D462:O462)</f>
        <v>#N/A</v>
      </c>
      <c r="Q462" s="87"/>
    </row>
    <row r="463" spans="2:17" hidden="1" x14ac:dyDescent="0.25">
      <c r="B463" s="5"/>
      <c r="C463" s="62" t="s">
        <v>38</v>
      </c>
      <c r="D463" s="91" t="e">
        <f>HLOOKUP($D$451,'EJEMPLO DE NOMINA'!$E$1:$BU$97,9,FALSE)</f>
        <v>#N/A</v>
      </c>
      <c r="E463" s="89" t="e">
        <f>HLOOKUP($D$451,'EJEMPLO DE NOMINA'!$E$1:$BU$97,17,FALSE)</f>
        <v>#N/A</v>
      </c>
      <c r="F463" s="89" t="e">
        <f>HLOOKUP($D$451,'EJEMPLO DE NOMINA'!$E$1:$BU$97,25,FALSE)</f>
        <v>#N/A</v>
      </c>
      <c r="G463" s="89" t="e">
        <f>HLOOKUP($D$451,'EJEMPLO DE NOMINA'!$E$1:$BU$97,33,FALSE)</f>
        <v>#N/A</v>
      </c>
      <c r="H463" s="89" t="e">
        <f>HLOOKUP($D$451,'EJEMPLO DE NOMINA'!$E$1:$BU$97,41,FALSE)</f>
        <v>#N/A</v>
      </c>
      <c r="I463" s="89" t="e">
        <f>HLOOKUP($D$451,'EJEMPLO DE NOMINA'!$E$1:$BU$97,49,FALSE)</f>
        <v>#N/A</v>
      </c>
      <c r="J463" s="89" t="e">
        <f>HLOOKUP($D$451,'EJEMPLO DE NOMINA'!$E$1:$BU$97,57,FALSE)</f>
        <v>#N/A</v>
      </c>
      <c r="K463" s="89" t="e">
        <f>HLOOKUP($D$451,'EJEMPLO DE NOMINA'!$E$1:$BU$97,65,FALSE)</f>
        <v>#N/A</v>
      </c>
      <c r="L463" s="89" t="e">
        <f>HLOOKUP($D$451,'EJEMPLO DE NOMINA'!$E$1:$BU$97,73,FALSE)</f>
        <v>#N/A</v>
      </c>
      <c r="M463" s="89" t="e">
        <f>HLOOKUP($D$451,'EJEMPLO DE NOMINA'!$E$1:$BU$97,81,FALSE)</f>
        <v>#N/A</v>
      </c>
      <c r="N463" s="89" t="e">
        <f>HLOOKUP($D$451,'EJEMPLO DE NOMINA'!$E$1:$BU$97,89,FALSE)</f>
        <v>#N/A</v>
      </c>
      <c r="O463" s="89" t="e">
        <f>HLOOKUP($D$451,'EJEMPLO DE NOMINA'!$E$1:$BU$97,97,FALSE)</f>
        <v>#N/A</v>
      </c>
      <c r="P463" s="90" t="e">
        <f>SUM(D463:O463)</f>
        <v>#N/A</v>
      </c>
      <c r="Q463" s="87"/>
    </row>
    <row r="464" spans="2:17" hidden="1" x14ac:dyDescent="0.25">
      <c r="B464" s="5"/>
      <c r="C464" s="94" t="s">
        <v>39</v>
      </c>
      <c r="D464" s="97" t="e">
        <f>+D462</f>
        <v>#N/A</v>
      </c>
      <c r="E464" s="97" t="e">
        <f t="shared" ref="E464:O464" si="103">+E462</f>
        <v>#N/A</v>
      </c>
      <c r="F464" s="97" t="e">
        <f t="shared" si="103"/>
        <v>#N/A</v>
      </c>
      <c r="G464" s="97" t="e">
        <f t="shared" si="103"/>
        <v>#N/A</v>
      </c>
      <c r="H464" s="97" t="e">
        <f t="shared" si="103"/>
        <v>#N/A</v>
      </c>
      <c r="I464" s="97" t="e">
        <f t="shared" si="103"/>
        <v>#N/A</v>
      </c>
      <c r="J464" s="97" t="e">
        <f t="shared" si="103"/>
        <v>#N/A</v>
      </c>
      <c r="K464" s="97" t="e">
        <f t="shared" si="103"/>
        <v>#N/A</v>
      </c>
      <c r="L464" s="97" t="e">
        <f t="shared" si="103"/>
        <v>#N/A</v>
      </c>
      <c r="M464" s="97" t="e">
        <f t="shared" si="103"/>
        <v>#N/A</v>
      </c>
      <c r="N464" s="97" t="e">
        <f t="shared" si="103"/>
        <v>#N/A</v>
      </c>
      <c r="O464" s="97" t="e">
        <f t="shared" si="103"/>
        <v>#N/A</v>
      </c>
      <c r="P464" s="90" t="e">
        <f>SUM(D464:O464)</f>
        <v>#N/A</v>
      </c>
      <c r="Q464" s="87"/>
    </row>
    <row r="465" spans="2:17" hidden="1" x14ac:dyDescent="0.25">
      <c r="B465" s="5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87"/>
    </row>
    <row r="466" spans="2:17" hidden="1" x14ac:dyDescent="0.25">
      <c r="B466" s="5"/>
      <c r="C466" s="62" t="s">
        <v>12</v>
      </c>
      <c r="D466" s="98">
        <v>0.02</v>
      </c>
      <c r="E466" s="98">
        <v>0.02</v>
      </c>
      <c r="F466" s="98">
        <v>0.02</v>
      </c>
      <c r="G466" s="98">
        <v>0.02</v>
      </c>
      <c r="H466" s="98">
        <v>0.02</v>
      </c>
      <c r="I466" s="98">
        <v>0.02</v>
      </c>
      <c r="J466" s="98">
        <v>0.02</v>
      </c>
      <c r="K466" s="98">
        <v>0.02</v>
      </c>
      <c r="L466" s="98">
        <v>0.02</v>
      </c>
      <c r="M466" s="98">
        <v>0.02</v>
      </c>
      <c r="N466" s="98">
        <v>0.02</v>
      </c>
      <c r="O466" s="98">
        <v>0.02</v>
      </c>
      <c r="P466" s="66"/>
      <c r="Q466" s="87"/>
    </row>
    <row r="467" spans="2:17" hidden="1" x14ac:dyDescent="0.25">
      <c r="B467" s="5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87"/>
    </row>
    <row r="468" spans="2:17" hidden="1" x14ac:dyDescent="0.25">
      <c r="B468" s="5"/>
      <c r="C468" s="62" t="s">
        <v>13</v>
      </c>
      <c r="D468" s="97" t="e">
        <f t="shared" ref="D468:O468" si="104">+D464*D466</f>
        <v>#N/A</v>
      </c>
      <c r="E468" s="97" t="e">
        <f t="shared" si="104"/>
        <v>#N/A</v>
      </c>
      <c r="F468" s="97" t="e">
        <f t="shared" si="104"/>
        <v>#N/A</v>
      </c>
      <c r="G468" s="97" t="e">
        <f t="shared" si="104"/>
        <v>#N/A</v>
      </c>
      <c r="H468" s="97" t="e">
        <f t="shared" si="104"/>
        <v>#N/A</v>
      </c>
      <c r="I468" s="97" t="e">
        <f t="shared" si="104"/>
        <v>#N/A</v>
      </c>
      <c r="J468" s="97" t="e">
        <f t="shared" si="104"/>
        <v>#N/A</v>
      </c>
      <c r="K468" s="97" t="e">
        <f t="shared" si="104"/>
        <v>#N/A</v>
      </c>
      <c r="L468" s="97" t="e">
        <f t="shared" si="104"/>
        <v>#N/A</v>
      </c>
      <c r="M468" s="97" t="e">
        <f t="shared" si="104"/>
        <v>#N/A</v>
      </c>
      <c r="N468" s="97" t="e">
        <f t="shared" si="104"/>
        <v>#N/A</v>
      </c>
      <c r="O468" s="97" t="e">
        <f t="shared" si="104"/>
        <v>#N/A</v>
      </c>
      <c r="P468" s="90" t="e">
        <f>SUM(D468:O468)</f>
        <v>#N/A</v>
      </c>
      <c r="Q468" s="87"/>
    </row>
    <row r="469" spans="2:17" hidden="1" x14ac:dyDescent="0.25">
      <c r="B469" s="5"/>
      <c r="C469" s="62" t="s">
        <v>22</v>
      </c>
      <c r="D469" s="97" t="e">
        <f t="shared" ref="D469:O469" si="105">+D460</f>
        <v>#N/A</v>
      </c>
      <c r="E469" s="97" t="e">
        <f t="shared" si="105"/>
        <v>#N/A</v>
      </c>
      <c r="F469" s="97" t="e">
        <f t="shared" si="105"/>
        <v>#N/A</v>
      </c>
      <c r="G469" s="97" t="e">
        <f t="shared" si="105"/>
        <v>#N/A</v>
      </c>
      <c r="H469" s="97" t="e">
        <f t="shared" si="105"/>
        <v>#N/A</v>
      </c>
      <c r="I469" s="97" t="e">
        <f t="shared" si="105"/>
        <v>#N/A</v>
      </c>
      <c r="J469" s="97" t="e">
        <f t="shared" si="105"/>
        <v>#N/A</v>
      </c>
      <c r="K469" s="97" t="e">
        <f t="shared" si="105"/>
        <v>#N/A</v>
      </c>
      <c r="L469" s="97" t="e">
        <f t="shared" si="105"/>
        <v>#N/A</v>
      </c>
      <c r="M469" s="97" t="e">
        <f t="shared" si="105"/>
        <v>#N/A</v>
      </c>
      <c r="N469" s="97" t="e">
        <f t="shared" si="105"/>
        <v>#N/A</v>
      </c>
      <c r="O469" s="97" t="e">
        <f t="shared" si="105"/>
        <v>#N/A</v>
      </c>
      <c r="P469" s="90" t="e">
        <f>SUM(D469:O469)</f>
        <v>#N/A</v>
      </c>
      <c r="Q469" s="87"/>
    </row>
    <row r="470" spans="2:17" hidden="1" x14ac:dyDescent="0.25">
      <c r="B470" s="5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87"/>
    </row>
    <row r="471" spans="2:17" hidden="1" x14ac:dyDescent="0.25">
      <c r="B471" s="5"/>
      <c r="C471" s="99" t="s">
        <v>14</v>
      </c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87"/>
    </row>
    <row r="472" spans="2:17" hidden="1" x14ac:dyDescent="0.25">
      <c r="B472" s="5"/>
      <c r="C472" s="62" t="s">
        <v>15</v>
      </c>
      <c r="D472" s="97" t="e">
        <f t="shared" ref="D472:O472" si="106">+D454-D468</f>
        <v>#N/A</v>
      </c>
      <c r="E472" s="97" t="e">
        <f t="shared" si="106"/>
        <v>#N/A</v>
      </c>
      <c r="F472" s="97" t="e">
        <f t="shared" si="106"/>
        <v>#N/A</v>
      </c>
      <c r="G472" s="97" t="e">
        <f t="shared" si="106"/>
        <v>#N/A</v>
      </c>
      <c r="H472" s="97" t="e">
        <f t="shared" si="106"/>
        <v>#N/A</v>
      </c>
      <c r="I472" s="97" t="e">
        <f t="shared" si="106"/>
        <v>#N/A</v>
      </c>
      <c r="J472" s="97" t="e">
        <f t="shared" si="106"/>
        <v>#N/A</v>
      </c>
      <c r="K472" s="97" t="e">
        <f t="shared" si="106"/>
        <v>#N/A</v>
      </c>
      <c r="L472" s="97" t="e">
        <f t="shared" si="106"/>
        <v>#N/A</v>
      </c>
      <c r="M472" s="97" t="e">
        <f t="shared" si="106"/>
        <v>#N/A</v>
      </c>
      <c r="N472" s="97" t="e">
        <f t="shared" si="106"/>
        <v>#N/A</v>
      </c>
      <c r="O472" s="97" t="e">
        <f t="shared" si="106"/>
        <v>#N/A</v>
      </c>
      <c r="P472" s="90" t="e">
        <f>SUM(D472:O472)</f>
        <v>#N/A</v>
      </c>
      <c r="Q472" s="87"/>
    </row>
    <row r="473" spans="2:17" hidden="1" x14ac:dyDescent="0.25">
      <c r="B473" s="5"/>
      <c r="C473" s="62" t="s">
        <v>16</v>
      </c>
      <c r="D473" s="97" t="e">
        <f t="shared" ref="D473:O473" si="107">+D460-D468</f>
        <v>#N/A</v>
      </c>
      <c r="E473" s="97" t="e">
        <f t="shared" si="107"/>
        <v>#N/A</v>
      </c>
      <c r="F473" s="97" t="e">
        <f t="shared" si="107"/>
        <v>#N/A</v>
      </c>
      <c r="G473" s="97" t="e">
        <f t="shared" si="107"/>
        <v>#N/A</v>
      </c>
      <c r="H473" s="97" t="e">
        <f t="shared" si="107"/>
        <v>#N/A</v>
      </c>
      <c r="I473" s="97" t="e">
        <f t="shared" si="107"/>
        <v>#N/A</v>
      </c>
      <c r="J473" s="97" t="e">
        <f t="shared" si="107"/>
        <v>#N/A</v>
      </c>
      <c r="K473" s="97" t="e">
        <f t="shared" si="107"/>
        <v>#N/A</v>
      </c>
      <c r="L473" s="97" t="e">
        <f t="shared" si="107"/>
        <v>#N/A</v>
      </c>
      <c r="M473" s="97" t="e">
        <f t="shared" si="107"/>
        <v>#N/A</v>
      </c>
      <c r="N473" s="97" t="e">
        <f t="shared" si="107"/>
        <v>#N/A</v>
      </c>
      <c r="O473" s="97" t="e">
        <f t="shared" si="107"/>
        <v>#N/A</v>
      </c>
      <c r="P473" s="90" t="e">
        <f>SUM(D473:O473)</f>
        <v>#N/A</v>
      </c>
      <c r="Q473" s="87"/>
    </row>
    <row r="474" spans="2:17" hidden="1" x14ac:dyDescent="0.25">
      <c r="B474" s="5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87"/>
    </row>
    <row r="475" spans="2:17" hidden="1" x14ac:dyDescent="0.25">
      <c r="B475" s="5"/>
      <c r="C475" s="75" t="s">
        <v>17</v>
      </c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90">
        <f>SUM(D475:O475)</f>
        <v>0</v>
      </c>
      <c r="Q475" s="87"/>
    </row>
    <row r="476" spans="2:17" hidden="1" x14ac:dyDescent="0.25">
      <c r="B476" s="5"/>
      <c r="C476" s="75" t="s">
        <v>18</v>
      </c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90">
        <f>SUM(D476:O476)</f>
        <v>0</v>
      </c>
      <c r="Q476" s="87"/>
    </row>
    <row r="477" spans="2:17" hidden="1" x14ac:dyDescent="0.25">
      <c r="B477" s="5"/>
      <c r="C477" s="9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87"/>
    </row>
    <row r="478" spans="2:17" hidden="1" x14ac:dyDescent="0.25">
      <c r="B478" s="5"/>
      <c r="C478" s="101" t="s">
        <v>19</v>
      </c>
      <c r="D478" s="102" t="e">
        <f t="shared" ref="D478:O478" si="108">+D468+D475+D476</f>
        <v>#N/A</v>
      </c>
      <c r="E478" s="102" t="e">
        <f t="shared" si="108"/>
        <v>#N/A</v>
      </c>
      <c r="F478" s="102" t="e">
        <f t="shared" si="108"/>
        <v>#N/A</v>
      </c>
      <c r="G478" s="102" t="e">
        <f t="shared" si="108"/>
        <v>#N/A</v>
      </c>
      <c r="H478" s="102" t="e">
        <f t="shared" si="108"/>
        <v>#N/A</v>
      </c>
      <c r="I478" s="102" t="e">
        <f t="shared" si="108"/>
        <v>#N/A</v>
      </c>
      <c r="J478" s="102" t="e">
        <f t="shared" si="108"/>
        <v>#N/A</v>
      </c>
      <c r="K478" s="102" t="e">
        <f t="shared" si="108"/>
        <v>#N/A</v>
      </c>
      <c r="L478" s="102" t="e">
        <f t="shared" si="108"/>
        <v>#N/A</v>
      </c>
      <c r="M478" s="102" t="e">
        <f t="shared" si="108"/>
        <v>#N/A</v>
      </c>
      <c r="N478" s="102" t="e">
        <f t="shared" si="108"/>
        <v>#N/A</v>
      </c>
      <c r="O478" s="102" t="e">
        <f t="shared" si="108"/>
        <v>#N/A</v>
      </c>
      <c r="P478" s="103" t="e">
        <f>SUM(D478:O478)</f>
        <v>#N/A</v>
      </c>
      <c r="Q478" s="87"/>
    </row>
    <row r="479" spans="2:17" ht="15.75" hidden="1" thickBot="1" x14ac:dyDescent="0.3">
      <c r="B479" s="6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5"/>
    </row>
    <row r="480" spans="2:17" ht="15.75" hidden="1" thickBot="1" x14ac:dyDescent="0.3">
      <c r="B480" s="3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77"/>
      <c r="N480" s="77"/>
      <c r="O480" s="77"/>
      <c r="P480" s="66"/>
      <c r="Q480" s="66"/>
    </row>
    <row r="481" spans="2:17" hidden="1" x14ac:dyDescent="0.25">
      <c r="B481" s="4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1"/>
    </row>
    <row r="482" spans="2:17" hidden="1" x14ac:dyDescent="0.25">
      <c r="B482" s="5"/>
      <c r="C482" s="82" t="s">
        <v>11</v>
      </c>
      <c r="D482" s="83"/>
      <c r="E482" s="84"/>
      <c r="F482" s="84"/>
      <c r="G482" s="85"/>
      <c r="H482" s="171"/>
      <c r="I482" s="172"/>
      <c r="J482" s="172"/>
      <c r="K482" s="172"/>
      <c r="L482" s="172"/>
      <c r="M482" s="172"/>
      <c r="N482" s="172"/>
      <c r="O482" s="173"/>
      <c r="P482" s="86" t="s">
        <v>6</v>
      </c>
      <c r="Q482" s="87"/>
    </row>
    <row r="483" spans="2:17" hidden="1" x14ac:dyDescent="0.25">
      <c r="B483" s="5"/>
      <c r="C483" s="66"/>
      <c r="D483" s="174" t="s">
        <v>41</v>
      </c>
      <c r="E483" s="174"/>
      <c r="F483" s="174"/>
      <c r="G483" s="174"/>
      <c r="H483" s="171"/>
      <c r="I483" s="172"/>
      <c r="J483" s="172"/>
      <c r="K483" s="172"/>
      <c r="L483" s="172"/>
      <c r="M483" s="172"/>
      <c r="N483" s="172"/>
      <c r="O483" s="173"/>
      <c r="P483" s="88"/>
      <c r="Q483" s="87"/>
    </row>
    <row r="484" spans="2:17" hidden="1" x14ac:dyDescent="0.25">
      <c r="B484" s="5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87"/>
    </row>
    <row r="485" spans="2:17" hidden="1" x14ac:dyDescent="0.25">
      <c r="B485" s="5"/>
      <c r="C485" s="62" t="s">
        <v>27</v>
      </c>
      <c r="D485" s="89" t="e">
        <f>HLOOKUP($D$482,'EJEMPLO DE NOMINA'!$E$1:$BU$97,2,FALSE)</f>
        <v>#N/A</v>
      </c>
      <c r="E485" s="89" t="e">
        <f>HLOOKUP($D$482,'EJEMPLO DE NOMINA'!$E$1:$BU$97,10,FALSE)</f>
        <v>#N/A</v>
      </c>
      <c r="F485" s="89" t="e">
        <f>HLOOKUP($D$482,'EJEMPLO DE NOMINA'!$E$1:$BU$97,18,FALSE)</f>
        <v>#N/A</v>
      </c>
      <c r="G485" s="89" t="e">
        <f>HLOOKUP($D$482,'EJEMPLO DE NOMINA'!$E$1:$BU$97,26,FALSE)</f>
        <v>#N/A</v>
      </c>
      <c r="H485" s="89" t="e">
        <f>HLOOKUP($D$482,'EJEMPLO DE NOMINA'!$E$1:$BU$97,34,FALSE)</f>
        <v>#N/A</v>
      </c>
      <c r="I485" s="89" t="e">
        <f>HLOOKUP($D$482,'EJEMPLO DE NOMINA'!$E$1:$BU$97,42,FALSE)</f>
        <v>#N/A</v>
      </c>
      <c r="J485" s="89" t="e">
        <f>HLOOKUP($D$482,'EJEMPLO DE NOMINA'!$E$1:$BU$97,50,FALSE)</f>
        <v>#N/A</v>
      </c>
      <c r="K485" s="89" t="e">
        <f>HLOOKUP($D$482,'EJEMPLO DE NOMINA'!$E$1:$BU$97,58,FALSE)</f>
        <v>#N/A</v>
      </c>
      <c r="L485" s="89" t="e">
        <f>HLOOKUP($D$482,'EJEMPLO DE NOMINA'!$E$1:$BU$97,66,FALSE)</f>
        <v>#N/A</v>
      </c>
      <c r="M485" s="89" t="e">
        <f>HLOOKUP($D$482,'EJEMPLO DE NOMINA'!$E$1:$BU$97,74,FALSE)</f>
        <v>#N/A</v>
      </c>
      <c r="N485" s="89" t="e">
        <f>HLOOKUP($D$482,'EJEMPLO DE NOMINA'!$E$1:$BU$97,82,FALSE)</f>
        <v>#N/A</v>
      </c>
      <c r="O485" s="89" t="e">
        <f>HLOOKUP($D$482,'EJEMPLO DE NOMINA'!$E$1:$BU$97,90,FALSE)</f>
        <v>#N/A</v>
      </c>
      <c r="P485" s="90" t="e">
        <f>SUM(D485:O485)</f>
        <v>#N/A</v>
      </c>
      <c r="Q485" s="87"/>
    </row>
    <row r="486" spans="2:17" hidden="1" x14ac:dyDescent="0.25">
      <c r="B486" s="5"/>
      <c r="C486" s="62" t="s">
        <v>26</v>
      </c>
      <c r="D486" s="91" t="e">
        <f>HLOOKUP($D$482,'EJEMPLO DE NOMINA'!$E$1:$BU$97,3,FALSE)</f>
        <v>#N/A</v>
      </c>
      <c r="E486" s="89" t="e">
        <f>HLOOKUP($D$482,'EJEMPLO DE NOMINA'!$E$1:$BU$97,11,FALSE)</f>
        <v>#N/A</v>
      </c>
      <c r="F486" s="89" t="e">
        <f>HLOOKUP($D$482,'EJEMPLO DE NOMINA'!$E$1:$BU$97,19,FALSE)</f>
        <v>#N/A</v>
      </c>
      <c r="G486" s="89" t="e">
        <f>HLOOKUP($D$482,'EJEMPLO DE NOMINA'!$E$1:$BU$97,27,FALSE)</f>
        <v>#N/A</v>
      </c>
      <c r="H486" s="89" t="e">
        <f>HLOOKUP($D$482,'EJEMPLO DE NOMINA'!$E$1:$BU$97,35,FALSE)</f>
        <v>#N/A</v>
      </c>
      <c r="I486" s="89" t="e">
        <f>HLOOKUP($D$482,'EJEMPLO DE NOMINA'!$E$1:$BU$97,43,FALSE)</f>
        <v>#N/A</v>
      </c>
      <c r="J486" s="89" t="e">
        <f>HLOOKUP($D$482,'EJEMPLO DE NOMINA'!$E$1:$BU$97,51,FALSE)</f>
        <v>#N/A</v>
      </c>
      <c r="K486" s="89" t="e">
        <f>HLOOKUP($D$482,'EJEMPLO DE NOMINA'!$E$1:$BU$97,59,FALSE)</f>
        <v>#N/A</v>
      </c>
      <c r="L486" s="89" t="e">
        <f>HLOOKUP($D$482,'EJEMPLO DE NOMINA'!$E$1:$BU$97,67,FALSE)</f>
        <v>#N/A</v>
      </c>
      <c r="M486" s="89" t="e">
        <f>HLOOKUP($D$482,'EJEMPLO DE NOMINA'!$E$1:$BU$97,75,FALSE)</f>
        <v>#N/A</v>
      </c>
      <c r="N486" s="89" t="e">
        <f>HLOOKUP($D$482,'EJEMPLO DE NOMINA'!$E$1:$BU$97,83,FALSE)</f>
        <v>#N/A</v>
      </c>
      <c r="O486" s="89" t="e">
        <f>HLOOKUP($D$482,'EJEMPLO DE NOMINA'!$E$1:$BU$97,91,FALSE)</f>
        <v>#N/A</v>
      </c>
      <c r="P486" s="92" t="e">
        <f>AVERAGE(D486:O486)</f>
        <v>#N/A</v>
      </c>
      <c r="Q486" s="87"/>
    </row>
    <row r="487" spans="2:17" hidden="1" x14ac:dyDescent="0.25">
      <c r="B487" s="5"/>
      <c r="C487" s="62" t="s">
        <v>33</v>
      </c>
      <c r="D487" s="91" t="e">
        <f>HLOOKUP($D$482,'EJEMPLO DE NOMINA'!$E$1:$BU$97,4,FALSE)</f>
        <v>#N/A</v>
      </c>
      <c r="E487" s="89" t="e">
        <f>HLOOKUP($D$482,'EJEMPLO DE NOMINA'!$E$1:$BU$97,12,FALSE)</f>
        <v>#N/A</v>
      </c>
      <c r="F487" s="89" t="e">
        <f>HLOOKUP($D$482,'EJEMPLO DE NOMINA'!$E$1:$BU$97,20,FALSE)</f>
        <v>#N/A</v>
      </c>
      <c r="G487" s="89" t="e">
        <f>HLOOKUP($D$482,'EJEMPLO DE NOMINA'!$E$1:$BU$97,28,FALSE)</f>
        <v>#N/A</v>
      </c>
      <c r="H487" s="89" t="e">
        <f>HLOOKUP($D$482,'EJEMPLO DE NOMINA'!$E$1:$BU$97,36,FALSE)</f>
        <v>#N/A</v>
      </c>
      <c r="I487" s="89" t="e">
        <f>HLOOKUP($D$482,'EJEMPLO DE NOMINA'!$E$1:$BU$97,44,FALSE)</f>
        <v>#N/A</v>
      </c>
      <c r="J487" s="89" t="e">
        <f>HLOOKUP($D$482,'EJEMPLO DE NOMINA'!$E$1:$BU$97,52,FALSE)</f>
        <v>#N/A</v>
      </c>
      <c r="K487" s="89" t="e">
        <f>HLOOKUP($D$482,'EJEMPLO DE NOMINA'!$E$1:$BU$97,60,FALSE)</f>
        <v>#N/A</v>
      </c>
      <c r="L487" s="89" t="e">
        <f>HLOOKUP($D$482,'EJEMPLO DE NOMINA'!$E$1:$BU$97,68,FALSE)</f>
        <v>#N/A</v>
      </c>
      <c r="M487" s="89" t="e">
        <f>HLOOKUP($D$482,'EJEMPLO DE NOMINA'!$E$1:$BU$97,76,FALSE)</f>
        <v>#N/A</v>
      </c>
      <c r="N487" s="89" t="e">
        <f>HLOOKUP($D$482,'EJEMPLO DE NOMINA'!$E$1:$BU$97,84,FALSE)</f>
        <v>#N/A</v>
      </c>
      <c r="O487" s="89" t="e">
        <f>HLOOKUP($D$482,'EJEMPLO DE NOMINA'!$E$1:$BU$97,92,FALSE)</f>
        <v>#N/A</v>
      </c>
      <c r="P487" s="90" t="e">
        <f>SUM(D487:O487)</f>
        <v>#N/A</v>
      </c>
      <c r="Q487" s="93"/>
    </row>
    <row r="488" spans="2:17" hidden="1" x14ac:dyDescent="0.25">
      <c r="B488" s="5"/>
      <c r="C488" s="62" t="s">
        <v>34</v>
      </c>
      <c r="D488" s="91" t="e">
        <f>HLOOKUP($D$482,'EJEMPLO DE NOMINA'!$E$1:$BU$97,5,FALSE)</f>
        <v>#N/A</v>
      </c>
      <c r="E488" s="89" t="e">
        <f>HLOOKUP($D$482,'EJEMPLO DE NOMINA'!$E$1:$BU$97,13,FALSE)</f>
        <v>#N/A</v>
      </c>
      <c r="F488" s="89" t="e">
        <f>HLOOKUP($D$482,'EJEMPLO DE NOMINA'!$E$1:$BU$97,21,FALSE)</f>
        <v>#N/A</v>
      </c>
      <c r="G488" s="89" t="e">
        <f>HLOOKUP($D$482,'EJEMPLO DE NOMINA'!$E$1:$BU$97,29,FALSE)</f>
        <v>#N/A</v>
      </c>
      <c r="H488" s="89" t="e">
        <f>HLOOKUP($D$482,'EJEMPLO DE NOMINA'!$E$1:$BU$97,37,FALSE)</f>
        <v>#N/A</v>
      </c>
      <c r="I488" s="89" t="e">
        <f>HLOOKUP($D$482,'EJEMPLO DE NOMINA'!$E$1:$BU$97,45,FALSE)</f>
        <v>#N/A</v>
      </c>
      <c r="J488" s="89" t="e">
        <f>HLOOKUP($D$482,'EJEMPLO DE NOMINA'!$E$1:$BU$97,53,FALSE)</f>
        <v>#N/A</v>
      </c>
      <c r="K488" s="89" t="e">
        <f>HLOOKUP($D$482,'EJEMPLO DE NOMINA'!$E$1:$BU$97,61,FALSE)</f>
        <v>#N/A</v>
      </c>
      <c r="L488" s="89" t="e">
        <f>HLOOKUP($D$482,'EJEMPLO DE NOMINA'!$E$1:$BU$97,69,FALSE)</f>
        <v>#N/A</v>
      </c>
      <c r="M488" s="89" t="e">
        <f>HLOOKUP($D$482,'EJEMPLO DE NOMINA'!$E$1:$BU$97,77,FALSE)</f>
        <v>#N/A</v>
      </c>
      <c r="N488" s="89" t="e">
        <f>HLOOKUP($D$482,'EJEMPLO DE NOMINA'!$E$1:$BU$97,85,FALSE)</f>
        <v>#N/A</v>
      </c>
      <c r="O488" s="89" t="e">
        <f>HLOOKUP($D$482,'EJEMPLO DE NOMINA'!$E$1:$BU$97,93,FALSE)</f>
        <v>#N/A</v>
      </c>
      <c r="P488" s="90" t="e">
        <f>SUM(D488:O488)</f>
        <v>#N/A</v>
      </c>
      <c r="Q488" s="93"/>
    </row>
    <row r="489" spans="2:17" hidden="1" x14ac:dyDescent="0.25">
      <c r="B489" s="5"/>
      <c r="C489" s="94" t="s">
        <v>39</v>
      </c>
      <c r="D489" s="95" t="e">
        <f>+D487</f>
        <v>#N/A</v>
      </c>
      <c r="E489" s="95" t="e">
        <f t="shared" ref="E489:O489" si="109">+E487</f>
        <v>#N/A</v>
      </c>
      <c r="F489" s="95" t="e">
        <f t="shared" si="109"/>
        <v>#N/A</v>
      </c>
      <c r="G489" s="95" t="e">
        <f t="shared" si="109"/>
        <v>#N/A</v>
      </c>
      <c r="H489" s="95" t="e">
        <f t="shared" si="109"/>
        <v>#N/A</v>
      </c>
      <c r="I489" s="95" t="e">
        <f t="shared" si="109"/>
        <v>#N/A</v>
      </c>
      <c r="J489" s="95" t="e">
        <f t="shared" si="109"/>
        <v>#N/A</v>
      </c>
      <c r="K489" s="95" t="e">
        <f t="shared" si="109"/>
        <v>#N/A</v>
      </c>
      <c r="L489" s="95" t="e">
        <f t="shared" si="109"/>
        <v>#N/A</v>
      </c>
      <c r="M489" s="95" t="e">
        <f t="shared" si="109"/>
        <v>#N/A</v>
      </c>
      <c r="N489" s="95" t="e">
        <f t="shared" si="109"/>
        <v>#N/A</v>
      </c>
      <c r="O489" s="95" t="e">
        <f t="shared" si="109"/>
        <v>#N/A</v>
      </c>
      <c r="P489" s="90" t="e">
        <f>SUM(D489:O489)</f>
        <v>#N/A</v>
      </c>
      <c r="Q489" s="93"/>
    </row>
    <row r="490" spans="2:17" hidden="1" x14ac:dyDescent="0.25">
      <c r="B490" s="5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3"/>
    </row>
    <row r="491" spans="2:17" hidden="1" x14ac:dyDescent="0.25">
      <c r="B491" s="5"/>
      <c r="C491" s="62" t="s">
        <v>35</v>
      </c>
      <c r="D491" s="91" t="e">
        <f>HLOOKUP($D$482,'EJEMPLO DE NOMINA'!$E$1:$BU$97,6,FALSE)</f>
        <v>#N/A</v>
      </c>
      <c r="E491" s="89" t="e">
        <f>HLOOKUP($D$482,'EJEMPLO DE NOMINA'!$E$1:$BU$97,14,FALSE)</f>
        <v>#N/A</v>
      </c>
      <c r="F491" s="89" t="e">
        <f>HLOOKUP($D$482,'EJEMPLO DE NOMINA'!$E$1:$BU$97,22,FALSE)</f>
        <v>#N/A</v>
      </c>
      <c r="G491" s="89" t="e">
        <f>HLOOKUP($D$482,'EJEMPLO DE NOMINA'!$E$1:$BU$97,30,FALSE)</f>
        <v>#N/A</v>
      </c>
      <c r="H491" s="89" t="e">
        <f>HLOOKUP($D$482,'EJEMPLO DE NOMINA'!$E$1:$BU$97,38,FALSE)</f>
        <v>#N/A</v>
      </c>
      <c r="I491" s="89" t="e">
        <f>HLOOKUP($D$482,'EJEMPLO DE NOMINA'!$E$1:$BU$97,46,FALSE)</f>
        <v>#N/A</v>
      </c>
      <c r="J491" s="89" t="e">
        <f>HLOOKUP($D$482,'EJEMPLO DE NOMINA'!$E$1:$BU$97,54,FALSE)</f>
        <v>#N/A</v>
      </c>
      <c r="K491" s="89" t="e">
        <f>HLOOKUP($D$482,'EJEMPLO DE NOMINA'!$E$1:$BU$97,62,FALSE)</f>
        <v>#N/A</v>
      </c>
      <c r="L491" s="89" t="e">
        <f>HLOOKUP($D$482,'EJEMPLO DE NOMINA'!$E$1:$BU$97,70,FALSE)</f>
        <v>#N/A</v>
      </c>
      <c r="M491" s="89" t="e">
        <f>HLOOKUP($D$482,'EJEMPLO DE NOMINA'!$E$1:$BU$97,78,FALSE)</f>
        <v>#N/A</v>
      </c>
      <c r="N491" s="89" t="e">
        <f>HLOOKUP($D$482,'EJEMPLO DE NOMINA'!$E$1:$BU$97,86,FALSE)</f>
        <v>#N/A</v>
      </c>
      <c r="O491" s="89" t="e">
        <f>HLOOKUP($D$482,'EJEMPLO DE NOMINA'!$E$1:$BU$97,94,FALSE)</f>
        <v>#N/A</v>
      </c>
      <c r="P491" s="90" t="e">
        <f>SUM(D491:O491)</f>
        <v>#N/A</v>
      </c>
      <c r="Q491" s="87"/>
    </row>
    <row r="492" spans="2:17" hidden="1" x14ac:dyDescent="0.25">
      <c r="B492" s="5"/>
      <c r="C492" s="62" t="s">
        <v>36</v>
      </c>
      <c r="D492" s="91" t="e">
        <f>HLOOKUP($D$482,'EJEMPLO DE NOMINA'!$E$1:$BU$97,7,FALSE)</f>
        <v>#N/A</v>
      </c>
      <c r="E492" s="89" t="e">
        <f>HLOOKUP($D$482,'EJEMPLO DE NOMINA'!$E$1:$BU$97,15,FALSE)</f>
        <v>#N/A</v>
      </c>
      <c r="F492" s="89" t="e">
        <f>HLOOKUP($D$482,'EJEMPLO DE NOMINA'!$E$1:$BU$97,23,FALSE)</f>
        <v>#N/A</v>
      </c>
      <c r="G492" s="89" t="e">
        <f>HLOOKUP($D$482,'EJEMPLO DE NOMINA'!$E$1:$BU$97,31,FALSE)</f>
        <v>#N/A</v>
      </c>
      <c r="H492" s="89" t="e">
        <f>HLOOKUP($D$482,'EJEMPLO DE NOMINA'!$E$1:$BU$97,39,FALSE)</f>
        <v>#N/A</v>
      </c>
      <c r="I492" s="89" t="e">
        <f>HLOOKUP($D$482,'EJEMPLO DE NOMINA'!$E$1:$BU$97,47,FALSE)</f>
        <v>#N/A</v>
      </c>
      <c r="J492" s="89" t="e">
        <f>HLOOKUP($D$482,'EJEMPLO DE NOMINA'!$E$1:$BU$97,55,FALSE)</f>
        <v>#N/A</v>
      </c>
      <c r="K492" s="89" t="e">
        <f>HLOOKUP($D$482,'EJEMPLO DE NOMINA'!$E$1:$BU$97,63,FALSE)</f>
        <v>#N/A</v>
      </c>
      <c r="L492" s="89" t="e">
        <f>HLOOKUP($D$482,'EJEMPLO DE NOMINA'!$E$1:$BU$97,71,FALSE)</f>
        <v>#N/A</v>
      </c>
      <c r="M492" s="89" t="e">
        <f>HLOOKUP($D$482,'EJEMPLO DE NOMINA'!$E$1:$BU$97,79,FALSE)</f>
        <v>#N/A</v>
      </c>
      <c r="N492" s="89" t="e">
        <f>HLOOKUP($D$482,'EJEMPLO DE NOMINA'!$E$1:$BU$97,87,FALSE)</f>
        <v>#N/A</v>
      </c>
      <c r="O492" s="89" t="e">
        <f>HLOOKUP($D$482,'EJEMPLO DE NOMINA'!$E$1:$BU$97,95,FALSE)</f>
        <v>#N/A</v>
      </c>
      <c r="P492" s="92" t="e">
        <f>AVERAGE(D492:O492)</f>
        <v>#N/A</v>
      </c>
      <c r="Q492" s="87"/>
    </row>
    <row r="493" spans="2:17" hidden="1" x14ac:dyDescent="0.25">
      <c r="B493" s="5"/>
      <c r="C493" s="62" t="s">
        <v>37</v>
      </c>
      <c r="D493" s="91" t="e">
        <f>HLOOKUP($D$482,'EJEMPLO DE NOMINA'!$E$1:$BU$97,8,FALSE)</f>
        <v>#N/A</v>
      </c>
      <c r="E493" s="89" t="e">
        <f>HLOOKUP($D$482,'EJEMPLO DE NOMINA'!$E$1:$BU$97,16,FALSE)</f>
        <v>#N/A</v>
      </c>
      <c r="F493" s="89" t="e">
        <f>HLOOKUP($D$482,'EJEMPLO DE NOMINA'!$E$1:$BU$97,24,FALSE)</f>
        <v>#N/A</v>
      </c>
      <c r="G493" s="89" t="e">
        <f>HLOOKUP($D$482,'EJEMPLO DE NOMINA'!$E$1:$BU$97,32,FALSE)</f>
        <v>#N/A</v>
      </c>
      <c r="H493" s="89" t="e">
        <f>HLOOKUP($D$482,'EJEMPLO DE NOMINA'!$E$1:$BU$97,40,FALSE)</f>
        <v>#N/A</v>
      </c>
      <c r="I493" s="89" t="e">
        <f>HLOOKUP($D$482,'EJEMPLO DE NOMINA'!$E$1:$BU$97,48,FALSE)</f>
        <v>#N/A</v>
      </c>
      <c r="J493" s="89" t="e">
        <f>HLOOKUP($D$482,'EJEMPLO DE NOMINA'!$E$1:$BU$97,56,FALSE)</f>
        <v>#N/A</v>
      </c>
      <c r="K493" s="89" t="e">
        <f>HLOOKUP($D$482,'EJEMPLO DE NOMINA'!$E$1:$BU$97,64,FALSE)</f>
        <v>#N/A</v>
      </c>
      <c r="L493" s="89" t="e">
        <f>HLOOKUP($D$482,'EJEMPLO DE NOMINA'!$E$1:$BU$97,72,FALSE)</f>
        <v>#N/A</v>
      </c>
      <c r="M493" s="89" t="e">
        <f>HLOOKUP($D$482,'EJEMPLO DE NOMINA'!$E$1:$BU$97,80,FALSE)</f>
        <v>#N/A</v>
      </c>
      <c r="N493" s="89" t="e">
        <f>HLOOKUP($D$482,'EJEMPLO DE NOMINA'!$E$1:$BU$97,88,FALSE)</f>
        <v>#N/A</v>
      </c>
      <c r="O493" s="89" t="e">
        <f>HLOOKUP($D$482,'EJEMPLO DE NOMINA'!$E$1:$BU$97,96,FALSE)</f>
        <v>#N/A</v>
      </c>
      <c r="P493" s="90" t="e">
        <f>SUM(D493:O493)</f>
        <v>#N/A</v>
      </c>
      <c r="Q493" s="87"/>
    </row>
    <row r="494" spans="2:17" hidden="1" x14ac:dyDescent="0.25">
      <c r="B494" s="5"/>
      <c r="C494" s="62" t="s">
        <v>38</v>
      </c>
      <c r="D494" s="91" t="e">
        <f>HLOOKUP($D$482,'EJEMPLO DE NOMINA'!$E$1:$BU$97,9,FALSE)</f>
        <v>#N/A</v>
      </c>
      <c r="E494" s="89" t="e">
        <f>HLOOKUP($D$482,'EJEMPLO DE NOMINA'!$E$1:$BU$97,17,FALSE)</f>
        <v>#N/A</v>
      </c>
      <c r="F494" s="89" t="e">
        <f>HLOOKUP($D$482,'EJEMPLO DE NOMINA'!$E$1:$BU$97,25,FALSE)</f>
        <v>#N/A</v>
      </c>
      <c r="G494" s="89" t="e">
        <f>HLOOKUP($D$482,'EJEMPLO DE NOMINA'!$E$1:$BU$97,33,FALSE)</f>
        <v>#N/A</v>
      </c>
      <c r="H494" s="89" t="e">
        <f>HLOOKUP($D$482,'EJEMPLO DE NOMINA'!$E$1:$BU$97,41,FALSE)</f>
        <v>#N/A</v>
      </c>
      <c r="I494" s="89" t="e">
        <f>HLOOKUP($D$482,'EJEMPLO DE NOMINA'!$E$1:$BU$97,49,FALSE)</f>
        <v>#N/A</v>
      </c>
      <c r="J494" s="89" t="e">
        <f>HLOOKUP($D$482,'EJEMPLO DE NOMINA'!$E$1:$BU$97,57,FALSE)</f>
        <v>#N/A</v>
      </c>
      <c r="K494" s="89" t="e">
        <f>HLOOKUP($D$482,'EJEMPLO DE NOMINA'!$E$1:$BU$97,65,FALSE)</f>
        <v>#N/A</v>
      </c>
      <c r="L494" s="89" t="e">
        <f>HLOOKUP($D$482,'EJEMPLO DE NOMINA'!$E$1:$BU$97,73,FALSE)</f>
        <v>#N/A</v>
      </c>
      <c r="M494" s="89" t="e">
        <f>HLOOKUP($D$482,'EJEMPLO DE NOMINA'!$E$1:$BU$97,81,FALSE)</f>
        <v>#N/A</v>
      </c>
      <c r="N494" s="89" t="e">
        <f>HLOOKUP($D$482,'EJEMPLO DE NOMINA'!$E$1:$BU$97,89,FALSE)</f>
        <v>#N/A</v>
      </c>
      <c r="O494" s="89" t="e">
        <f>HLOOKUP($D$482,'EJEMPLO DE NOMINA'!$E$1:$BU$97,97,FALSE)</f>
        <v>#N/A</v>
      </c>
      <c r="P494" s="90" t="e">
        <f>SUM(D494:O494)</f>
        <v>#N/A</v>
      </c>
      <c r="Q494" s="87"/>
    </row>
    <row r="495" spans="2:17" hidden="1" x14ac:dyDescent="0.25">
      <c r="B495" s="5"/>
      <c r="C495" s="94" t="s">
        <v>39</v>
      </c>
      <c r="D495" s="97" t="e">
        <f>+D493</f>
        <v>#N/A</v>
      </c>
      <c r="E495" s="97" t="e">
        <f t="shared" ref="E495:O495" si="110">+E493</f>
        <v>#N/A</v>
      </c>
      <c r="F495" s="97" t="e">
        <f t="shared" si="110"/>
        <v>#N/A</v>
      </c>
      <c r="G495" s="97" t="e">
        <f t="shared" si="110"/>
        <v>#N/A</v>
      </c>
      <c r="H495" s="97" t="e">
        <f t="shared" si="110"/>
        <v>#N/A</v>
      </c>
      <c r="I495" s="97" t="e">
        <f t="shared" si="110"/>
        <v>#N/A</v>
      </c>
      <c r="J495" s="97" t="e">
        <f t="shared" si="110"/>
        <v>#N/A</v>
      </c>
      <c r="K495" s="97" t="e">
        <f t="shared" si="110"/>
        <v>#N/A</v>
      </c>
      <c r="L495" s="97" t="e">
        <f t="shared" si="110"/>
        <v>#N/A</v>
      </c>
      <c r="M495" s="97" t="e">
        <f t="shared" si="110"/>
        <v>#N/A</v>
      </c>
      <c r="N495" s="97" t="e">
        <f t="shared" si="110"/>
        <v>#N/A</v>
      </c>
      <c r="O495" s="97" t="e">
        <f t="shared" si="110"/>
        <v>#N/A</v>
      </c>
      <c r="P495" s="90" t="e">
        <f>SUM(D495:O495)</f>
        <v>#N/A</v>
      </c>
      <c r="Q495" s="87"/>
    </row>
    <row r="496" spans="2:17" hidden="1" x14ac:dyDescent="0.25">
      <c r="B496" s="5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87"/>
    </row>
    <row r="497" spans="2:17" hidden="1" x14ac:dyDescent="0.25">
      <c r="B497" s="5"/>
      <c r="C497" s="62" t="s">
        <v>12</v>
      </c>
      <c r="D497" s="98">
        <v>0.02</v>
      </c>
      <c r="E497" s="98">
        <v>0.02</v>
      </c>
      <c r="F497" s="98">
        <v>0.02</v>
      </c>
      <c r="G497" s="98">
        <v>0.02</v>
      </c>
      <c r="H497" s="98">
        <v>0.02</v>
      </c>
      <c r="I497" s="98">
        <v>0.02</v>
      </c>
      <c r="J497" s="98">
        <v>0.02</v>
      </c>
      <c r="K497" s="98">
        <v>0.02</v>
      </c>
      <c r="L497" s="98">
        <v>0.02</v>
      </c>
      <c r="M497" s="98">
        <v>0.02</v>
      </c>
      <c r="N497" s="98">
        <v>0.02</v>
      </c>
      <c r="O497" s="98">
        <v>0.02</v>
      </c>
      <c r="P497" s="66"/>
      <c r="Q497" s="87"/>
    </row>
    <row r="498" spans="2:17" hidden="1" x14ac:dyDescent="0.25">
      <c r="B498" s="5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87"/>
    </row>
    <row r="499" spans="2:17" hidden="1" x14ac:dyDescent="0.25">
      <c r="B499" s="5"/>
      <c r="C499" s="62" t="s">
        <v>13</v>
      </c>
      <c r="D499" s="97" t="e">
        <f t="shared" ref="D499:O499" si="111">+D495*D497</f>
        <v>#N/A</v>
      </c>
      <c r="E499" s="97" t="e">
        <f t="shared" si="111"/>
        <v>#N/A</v>
      </c>
      <c r="F499" s="97" t="e">
        <f t="shared" si="111"/>
        <v>#N/A</v>
      </c>
      <c r="G499" s="97" t="e">
        <f t="shared" si="111"/>
        <v>#N/A</v>
      </c>
      <c r="H499" s="97" t="e">
        <f t="shared" si="111"/>
        <v>#N/A</v>
      </c>
      <c r="I499" s="97" t="e">
        <f t="shared" si="111"/>
        <v>#N/A</v>
      </c>
      <c r="J499" s="97" t="e">
        <f t="shared" si="111"/>
        <v>#N/A</v>
      </c>
      <c r="K499" s="97" t="e">
        <f t="shared" si="111"/>
        <v>#N/A</v>
      </c>
      <c r="L499" s="97" t="e">
        <f t="shared" si="111"/>
        <v>#N/A</v>
      </c>
      <c r="M499" s="97" t="e">
        <f t="shared" si="111"/>
        <v>#N/A</v>
      </c>
      <c r="N499" s="97" t="e">
        <f t="shared" si="111"/>
        <v>#N/A</v>
      </c>
      <c r="O499" s="97" t="e">
        <f t="shared" si="111"/>
        <v>#N/A</v>
      </c>
      <c r="P499" s="90" t="e">
        <f>SUM(D499:O499)</f>
        <v>#N/A</v>
      </c>
      <c r="Q499" s="87"/>
    </row>
    <row r="500" spans="2:17" hidden="1" x14ac:dyDescent="0.25">
      <c r="B500" s="5"/>
      <c r="C500" s="62" t="s">
        <v>22</v>
      </c>
      <c r="D500" s="97" t="e">
        <f t="shared" ref="D500:O500" si="112">+D491</f>
        <v>#N/A</v>
      </c>
      <c r="E500" s="97" t="e">
        <f t="shared" si="112"/>
        <v>#N/A</v>
      </c>
      <c r="F500" s="97" t="e">
        <f t="shared" si="112"/>
        <v>#N/A</v>
      </c>
      <c r="G500" s="97" t="e">
        <f t="shared" si="112"/>
        <v>#N/A</v>
      </c>
      <c r="H500" s="97" t="e">
        <f t="shared" si="112"/>
        <v>#N/A</v>
      </c>
      <c r="I500" s="97" t="e">
        <f t="shared" si="112"/>
        <v>#N/A</v>
      </c>
      <c r="J500" s="97" t="e">
        <f t="shared" si="112"/>
        <v>#N/A</v>
      </c>
      <c r="K500" s="97" t="e">
        <f t="shared" si="112"/>
        <v>#N/A</v>
      </c>
      <c r="L500" s="97" t="e">
        <f t="shared" si="112"/>
        <v>#N/A</v>
      </c>
      <c r="M500" s="97" t="e">
        <f t="shared" si="112"/>
        <v>#N/A</v>
      </c>
      <c r="N500" s="97" t="e">
        <f t="shared" si="112"/>
        <v>#N/A</v>
      </c>
      <c r="O500" s="97" t="e">
        <f t="shared" si="112"/>
        <v>#N/A</v>
      </c>
      <c r="P500" s="90" t="e">
        <f>SUM(D500:O500)</f>
        <v>#N/A</v>
      </c>
      <c r="Q500" s="87"/>
    </row>
    <row r="501" spans="2:17" hidden="1" x14ac:dyDescent="0.25">
      <c r="B501" s="5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87"/>
    </row>
    <row r="502" spans="2:17" hidden="1" x14ac:dyDescent="0.25">
      <c r="B502" s="5"/>
      <c r="C502" s="99" t="s">
        <v>14</v>
      </c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87"/>
    </row>
    <row r="503" spans="2:17" hidden="1" x14ac:dyDescent="0.25">
      <c r="B503" s="5"/>
      <c r="C503" s="62" t="s">
        <v>15</v>
      </c>
      <c r="D503" s="97" t="e">
        <f t="shared" ref="D503:O503" si="113">+D485-D499</f>
        <v>#N/A</v>
      </c>
      <c r="E503" s="97" t="e">
        <f t="shared" si="113"/>
        <v>#N/A</v>
      </c>
      <c r="F503" s="97" t="e">
        <f t="shared" si="113"/>
        <v>#N/A</v>
      </c>
      <c r="G503" s="97" t="e">
        <f t="shared" si="113"/>
        <v>#N/A</v>
      </c>
      <c r="H503" s="97" t="e">
        <f t="shared" si="113"/>
        <v>#N/A</v>
      </c>
      <c r="I503" s="97" t="e">
        <f t="shared" si="113"/>
        <v>#N/A</v>
      </c>
      <c r="J503" s="97" t="e">
        <f t="shared" si="113"/>
        <v>#N/A</v>
      </c>
      <c r="K503" s="97" t="e">
        <f t="shared" si="113"/>
        <v>#N/A</v>
      </c>
      <c r="L503" s="97" t="e">
        <f t="shared" si="113"/>
        <v>#N/A</v>
      </c>
      <c r="M503" s="97" t="e">
        <f t="shared" si="113"/>
        <v>#N/A</v>
      </c>
      <c r="N503" s="97" t="e">
        <f t="shared" si="113"/>
        <v>#N/A</v>
      </c>
      <c r="O503" s="97" t="e">
        <f t="shared" si="113"/>
        <v>#N/A</v>
      </c>
      <c r="P503" s="90" t="e">
        <f>SUM(D503:O503)</f>
        <v>#N/A</v>
      </c>
      <c r="Q503" s="87"/>
    </row>
    <row r="504" spans="2:17" hidden="1" x14ac:dyDescent="0.25">
      <c r="B504" s="5"/>
      <c r="C504" s="62" t="s">
        <v>16</v>
      </c>
      <c r="D504" s="97" t="e">
        <f t="shared" ref="D504:O504" si="114">+D491-D499</f>
        <v>#N/A</v>
      </c>
      <c r="E504" s="97" t="e">
        <f t="shared" si="114"/>
        <v>#N/A</v>
      </c>
      <c r="F504" s="97" t="e">
        <f t="shared" si="114"/>
        <v>#N/A</v>
      </c>
      <c r="G504" s="97" t="e">
        <f t="shared" si="114"/>
        <v>#N/A</v>
      </c>
      <c r="H504" s="97" t="e">
        <f t="shared" si="114"/>
        <v>#N/A</v>
      </c>
      <c r="I504" s="97" t="e">
        <f t="shared" si="114"/>
        <v>#N/A</v>
      </c>
      <c r="J504" s="97" t="e">
        <f t="shared" si="114"/>
        <v>#N/A</v>
      </c>
      <c r="K504" s="97" t="e">
        <f t="shared" si="114"/>
        <v>#N/A</v>
      </c>
      <c r="L504" s="97" t="e">
        <f t="shared" si="114"/>
        <v>#N/A</v>
      </c>
      <c r="M504" s="97" t="e">
        <f t="shared" si="114"/>
        <v>#N/A</v>
      </c>
      <c r="N504" s="97" t="e">
        <f t="shared" si="114"/>
        <v>#N/A</v>
      </c>
      <c r="O504" s="97" t="e">
        <f t="shared" si="114"/>
        <v>#N/A</v>
      </c>
      <c r="P504" s="90" t="e">
        <f>SUM(D504:O504)</f>
        <v>#N/A</v>
      </c>
      <c r="Q504" s="87"/>
    </row>
    <row r="505" spans="2:17" hidden="1" x14ac:dyDescent="0.25">
      <c r="B505" s="5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87"/>
    </row>
    <row r="506" spans="2:17" hidden="1" x14ac:dyDescent="0.25">
      <c r="B506" s="5"/>
      <c r="C506" s="75" t="s">
        <v>17</v>
      </c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90">
        <f>SUM(D506:O506)</f>
        <v>0</v>
      </c>
      <c r="Q506" s="87"/>
    </row>
    <row r="507" spans="2:17" hidden="1" x14ac:dyDescent="0.25">
      <c r="B507" s="5"/>
      <c r="C507" s="75" t="s">
        <v>18</v>
      </c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90">
        <f>SUM(D507:O507)</f>
        <v>0</v>
      </c>
      <c r="Q507" s="87"/>
    </row>
    <row r="508" spans="2:17" hidden="1" x14ac:dyDescent="0.25">
      <c r="B508" s="5"/>
      <c r="C508" s="9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87"/>
    </row>
    <row r="509" spans="2:17" hidden="1" x14ac:dyDescent="0.25">
      <c r="B509" s="5"/>
      <c r="C509" s="101" t="s">
        <v>19</v>
      </c>
      <c r="D509" s="102" t="e">
        <f t="shared" ref="D509:O509" si="115">+D499+D506+D507</f>
        <v>#N/A</v>
      </c>
      <c r="E509" s="102" t="e">
        <f t="shared" si="115"/>
        <v>#N/A</v>
      </c>
      <c r="F509" s="102" t="e">
        <f t="shared" si="115"/>
        <v>#N/A</v>
      </c>
      <c r="G509" s="102" t="e">
        <f t="shared" si="115"/>
        <v>#N/A</v>
      </c>
      <c r="H509" s="102" t="e">
        <f t="shared" si="115"/>
        <v>#N/A</v>
      </c>
      <c r="I509" s="102" t="e">
        <f t="shared" si="115"/>
        <v>#N/A</v>
      </c>
      <c r="J509" s="102" t="e">
        <f t="shared" si="115"/>
        <v>#N/A</v>
      </c>
      <c r="K509" s="102" t="e">
        <f t="shared" si="115"/>
        <v>#N/A</v>
      </c>
      <c r="L509" s="102" t="e">
        <f t="shared" si="115"/>
        <v>#N/A</v>
      </c>
      <c r="M509" s="102" t="e">
        <f t="shared" si="115"/>
        <v>#N/A</v>
      </c>
      <c r="N509" s="102" t="e">
        <f t="shared" si="115"/>
        <v>#N/A</v>
      </c>
      <c r="O509" s="102" t="e">
        <f t="shared" si="115"/>
        <v>#N/A</v>
      </c>
      <c r="P509" s="103" t="e">
        <f>SUM(D509:O509)</f>
        <v>#N/A</v>
      </c>
      <c r="Q509" s="87"/>
    </row>
    <row r="510" spans="2:17" ht="15.75" hidden="1" thickBot="1" x14ac:dyDescent="0.3">
      <c r="B510" s="6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5"/>
    </row>
    <row r="511" spans="2:17" hidden="1" x14ac:dyDescent="0.25"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</row>
    <row r="512" spans="2:17" x14ac:dyDescent="0.2">
      <c r="C512" s="99" t="s">
        <v>112</v>
      </c>
      <c r="D512" s="7"/>
      <c r="E512" s="7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</row>
    <row r="513" spans="3:17" x14ac:dyDescent="0.2">
      <c r="C513" s="7"/>
      <c r="D513" s="7"/>
      <c r="E513" s="7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</row>
    <row r="514" spans="3:17" x14ac:dyDescent="0.2">
      <c r="C514" s="106" t="s">
        <v>107</v>
      </c>
      <c r="D514" s="106" t="s">
        <v>111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96"/>
    </row>
    <row r="515" spans="3:17" x14ac:dyDescent="0.2">
      <c r="C515" s="106" t="s">
        <v>105</v>
      </c>
      <c r="D515" s="29">
        <v>42370</v>
      </c>
      <c r="E515" s="29">
        <v>42401</v>
      </c>
      <c r="F515" s="29">
        <v>42430</v>
      </c>
      <c r="G515" s="29">
        <v>42461</v>
      </c>
      <c r="H515" s="29">
        <v>42491</v>
      </c>
      <c r="I515" s="29">
        <v>42522</v>
      </c>
      <c r="J515" s="29">
        <v>42552</v>
      </c>
      <c r="K515" s="29">
        <v>42583</v>
      </c>
      <c r="L515" s="29">
        <v>42614</v>
      </c>
      <c r="M515" s="29">
        <v>42644</v>
      </c>
      <c r="N515" s="29">
        <v>42675</v>
      </c>
      <c r="O515" s="29">
        <v>42705</v>
      </c>
      <c r="P515" s="7" t="s">
        <v>106</v>
      </c>
      <c r="Q515" s="96"/>
    </row>
    <row r="516" spans="3:17" x14ac:dyDescent="0.2">
      <c r="C516" s="107" t="s">
        <v>121</v>
      </c>
      <c r="D516" s="7">
        <v>29</v>
      </c>
      <c r="E516" s="7">
        <v>27</v>
      </c>
      <c r="F516" s="7">
        <v>57</v>
      </c>
      <c r="G516" s="7">
        <v>79</v>
      </c>
      <c r="H516" s="7">
        <v>85</v>
      </c>
      <c r="I516" s="7">
        <v>67</v>
      </c>
      <c r="J516" s="7">
        <v>72</v>
      </c>
      <c r="K516" s="7">
        <v>111</v>
      </c>
      <c r="L516" s="7">
        <v>90</v>
      </c>
      <c r="M516" s="7">
        <v>97</v>
      </c>
      <c r="N516" s="7">
        <v>125</v>
      </c>
      <c r="O516" s="7">
        <v>104</v>
      </c>
      <c r="P516" s="7">
        <v>943</v>
      </c>
      <c r="Q516" s="96"/>
    </row>
    <row r="517" spans="3:17" x14ac:dyDescent="0.2">
      <c r="C517" s="108" t="s">
        <v>119</v>
      </c>
      <c r="D517" s="109">
        <v>32</v>
      </c>
      <c r="E517" s="109">
        <v>28</v>
      </c>
      <c r="F517" s="109">
        <v>38</v>
      </c>
      <c r="G517" s="109">
        <v>34</v>
      </c>
      <c r="H517" s="109">
        <v>33</v>
      </c>
      <c r="I517" s="109">
        <v>18</v>
      </c>
      <c r="J517" s="109">
        <v>16</v>
      </c>
      <c r="K517" s="109">
        <v>26</v>
      </c>
      <c r="L517" s="109">
        <v>25</v>
      </c>
      <c r="M517" s="109">
        <v>19</v>
      </c>
      <c r="N517" s="109">
        <v>32</v>
      </c>
      <c r="O517" s="109">
        <v>27</v>
      </c>
      <c r="P517" s="109">
        <v>328</v>
      </c>
      <c r="Q517" s="96"/>
    </row>
    <row r="518" spans="3:17" x14ac:dyDescent="0.2">
      <c r="C518" s="107" t="s">
        <v>118</v>
      </c>
      <c r="D518" s="7">
        <v>19</v>
      </c>
      <c r="E518" s="7">
        <v>11</v>
      </c>
      <c r="F518" s="7">
        <v>53</v>
      </c>
      <c r="G518" s="7">
        <v>29</v>
      </c>
      <c r="H518" s="7">
        <v>29</v>
      </c>
      <c r="I518" s="7">
        <v>22</v>
      </c>
      <c r="J518" s="7">
        <v>17</v>
      </c>
      <c r="K518" s="7">
        <v>43</v>
      </c>
      <c r="L518" s="7">
        <v>12</v>
      </c>
      <c r="M518" s="7">
        <v>16</v>
      </c>
      <c r="N518" s="7">
        <v>29</v>
      </c>
      <c r="O518" s="7">
        <v>18</v>
      </c>
      <c r="P518" s="7">
        <v>298</v>
      </c>
      <c r="Q518" s="96"/>
    </row>
    <row r="519" spans="3:17" x14ac:dyDescent="0.2">
      <c r="C519" s="107" t="s">
        <v>122</v>
      </c>
      <c r="D519" s="7">
        <v>29</v>
      </c>
      <c r="E519" s="7">
        <v>17</v>
      </c>
      <c r="F519" s="7">
        <v>15</v>
      </c>
      <c r="G519" s="7">
        <v>27</v>
      </c>
      <c r="H519" s="7">
        <v>24</v>
      </c>
      <c r="I519" s="7">
        <v>19</v>
      </c>
      <c r="J519" s="7">
        <v>19</v>
      </c>
      <c r="K519" s="7">
        <v>15</v>
      </c>
      <c r="L519" s="7">
        <v>15</v>
      </c>
      <c r="M519" s="7">
        <v>15</v>
      </c>
      <c r="N519" s="7">
        <v>18</v>
      </c>
      <c r="O519" s="7">
        <v>19</v>
      </c>
      <c r="P519" s="7">
        <v>232</v>
      </c>
      <c r="Q519" s="96"/>
    </row>
    <row r="520" spans="3:17" x14ac:dyDescent="0.2">
      <c r="C520" s="108" t="s">
        <v>124</v>
      </c>
      <c r="D520" s="109">
        <v>10</v>
      </c>
      <c r="E520" s="109">
        <v>10</v>
      </c>
      <c r="F520" s="109">
        <v>11</v>
      </c>
      <c r="G520" s="109">
        <v>7</v>
      </c>
      <c r="H520" s="109">
        <v>9</v>
      </c>
      <c r="I520" s="109">
        <v>9</v>
      </c>
      <c r="J520" s="109">
        <v>11</v>
      </c>
      <c r="K520" s="109">
        <v>9</v>
      </c>
      <c r="L520" s="109">
        <v>9</v>
      </c>
      <c r="M520" s="109">
        <v>14</v>
      </c>
      <c r="N520" s="109">
        <v>13</v>
      </c>
      <c r="O520" s="109">
        <v>14</v>
      </c>
      <c r="P520" s="109">
        <v>126</v>
      </c>
      <c r="Q520" s="96"/>
    </row>
    <row r="521" spans="3:17" x14ac:dyDescent="0.2">
      <c r="C521" s="107" t="s">
        <v>123</v>
      </c>
      <c r="D521" s="7">
        <v>5</v>
      </c>
      <c r="E521" s="7">
        <v>4</v>
      </c>
      <c r="F521" s="7">
        <v>10</v>
      </c>
      <c r="G521" s="7">
        <v>12</v>
      </c>
      <c r="H521" s="7">
        <v>7</v>
      </c>
      <c r="I521" s="7">
        <v>3</v>
      </c>
      <c r="J521" s="7">
        <v>2</v>
      </c>
      <c r="K521" s="7">
        <v>7</v>
      </c>
      <c r="L521" s="7">
        <v>4</v>
      </c>
      <c r="M521" s="7">
        <v>30</v>
      </c>
      <c r="N521" s="7">
        <v>15</v>
      </c>
      <c r="O521" s="7">
        <v>14</v>
      </c>
      <c r="P521" s="7">
        <v>113</v>
      </c>
      <c r="Q521" s="96"/>
    </row>
    <row r="522" spans="3:17" x14ac:dyDescent="0.2">
      <c r="C522" s="107" t="s">
        <v>127</v>
      </c>
      <c r="D522" s="7"/>
      <c r="E522" s="7">
        <v>1</v>
      </c>
      <c r="F522" s="7">
        <v>1</v>
      </c>
      <c r="G522" s="7"/>
      <c r="H522" s="7"/>
      <c r="I522" s="7"/>
      <c r="J522" s="7"/>
      <c r="K522" s="7">
        <v>6</v>
      </c>
      <c r="L522" s="7">
        <v>17</v>
      </c>
      <c r="M522" s="7">
        <v>16</v>
      </c>
      <c r="N522" s="7">
        <v>33</v>
      </c>
      <c r="O522" s="7">
        <v>39</v>
      </c>
      <c r="P522" s="7">
        <v>113</v>
      </c>
      <c r="Q522" s="96"/>
    </row>
    <row r="523" spans="3:17" x14ac:dyDescent="0.2">
      <c r="C523" s="108" t="s">
        <v>125</v>
      </c>
      <c r="D523" s="109">
        <v>6</v>
      </c>
      <c r="E523" s="109">
        <v>6</v>
      </c>
      <c r="F523" s="109">
        <v>6</v>
      </c>
      <c r="G523" s="109">
        <v>10</v>
      </c>
      <c r="H523" s="109">
        <v>7</v>
      </c>
      <c r="I523" s="109">
        <v>7</v>
      </c>
      <c r="J523" s="109">
        <v>8</v>
      </c>
      <c r="K523" s="109">
        <v>10</v>
      </c>
      <c r="L523" s="109">
        <v>7</v>
      </c>
      <c r="M523" s="109">
        <v>10</v>
      </c>
      <c r="N523" s="109">
        <v>19</v>
      </c>
      <c r="O523" s="109">
        <v>11</v>
      </c>
      <c r="P523" s="109">
        <v>107</v>
      </c>
      <c r="Q523" s="96"/>
    </row>
    <row r="524" spans="3:17" x14ac:dyDescent="0.2">
      <c r="C524" s="108" t="s">
        <v>126</v>
      </c>
      <c r="D524" s="109">
        <v>3</v>
      </c>
      <c r="E524" s="109">
        <v>9</v>
      </c>
      <c r="F524" s="109">
        <v>19</v>
      </c>
      <c r="G524" s="109">
        <v>13</v>
      </c>
      <c r="H524" s="109">
        <v>7</v>
      </c>
      <c r="I524" s="109">
        <v>4</v>
      </c>
      <c r="J524" s="109">
        <v>5</v>
      </c>
      <c r="K524" s="109">
        <v>8</v>
      </c>
      <c r="L524" s="109">
        <v>8</v>
      </c>
      <c r="M524" s="109">
        <v>4</v>
      </c>
      <c r="N524" s="109">
        <v>10</v>
      </c>
      <c r="O524" s="109">
        <v>16</v>
      </c>
      <c r="P524" s="109">
        <v>106</v>
      </c>
      <c r="Q524" s="96"/>
    </row>
    <row r="525" spans="3:17" x14ac:dyDescent="0.2">
      <c r="C525" s="107" t="s">
        <v>120</v>
      </c>
      <c r="D525" s="7">
        <v>6</v>
      </c>
      <c r="E525" s="7">
        <v>8</v>
      </c>
      <c r="F525" s="7">
        <v>7</v>
      </c>
      <c r="G525" s="7">
        <v>8</v>
      </c>
      <c r="H525" s="7">
        <v>9</v>
      </c>
      <c r="I525" s="7">
        <v>7</v>
      </c>
      <c r="J525" s="7">
        <v>7</v>
      </c>
      <c r="K525" s="7">
        <v>9</v>
      </c>
      <c r="L525" s="7">
        <v>5</v>
      </c>
      <c r="M525" s="7">
        <v>4</v>
      </c>
      <c r="N525" s="7">
        <v>5</v>
      </c>
      <c r="O525" s="7">
        <v>4</v>
      </c>
      <c r="P525" s="7">
        <v>79</v>
      </c>
      <c r="Q525" s="96"/>
    </row>
    <row r="526" spans="3:17" x14ac:dyDescent="0.2">
      <c r="C526" s="107" t="s">
        <v>106</v>
      </c>
      <c r="D526" s="7">
        <v>139</v>
      </c>
      <c r="E526" s="7">
        <v>121</v>
      </c>
      <c r="F526" s="7">
        <v>217</v>
      </c>
      <c r="G526" s="7">
        <v>219</v>
      </c>
      <c r="H526" s="7">
        <v>210</v>
      </c>
      <c r="I526" s="7">
        <v>156</v>
      </c>
      <c r="J526" s="7">
        <v>157</v>
      </c>
      <c r="K526" s="7">
        <v>244</v>
      </c>
      <c r="L526" s="7">
        <v>192</v>
      </c>
      <c r="M526" s="7">
        <v>225</v>
      </c>
      <c r="N526" s="7">
        <v>299</v>
      </c>
      <c r="O526" s="7">
        <v>266</v>
      </c>
      <c r="P526" s="7">
        <v>2445</v>
      </c>
      <c r="Q526" s="96"/>
    </row>
    <row r="527" spans="3:17" x14ac:dyDescent="0.2">
      <c r="C527" s="10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96"/>
      <c r="Q527" s="96"/>
    </row>
    <row r="528" spans="3:17" x14ac:dyDescent="0.2">
      <c r="C528" s="10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96"/>
      <c r="Q528" s="96"/>
    </row>
    <row r="529" spans="3:15" x14ac:dyDescent="0.25"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3:15" x14ac:dyDescent="0.25"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46" spans="3:10" ht="15.75" x14ac:dyDescent="0.25">
      <c r="C546" s="23" t="s">
        <v>113</v>
      </c>
    </row>
    <row r="548" spans="3:10" x14ac:dyDescent="0.25">
      <c r="C548" s="12" t="s">
        <v>20</v>
      </c>
      <c r="D548" t="s">
        <v>102</v>
      </c>
    </row>
    <row r="550" spans="3:10" x14ac:dyDescent="0.25">
      <c r="C550" s="12" t="s">
        <v>107</v>
      </c>
      <c r="D550" s="12" t="s">
        <v>111</v>
      </c>
      <c r="E550"/>
      <c r="F550"/>
      <c r="G550"/>
      <c r="H550"/>
      <c r="I550"/>
      <c r="J550"/>
    </row>
    <row r="551" spans="3:10" x14ac:dyDescent="0.25">
      <c r="C551" s="12" t="s">
        <v>105</v>
      </c>
      <c r="D551" s="22">
        <v>42370</v>
      </c>
      <c r="E551" s="22">
        <v>42401</v>
      </c>
      <c r="F551" s="22">
        <v>42430</v>
      </c>
      <c r="G551" s="22">
        <v>42461</v>
      </c>
      <c r="H551" s="22">
        <v>42491</v>
      </c>
      <c r="I551" s="22">
        <v>42522</v>
      </c>
      <c r="J551" t="s">
        <v>106</v>
      </c>
    </row>
    <row r="552" spans="3:10" x14ac:dyDescent="0.25">
      <c r="C552" s="13" t="s">
        <v>119</v>
      </c>
      <c r="D552">
        <v>31</v>
      </c>
      <c r="E552">
        <v>27</v>
      </c>
      <c r="F552">
        <v>35</v>
      </c>
      <c r="G552">
        <v>32</v>
      </c>
      <c r="H552">
        <v>31</v>
      </c>
      <c r="I552">
        <v>18</v>
      </c>
      <c r="J552">
        <v>174</v>
      </c>
    </row>
    <row r="553" spans="3:10" x14ac:dyDescent="0.25">
      <c r="C553" s="13" t="s">
        <v>124</v>
      </c>
      <c r="D553">
        <v>10</v>
      </c>
      <c r="E553">
        <v>10</v>
      </c>
      <c r="F553">
        <v>11</v>
      </c>
      <c r="G553">
        <v>6</v>
      </c>
      <c r="H553">
        <v>9</v>
      </c>
      <c r="I553">
        <v>9</v>
      </c>
      <c r="J553">
        <v>55</v>
      </c>
    </row>
    <row r="554" spans="3:10" x14ac:dyDescent="0.25">
      <c r="C554" s="13" t="s">
        <v>126</v>
      </c>
      <c r="D554">
        <v>2</v>
      </c>
      <c r="E554">
        <v>9</v>
      </c>
      <c r="F554">
        <v>19</v>
      </c>
      <c r="G554">
        <v>12</v>
      </c>
      <c r="H554">
        <v>7</v>
      </c>
      <c r="I554">
        <v>4</v>
      </c>
      <c r="J554">
        <v>53</v>
      </c>
    </row>
    <row r="555" spans="3:10" x14ac:dyDescent="0.25">
      <c r="C555" s="13" t="s">
        <v>125</v>
      </c>
      <c r="D555">
        <v>6</v>
      </c>
      <c r="E555">
        <v>6</v>
      </c>
      <c r="F555">
        <v>6</v>
      </c>
      <c r="G555">
        <v>10</v>
      </c>
      <c r="H555">
        <v>7</v>
      </c>
      <c r="I555">
        <v>7</v>
      </c>
      <c r="J555">
        <v>42</v>
      </c>
    </row>
    <row r="556" spans="3:10" x14ac:dyDescent="0.25">
      <c r="C556" s="13" t="s">
        <v>106</v>
      </c>
      <c r="D556">
        <v>49</v>
      </c>
      <c r="E556">
        <v>52</v>
      </c>
      <c r="F556">
        <v>71</v>
      </c>
      <c r="G556">
        <v>60</v>
      </c>
      <c r="H556">
        <v>54</v>
      </c>
      <c r="I556">
        <v>38</v>
      </c>
      <c r="J556">
        <v>324</v>
      </c>
    </row>
    <row r="557" spans="3:10" ht="0.75" customHeight="1" x14ac:dyDescent="0.25"/>
    <row r="558" spans="3:10" ht="0.75" customHeight="1" x14ac:dyDescent="0.25"/>
    <row r="559" spans="3:10" ht="0.75" customHeight="1" x14ac:dyDescent="0.25"/>
    <row r="560" spans="3:10" ht="0.75" customHeight="1" x14ac:dyDescent="0.25"/>
    <row r="561" ht="0.75" customHeight="1" x14ac:dyDescent="0.25"/>
    <row r="562" ht="0.75" customHeight="1" x14ac:dyDescent="0.25"/>
    <row r="563" ht="0.75" customHeight="1" x14ac:dyDescent="0.25"/>
    <row r="580" spans="3:8" ht="15.75" x14ac:dyDescent="0.25">
      <c r="C580" s="23" t="s">
        <v>114</v>
      </c>
    </row>
    <row r="582" spans="3:8" x14ac:dyDescent="0.25">
      <c r="C582"/>
      <c r="D582"/>
    </row>
    <row r="584" spans="3:8" x14ac:dyDescent="0.25">
      <c r="C584" s="26" t="s">
        <v>107</v>
      </c>
      <c r="D584" s="26" t="s">
        <v>111</v>
      </c>
      <c r="E584" s="27"/>
      <c r="F584"/>
      <c r="G584"/>
      <c r="H584"/>
    </row>
    <row r="585" spans="3:8" x14ac:dyDescent="0.25">
      <c r="C585" s="24" t="s">
        <v>105</v>
      </c>
      <c r="D585" s="25" t="s">
        <v>116</v>
      </c>
      <c r="E585" s="25" t="s">
        <v>115</v>
      </c>
      <c r="F585"/>
      <c r="G585"/>
      <c r="H585"/>
    </row>
    <row r="586" spans="3:8" x14ac:dyDescent="0.25">
      <c r="C586" s="28" t="s">
        <v>121</v>
      </c>
      <c r="D586" s="27"/>
      <c r="E586" s="27">
        <v>943</v>
      </c>
      <c r="F586"/>
      <c r="G586"/>
      <c r="H586"/>
    </row>
    <row r="587" spans="3:8" x14ac:dyDescent="0.25">
      <c r="C587" s="28" t="s">
        <v>119</v>
      </c>
      <c r="D587" s="27">
        <v>303</v>
      </c>
      <c r="E587" s="27">
        <v>25</v>
      </c>
      <c r="F587"/>
      <c r="G587"/>
      <c r="H587"/>
    </row>
    <row r="588" spans="3:8" x14ac:dyDescent="0.25">
      <c r="C588" s="28" t="s">
        <v>118</v>
      </c>
      <c r="D588" s="27"/>
      <c r="E588" s="27">
        <v>298</v>
      </c>
      <c r="F588"/>
      <c r="G588"/>
      <c r="H588"/>
    </row>
    <row r="589" spans="3:8" x14ac:dyDescent="0.25">
      <c r="C589" s="28" t="s">
        <v>122</v>
      </c>
      <c r="D589" s="27"/>
      <c r="E589" s="27">
        <v>232</v>
      </c>
      <c r="F589"/>
      <c r="G589"/>
      <c r="H589"/>
    </row>
    <row r="590" spans="3:8" x14ac:dyDescent="0.25">
      <c r="C590" s="28" t="s">
        <v>124</v>
      </c>
      <c r="D590" s="27">
        <v>123</v>
      </c>
      <c r="E590" s="27">
        <v>3</v>
      </c>
      <c r="F590"/>
    </row>
    <row r="591" spans="3:8" x14ac:dyDescent="0.25">
      <c r="C591" s="28" t="s">
        <v>123</v>
      </c>
      <c r="D591" s="27"/>
      <c r="E591" s="27">
        <v>113</v>
      </c>
      <c r="F591"/>
    </row>
    <row r="592" spans="3:8" x14ac:dyDescent="0.25">
      <c r="C592" s="28" t="s">
        <v>127</v>
      </c>
      <c r="D592" s="27"/>
      <c r="E592" s="27">
        <v>113</v>
      </c>
    </row>
    <row r="593" spans="3:5" x14ac:dyDescent="0.25">
      <c r="C593" s="28" t="s">
        <v>125</v>
      </c>
      <c r="D593" s="27">
        <v>96</v>
      </c>
      <c r="E593" s="27">
        <v>11</v>
      </c>
    </row>
    <row r="594" spans="3:5" x14ac:dyDescent="0.25">
      <c r="C594" s="28" t="s">
        <v>126</v>
      </c>
      <c r="D594" s="27">
        <v>88</v>
      </c>
      <c r="E594" s="27">
        <v>18</v>
      </c>
    </row>
    <row r="595" spans="3:5" x14ac:dyDescent="0.25">
      <c r="C595" s="28" t="s">
        <v>120</v>
      </c>
      <c r="D595" s="27"/>
      <c r="E595" s="27">
        <v>79</v>
      </c>
    </row>
    <row r="596" spans="3:5" x14ac:dyDescent="0.25">
      <c r="C596" s="28" t="s">
        <v>106</v>
      </c>
      <c r="D596" s="27">
        <v>610</v>
      </c>
      <c r="E596" s="27">
        <v>1835</v>
      </c>
    </row>
    <row r="597" spans="3:5" x14ac:dyDescent="0.25">
      <c r="C597"/>
      <c r="D597"/>
      <c r="E597"/>
    </row>
    <row r="598" spans="3:5" x14ac:dyDescent="0.25">
      <c r="C598"/>
      <c r="D598"/>
      <c r="E598"/>
    </row>
    <row r="599" spans="3:5" x14ac:dyDescent="0.25">
      <c r="C599"/>
      <c r="D599"/>
      <c r="E599"/>
    </row>
    <row r="600" spans="3:5" x14ac:dyDescent="0.25">
      <c r="C600"/>
      <c r="D600"/>
      <c r="E600"/>
    </row>
    <row r="601" spans="3:5" x14ac:dyDescent="0.25">
      <c r="C601"/>
      <c r="D601"/>
      <c r="E601"/>
    </row>
    <row r="602" spans="3:5" x14ac:dyDescent="0.25">
      <c r="C602"/>
      <c r="D602"/>
      <c r="E602"/>
    </row>
    <row r="603" spans="3:5" x14ac:dyDescent="0.25">
      <c r="C603"/>
      <c r="D603"/>
      <c r="E603"/>
    </row>
    <row r="604" spans="3:5" x14ac:dyDescent="0.25">
      <c r="C604"/>
      <c r="D604"/>
      <c r="E604"/>
    </row>
    <row r="605" spans="3:5" x14ac:dyDescent="0.25">
      <c r="C605"/>
      <c r="D605"/>
      <c r="E605"/>
    </row>
  </sheetData>
  <sheetProtection autoFilter="0"/>
  <mergeCells count="48">
    <mergeCell ref="H482:O482"/>
    <mergeCell ref="D483:G483"/>
    <mergeCell ref="H483:O483"/>
    <mergeCell ref="H420:O420"/>
    <mergeCell ref="D421:G421"/>
    <mergeCell ref="H421:O421"/>
    <mergeCell ref="H451:O451"/>
    <mergeCell ref="D452:G452"/>
    <mergeCell ref="H452:O452"/>
    <mergeCell ref="H358:O358"/>
    <mergeCell ref="D359:G359"/>
    <mergeCell ref="H359:O359"/>
    <mergeCell ref="H389:O389"/>
    <mergeCell ref="D390:G390"/>
    <mergeCell ref="H390:O390"/>
    <mergeCell ref="H296:O296"/>
    <mergeCell ref="D297:G297"/>
    <mergeCell ref="H297:O297"/>
    <mergeCell ref="H327:O327"/>
    <mergeCell ref="D328:G328"/>
    <mergeCell ref="H328:O328"/>
    <mergeCell ref="H234:O234"/>
    <mergeCell ref="D235:G235"/>
    <mergeCell ref="H235:O235"/>
    <mergeCell ref="H265:O265"/>
    <mergeCell ref="D266:G266"/>
    <mergeCell ref="H266:O266"/>
    <mergeCell ref="H172:O172"/>
    <mergeCell ref="D173:G173"/>
    <mergeCell ref="H173:O173"/>
    <mergeCell ref="H203:O203"/>
    <mergeCell ref="D204:G204"/>
    <mergeCell ref="H204:O204"/>
    <mergeCell ref="H141:O141"/>
    <mergeCell ref="D142:G142"/>
    <mergeCell ref="H142:O142"/>
    <mergeCell ref="H110:O110"/>
    <mergeCell ref="D111:G111"/>
    <mergeCell ref="H111:O111"/>
    <mergeCell ref="H17:O17"/>
    <mergeCell ref="D18:G18"/>
    <mergeCell ref="H18:O18"/>
    <mergeCell ref="H79:O79"/>
    <mergeCell ref="D80:G80"/>
    <mergeCell ref="H80:O80"/>
    <mergeCell ref="H48:O48"/>
    <mergeCell ref="D49:G49"/>
    <mergeCell ref="H49:O49"/>
  </mergeCells>
  <pageMargins left="0.25" right="0.25" top="0.75" bottom="0.75" header="0.3" footer="0.3"/>
  <pageSetup scale="41" fitToHeight="0" orientation="portrait" r:id="rId4"/>
  <rowBreaks count="3" manualBreakCount="3">
    <brk id="108" min="1" max="16" man="1"/>
    <brk id="201" min="1" max="16" man="1"/>
    <brk id="231" min="1" max="16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  <pageSetUpPr fitToPage="1"/>
  </sheetPr>
  <dimension ref="A1:P64"/>
  <sheetViews>
    <sheetView zoomScale="90" zoomScaleNormal="90" workbookViewId="0">
      <selection activeCell="C13" sqref="C13"/>
    </sheetView>
  </sheetViews>
  <sheetFormatPr baseColWidth="10" defaultRowHeight="15" x14ac:dyDescent="0.25"/>
  <cols>
    <col min="1" max="1" width="2.7109375" style="32" customWidth="1"/>
    <col min="2" max="2" width="14.7109375" customWidth="1"/>
    <col min="3" max="3" width="37.28515625" customWidth="1"/>
    <col min="4" max="4" width="15" bestFit="1" customWidth="1"/>
    <col min="5" max="5" width="21.28515625" bestFit="1" customWidth="1"/>
    <col min="6" max="8" width="15.7109375" customWidth="1"/>
    <col min="9" max="9" width="14.42578125" customWidth="1"/>
    <col min="10" max="10" width="13.5703125" bestFit="1" customWidth="1"/>
    <col min="11" max="11" width="16.85546875" bestFit="1" customWidth="1"/>
    <col min="12" max="12" width="13.5703125" bestFit="1" customWidth="1"/>
    <col min="13" max="13" width="13.42578125" customWidth="1"/>
    <col min="14" max="14" width="13.5703125" bestFit="1" customWidth="1"/>
    <col min="15" max="15" width="13.5703125" customWidth="1"/>
    <col min="16" max="16" width="17.28515625" bestFit="1" customWidth="1"/>
  </cols>
  <sheetData>
    <row r="1" spans="2:16" s="32" customFormat="1" x14ac:dyDescent="0.25"/>
    <row r="2" spans="2:16" s="32" customFormat="1" x14ac:dyDescent="0.25"/>
    <row r="3" spans="2:16" ht="19.5" customHeight="1" x14ac:dyDescent="0.25">
      <c r="B3" s="39" t="s">
        <v>129</v>
      </c>
      <c r="C3" s="178"/>
      <c r="D3" s="179"/>
      <c r="E3" s="38"/>
      <c r="F3" s="38"/>
      <c r="G3" s="36"/>
      <c r="H3" s="32"/>
      <c r="I3" s="32"/>
      <c r="J3" s="32"/>
      <c r="K3" s="32"/>
      <c r="L3" s="32"/>
      <c r="M3" s="32"/>
      <c r="N3" s="32"/>
      <c r="O3" s="32"/>
      <c r="P3" s="32"/>
    </row>
    <row r="4" spans="2:16" ht="19.5" customHeight="1" x14ac:dyDescent="0.25">
      <c r="B4" s="39" t="s">
        <v>130</v>
      </c>
      <c r="C4" s="178"/>
      <c r="D4" s="179"/>
      <c r="E4" s="38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2:16" ht="19.5" customHeight="1" x14ac:dyDescent="0.25">
      <c r="B5" s="39" t="s">
        <v>131</v>
      </c>
      <c r="C5" s="178"/>
      <c r="D5" s="179"/>
      <c r="E5" s="38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2:16" ht="19.5" customHeight="1" x14ac:dyDescent="0.25">
      <c r="B6" s="39" t="s">
        <v>110</v>
      </c>
      <c r="C6" s="178"/>
      <c r="D6" s="179"/>
      <c r="E6" s="38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2:16" ht="19.5" customHeight="1" x14ac:dyDescent="0.25">
      <c r="B7" s="60" t="s">
        <v>148</v>
      </c>
      <c r="C7" s="152" t="s">
        <v>117</v>
      </c>
      <c r="D7" s="153"/>
      <c r="E7" s="38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2:16" ht="19.5" customHeight="1" x14ac:dyDescent="0.25">
      <c r="B8" s="148"/>
      <c r="C8" s="59" t="s">
        <v>157</v>
      </c>
      <c r="D8" s="59"/>
      <c r="E8" s="38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2:16" ht="18" customHeight="1" x14ac:dyDescent="0.25">
      <c r="B9" s="180" t="s">
        <v>149</v>
      </c>
      <c r="C9" s="59"/>
      <c r="D9" s="59"/>
      <c r="E9" s="38"/>
      <c r="F9" s="38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2:16" ht="15.75" customHeight="1" x14ac:dyDescent="0.25">
      <c r="B10" s="181"/>
      <c r="C10" s="179"/>
      <c r="D10" s="179"/>
      <c r="E10" s="32"/>
      <c r="F10" s="122"/>
      <c r="G10" s="32"/>
      <c r="H10" s="32"/>
      <c r="I10" s="32"/>
      <c r="J10" s="32"/>
      <c r="K10" s="32"/>
      <c r="L10" s="32"/>
      <c r="M10" s="122"/>
      <c r="N10" s="32"/>
      <c r="O10" s="32"/>
      <c r="P10" s="32"/>
    </row>
    <row r="11" spans="2:16" x14ac:dyDescent="0.25">
      <c r="B11" s="37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2:16" x14ac:dyDescent="0.25">
      <c r="B12" s="37"/>
      <c r="C12" s="138"/>
      <c r="D12" s="13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2:16" x14ac:dyDescent="0.25">
      <c r="B13" s="33" t="s">
        <v>132</v>
      </c>
      <c r="C13" s="33" t="s">
        <v>133</v>
      </c>
      <c r="D13" s="34">
        <v>45292</v>
      </c>
      <c r="E13" s="34">
        <v>45323</v>
      </c>
      <c r="F13" s="34">
        <v>45352</v>
      </c>
      <c r="G13" s="34">
        <v>45383</v>
      </c>
      <c r="H13" s="34">
        <v>45413</v>
      </c>
      <c r="I13" s="34">
        <v>45444</v>
      </c>
      <c r="J13" s="34">
        <v>45474</v>
      </c>
      <c r="K13" s="34">
        <v>45505</v>
      </c>
      <c r="L13" s="34">
        <v>45536</v>
      </c>
      <c r="M13" s="34">
        <v>45566</v>
      </c>
      <c r="N13" s="34">
        <v>45597</v>
      </c>
      <c r="O13" s="34">
        <v>45627</v>
      </c>
      <c r="P13" s="34" t="s">
        <v>10</v>
      </c>
    </row>
    <row r="14" spans="2:16" x14ac:dyDescent="0.25">
      <c r="B14" s="176" t="s">
        <v>134</v>
      </c>
      <c r="C14" s="46" t="s">
        <v>8</v>
      </c>
      <c r="D14" s="47">
        <f>COUNTIFS('EJEMPLO DE NOMINA'!$B$102:$B$255,D13,'EJEMPLO DE NOMINA'!$Q$102:$Q$255,$C$8)+COUNTIFS('EJEMPLO DE NOMINA'!$B$102:$B$255,D13,'EJEMPLO DE NOMINA'!$Q$102:$Q$255,$C$7)</f>
        <v>154</v>
      </c>
      <c r="E14" s="47">
        <f>COUNTIFS('EJEMPLO DE NOMINA'!$B$102:$B$360,E13,'EJEMPLO DE NOMINA'!$Q$102:$Q$360,$C$8)+COUNTIFS('EJEMPLO DE NOMINA'!$B$102:$B$360,E13,'EJEMPLO DE NOMINA'!$Q$102:$Q$360,$C$7)</f>
        <v>105</v>
      </c>
      <c r="F14" s="47">
        <f>COUNTIFS('EJEMPLO DE NOMINA'!$B$102:$B$10000,F13,'EJEMPLO DE NOMINA'!$Q$102:$Q$10000,$C$8)+COUNTIFS('EJEMPLO DE NOMINA'!$B$102:$B$10000,F13,'EJEMPLO DE NOMINA'!$Q$102:$Q$10000,$C$7)</f>
        <v>129</v>
      </c>
      <c r="G14" s="47">
        <f>COUNTIFS('EJEMPLO DE NOMINA'!$B$102:$B$360,G13,'EJEMPLO DE NOMINA'!$Q$102:$Q$360,$C$8)+COUNTIFS('EJEMPLO DE NOMINA'!$B$102:$B$360,G13,'EJEMPLO DE NOMINA'!$Q$102:$Q$360,$C$7)</f>
        <v>0</v>
      </c>
      <c r="H14" s="47">
        <f>COUNTIFS('EJEMPLO DE NOMINA'!$B$102:$B$360,H13,'EJEMPLO DE NOMINA'!$Q$102:$Q$360,$C$8)+COUNTIFS('EJEMPLO DE NOMINA'!$B$102:$B$360,H13,'EJEMPLO DE NOMINA'!$Q$102:$Q$360,$C$7)</f>
        <v>0</v>
      </c>
      <c r="I14" s="47">
        <f>COUNTIFS('EJEMPLO DE NOMINA'!$B$102:$B$360,I13,'EJEMPLO DE NOMINA'!$Q$102:$Q$360,$C$8)+COUNTIFS('EJEMPLO DE NOMINA'!$B$102:$B$360,I13,'EJEMPLO DE NOMINA'!$Q$102:$Q$360,$C$7)</f>
        <v>0</v>
      </c>
      <c r="J14" s="47">
        <f>COUNTIFS('EJEMPLO DE NOMINA'!$B$102:$B$360,J13,'EJEMPLO DE NOMINA'!$Q$102:$Q$360,$C$8)+COUNTIFS('EJEMPLO DE NOMINA'!$B$102:$B$360,J13,'EJEMPLO DE NOMINA'!$Q$102:$Q$360,$C$7)</f>
        <v>0</v>
      </c>
      <c r="K14" s="47">
        <f>COUNTIFS('EJEMPLO DE NOMINA'!$B$102:$B$360,K13,'EJEMPLO DE NOMINA'!$Q$102:$Q$360,$C$8)+COUNTIFS('EJEMPLO DE NOMINA'!$B$102:$B$360,K13,'EJEMPLO DE NOMINA'!$Q$102:$Q$360,$C$7)</f>
        <v>0</v>
      </c>
      <c r="L14" s="47">
        <f>COUNTIFS('EJEMPLO DE NOMINA'!$B$102:$B$360,L13,'EJEMPLO DE NOMINA'!$Q$102:$Q$360,$C$8)+COUNTIFS('EJEMPLO DE NOMINA'!$B$102:$B$360,L13,'EJEMPLO DE NOMINA'!$Q$102:$Q$360,$C$7)</f>
        <v>0</v>
      </c>
      <c r="M14" s="47">
        <f>COUNTIFS('EJEMPLO DE NOMINA'!$B$102:$B$360,M13,'EJEMPLO DE NOMINA'!$Q$102:$Q$360,$C$8)+COUNTIFS('EJEMPLO DE NOMINA'!$B$102:$B$360,M13,'EJEMPLO DE NOMINA'!$Q$102:$Q$360,$C$7)</f>
        <v>0</v>
      </c>
      <c r="N14" s="47">
        <f>COUNTIFS('EJEMPLO DE NOMINA'!$B$102:$B$360,N13,'EJEMPLO DE NOMINA'!$Q$102:$Q$360,$C$8)+COUNTIFS('EJEMPLO DE NOMINA'!$B$102:$B$360,N13,'EJEMPLO DE NOMINA'!$Q$102:$Q$360,$C$7)</f>
        <v>0</v>
      </c>
      <c r="O14" s="47">
        <f>COUNTIFS('EJEMPLO DE NOMINA'!$B$102:$B$360,O13,'EJEMPLO DE NOMINA'!$Q$102:$Q$360,$C$8)+COUNTIFS('EJEMPLO DE NOMINA'!$B$102:$B$360,O13,'EJEMPLO DE NOMINA'!$Q$102:$Q$360,$C$7)</f>
        <v>0</v>
      </c>
      <c r="P14" s="35">
        <f>AVERAGE(D14:O14)</f>
        <v>32.333333333333336</v>
      </c>
    </row>
    <row r="15" spans="2:16" x14ac:dyDescent="0.25">
      <c r="B15" s="177"/>
      <c r="C15" s="46" t="s">
        <v>144</v>
      </c>
      <c r="D15" s="47">
        <f>COUNTIFS('EJEMPLO DE NOMINA'!$B$102:$B$255,D13,'EJEMPLO DE NOMINA'!$Q$102:$Q$255,$C$8,'EJEMPLO DE NOMINA'!$D$102:$D$255,"SI",'EJEMPLO DE NOMINA'!$C$102:$C$255,"ok")+COUNTIFS('EJEMPLO DE NOMINA'!$B$102:$B$255,D13,'EJEMPLO DE NOMINA'!$Q$102:$Q$255,$C$7,'EJEMPLO DE NOMINA'!$D$102:$D$255,"SI",'EJEMPLO DE NOMINA'!$C$102:$C$255,"ok")</f>
        <v>7</v>
      </c>
      <c r="E15" s="47">
        <f>COUNTIFS('EJEMPLO DE NOMINA'!$B$102:$B$360,E13,'EJEMPLO DE NOMINA'!$Q$102:$Q$360,$C$8,'EJEMPLO DE NOMINA'!$D$102:$D$360,"SI",'EJEMPLO DE NOMINA'!$C$102:$C$360,"ok")+COUNTIFS('EJEMPLO DE NOMINA'!$B$102:$B$360,E13,'EJEMPLO DE NOMINA'!$Q$102:$Q$360,$C$7,'EJEMPLO DE NOMINA'!$D$102:$D$360,"SI",'EJEMPLO DE NOMINA'!$C$102:$C$360,"ok")</f>
        <v>7</v>
      </c>
      <c r="F15" s="47">
        <f>COUNTIFS('EJEMPLO DE NOMINA'!$B$102:$B$10000,F13,'EJEMPLO DE NOMINA'!$Q$102:$Q$10000,$C$8,'EJEMPLO DE NOMINA'!$D$102:$D$10000,"SI",'EJEMPLO DE NOMINA'!$C$102:$C$10000,"ok")+COUNTIFS('EJEMPLO DE NOMINA'!$B$102:$B$10000,F13,'EJEMPLO DE NOMINA'!$Q$102:$Q$10000,$C$7,'EJEMPLO DE NOMINA'!$D$102:$D$10000,"SI",'EJEMPLO DE NOMINA'!$C$102:$C$10000,"ok")</f>
        <v>5</v>
      </c>
      <c r="G15" s="47">
        <f>COUNTIFS('EJEMPLO DE NOMINA'!$B$102:$B$10000,G13,'EJEMPLO DE NOMINA'!$Q$102:$Q$10000,$C$8,'EJEMPLO DE NOMINA'!$D$102:$D$10000,"SI",'EJEMPLO DE NOMINA'!$C$102:$C$10000,"ok")+COUNTIFS('EJEMPLO DE NOMINA'!$B$102:$B$10000,G13,'EJEMPLO DE NOMINA'!$Q$102:$Q$10000,$C$7,'EJEMPLO DE NOMINA'!$D$102:$D$10000,"SI",'EJEMPLO DE NOMINA'!$C$102:$C$10000,"ok")</f>
        <v>0</v>
      </c>
      <c r="H15" s="47">
        <f>COUNTIFS('EJEMPLO DE NOMINA'!$B$102:$B$10000,H13,'EJEMPLO DE NOMINA'!$Q$102:$Q$10000,$C$8,'EJEMPLO DE NOMINA'!$D$102:$D$10000,"SI",'EJEMPLO DE NOMINA'!$C$102:$C$10000,"ok")+COUNTIFS('EJEMPLO DE NOMINA'!$B$102:$B$10000,H13,'EJEMPLO DE NOMINA'!$Q$102:$Q$10000,$C$7,'EJEMPLO DE NOMINA'!$D$102:$D$10000,"SI",'EJEMPLO DE NOMINA'!$C$102:$C$10000,"ok")</f>
        <v>0</v>
      </c>
      <c r="I15" s="47">
        <f>COUNTIFS('EJEMPLO DE NOMINA'!$B$102:$B$10000,I13,'EJEMPLO DE NOMINA'!$Q$102:$Q$10000,$C$8,'EJEMPLO DE NOMINA'!$D$102:$D$10000,"SI",'EJEMPLO DE NOMINA'!$C$102:$C$10000,"ok")+COUNTIFS('EJEMPLO DE NOMINA'!$B$102:$B$10000,I13,'EJEMPLO DE NOMINA'!$Q$102:$Q$10000,$C$7,'EJEMPLO DE NOMINA'!$D$102:$D$10000,"SI",'EJEMPLO DE NOMINA'!$C$102:$C$10000,"ok")</f>
        <v>0</v>
      </c>
      <c r="J15" s="47">
        <f>COUNTIFS('EJEMPLO DE NOMINA'!$B$102:$B$10000,J13,'EJEMPLO DE NOMINA'!$Q$102:$Q$10000,$C$8,'EJEMPLO DE NOMINA'!$D$102:$D$10000,"SI",'EJEMPLO DE NOMINA'!$C$102:$C$10000,"ok")+COUNTIFS('EJEMPLO DE NOMINA'!$B$102:$B$10000,J13,'EJEMPLO DE NOMINA'!$Q$102:$Q$10000,$C$7,'EJEMPLO DE NOMINA'!$D$102:$D$10000,"SI",'EJEMPLO DE NOMINA'!$C$102:$C$10000,"ok")</f>
        <v>0</v>
      </c>
      <c r="K15" s="47">
        <f>COUNTIFS('EJEMPLO DE NOMINA'!$B$102:$B$10000,K13,'EJEMPLO DE NOMINA'!$Q$102:$Q$10000,$C$8,'EJEMPLO DE NOMINA'!$D$102:$D$10000,"SI",'EJEMPLO DE NOMINA'!$C$102:$C$10000,"ok")+COUNTIFS('EJEMPLO DE NOMINA'!$B$102:$B$10000,K13,'EJEMPLO DE NOMINA'!$Q$102:$Q$10000,$C$7,'EJEMPLO DE NOMINA'!$D$102:$D$10000,"SI",'EJEMPLO DE NOMINA'!$C$102:$C$10000,"ok")</f>
        <v>0</v>
      </c>
      <c r="L15" s="47">
        <f>COUNTIFS('EJEMPLO DE NOMINA'!$B$102:$B$10000,L13,'EJEMPLO DE NOMINA'!$Q$102:$Q$10000,$C$8,'EJEMPLO DE NOMINA'!$D$102:$D$10000,"SI",'EJEMPLO DE NOMINA'!$C$102:$C$10000,"ok")+COUNTIFS('EJEMPLO DE NOMINA'!$B$102:$B$10000,L13,'EJEMPLO DE NOMINA'!$Q$102:$Q$10000,$C$7,'EJEMPLO DE NOMINA'!$D$102:$D$10000,"SI",'EJEMPLO DE NOMINA'!$C$102:$C$10000,"ok")</f>
        <v>0</v>
      </c>
      <c r="M15" s="47">
        <f>COUNTIFS('EJEMPLO DE NOMINA'!$B$102:$B$10000,M13,'EJEMPLO DE NOMINA'!$Q$102:$Q$10000,$C$8,'EJEMPLO DE NOMINA'!$D$102:$D$10000,"SI",'EJEMPLO DE NOMINA'!$C$102:$C$10000,"ok")+COUNTIFS('EJEMPLO DE NOMINA'!$B$102:$B$10000,M13,'EJEMPLO DE NOMINA'!$Q$102:$Q$10000,$C$7,'EJEMPLO DE NOMINA'!$D$102:$D$10000,"SI",'EJEMPLO DE NOMINA'!$C$102:$C$10000,"ok")</f>
        <v>0</v>
      </c>
      <c r="N15" s="47">
        <f>COUNTIFS('EJEMPLO DE NOMINA'!$B$102:$B$10000,N13,'EJEMPLO DE NOMINA'!$Q$102:$Q$10000,$C$8,'EJEMPLO DE NOMINA'!$D$102:$D$10000,"SI",'EJEMPLO DE NOMINA'!$C$102:$C$10000,"ok")+COUNTIFS('EJEMPLO DE NOMINA'!$B$102:$B$10000,N13,'EJEMPLO DE NOMINA'!$Q$102:$Q$10000,$C$7,'EJEMPLO DE NOMINA'!$D$102:$D$10000,"SI",'EJEMPLO DE NOMINA'!$C$102:$C$10000,"ok")</f>
        <v>0</v>
      </c>
      <c r="O15" s="47">
        <f>COUNTIFS('EJEMPLO DE NOMINA'!$B$102:$B$10000,O13,'EJEMPLO DE NOMINA'!$Q$102:$Q$10000,$C$8,'EJEMPLO DE NOMINA'!$D$102:$D$10000,"SI",'EJEMPLO DE NOMINA'!$C$102:$C$10000,"ok")+COUNTIFS('EJEMPLO DE NOMINA'!$B$102:$B$10000,O13,'EJEMPLO DE NOMINA'!$Q$102:$Q$10000,$C$7,'EJEMPLO DE NOMINA'!$D$102:$D$10000,"SI",'EJEMPLO DE NOMINA'!$C$102:$C$10000,"ok")</f>
        <v>0</v>
      </c>
      <c r="P15" s="35">
        <f>SUM(D15:O15)</f>
        <v>19</v>
      </c>
    </row>
    <row r="16" spans="2:16" x14ac:dyDescent="0.25">
      <c r="B16" s="177"/>
      <c r="C16" s="46" t="s">
        <v>145</v>
      </c>
      <c r="D16" s="47">
        <f>COUNTIFS('EJEMPLO DE NOMINA'!$B$102:$B$255,D13,'EJEMPLO DE NOMINA'!$Q$102:$Q$255,$C$8,'EJEMPLO DE NOMINA'!$D$102:$D$255,"NO",'EJEMPLO DE NOMINA'!$C$102:$C$255,"ok")+COUNTIFS('EJEMPLO DE NOMINA'!$B$102:$B$255,D13,'EJEMPLO DE NOMINA'!$Q$102:$Q$255,$C$7,'EJEMPLO DE NOMINA'!$D$102:$D$255,"NO",'EJEMPLO DE NOMINA'!$C$102:$C$255,"ok")</f>
        <v>76</v>
      </c>
      <c r="E16" s="47">
        <f>COUNTIFS('EJEMPLO DE NOMINA'!$B$102:$B$10000,E13,'EJEMPLO DE NOMINA'!$Q$102:$Q$10000,$C$8,'EJEMPLO DE NOMINA'!$D$102:$D$10000,"NO",'EJEMPLO DE NOMINA'!$C$102:$C$10000,"ok")+COUNTIFS('EJEMPLO DE NOMINA'!$B$102:$B$10000,E13,'EJEMPLO DE NOMINA'!$Q$102:$Q$10000,$C$7,'EJEMPLO DE NOMINA'!$D$102:$D$10000,"NO",'EJEMPLO DE NOMINA'!$C$102:$C$10000,"ok")</f>
        <v>82</v>
      </c>
      <c r="F16" s="47">
        <f>COUNTIFS('EJEMPLO DE NOMINA'!$B$102:$B$10000,F13,'EJEMPLO DE NOMINA'!$Q$102:$Q$10000,$C$8,'EJEMPLO DE NOMINA'!$D$102:$D$10000,"NO",'EJEMPLO DE NOMINA'!$C$102:$C$10000,"ok")+COUNTIFS('EJEMPLO DE NOMINA'!$B$102:$B$10000,F13,'EJEMPLO DE NOMINA'!$Q$102:$Q$10000,$C$7,'EJEMPLO DE NOMINA'!$D$102:$D$10000,"NO",'EJEMPLO DE NOMINA'!$C$102:$C$10000,"ok")</f>
        <v>90</v>
      </c>
      <c r="G16" s="47">
        <f>COUNTIFS('EJEMPLO DE NOMINA'!$B$102:$B$10000,G13,'EJEMPLO DE NOMINA'!$Q$102:$Q$10000,$C$8,'EJEMPLO DE NOMINA'!$D$102:$D$10000,"NO",'EJEMPLO DE NOMINA'!$C$102:$C$10000,"ok")+COUNTIFS('EJEMPLO DE NOMINA'!$B$102:$B$10000,G13,'EJEMPLO DE NOMINA'!$Q$102:$Q$10000,$C$7,'EJEMPLO DE NOMINA'!$D$102:$D$10000,"NO",'EJEMPLO DE NOMINA'!$C$102:$C$10000,"ok")</f>
        <v>0</v>
      </c>
      <c r="H16" s="47">
        <f>COUNTIFS('EJEMPLO DE NOMINA'!$B$102:$B$10000,H13,'EJEMPLO DE NOMINA'!$Q$102:$Q$10000,$C$8,'EJEMPLO DE NOMINA'!$D$102:$D$10000,"NO",'EJEMPLO DE NOMINA'!$C$102:$C$10000,"ok")+COUNTIFS('EJEMPLO DE NOMINA'!$B$102:$B$10000,H13,'EJEMPLO DE NOMINA'!$Q$102:$Q$10000,$C$7,'EJEMPLO DE NOMINA'!$D$102:$D$10000,"NO",'EJEMPLO DE NOMINA'!$C$102:$C$10000,"ok")</f>
        <v>0</v>
      </c>
      <c r="I16" s="47">
        <f>COUNTIFS('EJEMPLO DE NOMINA'!$B$102:$B$10000,I13,'EJEMPLO DE NOMINA'!$Q$102:$Q$10000,$C$8,'EJEMPLO DE NOMINA'!$D$102:$D$10000,"NO",'EJEMPLO DE NOMINA'!$C$102:$C$10000,"ok")+COUNTIFS('EJEMPLO DE NOMINA'!$B$102:$B$10000,I13,'EJEMPLO DE NOMINA'!$Q$102:$Q$10000,$C$7,'EJEMPLO DE NOMINA'!$D$102:$D$10000,"NO",'EJEMPLO DE NOMINA'!$C$102:$C$10000,"ok")</f>
        <v>0</v>
      </c>
      <c r="J16" s="47">
        <f>COUNTIFS('EJEMPLO DE NOMINA'!$B$102:$B$10000,J13,'EJEMPLO DE NOMINA'!$Q$102:$Q$10000,$C$8,'EJEMPLO DE NOMINA'!$D$102:$D$10000,"NO",'EJEMPLO DE NOMINA'!$C$102:$C$10000,"ok")+COUNTIFS('EJEMPLO DE NOMINA'!$B$102:$B$10000,J13,'EJEMPLO DE NOMINA'!$Q$102:$Q$10000,$C$7,'EJEMPLO DE NOMINA'!$D$102:$D$10000,"NO",'EJEMPLO DE NOMINA'!$C$102:$C$10000,"ok")</f>
        <v>0</v>
      </c>
      <c r="K16" s="47">
        <f>COUNTIFS('EJEMPLO DE NOMINA'!$B$102:$B$10000,K13,'EJEMPLO DE NOMINA'!$Q$102:$Q$10000,$C$8,'EJEMPLO DE NOMINA'!$D$102:$D$10000,"NO",'EJEMPLO DE NOMINA'!$C$102:$C$10000,"ok")+COUNTIFS('EJEMPLO DE NOMINA'!$B$102:$B$10000,K13,'EJEMPLO DE NOMINA'!$Q$102:$Q$10000,$C$7,'EJEMPLO DE NOMINA'!$D$102:$D$10000,"NO",'EJEMPLO DE NOMINA'!$C$102:$C$10000,"ok")</f>
        <v>0</v>
      </c>
      <c r="L16" s="47">
        <f>COUNTIFS('EJEMPLO DE NOMINA'!$B$102:$B$10000,L13,'EJEMPLO DE NOMINA'!$Q$102:$Q$10000,$C$8,'EJEMPLO DE NOMINA'!$D$102:$D$10000,"NO",'EJEMPLO DE NOMINA'!$C$102:$C$10000,"ok")+COUNTIFS('EJEMPLO DE NOMINA'!$B$102:$B$10000,L13,'EJEMPLO DE NOMINA'!$Q$102:$Q$10000,$C$7,'EJEMPLO DE NOMINA'!$D$102:$D$10000,"NO",'EJEMPLO DE NOMINA'!$C$102:$C$10000,"ok")</f>
        <v>0</v>
      </c>
      <c r="M16" s="47">
        <f>COUNTIFS('EJEMPLO DE NOMINA'!$B$102:$B$10000,M13,'EJEMPLO DE NOMINA'!$Q$102:$Q$10000,$C$8,'EJEMPLO DE NOMINA'!$D$102:$D$10000,"NO",'EJEMPLO DE NOMINA'!$C$102:$C$10000,"ok")+COUNTIFS('EJEMPLO DE NOMINA'!$B$102:$B$10000,M13,'EJEMPLO DE NOMINA'!$Q$102:$Q$10000,$C$7,'EJEMPLO DE NOMINA'!$D$102:$D$10000,"NO",'EJEMPLO DE NOMINA'!$C$102:$C$10000,"ok")</f>
        <v>0</v>
      </c>
      <c r="N16" s="47">
        <f>COUNTIFS('EJEMPLO DE NOMINA'!$B$102:$B$10000,N13,'EJEMPLO DE NOMINA'!$Q$102:$Q$10000,$C$8,'EJEMPLO DE NOMINA'!$D$102:$D$10000,"NO",'EJEMPLO DE NOMINA'!$C$102:$C$10000,"ok")+COUNTIFS('EJEMPLO DE NOMINA'!$B$102:$B$10000,N13,'EJEMPLO DE NOMINA'!$Q$102:$Q$10000,$C$7,'EJEMPLO DE NOMINA'!$D$102:$D$10000,"NO",'EJEMPLO DE NOMINA'!$C$102:$C$10000,"ok")</f>
        <v>0</v>
      </c>
      <c r="O16" s="47">
        <f>COUNTIFS('EJEMPLO DE NOMINA'!$B$102:$B$10000,O13,'EJEMPLO DE NOMINA'!$Q$102:$Q$10000,$C$8,'EJEMPLO DE NOMINA'!$D$102:$D$10000,"NO",'EJEMPLO DE NOMINA'!$C$102:$C$10000,"ok")+COUNTIFS('EJEMPLO DE NOMINA'!$B$102:$B$10000,O13,'EJEMPLO DE NOMINA'!$Q$102:$Q$10000,$C$7,'EJEMPLO DE NOMINA'!$D$102:$D$10000,"NO",'EJEMPLO DE NOMINA'!$C$102:$C$10000,"ok")</f>
        <v>0</v>
      </c>
      <c r="P16" s="35">
        <f>SUM(D16:O16)</f>
        <v>248</v>
      </c>
    </row>
    <row r="17" spans="2:16" x14ac:dyDescent="0.25">
      <c r="B17" s="177"/>
      <c r="C17" s="48" t="s">
        <v>2</v>
      </c>
      <c r="D17" s="49">
        <f>SUMIFS('EJEMPLO DE NOMINA'!$AM$102:$AM$255,'EJEMPLO DE NOMINA'!$B$102:$B$255,D13,'EJEMPLO DE NOMINA'!$Q$102:$Q$255,$C$8)+SUMIFS('EJEMPLO DE NOMINA'!$AM$102:$AM$255,'EJEMPLO DE NOMINA'!$B$102:$B$255,D13,'EJEMPLO DE NOMINA'!$Q$102:$Q$255,$C$7)</f>
        <v>8672373.9000000022</v>
      </c>
      <c r="E17" s="49">
        <f>SUMIFS('EJEMPLO DE NOMINA'!$AM$102:$AM$360,'EJEMPLO DE NOMINA'!$B$102:$B$360,E13,'EJEMPLO DE NOMINA'!$Q$102:$Q$360,$C$8)+SUMIFS('EJEMPLO DE NOMINA'!$AM$102:$AM$360,'EJEMPLO DE NOMINA'!$B$102:$B$360,E13,'EJEMPLO DE NOMINA'!$Q$102:$Q$360,$C$7)</f>
        <v>9219173.2399999984</v>
      </c>
      <c r="F17" s="49">
        <f>SUMIFS('EJEMPLO DE NOMINA'!$AM$102:$AM$10000,'EJEMPLO DE NOMINA'!$B$102:$B$10000,F13,'EJEMPLO DE NOMINA'!$Q$102:$Q$10000,$C$8)+SUMIFS('EJEMPLO DE NOMINA'!$AM$102:$AM$10000,'EJEMPLO DE NOMINA'!$B$102:$B$10000,F13,'EJEMPLO DE NOMINA'!$Q$102:$Q$10000,$C$7)</f>
        <v>9295468.4600000009</v>
      </c>
      <c r="G17" s="49">
        <f>SUMIFS('EJEMPLO DE NOMINA'!$AM$102:$AM$10000,'EJEMPLO DE NOMINA'!$B$102:$B$10000,G13,'EJEMPLO DE NOMINA'!$Q$102:$Q$10000,$C$8)+SUMIFS('EJEMPLO DE NOMINA'!$AM$102:$AM$10000,'EJEMPLO DE NOMINA'!$B$102:$B$10000,G13,'EJEMPLO DE NOMINA'!$Q$102:$Q$10000,$C$7)</f>
        <v>0</v>
      </c>
      <c r="H17" s="49">
        <f>SUMIFS('EJEMPLO DE NOMINA'!$AM$102:$AM$10000,'EJEMPLO DE NOMINA'!$B$102:$B$10000,H13,'EJEMPLO DE NOMINA'!$Q$102:$Q$10000,$C$8)+SUMIFS('EJEMPLO DE NOMINA'!$AM$102:$AM$10000,'EJEMPLO DE NOMINA'!$B$102:$B$10000,H13,'EJEMPLO DE NOMINA'!$Q$102:$Q$10000,$C$7)</f>
        <v>0</v>
      </c>
      <c r="I17" s="49">
        <f>SUMIFS('EJEMPLO DE NOMINA'!$AM$102:$AM$10000,'EJEMPLO DE NOMINA'!$B$102:$B$10000,I13,'EJEMPLO DE NOMINA'!$Q$102:$Q$10000,$C$8)+SUMIFS('EJEMPLO DE NOMINA'!$AM$102:$AM$10000,'EJEMPLO DE NOMINA'!$B$102:$B$10000,I13,'EJEMPLO DE NOMINA'!$Q$102:$Q$10000,$C$7)</f>
        <v>0</v>
      </c>
      <c r="J17" s="49">
        <f>SUMIFS('EJEMPLO DE NOMINA'!$AM$102:$AM$10000,'EJEMPLO DE NOMINA'!$B$102:$B$10000,J13,'EJEMPLO DE NOMINA'!$Q$102:$Q$10000,$C$8)+SUMIFS('EJEMPLO DE NOMINA'!$AM$102:$AM$10000,'EJEMPLO DE NOMINA'!$B$102:$B$10000,J13,'EJEMPLO DE NOMINA'!$Q$102:$Q$10000,$C$7)</f>
        <v>0</v>
      </c>
      <c r="K17" s="49">
        <f>SUMIFS('EJEMPLO DE NOMINA'!$AM$102:$AM$10000,'EJEMPLO DE NOMINA'!$B$102:$B$10000,K13,'EJEMPLO DE NOMINA'!$Q$102:$Q$10000,$C$8)+SUMIFS('EJEMPLO DE NOMINA'!$AM$102:$AM$10000,'EJEMPLO DE NOMINA'!$B$102:$B$10000,K13,'EJEMPLO DE NOMINA'!$Q$102:$Q$10000,$C$7)</f>
        <v>0</v>
      </c>
      <c r="L17" s="49">
        <f>SUMIFS('EJEMPLO DE NOMINA'!$AM$102:$AM$10000,'EJEMPLO DE NOMINA'!$B$102:$B$10000,L13,'EJEMPLO DE NOMINA'!$Q$102:$Q$10000,$C$8)+SUMIFS('EJEMPLO DE NOMINA'!$AM$102:$AM$10000,'EJEMPLO DE NOMINA'!$B$102:$B$10000,L13,'EJEMPLO DE NOMINA'!$Q$102:$Q$10000,$C$7)</f>
        <v>0</v>
      </c>
      <c r="M17" s="49">
        <f>SUMIFS('EJEMPLO DE NOMINA'!$AM$102:$AM$10000,'EJEMPLO DE NOMINA'!$B$102:$B$10000,M13,'EJEMPLO DE NOMINA'!$Q$102:$Q$10000,$C$8)+SUMIFS('EJEMPLO DE NOMINA'!$AM$102:$AM$10000,'EJEMPLO DE NOMINA'!$B$102:$B$10000,M13,'EJEMPLO DE NOMINA'!$Q$102:$Q$10000,$C$7)</f>
        <v>0</v>
      </c>
      <c r="N17" s="49">
        <f>SUMIFS('EJEMPLO DE NOMINA'!$AM$102:$AM$10000,'EJEMPLO DE NOMINA'!$B$102:$B$10000,N13,'EJEMPLO DE NOMINA'!$Q$102:$Q$10000,$C$8)+SUMIFS('EJEMPLO DE NOMINA'!$AM$102:$AM$10000,'EJEMPLO DE NOMINA'!$B$102:$B$10000,N13,'EJEMPLO DE NOMINA'!$Q$102:$Q$10000,$C$7)</f>
        <v>0</v>
      </c>
      <c r="O17" s="49">
        <f>SUMIFS('EJEMPLO DE NOMINA'!$AM$102:$AM$10000,'EJEMPLO DE NOMINA'!$B$102:$B$10000,O13,'EJEMPLO DE NOMINA'!$Q$102:$Q$10000,$C$8)+SUMIFS('EJEMPLO DE NOMINA'!$AM$102:$AM$10000,'EJEMPLO DE NOMINA'!$B$102:$B$10000,O13,'EJEMPLO DE NOMINA'!$Q$102:$Q$10000,$C$7)</f>
        <v>0</v>
      </c>
      <c r="P17" s="43">
        <f t="shared" ref="P17:P28" si="0">SUM(D17:O17)</f>
        <v>27187015.600000001</v>
      </c>
    </row>
    <row r="18" spans="2:16" x14ac:dyDescent="0.25">
      <c r="B18" s="177"/>
      <c r="C18" s="48" t="s">
        <v>135</v>
      </c>
      <c r="D18" s="49">
        <f>SUMIFS('EJEMPLO DE NOMINA'!$AP$102:$AP$255,'EJEMPLO DE NOMINA'!$B$102:$B$255,D13,'EJEMPLO DE NOMINA'!$Q$102:$Q$255,$C$8)+SUMIFS('EJEMPLO DE NOMINA'!$AP$102:$AP$255,'EJEMPLO DE NOMINA'!$B$102:$B$255,D13,'EJEMPLO DE NOMINA'!$Q$102:$Q$255,$C$7)</f>
        <v>2322360.19</v>
      </c>
      <c r="E18" s="49">
        <f>SUMIFS('EJEMPLO DE NOMINA'!$AP$102:$AP$360,'EJEMPLO DE NOMINA'!$B$102:$B$360,E13,'EJEMPLO DE NOMINA'!$Q$102:$Q$360,$C$8)+SUMIFS('EJEMPLO DE NOMINA'!$AP$102:$AP$360,'EJEMPLO DE NOMINA'!$B$102:$B$360,E13,'EJEMPLO DE NOMINA'!$Q$102:$Q$360,$C$7)</f>
        <v>1986337.0099999995</v>
      </c>
      <c r="F18" s="49">
        <f>SUMIFS('EJEMPLO DE NOMINA'!$AP$102:$AP$10000,'EJEMPLO DE NOMINA'!$B$102:$B$10000,F13,'EJEMPLO DE NOMINA'!$Q$102:$Q$10000,$C$8)+SUMIFS('EJEMPLO DE NOMINA'!$AP$102:$AP$10000,'EJEMPLO DE NOMINA'!$B$102:$B$10000,F13,'EJEMPLO DE NOMINA'!$Q$102:$Q$10000,$C$7)</f>
        <v>4032698.2999999989</v>
      </c>
      <c r="G18" s="49">
        <f>SUMIFS('EJEMPLO DE NOMINA'!$AP$102:$AP$10000,'EJEMPLO DE NOMINA'!$B$102:$B$10000,G13,'EJEMPLO DE NOMINA'!$Q$102:$Q$10000,$C$8)+SUMIFS('EJEMPLO DE NOMINA'!$AP$102:$AP$10000,'EJEMPLO DE NOMINA'!$B$102:$B$10000,G13,'EJEMPLO DE NOMINA'!$Q$102:$Q$10000,$C$7)</f>
        <v>0</v>
      </c>
      <c r="H18" s="49">
        <f>SUMIFS('EJEMPLO DE NOMINA'!$AP$102:$AP$10000,'EJEMPLO DE NOMINA'!$B$102:$B$10000,H13,'EJEMPLO DE NOMINA'!$Q$102:$Q$10000,$C$8)+SUMIFS('EJEMPLO DE NOMINA'!$AP$102:$AP$10000,'EJEMPLO DE NOMINA'!$B$102:$B$10000,H13,'EJEMPLO DE NOMINA'!$Q$102:$Q$10000,$C$7)</f>
        <v>0</v>
      </c>
      <c r="I18" s="49">
        <f>SUMIFS('EJEMPLO DE NOMINA'!$AP$102:$AP$10000,'EJEMPLO DE NOMINA'!$B$102:$B$10000,I13,'EJEMPLO DE NOMINA'!$Q$102:$Q$10000,$C$8)+SUMIFS('EJEMPLO DE NOMINA'!$AP$102:$AP$10000,'EJEMPLO DE NOMINA'!$B$102:$B$10000,I13,'EJEMPLO DE NOMINA'!$Q$102:$Q$10000,$C$7)</f>
        <v>0</v>
      </c>
      <c r="J18" s="49">
        <f>SUMIFS('EJEMPLO DE NOMINA'!$AP$102:$AP$10000,'EJEMPLO DE NOMINA'!$B$102:$B$10000,J13,'EJEMPLO DE NOMINA'!$Q$102:$Q$10000,$C$8)+SUMIFS('EJEMPLO DE NOMINA'!$AP$102:$AP$10000,'EJEMPLO DE NOMINA'!$B$102:$B$10000,J13,'EJEMPLO DE NOMINA'!$Q$102:$Q$10000,$C$7)</f>
        <v>0</v>
      </c>
      <c r="K18" s="49">
        <f>SUMIFS('EJEMPLO DE NOMINA'!$AP$102:$AP$10000,'EJEMPLO DE NOMINA'!$B$102:$B$10000,K13,'EJEMPLO DE NOMINA'!$Q$102:$Q$10000,$C$8)+SUMIFS('EJEMPLO DE NOMINA'!$AP$102:$AP$10000,'EJEMPLO DE NOMINA'!$B$102:$B$10000,K13,'EJEMPLO DE NOMINA'!$Q$102:$Q$10000,$C$7)</f>
        <v>0</v>
      </c>
      <c r="L18" s="49">
        <f>SUMIFS('EJEMPLO DE NOMINA'!$AP$102:$AP$10000,'EJEMPLO DE NOMINA'!$B$102:$B$10000,L13,'EJEMPLO DE NOMINA'!$Q$102:$Q$10000,$C$8)+SUMIFS('EJEMPLO DE NOMINA'!$AP$102:$AP$10000,'EJEMPLO DE NOMINA'!$B$102:$B$10000,L13,'EJEMPLO DE NOMINA'!$Q$102:$Q$10000,$C$7)</f>
        <v>0</v>
      </c>
      <c r="M18" s="49">
        <f>SUMIFS('EJEMPLO DE NOMINA'!$AP$102:$AP$10000,'EJEMPLO DE NOMINA'!$B$102:$B$10000,M13,'EJEMPLO DE NOMINA'!$Q$102:$Q$10000,$C$8)+SUMIFS('EJEMPLO DE NOMINA'!$AP$102:$AP$10000,'EJEMPLO DE NOMINA'!$B$102:$B$10000,M13,'EJEMPLO DE NOMINA'!$Q$102:$Q$10000,$C$7)</f>
        <v>0</v>
      </c>
      <c r="N18" s="49">
        <f>SUMIFS('EJEMPLO DE NOMINA'!$AP$102:$AP$10000,'EJEMPLO DE NOMINA'!$B$102:$B$10000,N13,'EJEMPLO DE NOMINA'!$Q$102:$Q$10000,$C$8)+SUMIFS('EJEMPLO DE NOMINA'!$AP$102:$AP$10000,'EJEMPLO DE NOMINA'!$B$102:$B$10000,N13,'EJEMPLO DE NOMINA'!$Q$102:$Q$10000,$C$7)</f>
        <v>0</v>
      </c>
      <c r="O18" s="49">
        <f>SUMIFS('EJEMPLO DE NOMINA'!$AP$102:$AP$10000,'EJEMPLO DE NOMINA'!$B$102:$B$10000,O13,'EJEMPLO DE NOMINA'!$Q$102:$Q$10000,$C$8)+SUMIFS('EJEMPLO DE NOMINA'!$AP$102:$AP$10000,'EJEMPLO DE NOMINA'!$B$102:$B$10000,O13,'EJEMPLO DE NOMINA'!$Q$102:$Q$10000,$C$7)</f>
        <v>0</v>
      </c>
      <c r="P18" s="43">
        <f>SUM(D18:O18)</f>
        <v>8341395.4999999981</v>
      </c>
    </row>
    <row r="19" spans="2:16" x14ac:dyDescent="0.25">
      <c r="B19" s="177"/>
      <c r="C19" s="48" t="s">
        <v>141</v>
      </c>
      <c r="D19" s="159">
        <f>SUMIFS('EJEMPLO DE NOMINA'!$AM$102:$AM$255,'EJEMPLO DE NOMINA'!$B$102:$B$255,D13,'EJEMPLO DE NOMINA'!$Q$102:$Q$255,$C$8,'EJEMPLO DE NOMINA'!$C$102:$C$255,"OK",'EJEMPLO DE NOMINA'!$D$102:$D$255,"SI")+SUMIFS('EJEMPLO DE NOMINA'!$AM$102:$AM$255,'EJEMPLO DE NOMINA'!$B$102:$B$255,D13,'EJEMPLO DE NOMINA'!$Q$102:$Q$255,$C$7,'EJEMPLO DE NOMINA'!$C$102:$C$255,"OK",'EJEMPLO DE NOMINA'!$D$102:$D$255,"SI")</f>
        <v>635472.02</v>
      </c>
      <c r="E19" s="49">
        <f>SUMIFS('EJEMPLO DE NOMINA'!$AM$102:$AM$360,'EJEMPLO DE NOMINA'!$B$102:$B$360,E13,'EJEMPLO DE NOMINA'!$Q$102:$Q$360,$C$8,'EJEMPLO DE NOMINA'!$C$102:$C$360,"OK",'EJEMPLO DE NOMINA'!$D$102:$D$360,"SI")+SUMIFS('EJEMPLO DE NOMINA'!$AM$102:$AM$360,'EJEMPLO DE NOMINA'!$B$102:$B$360,E13,'EJEMPLO DE NOMINA'!$Q$102:$Q$360,$C$7,'EJEMPLO DE NOMINA'!$C$102:$C$360,"OK",'EJEMPLO DE NOMINA'!$D$102:$D$360,"SI")</f>
        <v>1054384.67</v>
      </c>
      <c r="F19" s="159">
        <f>SUMIFS('EJEMPLO DE NOMINA'!$AM$102:$AM$10000,'EJEMPLO DE NOMINA'!$B$102:$B$10000,F13,'EJEMPLO DE NOMINA'!$Q$102:$Q$10000,$C$8,'EJEMPLO DE NOMINA'!$C$102:$C$10000,"OK",'EJEMPLO DE NOMINA'!$D$102:$D$10000,"SI")+SUMIFS('EJEMPLO DE NOMINA'!$AM$102:$AM$10000,'EJEMPLO DE NOMINA'!$B$102:$B$10000,F13,'EJEMPLO DE NOMINA'!$Q$102:$Q$10000,$C$7,'EJEMPLO DE NOMINA'!$C$102:$C$10000,"OK",'EJEMPLO DE NOMINA'!$D$102:$D$10000,"SI")</f>
        <v>698571.58</v>
      </c>
      <c r="G19" s="49">
        <f>SUMIFS('EJEMPLO DE NOMINA'!$AM$102:$AM$10000,'EJEMPLO DE NOMINA'!$B$102:$B$10000,G13,'EJEMPLO DE NOMINA'!$Q$102:$Q$10000,$C$8,'EJEMPLO DE NOMINA'!$C$102:$C$10000,"OK",'EJEMPLO DE NOMINA'!$D$102:$D$10000,"SI")+SUMIFS('EJEMPLO DE NOMINA'!$AM$102:$AM$10000,'EJEMPLO DE NOMINA'!$B$102:$B$10000,G13,'EJEMPLO DE NOMINA'!$Q$102:$Q$10000,$C$7,'EJEMPLO DE NOMINA'!$C$102:$C$10000,"OK",'EJEMPLO DE NOMINA'!$D$102:$D$10000,"SI")</f>
        <v>0</v>
      </c>
      <c r="H19" s="49">
        <f>SUMIFS('EJEMPLO DE NOMINA'!$AM$102:$AM$10000,'EJEMPLO DE NOMINA'!$B$102:$B$10000,H13,'EJEMPLO DE NOMINA'!$Q$102:$Q$10000,$C$8,'EJEMPLO DE NOMINA'!$C$102:$C$10000,"OK",'EJEMPLO DE NOMINA'!$D$102:$D$10000,"SI")+SUMIFS('EJEMPLO DE NOMINA'!$AM$102:$AM$10000,'EJEMPLO DE NOMINA'!$B$102:$B$10000,H13,'EJEMPLO DE NOMINA'!$Q$102:$Q$10000,$C$7,'EJEMPLO DE NOMINA'!$C$102:$C$10000,"OK",'EJEMPLO DE NOMINA'!$D$102:$D$10000,"SI")</f>
        <v>0</v>
      </c>
      <c r="I19" s="49">
        <f>SUMIFS('EJEMPLO DE NOMINA'!$AM$102:$AM$10000,'EJEMPLO DE NOMINA'!$B$102:$B$10000,I13,'EJEMPLO DE NOMINA'!$Q$102:$Q$10000,$C$8,'EJEMPLO DE NOMINA'!$C$102:$C$10000,"OK",'EJEMPLO DE NOMINA'!$D$102:$D$10000,"SI")+SUMIFS('EJEMPLO DE NOMINA'!$AM$102:$AM$10000,'EJEMPLO DE NOMINA'!$B$102:$B$10000,I13,'EJEMPLO DE NOMINA'!$Q$102:$Q$10000,$C$7,'EJEMPLO DE NOMINA'!$C$102:$C$10000,"OK",'EJEMPLO DE NOMINA'!$D$102:$D$10000,"SI")</f>
        <v>0</v>
      </c>
      <c r="J19" s="49">
        <f>SUMIFS('EJEMPLO DE NOMINA'!$AM$102:$AM$10000,'EJEMPLO DE NOMINA'!$B$102:$B$10000,J13,'EJEMPLO DE NOMINA'!$Q$102:$Q$10000,$C$8,'EJEMPLO DE NOMINA'!$C$102:$C$10000,"OK",'EJEMPLO DE NOMINA'!$D$102:$D$10000,"SI")+SUMIFS('EJEMPLO DE NOMINA'!$AM$102:$AM$10000,'EJEMPLO DE NOMINA'!$B$102:$B$10000,J13,'EJEMPLO DE NOMINA'!$Q$102:$Q$10000,$C$7,'EJEMPLO DE NOMINA'!$C$102:$C$10000,"OK",'EJEMPLO DE NOMINA'!$D$102:$D$10000,"SI")</f>
        <v>0</v>
      </c>
      <c r="K19" s="49">
        <f>SUMIFS('EJEMPLO DE NOMINA'!$AM$102:$AM$10000,'EJEMPLO DE NOMINA'!$B$102:$B$10000,K13,'EJEMPLO DE NOMINA'!$Q$102:$Q$10000,$C$8,'EJEMPLO DE NOMINA'!$C$102:$C$10000,"OK",'EJEMPLO DE NOMINA'!$D$102:$D$10000,"SI")+SUMIFS('EJEMPLO DE NOMINA'!$AM$102:$AM$10000,'EJEMPLO DE NOMINA'!$B$102:$B$10000,K13,'EJEMPLO DE NOMINA'!$Q$102:$Q$10000,$C$7,'EJEMPLO DE NOMINA'!$C$102:$C$10000,"OK",'EJEMPLO DE NOMINA'!$D$102:$D$10000,"SI")</f>
        <v>0</v>
      </c>
      <c r="L19" s="49">
        <f>SUMIFS('EJEMPLO DE NOMINA'!$AM$102:$AM$10000,'EJEMPLO DE NOMINA'!$B$102:$B$10000,L13,'EJEMPLO DE NOMINA'!$Q$102:$Q$10000,$C$8,'EJEMPLO DE NOMINA'!$C$102:$C$10000,"OK",'EJEMPLO DE NOMINA'!$D$102:$D$10000,"SI")+SUMIFS('EJEMPLO DE NOMINA'!$AM$102:$AM$10000,'EJEMPLO DE NOMINA'!$B$102:$B$10000,L13,'EJEMPLO DE NOMINA'!$Q$102:$Q$10000,$C$7,'EJEMPLO DE NOMINA'!$C$102:$C$10000,"OK",'EJEMPLO DE NOMINA'!$D$102:$D$10000,"SI")</f>
        <v>0</v>
      </c>
      <c r="M19" s="49">
        <f>SUMIFS('EJEMPLO DE NOMINA'!$AM$102:$AM$10000,'EJEMPLO DE NOMINA'!$B$102:$B$10000,M13,'EJEMPLO DE NOMINA'!$Q$102:$Q$10000,$C$8,'EJEMPLO DE NOMINA'!$C$102:$C$10000,"OK",'EJEMPLO DE NOMINA'!$D$102:$D$10000,"SI")+SUMIFS('EJEMPLO DE NOMINA'!$AM$102:$AM$10000,'EJEMPLO DE NOMINA'!$B$102:$B$10000,M13,'EJEMPLO DE NOMINA'!$Q$102:$Q$10000,$C$7,'EJEMPLO DE NOMINA'!$C$102:$C$10000,"OK",'EJEMPLO DE NOMINA'!$D$102:$D$10000,"SI")</f>
        <v>0</v>
      </c>
      <c r="N19" s="49">
        <f>SUMIFS('EJEMPLO DE NOMINA'!$AM$102:$AM$10000,'EJEMPLO DE NOMINA'!$B$102:$B$10000,N13,'EJEMPLO DE NOMINA'!$Q$102:$Q$10000,$C$8,'EJEMPLO DE NOMINA'!$C$102:$C$10000,"OK",'EJEMPLO DE NOMINA'!$D$102:$D$10000,"SI")+SUMIFS('EJEMPLO DE NOMINA'!$AM$102:$AM$10000,'EJEMPLO DE NOMINA'!$B$102:$B$10000,N13,'EJEMPLO DE NOMINA'!$Q$102:$Q$10000,$C$7,'EJEMPLO DE NOMINA'!$C$102:$C$10000,"OK",'EJEMPLO DE NOMINA'!$D$102:$D$10000,"SI")</f>
        <v>0</v>
      </c>
      <c r="O19" s="49">
        <f>SUMIFS('EJEMPLO DE NOMINA'!$AM$102:$AM$10000,'EJEMPLO DE NOMINA'!$B$102:$B$10000,O13,'EJEMPLO DE NOMINA'!$Q$102:$Q$10000,$C$8,'EJEMPLO DE NOMINA'!$C$102:$C$10000,"OK",'EJEMPLO DE NOMINA'!$D$102:$D$10000,"SI")+SUMIFS('EJEMPLO DE NOMINA'!$AM$102:$AM$10000,'EJEMPLO DE NOMINA'!$B$102:$B$10000,O13,'EJEMPLO DE NOMINA'!$Q$102:$Q$10000,$C$7,'EJEMPLO DE NOMINA'!$C$102:$C$10000,"OK",'EJEMPLO DE NOMINA'!$D$102:$D$10000,"SI")</f>
        <v>0</v>
      </c>
      <c r="P19" s="43">
        <f t="shared" si="0"/>
        <v>2388428.27</v>
      </c>
    </row>
    <row r="20" spans="2:16" x14ac:dyDescent="0.25">
      <c r="B20" s="177"/>
      <c r="C20" s="48" t="s">
        <v>142</v>
      </c>
      <c r="D20" s="159">
        <f>SUMIFS('EJEMPLO DE NOMINA'!$BS$102:$BS$255,'EJEMPLO DE NOMINA'!$B$102:$B$255,D13,'EJEMPLO DE NOMINA'!$Q$102:$Q$255,$C$8,'EJEMPLO DE NOMINA'!$C$102:$C$255,"OK",'EJEMPLO DE NOMINA'!$D$102:$D$255,"SI")+SUMIFS('EJEMPLO DE NOMINA'!$BS$102:$BS$255,'EJEMPLO DE NOMINA'!$B$102:$B$255,D13,'EJEMPLO DE NOMINA'!$Q$102:$Q$255,$C$7,'EJEMPLO DE NOMINA'!$C$102:$C$255,"OK",'EJEMPLO DE NOMINA'!$D$102:$D$255,"SI")</f>
        <v>96517.9</v>
      </c>
      <c r="E20" s="49">
        <f>SUMIFS('EJEMPLO DE NOMINA'!$BS$102:$BS$360,'EJEMPLO DE NOMINA'!$B$102:$B$360,E13,'EJEMPLO DE NOMINA'!$Q$102:$Q$360,$C$8,'EJEMPLO DE NOMINA'!$C$102:$C$360,"OK",'EJEMPLO DE NOMINA'!$D$102:$D$360,"SI")+SUMIFS('EJEMPLO DE NOMINA'!$BS$102:$BS$360,'EJEMPLO DE NOMINA'!$B$102:$B$360,E13,'EJEMPLO DE NOMINA'!$Q$102:$Q$360,$C$7,'EJEMPLO DE NOMINA'!$C$102:$C$360,"OK",'EJEMPLO DE NOMINA'!$D$102:$D$360,"SI")</f>
        <v>218454.34</v>
      </c>
      <c r="F20" s="159">
        <f>SUMIFS('EJEMPLO DE NOMINA'!$BS$102:$BS$10000,'EJEMPLO DE NOMINA'!$B$102:$B$10000,F13,'EJEMPLO DE NOMINA'!$Q$102:$Q$10000,$C$8,'EJEMPLO DE NOMINA'!$C$102:$C$10000,"OK",'EJEMPLO DE NOMINA'!$D$102:$D$10000,"SI")+SUMIFS('EJEMPLO DE NOMINA'!$BS$102:$BS$10000,'EJEMPLO DE NOMINA'!$B$102:$B$10000,F13,'EJEMPLO DE NOMINA'!$Q$102:$Q$10000,$C$7,'EJEMPLO DE NOMINA'!$C$102:$C$10000,"OK",'EJEMPLO DE NOMINA'!$D$102:$D$10000,"SI")</f>
        <v>272493</v>
      </c>
      <c r="G20" s="49">
        <f>SUMIFS('EJEMPLO DE NOMINA'!$BS$102:$BS$10000,'EJEMPLO DE NOMINA'!$B$102:$B$10000,G13,'EJEMPLO DE NOMINA'!$Q$102:$Q$10000,$C$8,'EJEMPLO DE NOMINA'!$C$102:$C$10000,"OK",'EJEMPLO DE NOMINA'!$D$102:$D$10000,"SI")+SUMIFS('EJEMPLO DE NOMINA'!$BS$102:$BS$10000,'EJEMPLO DE NOMINA'!$B$102:$B$10000,G13,'EJEMPLO DE NOMINA'!$Q$102:$Q$10000,$C$7,'EJEMPLO DE NOMINA'!$C$102:$C$10000,"OK",'EJEMPLO DE NOMINA'!$D$102:$D$10000,"SI")</f>
        <v>0</v>
      </c>
      <c r="H20" s="49">
        <f>SUMIFS('EJEMPLO DE NOMINA'!$BS$102:$BS$10000,'EJEMPLO DE NOMINA'!$B$102:$B$10000,H13,'EJEMPLO DE NOMINA'!$Q$102:$Q$10000,$C$8,'EJEMPLO DE NOMINA'!$C$102:$C$10000,"OK",'EJEMPLO DE NOMINA'!$D$102:$D$10000,"SI")+SUMIFS('EJEMPLO DE NOMINA'!$BS$102:$BS$10000,'EJEMPLO DE NOMINA'!$B$102:$B$10000,H13,'EJEMPLO DE NOMINA'!$Q$102:$Q$10000,$C$7,'EJEMPLO DE NOMINA'!$C$102:$C$10000,"OK",'EJEMPLO DE NOMINA'!$D$102:$D$10000,"SI")</f>
        <v>0</v>
      </c>
      <c r="I20" s="49">
        <f>SUMIFS('EJEMPLO DE NOMINA'!$BS$102:$BS$10000,'EJEMPLO DE NOMINA'!$B$102:$B$10000,I13,'EJEMPLO DE NOMINA'!$Q$102:$Q$10000,$C$8,'EJEMPLO DE NOMINA'!$C$102:$C$10000,"OK",'EJEMPLO DE NOMINA'!$D$102:$D$10000,"SI")+SUMIFS('EJEMPLO DE NOMINA'!$BS$102:$BS$10000,'EJEMPLO DE NOMINA'!$B$102:$B$10000,I13,'EJEMPLO DE NOMINA'!$Q$102:$Q$10000,$C$7,'EJEMPLO DE NOMINA'!$C$102:$C$10000,"OK",'EJEMPLO DE NOMINA'!$D$102:$D$10000,"SI")</f>
        <v>0</v>
      </c>
      <c r="J20" s="49">
        <f>SUMIFS('EJEMPLO DE NOMINA'!$BS$102:$BS$10000,'EJEMPLO DE NOMINA'!$B$102:$B$10000,J13,'EJEMPLO DE NOMINA'!$Q$102:$Q$10000,$C$8,'EJEMPLO DE NOMINA'!$C$102:$C$10000,"OK",'EJEMPLO DE NOMINA'!$D$102:$D$10000,"SI")+SUMIFS('EJEMPLO DE NOMINA'!$BS$102:$BS$10000,'EJEMPLO DE NOMINA'!$B$102:$B$10000,J13,'EJEMPLO DE NOMINA'!$Q$102:$Q$10000,$C$7,'EJEMPLO DE NOMINA'!$C$102:$C$10000,"OK",'EJEMPLO DE NOMINA'!$D$102:$D$10000,"SI")</f>
        <v>0</v>
      </c>
      <c r="K20" s="49">
        <f>SUMIFS('EJEMPLO DE NOMINA'!$BS$102:$BS$10000,'EJEMPLO DE NOMINA'!$B$102:$B$10000,K13,'EJEMPLO DE NOMINA'!$Q$102:$Q$10000,$C$8,'EJEMPLO DE NOMINA'!$C$102:$C$10000,"OK",'EJEMPLO DE NOMINA'!$D$102:$D$10000,"SI")+SUMIFS('EJEMPLO DE NOMINA'!$BS$102:$BS$10000,'EJEMPLO DE NOMINA'!$B$102:$B$10000,K13,'EJEMPLO DE NOMINA'!$Q$102:$Q$10000,$C$7,'EJEMPLO DE NOMINA'!$C$102:$C$10000,"OK",'EJEMPLO DE NOMINA'!$D$102:$D$10000,"SI")</f>
        <v>0</v>
      </c>
      <c r="L20" s="49">
        <f>SUMIFS('EJEMPLO DE NOMINA'!$BS$102:$BS$10000,'EJEMPLO DE NOMINA'!$B$102:$B$10000,L13,'EJEMPLO DE NOMINA'!$Q$102:$Q$10000,$C$8,'EJEMPLO DE NOMINA'!$C$102:$C$10000,"OK",'EJEMPLO DE NOMINA'!$D$102:$D$10000,"SI")+SUMIFS('EJEMPLO DE NOMINA'!$BS$102:$BS$10000,'EJEMPLO DE NOMINA'!$B$102:$B$10000,L13,'EJEMPLO DE NOMINA'!$Q$102:$Q$10000,$C$7,'EJEMPLO DE NOMINA'!$C$102:$C$10000,"OK",'EJEMPLO DE NOMINA'!$D$102:$D$10000,"SI")</f>
        <v>0</v>
      </c>
      <c r="M20" s="49">
        <f>SUMIFS('EJEMPLO DE NOMINA'!$BS$102:$BS$10000,'EJEMPLO DE NOMINA'!$B$102:$B$10000,M13,'EJEMPLO DE NOMINA'!$Q$102:$Q$10000,$C$8,'EJEMPLO DE NOMINA'!$C$102:$C$10000,"OK",'EJEMPLO DE NOMINA'!$D$102:$D$10000,"SI")+SUMIFS('EJEMPLO DE NOMINA'!$BS$102:$BS$10000,'EJEMPLO DE NOMINA'!$B$102:$B$10000,M13,'EJEMPLO DE NOMINA'!$Q$102:$Q$10000,$C$7,'EJEMPLO DE NOMINA'!$C$102:$C$10000,"OK",'EJEMPLO DE NOMINA'!$D$102:$D$10000,"SI")</f>
        <v>0</v>
      </c>
      <c r="N20" s="49">
        <f>SUMIFS('EJEMPLO DE NOMINA'!$BS$102:$BS$10000,'EJEMPLO DE NOMINA'!$B$102:$B$10000,N13,'EJEMPLO DE NOMINA'!$Q$102:$Q$10000,$C$8,'EJEMPLO DE NOMINA'!$C$102:$C$10000,"OK",'EJEMPLO DE NOMINA'!$D$102:$D$10000,"SI")+SUMIFS('EJEMPLO DE NOMINA'!$BS$102:$BS$10000,'EJEMPLO DE NOMINA'!$B$102:$B$10000,N13,'EJEMPLO DE NOMINA'!$Q$102:$Q$10000,$C$7,'EJEMPLO DE NOMINA'!$C$102:$C$10000,"OK",'EJEMPLO DE NOMINA'!$D$102:$D$10000,"SI")</f>
        <v>0</v>
      </c>
      <c r="O20" s="49">
        <f>SUMIFS('EJEMPLO DE NOMINA'!$BS$102:$BS$10000,'EJEMPLO DE NOMINA'!$B$102:$B$10000,O13,'EJEMPLO DE NOMINA'!$Q$102:$Q$10000,$C$8,'EJEMPLO DE NOMINA'!$C$102:$C$10000,"OK",'EJEMPLO DE NOMINA'!$D$102:$D$10000,"SI")+SUMIFS('EJEMPLO DE NOMINA'!$BS$102:$BS$10000,'EJEMPLO DE NOMINA'!$B$102:$B$10000,O13,'EJEMPLO DE NOMINA'!$Q$102:$Q$10000,$C$7,'EJEMPLO DE NOMINA'!$C$102:$C$10000,"OK",'EJEMPLO DE NOMINA'!$D$102:$D$10000,"SI")</f>
        <v>0</v>
      </c>
      <c r="P20" s="43">
        <f t="shared" si="0"/>
        <v>587465.24</v>
      </c>
    </row>
    <row r="21" spans="2:16" x14ac:dyDescent="0.25">
      <c r="B21" s="177"/>
      <c r="C21" s="48" t="s">
        <v>143</v>
      </c>
      <c r="D21" s="159">
        <f>SUMIFS('EJEMPLO DE NOMINA'!$AM$102:$AM$255,'EJEMPLO DE NOMINA'!$B$102:$B$255,D13,'EJEMPLO DE NOMINA'!$Q$102:$Q$255,$C$7,'EJEMPLO DE NOMINA'!$C$102:$C$255,"OK",'EJEMPLO DE NOMINA'!$D$102:$D$255,"NO")+SUMIFS('EJEMPLO DE NOMINA'!$AM$102:$AM$255,'EJEMPLO DE NOMINA'!$B$102:$B$255,D13,'EJEMPLO DE NOMINA'!$Q$102:$Q$255,$C$8,'EJEMPLO DE NOMINA'!$C$102:$C$255,"OK",'EJEMPLO DE NOMINA'!$D$102:$D$255,"NO")</f>
        <v>7941161.7300000023</v>
      </c>
      <c r="E21" s="49">
        <f>SUMIFS('EJEMPLO DE NOMINA'!$AM$102:$AM$360,'EJEMPLO DE NOMINA'!$B$102:$B$360,E13,'EJEMPLO DE NOMINA'!$Q$102:$Q$360,$C$7,'EJEMPLO DE NOMINA'!$C$102:$C$360,"OK",'EJEMPLO DE NOMINA'!$D$102:$D$360,"NO")+SUMIFS('EJEMPLO DE NOMINA'!$AM$102:$AM$360,'EJEMPLO DE NOMINA'!$B$102:$B$360,E13,'EJEMPLO DE NOMINA'!$Q$102:$Q$360,$C$8,'EJEMPLO DE NOMINA'!$C$102:$C$360,"OK",'EJEMPLO DE NOMINA'!$D$102:$D$360,"NO")</f>
        <v>8116363.879999998</v>
      </c>
      <c r="F21" s="159">
        <f>SUMIFS('EJEMPLO DE NOMINA'!$AM$102:$AM$10000,'EJEMPLO DE NOMINA'!$B$102:$B$10000,F13,'EJEMPLO DE NOMINA'!$Q$102:$Q$10000,$C$7,'EJEMPLO DE NOMINA'!$C$102:$C$10000,"OK",'EJEMPLO DE NOMINA'!$D$102:$D$10000,"NO")+SUMIFS('EJEMPLO DE NOMINA'!$AM$102:$AM$10000,'EJEMPLO DE NOMINA'!$B$102:$B$10000,F13,'EJEMPLO DE NOMINA'!$Q$102:$Q$10000,$C$8,'EJEMPLO DE NOMINA'!$C$102:$C$10000,"OK",'EJEMPLO DE NOMINA'!$D$102:$D$10000,"NO")</f>
        <v>8580347.6599999983</v>
      </c>
      <c r="G21" s="49">
        <f>SUMIFS('EJEMPLO DE NOMINA'!$AM$102:$AM$10000,'EJEMPLO DE NOMINA'!$B$102:$B$10000,G13,'EJEMPLO DE NOMINA'!$Q$102:$Q$10000,$C$7,'EJEMPLO DE NOMINA'!$C$102:$C$10000,"OK",'EJEMPLO DE NOMINA'!$D$102:$D$10000,"NO")+SUMIFS('EJEMPLO DE NOMINA'!$AM$102:$AM$10000,'EJEMPLO DE NOMINA'!$B$102:$B$10000,G13,'EJEMPLO DE NOMINA'!$Q$102:$Q$10000,$C$8,'EJEMPLO DE NOMINA'!$C$102:$C$10000,"OK",'EJEMPLO DE NOMINA'!$D$102:$D$10000,"NO")</f>
        <v>0</v>
      </c>
      <c r="H21" s="49">
        <f>SUMIFS('EJEMPLO DE NOMINA'!$AM$102:$AM$10000,'EJEMPLO DE NOMINA'!$B$102:$B$10000,H13,'EJEMPLO DE NOMINA'!$Q$102:$Q$10000,$C$7,'EJEMPLO DE NOMINA'!$C$102:$C$10000,"OK",'EJEMPLO DE NOMINA'!$D$102:$D$10000,"NO")+SUMIFS('EJEMPLO DE NOMINA'!$AM$102:$AM$10000,'EJEMPLO DE NOMINA'!$B$102:$B$10000,H13,'EJEMPLO DE NOMINA'!$Q$102:$Q$10000,$C$8,'EJEMPLO DE NOMINA'!$C$102:$C$10000,"OK",'EJEMPLO DE NOMINA'!$D$102:$D$10000,"NO")</f>
        <v>0</v>
      </c>
      <c r="I21" s="49">
        <f>SUMIFS('EJEMPLO DE NOMINA'!$AM$102:$AM$10000,'EJEMPLO DE NOMINA'!$B$102:$B$10000,I13,'EJEMPLO DE NOMINA'!$Q$102:$Q$10000,$C$7,'EJEMPLO DE NOMINA'!$C$102:$C$10000,"OK",'EJEMPLO DE NOMINA'!$D$102:$D$10000,"NO")+SUMIFS('EJEMPLO DE NOMINA'!$AM$102:$AM$10000,'EJEMPLO DE NOMINA'!$B$102:$B$10000,I13,'EJEMPLO DE NOMINA'!$Q$102:$Q$10000,$C$8,'EJEMPLO DE NOMINA'!$C$102:$C$10000,"OK",'EJEMPLO DE NOMINA'!$D$102:$D$10000,"NO")</f>
        <v>0</v>
      </c>
      <c r="J21" s="49">
        <f>SUMIFS('EJEMPLO DE NOMINA'!$AM$102:$AM$10000,'EJEMPLO DE NOMINA'!$B$102:$B$10000,J13,'EJEMPLO DE NOMINA'!$Q$102:$Q$10000,$C$7,'EJEMPLO DE NOMINA'!$C$102:$C$10000,"OK",'EJEMPLO DE NOMINA'!$D$102:$D$10000,"NO")+SUMIFS('EJEMPLO DE NOMINA'!$AM$102:$AM$10000,'EJEMPLO DE NOMINA'!$B$102:$B$10000,J13,'EJEMPLO DE NOMINA'!$Q$102:$Q$10000,$C$8,'EJEMPLO DE NOMINA'!$C$102:$C$10000,"OK",'EJEMPLO DE NOMINA'!$D$102:$D$10000,"NO")</f>
        <v>0</v>
      </c>
      <c r="K21" s="49">
        <f>SUMIFS('EJEMPLO DE NOMINA'!$AM$102:$AM$10000,'EJEMPLO DE NOMINA'!$B$102:$B$10000,K13,'EJEMPLO DE NOMINA'!$Q$102:$Q$10000,$C$7,'EJEMPLO DE NOMINA'!$C$102:$C$10000,"OK",'EJEMPLO DE NOMINA'!$D$102:$D$10000,"NO")+SUMIFS('EJEMPLO DE NOMINA'!$AM$102:$AM$10000,'EJEMPLO DE NOMINA'!$B$102:$B$10000,K13,'EJEMPLO DE NOMINA'!$Q$102:$Q$10000,$C$8,'EJEMPLO DE NOMINA'!$C$102:$C$10000,"OK",'EJEMPLO DE NOMINA'!$D$102:$D$10000,"NO")</f>
        <v>0</v>
      </c>
      <c r="L21" s="49">
        <f>SUMIFS('EJEMPLO DE NOMINA'!$AM$102:$AM$10000,'EJEMPLO DE NOMINA'!$B$102:$B$10000,L13,'EJEMPLO DE NOMINA'!$Q$102:$Q$10000,$C$7,'EJEMPLO DE NOMINA'!$C$102:$C$10000,"OK",'EJEMPLO DE NOMINA'!$D$102:$D$10000,"NO")+SUMIFS('EJEMPLO DE NOMINA'!$AM$102:$AM$10000,'EJEMPLO DE NOMINA'!$B$102:$B$10000,L13,'EJEMPLO DE NOMINA'!$Q$102:$Q$10000,$C$8,'EJEMPLO DE NOMINA'!$C$102:$C$10000,"OK",'EJEMPLO DE NOMINA'!$D$102:$D$10000,"NO")</f>
        <v>0</v>
      </c>
      <c r="M21" s="49">
        <f>SUMIFS('EJEMPLO DE NOMINA'!$AM$102:$AM$10000,'EJEMPLO DE NOMINA'!$B$102:$B$10000,M13,'EJEMPLO DE NOMINA'!$Q$102:$Q$10000,$C$7,'EJEMPLO DE NOMINA'!$C$102:$C$10000,"OK",'EJEMPLO DE NOMINA'!$D$102:$D$10000,"NO")+SUMIFS('EJEMPLO DE NOMINA'!$AM$102:$AM$10000,'EJEMPLO DE NOMINA'!$B$102:$B$10000,M13,'EJEMPLO DE NOMINA'!$Q$102:$Q$10000,$C$8,'EJEMPLO DE NOMINA'!$C$102:$C$10000,"OK",'EJEMPLO DE NOMINA'!$D$102:$D$10000,"NO")</f>
        <v>0</v>
      </c>
      <c r="N21" s="49">
        <f>SUMIFS('EJEMPLO DE NOMINA'!$AM$102:$AM$10000,'EJEMPLO DE NOMINA'!$B$102:$B$10000,N13,'EJEMPLO DE NOMINA'!$Q$102:$Q$10000,$C$7,'EJEMPLO DE NOMINA'!$C$102:$C$10000,"OK",'EJEMPLO DE NOMINA'!$D$102:$D$10000,"NO")+SUMIFS('EJEMPLO DE NOMINA'!$AM$102:$AM$10000,'EJEMPLO DE NOMINA'!$B$102:$B$10000,N13,'EJEMPLO DE NOMINA'!$Q$102:$Q$10000,$C$8,'EJEMPLO DE NOMINA'!$C$102:$C$10000,"OK",'EJEMPLO DE NOMINA'!$D$102:$D$10000,"NO")</f>
        <v>0</v>
      </c>
      <c r="O21" s="49">
        <f>SUMIFS('EJEMPLO DE NOMINA'!$AM$102:$AM$10000,'EJEMPLO DE NOMINA'!$B$102:$B$10000,O13,'EJEMPLO DE NOMINA'!$Q$102:$Q$10000,$C$7,'EJEMPLO DE NOMINA'!$C$102:$C$10000,"OK",'EJEMPLO DE NOMINA'!$D$102:$D$10000,"NO")+SUMIFS('EJEMPLO DE NOMINA'!$AM$102:$AM$10000,'EJEMPLO DE NOMINA'!$B$102:$B$10000,O13,'EJEMPLO DE NOMINA'!$Q$102:$Q$10000,$C$8,'EJEMPLO DE NOMINA'!$C$102:$C$10000,"OK",'EJEMPLO DE NOMINA'!$D$102:$D$10000,"NO")</f>
        <v>0</v>
      </c>
      <c r="P21" s="43">
        <f t="shared" si="0"/>
        <v>24637873.269999996</v>
      </c>
    </row>
    <row r="22" spans="2:16" x14ac:dyDescent="0.25">
      <c r="B22" s="177"/>
      <c r="C22" s="48" t="s">
        <v>140</v>
      </c>
      <c r="D22" s="159">
        <f>SUMIFS('EJEMPLO DE NOMINA'!$BS$102:$BS$255,'EJEMPLO DE NOMINA'!$B$102:$B$255,D13,'EJEMPLO DE NOMINA'!$Q$102:$Q$255,$C$7,'EJEMPLO DE NOMINA'!$C$102:$C$255,"OK",'EJEMPLO DE NOMINA'!$D$102:$D$255,"NO")+SUMIFS('EJEMPLO DE NOMINA'!$BS$102:$BS$255,'EJEMPLO DE NOMINA'!$B$102:$B$255,D13,'EJEMPLO DE NOMINA'!$Q$102:$Q$255,$C$8,'EJEMPLO DE NOMINA'!$C$102:$C$255,"OK",'EJEMPLO DE NOMINA'!$D$102:$D$255,"NO")</f>
        <v>1007717.4900000001</v>
      </c>
      <c r="E22" s="49">
        <f>SUMIFS('EJEMPLO DE NOMINA'!$BS$102:$BS$360,'EJEMPLO DE NOMINA'!$B$102:$B$360,E13,'EJEMPLO DE NOMINA'!$Q$102:$Q$360,$C$7,'EJEMPLO DE NOMINA'!$C$102:$C$360,"OK",'EJEMPLO DE NOMINA'!$D$102:$D$360,"NO")+SUMIFS('EJEMPLO DE NOMINA'!$BS$102:$BS$360,'EJEMPLO DE NOMINA'!$B$102:$B$360,E13,'EJEMPLO DE NOMINA'!$Q$102:$Q$360,$C$8,'EJEMPLO DE NOMINA'!$C$102:$C$360,"OK",'EJEMPLO DE NOMINA'!$D$102:$D$360,"NO")</f>
        <v>1704183.6399999992</v>
      </c>
      <c r="F22" s="159">
        <f>SUMIFS('EJEMPLO DE NOMINA'!$BS$102:$BS$10000,'EJEMPLO DE NOMINA'!$B$102:$B$10000,F13,'EJEMPLO DE NOMINA'!$Q$102:$Q$10000,$C$7,'EJEMPLO DE NOMINA'!$C$102:$C$10000,"OK",'EJEMPLO DE NOMINA'!$D$102:$D$10000,"NO")+SUMIFS('EJEMPLO DE NOMINA'!$BS$102:$BS$10000,'EJEMPLO DE NOMINA'!$B$102:$B$10000,F13,'EJEMPLO DE NOMINA'!$Q$102:$Q$10000,$C$8,'EJEMPLO DE NOMINA'!$C$102:$C$10000,"OK",'EJEMPLO DE NOMINA'!$D$102:$D$10000,"NO")</f>
        <v>3539908.4299999997</v>
      </c>
      <c r="G22" s="49">
        <f>SUMIFS('EJEMPLO DE NOMINA'!$BS$102:$BS$10000,'EJEMPLO DE NOMINA'!$B$102:$B$10000,G13,'EJEMPLO DE NOMINA'!$Q$102:$Q$10000,$C$7,'EJEMPLO DE NOMINA'!$C$102:$C$10000,"OK",'EJEMPLO DE NOMINA'!$D$102:$D$10000,"NO")+SUMIFS('EJEMPLO DE NOMINA'!$BS$102:$BS$10000,'EJEMPLO DE NOMINA'!$B$102:$B$10000,G13,'EJEMPLO DE NOMINA'!$Q$102:$Q$10000,$C$8,'EJEMPLO DE NOMINA'!$C$102:$C$10000,"OK",'EJEMPLO DE NOMINA'!$D$102:$D$10000,"NO")</f>
        <v>0</v>
      </c>
      <c r="H22" s="49">
        <f>SUMIFS('EJEMPLO DE NOMINA'!$BS$102:$BS$10000,'EJEMPLO DE NOMINA'!$B$102:$B$10000,H13,'EJEMPLO DE NOMINA'!$Q$102:$Q$10000,$C$7,'EJEMPLO DE NOMINA'!$C$102:$C$10000,"OK",'EJEMPLO DE NOMINA'!$D$102:$D$10000,"NO")+SUMIFS('EJEMPLO DE NOMINA'!$BS$102:$BS$10000,'EJEMPLO DE NOMINA'!$B$102:$B$10000,H13,'EJEMPLO DE NOMINA'!$Q$102:$Q$10000,$C$8,'EJEMPLO DE NOMINA'!$C$102:$C$10000,"OK",'EJEMPLO DE NOMINA'!$D$102:$D$10000,"NO")</f>
        <v>0</v>
      </c>
      <c r="I22" s="49">
        <f>SUMIFS('EJEMPLO DE NOMINA'!$BS$102:$BS$10000,'EJEMPLO DE NOMINA'!$B$102:$B$10000,I13,'EJEMPLO DE NOMINA'!$Q$102:$Q$10000,$C$7,'EJEMPLO DE NOMINA'!$C$102:$C$10000,"OK",'EJEMPLO DE NOMINA'!$D$102:$D$10000,"NO")+SUMIFS('EJEMPLO DE NOMINA'!$BS$102:$BS$10000,'EJEMPLO DE NOMINA'!$B$102:$B$10000,I13,'EJEMPLO DE NOMINA'!$Q$102:$Q$10000,$C$8,'EJEMPLO DE NOMINA'!$C$102:$C$10000,"OK",'EJEMPLO DE NOMINA'!$D$102:$D$10000,"NO")</f>
        <v>0</v>
      </c>
      <c r="J22" s="49">
        <f>SUMIFS('EJEMPLO DE NOMINA'!$BS$102:$BS$10000,'EJEMPLO DE NOMINA'!$B$102:$B$10000,J13,'EJEMPLO DE NOMINA'!$Q$102:$Q$10000,$C$7,'EJEMPLO DE NOMINA'!$C$102:$C$10000,"OK",'EJEMPLO DE NOMINA'!$D$102:$D$10000,"NO")+SUMIFS('EJEMPLO DE NOMINA'!$BS$102:$BS$10000,'EJEMPLO DE NOMINA'!$B$102:$B$10000,J13,'EJEMPLO DE NOMINA'!$Q$102:$Q$10000,$C$8,'EJEMPLO DE NOMINA'!$C$102:$C$10000,"OK",'EJEMPLO DE NOMINA'!$D$102:$D$10000,"NO")</f>
        <v>0</v>
      </c>
      <c r="K22" s="49">
        <f>SUMIFS('EJEMPLO DE NOMINA'!$BS$102:$BS$10000,'EJEMPLO DE NOMINA'!$B$102:$B$10000,K13,'EJEMPLO DE NOMINA'!$Q$102:$Q$10000,$C$7,'EJEMPLO DE NOMINA'!$C$102:$C$10000,"OK",'EJEMPLO DE NOMINA'!$D$102:$D$10000,"NO")+SUMIFS('EJEMPLO DE NOMINA'!$BS$102:$BS$10000,'EJEMPLO DE NOMINA'!$B$102:$B$10000,K13,'EJEMPLO DE NOMINA'!$Q$102:$Q$10000,$C$8,'EJEMPLO DE NOMINA'!$C$102:$C$10000,"OK",'EJEMPLO DE NOMINA'!$D$102:$D$10000,"NO")</f>
        <v>0</v>
      </c>
      <c r="L22" s="49">
        <f>SUMIFS('EJEMPLO DE NOMINA'!$BS$102:$BS$10000,'EJEMPLO DE NOMINA'!$B$102:$B$10000,L13,'EJEMPLO DE NOMINA'!$Q$102:$Q$10000,$C$7,'EJEMPLO DE NOMINA'!$C$102:$C$10000,"OK",'EJEMPLO DE NOMINA'!$D$102:$D$10000,"NO")+SUMIFS('EJEMPLO DE NOMINA'!$BS$102:$BS$10000,'EJEMPLO DE NOMINA'!$B$102:$B$10000,L13,'EJEMPLO DE NOMINA'!$Q$102:$Q$10000,$C$8,'EJEMPLO DE NOMINA'!$C$102:$C$10000,"OK",'EJEMPLO DE NOMINA'!$D$102:$D$10000,"NO")</f>
        <v>0</v>
      </c>
      <c r="M22" s="49">
        <f>SUMIFS('EJEMPLO DE NOMINA'!$BS$102:$BS$10000,'EJEMPLO DE NOMINA'!$B$102:$B$10000,M13,'EJEMPLO DE NOMINA'!$Q$102:$Q$10000,$C$7,'EJEMPLO DE NOMINA'!$C$102:$C$10000,"OK",'EJEMPLO DE NOMINA'!$D$102:$D$10000,"NO")+SUMIFS('EJEMPLO DE NOMINA'!$BS$102:$BS$10000,'EJEMPLO DE NOMINA'!$B$102:$B$10000,M13,'EJEMPLO DE NOMINA'!$Q$102:$Q$10000,$C$8,'EJEMPLO DE NOMINA'!$C$102:$C$10000,"OK",'EJEMPLO DE NOMINA'!$D$102:$D$10000,"NO")</f>
        <v>0</v>
      </c>
      <c r="N22" s="49">
        <f>SUMIFS('EJEMPLO DE NOMINA'!$BS$102:$BS$10000,'EJEMPLO DE NOMINA'!$B$102:$B$10000,N13,'EJEMPLO DE NOMINA'!$Q$102:$Q$10000,$C$7,'EJEMPLO DE NOMINA'!$C$102:$C$10000,"OK",'EJEMPLO DE NOMINA'!$D$102:$D$10000,"NO")+SUMIFS('EJEMPLO DE NOMINA'!$BS$102:$BS$10000,'EJEMPLO DE NOMINA'!$B$102:$B$10000,N13,'EJEMPLO DE NOMINA'!$Q$102:$Q$10000,$C$8,'EJEMPLO DE NOMINA'!$C$102:$C$10000,"OK",'EJEMPLO DE NOMINA'!$D$102:$D$10000,"NO")</f>
        <v>0</v>
      </c>
      <c r="O22" s="49">
        <f>SUMIFS('EJEMPLO DE NOMINA'!$BS$102:$BS$10000,'EJEMPLO DE NOMINA'!$B$102:$B$10000,O13,'EJEMPLO DE NOMINA'!$Q$102:$Q$10000,$C$7,'EJEMPLO DE NOMINA'!$C$102:$C$10000,"OK",'EJEMPLO DE NOMINA'!$D$102:$D$10000,"NO")+SUMIFS('EJEMPLO DE NOMINA'!$BS$102:$BS$10000,'EJEMPLO DE NOMINA'!$B$102:$B$10000,O13,'EJEMPLO DE NOMINA'!$Q$102:$Q$10000,$C$8,'EJEMPLO DE NOMINA'!$C$102:$C$10000,"OK",'EJEMPLO DE NOMINA'!$D$102:$D$10000,"NO")</f>
        <v>0</v>
      </c>
      <c r="P22" s="43">
        <f t="shared" si="0"/>
        <v>6251809.5599999987</v>
      </c>
    </row>
    <row r="23" spans="2:16" x14ac:dyDescent="0.25">
      <c r="B23" s="177"/>
      <c r="C23" s="50" t="s">
        <v>77</v>
      </c>
      <c r="D23" s="158">
        <f t="shared" ref="D23:N23" si="1">(D19+D20)*2.5/100</f>
        <v>18299.748</v>
      </c>
      <c r="E23" s="158">
        <f t="shared" si="1"/>
        <v>31820.97525</v>
      </c>
      <c r="F23" s="158">
        <f t="shared" si="1"/>
        <v>24276.614499999996</v>
      </c>
      <c r="G23" s="51">
        <f>(G19+G20)*2.5/100</f>
        <v>0</v>
      </c>
      <c r="H23" s="49">
        <f>(H19+H20)*2.5/100</f>
        <v>0</v>
      </c>
      <c r="I23" s="51">
        <f>(I19+I20)*2.5/100</f>
        <v>0</v>
      </c>
      <c r="J23" s="51">
        <f>(J19+J20)*2.5/100</f>
        <v>0</v>
      </c>
      <c r="K23" s="51">
        <f>(K19+K20)*2.5/100</f>
        <v>0</v>
      </c>
      <c r="L23" s="51">
        <f t="shared" si="1"/>
        <v>0</v>
      </c>
      <c r="M23" s="51">
        <f>(M19+M20)*2.5/100</f>
        <v>0</v>
      </c>
      <c r="N23" s="158">
        <f t="shared" si="1"/>
        <v>0</v>
      </c>
      <c r="O23" s="158">
        <f>(O19+O20)*2.5/100</f>
        <v>0</v>
      </c>
      <c r="P23" s="43">
        <f t="shared" si="0"/>
        <v>74397.337749999992</v>
      </c>
    </row>
    <row r="24" spans="2:16" x14ac:dyDescent="0.25">
      <c r="B24" s="177"/>
      <c r="C24" s="50" t="s">
        <v>78</v>
      </c>
      <c r="D24" s="158">
        <f t="shared" ref="D24:N24" si="2">(D21+D22)*2/100</f>
        <v>178977.58440000005</v>
      </c>
      <c r="E24" s="158">
        <f t="shared" si="2"/>
        <v>196410.95039999994</v>
      </c>
      <c r="F24" s="158">
        <f t="shared" si="2"/>
        <v>242405.12179999996</v>
      </c>
      <c r="G24" s="51">
        <f t="shared" si="2"/>
        <v>0</v>
      </c>
      <c r="H24" s="49">
        <f>(H21+H22)*2/100</f>
        <v>0</v>
      </c>
      <c r="I24" s="51">
        <f>(I21+I22)*2/100</f>
        <v>0</v>
      </c>
      <c r="J24" s="51">
        <f>(J21+J22)*2/100</f>
        <v>0</v>
      </c>
      <c r="K24" s="51">
        <f>(K21+K22)*2/100</f>
        <v>0</v>
      </c>
      <c r="L24" s="51">
        <f t="shared" si="2"/>
        <v>0</v>
      </c>
      <c r="M24" s="51">
        <f>(M21+M22)*2/100</f>
        <v>0</v>
      </c>
      <c r="N24" s="51">
        <f t="shared" si="2"/>
        <v>0</v>
      </c>
      <c r="O24" s="158">
        <f>(O21+O22)*2/100</f>
        <v>0</v>
      </c>
      <c r="P24" s="43">
        <f t="shared" si="0"/>
        <v>617793.65659999999</v>
      </c>
    </row>
    <row r="25" spans="2:16" x14ac:dyDescent="0.25">
      <c r="B25" s="177"/>
      <c r="C25" s="50" t="s">
        <v>85</v>
      </c>
      <c r="D25" s="158">
        <f t="shared" ref="D25:N25" si="3">(D19+D21+D22+D20)*1/100</f>
        <v>96808.691400000025</v>
      </c>
      <c r="E25" s="158">
        <f t="shared" si="3"/>
        <v>110933.86529999996</v>
      </c>
      <c r="F25" s="158">
        <f t="shared" si="3"/>
        <v>130913.20669999998</v>
      </c>
      <c r="G25" s="51">
        <f t="shared" si="3"/>
        <v>0</v>
      </c>
      <c r="H25" s="49">
        <f t="shared" si="3"/>
        <v>0</v>
      </c>
      <c r="I25" s="51">
        <f>(I19+I21+I22+I20)*1/100</f>
        <v>0</v>
      </c>
      <c r="J25" s="51">
        <f>(J19+J21+J22+J20)*1/100</f>
        <v>0</v>
      </c>
      <c r="K25" s="51">
        <f t="shared" si="3"/>
        <v>0</v>
      </c>
      <c r="L25" s="51">
        <f t="shared" si="3"/>
        <v>0</v>
      </c>
      <c r="M25" s="51">
        <f t="shared" si="3"/>
        <v>0</v>
      </c>
      <c r="N25" s="51">
        <f t="shared" si="3"/>
        <v>0</v>
      </c>
      <c r="O25" s="158">
        <f>(O19+O21+O22+O20)*1/100</f>
        <v>0</v>
      </c>
      <c r="P25" s="43">
        <f t="shared" si="0"/>
        <v>338655.76339999994</v>
      </c>
    </row>
    <row r="26" spans="2:16" x14ac:dyDescent="0.25">
      <c r="B26" s="177"/>
      <c r="C26" s="50" t="s">
        <v>91</v>
      </c>
      <c r="D26" s="158">
        <f t="shared" ref="D26:N26" si="4">(D19+D21+D22+D20)*2/100</f>
        <v>193617.38280000005</v>
      </c>
      <c r="E26" s="158">
        <f t="shared" si="4"/>
        <v>221867.73059999992</v>
      </c>
      <c r="F26" s="158">
        <f t="shared" si="4"/>
        <v>261826.41339999996</v>
      </c>
      <c r="G26" s="51">
        <f t="shared" si="4"/>
        <v>0</v>
      </c>
      <c r="H26" s="51">
        <f t="shared" si="4"/>
        <v>0</v>
      </c>
      <c r="I26" s="51">
        <f t="shared" si="4"/>
        <v>0</v>
      </c>
      <c r="J26" s="51">
        <f>(J19+J21+J22+J20)*2/100</f>
        <v>0</v>
      </c>
      <c r="K26" s="51">
        <f t="shared" si="4"/>
        <v>0</v>
      </c>
      <c r="L26" s="51">
        <f t="shared" si="4"/>
        <v>0</v>
      </c>
      <c r="M26" s="51">
        <f t="shared" si="4"/>
        <v>0</v>
      </c>
      <c r="N26" s="51">
        <f t="shared" si="4"/>
        <v>0</v>
      </c>
      <c r="O26" s="158">
        <f>(O19+O21+O22+O20)*2/100</f>
        <v>0</v>
      </c>
      <c r="P26" s="43">
        <f t="shared" si="0"/>
        <v>677311.52679999988</v>
      </c>
    </row>
    <row r="27" spans="2:16" x14ac:dyDescent="0.25">
      <c r="B27" s="177"/>
      <c r="C27" s="50" t="s">
        <v>99</v>
      </c>
      <c r="D27" s="158">
        <f t="shared" ref="D27:N27" si="5">(D19+D21+D22+D20)*1/100</f>
        <v>96808.691400000025</v>
      </c>
      <c r="E27" s="158">
        <f t="shared" si="5"/>
        <v>110933.86529999996</v>
      </c>
      <c r="F27" s="158">
        <f t="shared" si="5"/>
        <v>130913.20669999998</v>
      </c>
      <c r="G27" s="51">
        <f t="shared" si="5"/>
        <v>0</v>
      </c>
      <c r="H27" s="51">
        <f t="shared" si="5"/>
        <v>0</v>
      </c>
      <c r="I27" s="51">
        <f t="shared" si="5"/>
        <v>0</v>
      </c>
      <c r="J27" s="51">
        <f t="shared" si="5"/>
        <v>0</v>
      </c>
      <c r="K27" s="51">
        <f t="shared" si="5"/>
        <v>0</v>
      </c>
      <c r="L27" s="51">
        <f t="shared" si="5"/>
        <v>0</v>
      </c>
      <c r="M27" s="51">
        <f t="shared" si="5"/>
        <v>0</v>
      </c>
      <c r="N27" s="51">
        <f t="shared" si="5"/>
        <v>0</v>
      </c>
      <c r="O27" s="158">
        <f>(O19+O21+O22+O20)*1/100</f>
        <v>0</v>
      </c>
      <c r="P27" s="43">
        <f t="shared" si="0"/>
        <v>338655.76339999994</v>
      </c>
    </row>
    <row r="28" spans="2:16" x14ac:dyDescent="0.25">
      <c r="B28" s="177"/>
      <c r="C28" s="50" t="s">
        <v>100</v>
      </c>
      <c r="D28" s="134">
        <f>83*5000</f>
        <v>415000</v>
      </c>
      <c r="E28" s="134">
        <v>0</v>
      </c>
      <c r="F28" s="162">
        <f>5000*(F15+F16)</f>
        <v>475000</v>
      </c>
      <c r="G28" s="134">
        <f>2500*(G15+G16)</f>
        <v>0</v>
      </c>
      <c r="H28" s="134">
        <v>0</v>
      </c>
      <c r="I28" s="134">
        <v>1</v>
      </c>
      <c r="J28" s="134">
        <f>5000*(J15+J16)</f>
        <v>0</v>
      </c>
      <c r="K28" s="134">
        <f>(+K15+K16)*5000</f>
        <v>0</v>
      </c>
      <c r="L28" s="134">
        <v>0</v>
      </c>
      <c r="M28" s="134">
        <v>0</v>
      </c>
      <c r="N28" s="134"/>
      <c r="O28" s="134">
        <v>0</v>
      </c>
      <c r="P28" s="43">
        <f t="shared" si="0"/>
        <v>890001</v>
      </c>
    </row>
    <row r="29" spans="2:16" x14ac:dyDescent="0.25">
      <c r="B29" s="177"/>
      <c r="C29" s="52" t="s">
        <v>136</v>
      </c>
      <c r="D29" s="53">
        <f>SUM(D23:D28)</f>
        <v>999512.09800000011</v>
      </c>
      <c r="E29" s="53">
        <f>SUM(E23:E28)</f>
        <v>671967.38684999978</v>
      </c>
      <c r="F29" s="53">
        <f>SUM(F23:F28)</f>
        <v>1265334.5630999999</v>
      </c>
      <c r="G29" s="53">
        <f>SUM(G23:G28)</f>
        <v>0</v>
      </c>
      <c r="H29" s="53">
        <f t="shared" ref="H29:I29" si="6">SUM(H23:H27)</f>
        <v>0</v>
      </c>
      <c r="I29" s="53">
        <f t="shared" si="6"/>
        <v>0</v>
      </c>
      <c r="J29" s="53">
        <f>SUM(J23:J28)</f>
        <v>0</v>
      </c>
      <c r="K29" s="53">
        <f>SUM(K23:K28)</f>
        <v>0</v>
      </c>
      <c r="L29" s="53">
        <f t="shared" ref="L29:N29" si="7">SUM(L23:L28)</f>
        <v>0</v>
      </c>
      <c r="M29" s="53">
        <f t="shared" si="7"/>
        <v>0</v>
      </c>
      <c r="N29" s="53">
        <f t="shared" si="7"/>
        <v>0</v>
      </c>
      <c r="O29" s="53">
        <f>SUM(O23:O27)</f>
        <v>0</v>
      </c>
      <c r="P29" s="44">
        <f>SUM(D29:O29)</f>
        <v>2936814.0479499996</v>
      </c>
    </row>
    <row r="30" spans="2:16" x14ac:dyDescent="0.25">
      <c r="B30" s="114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45"/>
    </row>
    <row r="31" spans="2:16" x14ac:dyDescent="0.25">
      <c r="B31" s="32"/>
      <c r="C31" s="111" t="s">
        <v>150</v>
      </c>
      <c r="D31" s="112" t="e">
        <f>D29/D12-1</f>
        <v>#DIV/0!</v>
      </c>
      <c r="E31" s="112">
        <f>E29/D29-1</f>
        <v>-0.32770459887920267</v>
      </c>
      <c r="F31" s="112">
        <f t="shared" ref="F31:M31" si="8">F29/E29-1</f>
        <v>0.88302972415304848</v>
      </c>
      <c r="G31" s="112">
        <f>G29/F29-1</f>
        <v>-1</v>
      </c>
      <c r="H31" s="112" t="e">
        <f t="shared" si="8"/>
        <v>#DIV/0!</v>
      </c>
      <c r="I31" s="112" t="e">
        <f t="shared" si="8"/>
        <v>#DIV/0!</v>
      </c>
      <c r="J31" s="112" t="e">
        <f t="shared" si="8"/>
        <v>#DIV/0!</v>
      </c>
      <c r="K31" s="112" t="e">
        <f t="shared" si="8"/>
        <v>#DIV/0!</v>
      </c>
      <c r="L31" s="112" t="e">
        <f t="shared" si="8"/>
        <v>#DIV/0!</v>
      </c>
      <c r="M31" s="112" t="e">
        <f t="shared" si="8"/>
        <v>#DIV/0!</v>
      </c>
      <c r="N31" s="112" t="e">
        <f t="shared" ref="N31" si="9">N29/M29-1</f>
        <v>#DIV/0!</v>
      </c>
      <c r="O31" s="112" t="e">
        <f t="shared" ref="O31" si="10">O29/N29-1</f>
        <v>#DIV/0!</v>
      </c>
      <c r="P31" s="113"/>
    </row>
    <row r="32" spans="2:16" x14ac:dyDescent="0.25">
      <c r="B32" s="32"/>
      <c r="C32" s="111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3"/>
    </row>
    <row r="33" spans="2:16" x14ac:dyDescent="0.25">
      <c r="B33" s="175" t="s">
        <v>137</v>
      </c>
      <c r="C33" s="50" t="s">
        <v>77</v>
      </c>
      <c r="D33" s="158">
        <f>SUMIFS('EJEMPLO DE NOMINA'!$AR$102:$AR$255,'EJEMPLO DE NOMINA'!$D$102:$D$255,"SI",'EJEMPLO DE NOMINA'!$B$102:$B$255,D13,'EJEMPLO DE NOMINA'!$C$102:$C$255,"ok")</f>
        <v>18299.739999999998</v>
      </c>
      <c r="E33" s="158">
        <f>SUMIFS('EJEMPLO DE NOMINA'!$AR$102:$AR$360,'EJEMPLO DE NOMINA'!$D$102:$D$360,"SI",'EJEMPLO DE NOMINA'!$B$102:$B$360,E13,'EJEMPLO DE NOMINA'!$C$102:$C$360,"ok")</f>
        <v>31820.979999999996</v>
      </c>
      <c r="F33" s="158">
        <f>SUMIFS('EJEMPLO DE NOMINA'!$AR$102:$AR$10000,'EJEMPLO DE NOMINA'!$D$102:$D$10000,"SI",'EJEMPLO DE NOMINA'!$B$102:$B$10000,F13,'EJEMPLO DE NOMINA'!$C$102:$C$10000,"ok")</f>
        <v>24276.62</v>
      </c>
      <c r="G33" s="158">
        <f>SUMIFS('EJEMPLO DE NOMINA'!$AR$102:$AR$10000,'EJEMPLO DE NOMINA'!$D$102:$D$10000,"SI",'EJEMPLO DE NOMINA'!$B$102:$B$10000,G13,'EJEMPLO DE NOMINA'!$C$102:$C$10000,"ok")</f>
        <v>0</v>
      </c>
      <c r="H33" s="158">
        <f>SUMIFS('EJEMPLO DE NOMINA'!$AR$102:$AR$10000,'EJEMPLO DE NOMINA'!$D$102:$D$10000,"SI",'EJEMPLO DE NOMINA'!$B$102:$B$10000,H13,'EJEMPLO DE NOMINA'!$C$102:$C$10000,"ok")</f>
        <v>0</v>
      </c>
      <c r="I33" s="158">
        <f>SUMIFS('EJEMPLO DE NOMINA'!$AR$102:$AR$10000,'EJEMPLO DE NOMINA'!$D$102:$D$10000,"SI",'EJEMPLO DE NOMINA'!$B$102:$B$10000,I13,'EJEMPLO DE NOMINA'!$C$102:$C$10000,"ok")</f>
        <v>0</v>
      </c>
      <c r="J33" s="158">
        <f>SUMIFS('EJEMPLO DE NOMINA'!$AR$102:$AR$10000,'EJEMPLO DE NOMINA'!$D$102:$D$10000,"SI",'EJEMPLO DE NOMINA'!$B$102:$B$10000,J13,'EJEMPLO DE NOMINA'!$C$102:$C$10000,"ok")</f>
        <v>0</v>
      </c>
      <c r="K33" s="158">
        <f>SUMIFS('EJEMPLO DE NOMINA'!$AR$102:$AR$10000,'EJEMPLO DE NOMINA'!$D$102:$D$10000,"SI",'EJEMPLO DE NOMINA'!$B$102:$B$10000,K13,'EJEMPLO DE NOMINA'!$C$102:$C$10000,"ok")</f>
        <v>0</v>
      </c>
      <c r="L33" s="158">
        <f>SUMIFS('EJEMPLO DE NOMINA'!$AR$102:$AR$10000,'EJEMPLO DE NOMINA'!$D$102:$D$10000,"SI",'EJEMPLO DE NOMINA'!$B$102:$B$10000,L13,'EJEMPLO DE NOMINA'!$C$102:$C$10000,"ok")</f>
        <v>0</v>
      </c>
      <c r="M33" s="158">
        <f>SUMIFS('EJEMPLO DE NOMINA'!$AR$102:$AR$10000,'EJEMPLO DE NOMINA'!$D$102:$D$10000,"SI",'EJEMPLO DE NOMINA'!$B$102:$B$10000,M13,'EJEMPLO DE NOMINA'!$C$102:$C$10000,"ok")</f>
        <v>0</v>
      </c>
      <c r="N33" s="158">
        <f>SUMIFS('EJEMPLO DE NOMINA'!$AR$102:$AR$10000,'EJEMPLO DE NOMINA'!$D$102:$D$10000,"SI",'EJEMPLO DE NOMINA'!$B$102:$B$10000,N13,'EJEMPLO DE NOMINA'!$C$102:$C$10000,"ok")</f>
        <v>0</v>
      </c>
      <c r="O33" s="158">
        <f>SUMIFS('EJEMPLO DE NOMINA'!$AR$102:$AR$10000,'EJEMPLO DE NOMINA'!$D$102:$D$10000,"SI",'EJEMPLO DE NOMINA'!$B$102:$B$10000,O13,'EJEMPLO DE NOMINA'!$C$102:$C$10000,"ok")</f>
        <v>0</v>
      </c>
      <c r="P33" s="43">
        <f t="shared" ref="P33:P39" si="11">SUM(D33:O33)</f>
        <v>74397.34</v>
      </c>
    </row>
    <row r="34" spans="2:16" x14ac:dyDescent="0.25">
      <c r="B34" s="175"/>
      <c r="C34" s="50" t="s">
        <v>78</v>
      </c>
      <c r="D34" s="158">
        <f>SUMIFS('EJEMPLO DE NOMINA'!$AS$102:$AS$255,'EJEMPLO DE NOMINA'!$D$102:$D$255,"NO",'EJEMPLO DE NOMINA'!$B$102:$B$255,D13,'EJEMPLO DE NOMINA'!$C$102:$C$255,"ok")</f>
        <v>178977.56</v>
      </c>
      <c r="E34" s="51">
        <f>SUMIFS('EJEMPLO DE NOMINA'!$AS$102:$AS$360,'EJEMPLO DE NOMINA'!$D$102:$D$360,"NO",'EJEMPLO DE NOMINA'!$B$102:$B$360,E13,'EJEMPLO DE NOMINA'!$C$102:$C$360,"ok")</f>
        <v>197482.5100000001</v>
      </c>
      <c r="F34" s="51">
        <f>SUMIFS('EJEMPLO DE NOMINA'!$AS$102:$AS$10000,'EJEMPLO DE NOMINA'!$D$102:$D$10000,"NO",'EJEMPLO DE NOMINA'!$B$102:$B$10000,F13,'EJEMPLO DE NOMINA'!$C$102:$C$10000,"ok")</f>
        <v>241083.99</v>
      </c>
      <c r="G34" s="51">
        <f>SUMIFS('EJEMPLO DE NOMINA'!$AS$102:$AS$10000,'EJEMPLO DE NOMINA'!$D$102:$D$10000,"NO",'EJEMPLO DE NOMINA'!$B$102:$B$10000,G13,'EJEMPLO DE NOMINA'!$C$102:$C$10000,"ok")</f>
        <v>0</v>
      </c>
      <c r="H34" s="51">
        <f>SUMIFS('EJEMPLO DE NOMINA'!$AS$102:$AS$10000,'EJEMPLO DE NOMINA'!$D$102:$D$10000,"NO",'EJEMPLO DE NOMINA'!$B$102:$B$10000,H13,'EJEMPLO DE NOMINA'!$C$102:$C$10000,"ok")</f>
        <v>0</v>
      </c>
      <c r="I34" s="51">
        <f>SUMIFS('EJEMPLO DE NOMINA'!$AS$102:$AS$10000,'EJEMPLO DE NOMINA'!$D$102:$D$10000,"NO",'EJEMPLO DE NOMINA'!$B$102:$B$10000,I13,'EJEMPLO DE NOMINA'!$C$102:$C$10000,"ok")</f>
        <v>0</v>
      </c>
      <c r="J34" s="51">
        <f>SUMIFS('EJEMPLO DE NOMINA'!$AS$102:$AS$10000,'EJEMPLO DE NOMINA'!$D$102:$D$10000,"NO",'EJEMPLO DE NOMINA'!$B$102:$B$10000,J13,'EJEMPLO DE NOMINA'!$C$102:$C$10000,"ok")</f>
        <v>0</v>
      </c>
      <c r="K34" s="51">
        <f>SUMIFS('EJEMPLO DE NOMINA'!$AS$102:$AS$10000,'EJEMPLO DE NOMINA'!$D$102:$D$10000,"NO",'EJEMPLO DE NOMINA'!$B$102:$B$10000,K13,'EJEMPLO DE NOMINA'!$C$102:$C$10000,"ok")</f>
        <v>0</v>
      </c>
      <c r="L34" s="51">
        <f>SUMIFS('EJEMPLO DE NOMINA'!$AS$102:$AS$10000,'EJEMPLO DE NOMINA'!$D$102:$D$10000,"NO",'EJEMPLO DE NOMINA'!$B$102:$B$10000,L13,'EJEMPLO DE NOMINA'!$C$102:$C$10000,"ok")</f>
        <v>0</v>
      </c>
      <c r="M34" s="51">
        <f>SUMIFS('EJEMPLO DE NOMINA'!$AS$102:$AS$10000,'EJEMPLO DE NOMINA'!$D$102:$D$10000,"NO",'EJEMPLO DE NOMINA'!$B$102:$B$10000,M13,'EJEMPLO DE NOMINA'!$C$102:$C$10000,"ok")</f>
        <v>0</v>
      </c>
      <c r="N34" s="51">
        <f>SUMIFS('EJEMPLO DE NOMINA'!$AS$102:$AS$10000,'EJEMPLO DE NOMINA'!$D$102:$D$10000,"NO",'EJEMPLO DE NOMINA'!$B$102:$B$10000,N13,'EJEMPLO DE NOMINA'!$C$102:$C$10000,"ok")</f>
        <v>0</v>
      </c>
      <c r="O34" s="51">
        <f>SUMIFS('EJEMPLO DE NOMINA'!$AS$102:$AS$10000,'EJEMPLO DE NOMINA'!$D$102:$D$10000,"NO",'EJEMPLO DE NOMINA'!$B$102:$B$10000,O13,'EJEMPLO DE NOMINA'!$C$102:$C$10000,"ok")</f>
        <v>0</v>
      </c>
      <c r="P34" s="43">
        <f t="shared" si="11"/>
        <v>617544.06000000006</v>
      </c>
    </row>
    <row r="35" spans="2:16" x14ac:dyDescent="0.25">
      <c r="B35" s="175"/>
      <c r="C35" s="50" t="s">
        <v>85</v>
      </c>
      <c r="D35" s="158">
        <f>SUMIFS('EJEMPLO DE NOMINA'!$AZ$102:$AZ$255,'EJEMPLO DE NOMINA'!$C$102:$C$255,"OK",'EJEMPLO DE NOMINA'!$B$102:$B$255,D13,'EJEMPLO DE NOMINA'!$C$102:$C$255,"ok")</f>
        <v>96808.72000000003</v>
      </c>
      <c r="E35" s="51">
        <f>SUMIFS('EJEMPLO DE NOMINA'!$AZ$102:$AZ$360,'EJEMPLO DE NOMINA'!$C$102:$C$360,"OK",'EJEMPLO DE NOMINA'!$B$102:$B$360,E13)</f>
        <v>111028.45000000003</v>
      </c>
      <c r="F35" s="158">
        <f>SUMIFS('EJEMPLO DE NOMINA'!$AZ$102:$AZ$10000,'EJEMPLO DE NOMINA'!$C$102:$C$10000,"OK",'EJEMPLO DE NOMINA'!$B$102:$B$10000,F13)</f>
        <v>113076.75</v>
      </c>
      <c r="G35" s="51">
        <f>SUMIFS('EJEMPLO DE NOMINA'!$AZ$102:$AZ$10000,'EJEMPLO DE NOMINA'!$C$102:$C$10000,"OK",'EJEMPLO DE NOMINA'!$B$102:$B$10000,G13)</f>
        <v>0</v>
      </c>
      <c r="H35" s="51">
        <f>SUMIFS('EJEMPLO DE NOMINA'!$AZ$102:$AZ$10000,'EJEMPLO DE NOMINA'!$C$102:$C$10000,"OK",'EJEMPLO DE NOMINA'!$B$102:$B$10000,H13)</f>
        <v>0</v>
      </c>
      <c r="I35" s="51">
        <f>SUMIFS('EJEMPLO DE NOMINA'!$AZ$102:$AZ$10000,'EJEMPLO DE NOMINA'!$C$102:$C$10000,"OK",'EJEMPLO DE NOMINA'!$B$102:$B$10000,I13)</f>
        <v>0</v>
      </c>
      <c r="J35" s="51">
        <f>SUMIFS('EJEMPLO DE NOMINA'!$AZ$102:$AZ$10000,'EJEMPLO DE NOMINA'!$C$102:$C$10000,"OK",'EJEMPLO DE NOMINA'!$B$102:$B$10000,J13)</f>
        <v>0</v>
      </c>
      <c r="K35" s="51">
        <f>SUMIFS('EJEMPLO DE NOMINA'!$AZ$102:$AZ$10000,'EJEMPLO DE NOMINA'!$C$102:$C$10000,"OK",'EJEMPLO DE NOMINA'!$B$102:$B$10000,K13)</f>
        <v>0</v>
      </c>
      <c r="L35" s="51">
        <f>SUMIFS('EJEMPLO DE NOMINA'!$AZ$102:$AZ$10000,'EJEMPLO DE NOMINA'!$C$102:$C$10000,"OK",'EJEMPLO DE NOMINA'!$B$102:$B$10000,L13)</f>
        <v>0</v>
      </c>
      <c r="M35" s="51">
        <f>SUMIFS('EJEMPLO DE NOMINA'!$AZ$102:$AZ$10000,'EJEMPLO DE NOMINA'!$C$102:$C$10000,"OK",'EJEMPLO DE NOMINA'!$B$102:$B$10000,M13)</f>
        <v>0</v>
      </c>
      <c r="N35" s="51">
        <f>SUMIFS('EJEMPLO DE NOMINA'!$AZ$102:$AZ$10000,'EJEMPLO DE NOMINA'!$C$102:$C$10000,"OK",'EJEMPLO DE NOMINA'!$B$102:$B$10000,N13)</f>
        <v>0</v>
      </c>
      <c r="O35" s="51">
        <f>SUMIFS('EJEMPLO DE NOMINA'!$AZ$102:$AZ$10000,'EJEMPLO DE NOMINA'!$C$102:$C$10000,"OK",'EJEMPLO DE NOMINA'!$B$102:$B$10000,O13)</f>
        <v>0</v>
      </c>
      <c r="P35" s="43">
        <f t="shared" si="11"/>
        <v>320913.92000000004</v>
      </c>
    </row>
    <row r="36" spans="2:16" x14ac:dyDescent="0.25">
      <c r="B36" s="175"/>
      <c r="C36" s="50" t="s">
        <v>91</v>
      </c>
      <c r="D36" s="158">
        <f>SUMIFS('EJEMPLO DE NOMINA'!$BG$102:$BG$255,'EJEMPLO DE NOMINA'!$C$102:$C$255,"OK",'EJEMPLO DE NOMINA'!$B$102:$B$255,D13,'EJEMPLO DE NOMINA'!$C$102:$C$255,"ok")</f>
        <v>193617.35000000003</v>
      </c>
      <c r="E36" s="158">
        <f>SUMIFS('EJEMPLO DE NOMINA'!$BG$102:$BG$360,'EJEMPLO DE NOMINA'!$C$102:$C$360,"OK",'EJEMPLO DE NOMINA'!$B$102:$B$360,E13,'EJEMPLO DE NOMINA'!$C$102:$C$360,"ok")</f>
        <v>222939.3000000001</v>
      </c>
      <c r="F36" s="158">
        <f>SUMIFS('EJEMPLO DE NOMINA'!$BG$102:$BG$10000,'EJEMPLO DE NOMINA'!$C$102:$C$10000,"OK",'EJEMPLO DE NOMINA'!$B$102:$B$10000,F13,'EJEMPLO DE NOMINA'!$C$102:$C$10000,"ok")</f>
        <v>260505.25999999998</v>
      </c>
      <c r="G36" s="158">
        <f>SUMIFS('EJEMPLO DE NOMINA'!$BG$102:$BG$10000,'EJEMPLO DE NOMINA'!$C$102:$C$10000,"OK",'EJEMPLO DE NOMINA'!$B$102:$B$10000,G13,'EJEMPLO DE NOMINA'!$C$102:$C$10000,"ok")</f>
        <v>0</v>
      </c>
      <c r="H36" s="158">
        <f>SUMIFS('EJEMPLO DE NOMINA'!$BG$102:$BG$10000,'EJEMPLO DE NOMINA'!$C$102:$C$10000,"OK",'EJEMPLO DE NOMINA'!$B$102:$B$10000,H13,'EJEMPLO DE NOMINA'!$C$102:$C$10000,"ok")</f>
        <v>0</v>
      </c>
      <c r="I36" s="158">
        <f>SUMIFS('EJEMPLO DE NOMINA'!$BG$102:$BG$10000,'EJEMPLO DE NOMINA'!$C$102:$C$10000,"OK",'EJEMPLO DE NOMINA'!$B$102:$B$10000,I13,'EJEMPLO DE NOMINA'!$C$102:$C$10000,"ok")</f>
        <v>0</v>
      </c>
      <c r="J36" s="158">
        <f>SUMIFS('EJEMPLO DE NOMINA'!$BG$102:$BG$10000,'EJEMPLO DE NOMINA'!$C$102:$C$10000,"OK",'EJEMPLO DE NOMINA'!$B$102:$B$10000,J13,'EJEMPLO DE NOMINA'!$C$102:$C$10000,"ok")</f>
        <v>0</v>
      </c>
      <c r="K36" s="158">
        <f>SUMIFS('EJEMPLO DE NOMINA'!$BG$102:$BG$10000,'EJEMPLO DE NOMINA'!$C$102:$C$10000,"OK",'EJEMPLO DE NOMINA'!$B$102:$B$10000,K13,'EJEMPLO DE NOMINA'!$C$102:$C$10000,"ok")</f>
        <v>0</v>
      </c>
      <c r="L36" s="158">
        <f>SUMIFS('EJEMPLO DE NOMINA'!$BG$102:$BG$10000,'EJEMPLO DE NOMINA'!$C$102:$C$10000,"OK",'EJEMPLO DE NOMINA'!$B$102:$B$10000,L13,'EJEMPLO DE NOMINA'!$C$102:$C$10000,"ok")</f>
        <v>0</v>
      </c>
      <c r="M36" s="158">
        <f>SUMIFS('EJEMPLO DE NOMINA'!$BG$102:$BG$10000,'EJEMPLO DE NOMINA'!$C$102:$C$10000,"OK",'EJEMPLO DE NOMINA'!$B$102:$B$10000,M13,'EJEMPLO DE NOMINA'!$C$102:$C$10000,"ok")</f>
        <v>0</v>
      </c>
      <c r="N36" s="158">
        <f>SUMIFS('EJEMPLO DE NOMINA'!$BG$102:$BG$10000,'EJEMPLO DE NOMINA'!$C$102:$C$10000,"OK",'EJEMPLO DE NOMINA'!$B$102:$B$10000,N13,'EJEMPLO DE NOMINA'!$C$102:$C$10000,"ok")</f>
        <v>0</v>
      </c>
      <c r="O36" s="158">
        <f>SUMIFS('EJEMPLO DE NOMINA'!$BG$102:$BG$10000,'EJEMPLO DE NOMINA'!$C$102:$C$10000,"OK",'EJEMPLO DE NOMINA'!$B$102:$B$10000,O13,'EJEMPLO DE NOMINA'!$C$102:$C$10000,"ok")</f>
        <v>0</v>
      </c>
      <c r="P36" s="43">
        <f t="shared" si="11"/>
        <v>677061.91000000015</v>
      </c>
    </row>
    <row r="37" spans="2:16" x14ac:dyDescent="0.25">
      <c r="B37" s="175"/>
      <c r="C37" s="50" t="s">
        <v>99</v>
      </c>
      <c r="D37" s="158">
        <f>SUMIFS('EJEMPLO DE NOMINA'!$BO$102:$BO$255,'EJEMPLO DE NOMINA'!$C$102:$C$255,"OK",'EJEMPLO DE NOMINA'!$B$102:$B$255,D13,'EJEMPLO DE NOMINA'!$C$102:$C$255,"ok")</f>
        <v>96808.72000000003</v>
      </c>
      <c r="E37" s="158">
        <f>SUMIFS('EJEMPLO DE NOMINA'!$BO$102:$BO$360,'EJEMPLO DE NOMINA'!$C$102:$C$360,"OK",'EJEMPLO DE NOMINA'!$B$102:$B$360,E13,'EJEMPLO DE NOMINA'!$C$102:$C$360,"ok")</f>
        <v>110963.37000000002</v>
      </c>
      <c r="F37" s="158">
        <f>SUMIFS('EJEMPLO DE NOMINA'!$BO$102:$BO$10000,'EJEMPLO DE NOMINA'!$C$102:$C$10000,"OK",'EJEMPLO DE NOMINA'!$B$102:$B$10000,F13,'EJEMPLO DE NOMINA'!$C$102:$C$10000,"ok")</f>
        <v>130062.87000000002</v>
      </c>
      <c r="G37" s="158">
        <f>SUMIFS('EJEMPLO DE NOMINA'!$BO$102:$BO$255,'EJEMPLO DE NOMINA'!$C$102:$C$255,"OK",'EJEMPLO DE NOMINA'!$B$102:$B$255,G13,'EJEMPLO DE NOMINA'!$C$102:$C$255,"ok")</f>
        <v>0</v>
      </c>
      <c r="H37" s="158">
        <f>SUMIFS('EJEMPLO DE NOMINA'!$BO$102:$BO$255,'EJEMPLO DE NOMINA'!$C$102:$C$255,"OK",'EJEMPLO DE NOMINA'!$B$102:$B$255,H13,'EJEMPLO DE NOMINA'!$C$102:$C$255,"ok")</f>
        <v>0</v>
      </c>
      <c r="I37" s="158">
        <f>SUMIFS('EJEMPLO DE NOMINA'!$BO$102:$BO$255,'EJEMPLO DE NOMINA'!$C$102:$C$255,"OK",'EJEMPLO DE NOMINA'!$B$102:$B$255,I13,'EJEMPLO DE NOMINA'!$C$102:$C$255,"ok")</f>
        <v>0</v>
      </c>
      <c r="J37" s="158">
        <f>SUMIFS('EJEMPLO DE NOMINA'!$BO$102:$BO$255,'EJEMPLO DE NOMINA'!$C$102:$C$255,"OK",'EJEMPLO DE NOMINA'!$B$102:$B$255,J13,'EJEMPLO DE NOMINA'!$C$102:$C$255,"ok")</f>
        <v>0</v>
      </c>
      <c r="K37" s="158">
        <f>SUMIFS('EJEMPLO DE NOMINA'!$BO$102:$BO$255,'EJEMPLO DE NOMINA'!$C$102:$C$255,"OK",'EJEMPLO DE NOMINA'!$B$102:$B$255,K13,'EJEMPLO DE NOMINA'!$C$102:$C$255,"ok")</f>
        <v>0</v>
      </c>
      <c r="L37" s="158">
        <f>SUMIFS('EJEMPLO DE NOMINA'!$BO$102:$BO$255,'EJEMPLO DE NOMINA'!$C$102:$C$255,"OK",'EJEMPLO DE NOMINA'!$B$102:$B$255,L13,'EJEMPLO DE NOMINA'!$C$102:$C$255,"ok")</f>
        <v>0</v>
      </c>
      <c r="M37" s="158">
        <f>SUMIFS('EJEMPLO DE NOMINA'!$BO$102:$BO$255,'EJEMPLO DE NOMINA'!$C$102:$C$255,"OK",'EJEMPLO DE NOMINA'!$B$102:$B$255,M13,'EJEMPLO DE NOMINA'!$C$102:$C$255,"ok")</f>
        <v>0</v>
      </c>
      <c r="N37" s="51">
        <f>SUMIFS('EJEMPLO DE NOMINA'!$BO$102:$BO$255,'EJEMPLO DE NOMINA'!$C$102:$C$255,"OK",'EJEMPLO DE NOMINA'!$B$102:$B$255,N13)</f>
        <v>0</v>
      </c>
      <c r="O37" s="158">
        <f>SUMIFS('EJEMPLO DE NOMINA'!$BO$102:$BO$255,'EJEMPLO DE NOMINA'!$C$102:$C$255,"OK",'EJEMPLO DE NOMINA'!$B$102:$B$255,O13)</f>
        <v>0</v>
      </c>
      <c r="P37" s="43">
        <f t="shared" si="11"/>
        <v>337834.96000000008</v>
      </c>
    </row>
    <row r="38" spans="2:16" x14ac:dyDescent="0.25">
      <c r="B38" s="175"/>
      <c r="C38" s="50" t="s">
        <v>100</v>
      </c>
      <c r="D38" s="51">
        <f>SUMIFS('EJEMPLO DE NOMINA'!$BP$102:$BP$255,'EJEMPLO DE NOMINA'!$C$102:$C$255,"OK",'EJEMPLO DE NOMINA'!$B$102:$B$255,D13)</f>
        <v>265000</v>
      </c>
      <c r="E38" s="51">
        <f>SUMIFS('EJEMPLO DE NOMINA'!$BP$102:$BP$360,'EJEMPLO DE NOMINA'!$C$102:$C$360,"OK",'EJEMPLO DE NOMINA'!$B$102:$B$360,E13)</f>
        <v>0</v>
      </c>
      <c r="F38" s="158">
        <f>SUMIFS('EJEMPLO DE NOMINA'!$BP$102:$BP$10000,'EJEMPLO DE NOMINA'!$C$102:$C$10000,"OK",'EJEMPLO DE NOMINA'!$B$102:$B$10000,F13)</f>
        <v>580000</v>
      </c>
      <c r="G38" s="51">
        <f>SUMIFS('EJEMPLO DE NOMINA'!$BP$102:$BP$255,'EJEMPLO DE NOMINA'!$C$102:$C$255,"OK",'EJEMPLO DE NOMINA'!$B$102:$B$255,G13)</f>
        <v>0</v>
      </c>
      <c r="H38" s="51">
        <f>SUMIFS('EJEMPLO DE NOMINA'!$BP$102:$BP$255,'EJEMPLO DE NOMINA'!$C$102:$C$255,"OK",'EJEMPLO DE NOMINA'!$B$102:$B$255,H13)</f>
        <v>0</v>
      </c>
      <c r="I38" s="51"/>
      <c r="J38" s="134">
        <f>SUMIFS('EJEMPLO DE NOMINA'!$BP$102:$BP$255,'EJEMPLO DE NOMINA'!$C$102:$C$255,"OK",'EJEMPLO DE NOMINA'!$B$102:$B$255,J13)</f>
        <v>0</v>
      </c>
      <c r="K38" s="51">
        <f>SUMIFS('EJEMPLO DE NOMINA'!$BP$102:$BP$255,'EJEMPLO DE NOMINA'!$C$102:$C$255,"OK",'EJEMPLO DE NOMINA'!$B$102:$B$255,K13)</f>
        <v>0</v>
      </c>
      <c r="L38" s="51">
        <f>SUMIFS('EJEMPLO DE NOMINA'!$BP$102:$BP$255,'EJEMPLO DE NOMINA'!$C$102:$C$255,"OK",'EJEMPLO DE NOMINA'!$B$102:$B$255,L13)</f>
        <v>0</v>
      </c>
      <c r="M38" s="51">
        <f>SUMIFS('EJEMPLO DE NOMINA'!$BP$102:$BP$255,'EJEMPLO DE NOMINA'!$C$102:$C$255,"OK",'EJEMPLO DE NOMINA'!$B$102:$B$255,M13)</f>
        <v>0</v>
      </c>
      <c r="N38" s="51">
        <f>SUMIFS('EJEMPLO DE NOMINA'!$BP$102:$BP$255,'EJEMPLO DE NOMINA'!$C$102:$C$255,"OK",'EJEMPLO DE NOMINA'!$B$102:$B$255,N13)</f>
        <v>0</v>
      </c>
      <c r="O38" s="51">
        <f>SUMIFS('EJEMPLO DE NOMINA'!$BP$102:$BP$255,'EJEMPLO DE NOMINA'!$C$102:$C$255,"OK",'EJEMPLO DE NOMINA'!$B$102:$B$255,O13)</f>
        <v>0</v>
      </c>
      <c r="P38" s="135"/>
    </row>
    <row r="39" spans="2:16" x14ac:dyDescent="0.25">
      <c r="B39" s="175"/>
      <c r="C39" s="52" t="s">
        <v>136</v>
      </c>
      <c r="D39" s="53">
        <f t="shared" ref="D39:O39" si="12">SUM(D33:D37)</f>
        <v>584512.09000000008</v>
      </c>
      <c r="E39" s="53">
        <f>SUM(E33:E38)</f>
        <v>674234.61000000022</v>
      </c>
      <c r="F39" s="53">
        <f>SUM(F33:F38)</f>
        <v>1349005.49</v>
      </c>
      <c r="G39" s="53">
        <f>SUM(G33:G38)</f>
        <v>0</v>
      </c>
      <c r="H39" s="53">
        <f>SUM(H33:H37)</f>
        <v>0</v>
      </c>
      <c r="I39" s="53">
        <f t="shared" si="12"/>
        <v>0</v>
      </c>
      <c r="J39" s="53">
        <f>SUM(J33:J37)</f>
        <v>0</v>
      </c>
      <c r="K39" s="53">
        <f>SUM(K33:K38)</f>
        <v>0</v>
      </c>
      <c r="L39" s="53">
        <f t="shared" ref="L39:N39" si="13">SUM(L33:L38)</f>
        <v>0</v>
      </c>
      <c r="M39" s="53">
        <f t="shared" si="13"/>
        <v>0</v>
      </c>
      <c r="N39" s="53">
        <f t="shared" si="13"/>
        <v>0</v>
      </c>
      <c r="O39" s="53">
        <f t="shared" si="12"/>
        <v>0</v>
      </c>
      <c r="P39" s="44">
        <f t="shared" si="11"/>
        <v>2607752.1900000004</v>
      </c>
    </row>
    <row r="40" spans="2:16" s="32" customFormat="1" x14ac:dyDescent="0.25">
      <c r="C40" s="54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45"/>
    </row>
    <row r="41" spans="2:16" x14ac:dyDescent="0.25">
      <c r="C41" s="136" t="s">
        <v>138</v>
      </c>
      <c r="D41" s="57">
        <f t="shared" ref="D41:J41" si="14">+D29-D39</f>
        <v>415000.00800000003</v>
      </c>
      <c r="E41" s="57">
        <f t="shared" si="14"/>
        <v>-2267.2231500004418</v>
      </c>
      <c r="F41" s="57">
        <f t="shared" si="14"/>
        <v>-83670.926900000079</v>
      </c>
      <c r="G41" s="57">
        <f>+G29-G39</f>
        <v>0</v>
      </c>
      <c r="H41" s="57">
        <f t="shared" si="14"/>
        <v>0</v>
      </c>
      <c r="I41" s="57">
        <f t="shared" si="14"/>
        <v>0</v>
      </c>
      <c r="J41" s="57">
        <f t="shared" si="14"/>
        <v>0</v>
      </c>
      <c r="K41" s="57">
        <f>+K29-K39</f>
        <v>0</v>
      </c>
      <c r="L41" s="57">
        <f t="shared" ref="L41:O41" si="15">+L29-L39</f>
        <v>0</v>
      </c>
      <c r="M41" s="57">
        <f t="shared" si="15"/>
        <v>0</v>
      </c>
      <c r="N41" s="57">
        <f t="shared" si="15"/>
        <v>0</v>
      </c>
      <c r="O41" s="57">
        <f t="shared" si="15"/>
        <v>0</v>
      </c>
      <c r="P41" s="40">
        <f>+P29-P39</f>
        <v>329061.85794999916</v>
      </c>
    </row>
    <row r="42" spans="2:16" s="32" customFormat="1" x14ac:dyDescent="0.25">
      <c r="C42" s="137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2:16" s="32" customFormat="1" x14ac:dyDescent="0.25">
      <c r="C43" s="136" t="s">
        <v>151</v>
      </c>
      <c r="D43" s="56"/>
      <c r="E43" s="110">
        <f t="shared" ref="E43:O43" si="16">++E39/D39-1</f>
        <v>0.15349985318524406</v>
      </c>
      <c r="F43" s="110">
        <f t="shared" si="16"/>
        <v>1.0007953759597115</v>
      </c>
      <c r="G43" s="110">
        <f>++G39/F39-1</f>
        <v>-1</v>
      </c>
      <c r="H43" s="110" t="e">
        <f t="shared" si="16"/>
        <v>#DIV/0!</v>
      </c>
      <c r="I43" s="110" t="e">
        <f t="shared" si="16"/>
        <v>#DIV/0!</v>
      </c>
      <c r="J43" s="110" t="e">
        <f t="shared" si="16"/>
        <v>#DIV/0!</v>
      </c>
      <c r="K43" s="110" t="e">
        <f t="shared" si="16"/>
        <v>#DIV/0!</v>
      </c>
      <c r="L43" s="110" t="e">
        <f t="shared" si="16"/>
        <v>#DIV/0!</v>
      </c>
      <c r="M43" s="110" t="e">
        <f>++M39/L39-1</f>
        <v>#DIV/0!</v>
      </c>
      <c r="N43" s="110" t="e">
        <f t="shared" si="16"/>
        <v>#DIV/0!</v>
      </c>
      <c r="O43" s="110" t="e">
        <f t="shared" si="16"/>
        <v>#DIV/0!</v>
      </c>
    </row>
    <row r="44" spans="2:16" s="32" customFormat="1" x14ac:dyDescent="0.25">
      <c r="C44" s="54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</row>
    <row r="45" spans="2:16" s="32" customFormat="1" x14ac:dyDescent="0.25"/>
    <row r="46" spans="2:16" s="32" customFormat="1" x14ac:dyDescent="0.25"/>
    <row r="47" spans="2:16" s="32" customFormat="1" x14ac:dyDescent="0.25"/>
    <row r="48" spans="2:16" s="32" customFormat="1" x14ac:dyDescent="0.25"/>
    <row r="49" s="32" customFormat="1" x14ac:dyDescent="0.25"/>
    <row r="50" s="32" customFormat="1" x14ac:dyDescent="0.25"/>
    <row r="51" s="32" customFormat="1" x14ac:dyDescent="0.25"/>
    <row r="52" s="32" customFormat="1" x14ac:dyDescent="0.25"/>
    <row r="53" s="32" customFormat="1" x14ac:dyDescent="0.25"/>
    <row r="54" s="32" customFormat="1" x14ac:dyDescent="0.25"/>
    <row r="55" s="32" customFormat="1" x14ac:dyDescent="0.25"/>
    <row r="56" s="32" customFormat="1" x14ac:dyDescent="0.25"/>
    <row r="57" s="32" customFormat="1" x14ac:dyDescent="0.25"/>
    <row r="58" s="32" customFormat="1" x14ac:dyDescent="0.25"/>
    <row r="59" s="32" customFormat="1" x14ac:dyDescent="0.25"/>
    <row r="60" s="32" customFormat="1" x14ac:dyDescent="0.25"/>
    <row r="61" s="32" customFormat="1" x14ac:dyDescent="0.25"/>
    <row r="62" s="32" customFormat="1" x14ac:dyDescent="0.25"/>
    <row r="63" s="32" customFormat="1" x14ac:dyDescent="0.25"/>
    <row r="64" s="32" customFormat="1" x14ac:dyDescent="0.25"/>
  </sheetData>
  <mergeCells count="8">
    <mergeCell ref="B33:B39"/>
    <mergeCell ref="B14:B29"/>
    <mergeCell ref="C3:D3"/>
    <mergeCell ref="C4:D4"/>
    <mergeCell ref="C5:D5"/>
    <mergeCell ref="C6:D6"/>
    <mergeCell ref="C10:D10"/>
    <mergeCell ref="B9:B10"/>
  </mergeCells>
  <conditionalFormatting sqref="D41:P41">
    <cfRule type="cellIs" dxfId="0" priority="1" operator="between">
      <formula>-1</formula>
      <formula>1</formula>
    </cfRule>
  </conditionalFormatting>
  <pageMargins left="0.15748031496062992" right="0.15748031496062992" top="0.19685039370078741" bottom="0.19685039370078741" header="0.51181102362204722" footer="0.51181102362204722"/>
  <pageSetup paperSize="121" scale="5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theme="8" tint="0.39997558519241921"/>
  </sheetPr>
  <dimension ref="A1:BV489"/>
  <sheetViews>
    <sheetView topLeftCell="A99" zoomScale="115" zoomScaleNormal="115" workbookViewId="0">
      <pane ySplit="3" topLeftCell="A403" activePane="bottomLeft" state="frozen"/>
      <selection activeCell="A99" sqref="A99"/>
      <selection pane="bottomLeft" activeCell="F361" sqref="F361:F489"/>
    </sheetView>
  </sheetViews>
  <sheetFormatPr baseColWidth="10" defaultRowHeight="15" x14ac:dyDescent="0.25"/>
  <cols>
    <col min="1" max="1" width="7.7109375" style="7" customWidth="1"/>
    <col min="3" max="3" width="7.140625" style="11" customWidth="1"/>
    <col min="4" max="4" width="8.140625" style="20" customWidth="1"/>
    <col min="5" max="5" width="9.85546875" style="7" customWidth="1"/>
    <col min="6" max="6" width="40.140625" style="7" customWidth="1"/>
    <col min="7" max="7" width="11.5703125" style="7" customWidth="1"/>
    <col min="8" max="8" width="11.42578125" style="7" customWidth="1"/>
    <col min="9" max="9" width="14.42578125" style="7" customWidth="1"/>
    <col min="10" max="10" width="19.85546875" style="7" customWidth="1"/>
    <col min="11" max="11" width="23.28515625" style="7" customWidth="1"/>
    <col min="12" max="12" width="8.7109375" style="7" customWidth="1"/>
    <col min="13" max="13" width="14.7109375" style="29" customWidth="1"/>
    <col min="14" max="14" width="11.85546875" style="29" customWidth="1"/>
    <col min="15" max="15" width="9.85546875" style="29" customWidth="1"/>
    <col min="16" max="16" width="13.140625" style="29" customWidth="1"/>
    <col min="17" max="17" width="40.7109375" style="29" customWidth="1"/>
    <col min="18" max="18" width="11.85546875" style="7" customWidth="1"/>
    <col min="19" max="19" width="47.140625" style="7" customWidth="1"/>
    <col min="20" max="20" width="30" style="7" customWidth="1"/>
    <col min="21" max="21" width="12.7109375" style="7" customWidth="1"/>
    <col min="22" max="22" width="19.85546875" style="7" customWidth="1"/>
    <col min="23" max="23" width="14" style="7" customWidth="1"/>
    <col min="24" max="24" width="33" style="7" customWidth="1"/>
    <col min="25" max="25" width="13" style="7" customWidth="1"/>
    <col min="26" max="26" width="14.7109375" style="7" customWidth="1"/>
    <col min="27" max="27" width="12.42578125" style="7" customWidth="1"/>
    <col min="28" max="28" width="22.28515625" style="7" customWidth="1"/>
    <col min="29" max="29" width="13.140625" style="7" customWidth="1"/>
    <col min="30" max="30" width="13.42578125" style="7" customWidth="1"/>
    <col min="31" max="31" width="14" style="7" customWidth="1"/>
    <col min="32" max="32" width="17" style="7" customWidth="1"/>
    <col min="33" max="33" width="16.85546875" style="7" customWidth="1"/>
    <col min="34" max="34" width="16.140625" style="7" customWidth="1"/>
    <col min="35" max="35" width="17.28515625" style="7" customWidth="1"/>
    <col min="36" max="36" width="15.140625" style="7" customWidth="1"/>
    <col min="37" max="38" width="11.42578125" style="7" customWidth="1"/>
    <col min="39" max="39" width="12.5703125" style="7" customWidth="1"/>
    <col min="40" max="40" width="14" style="7" customWidth="1"/>
    <col min="41" max="41" width="15.7109375" style="7" customWidth="1"/>
    <col min="42" max="42" width="11.7109375" style="7" customWidth="1"/>
    <col min="43" max="43" width="12.5703125" style="7" customWidth="1"/>
    <col min="44" max="44" width="16" style="7" customWidth="1"/>
    <col min="45" max="45" width="17.85546875" style="30" customWidth="1"/>
    <col min="46" max="46" width="15.140625" style="7" customWidth="1"/>
    <col min="47" max="47" width="20.7109375" style="7" customWidth="1"/>
    <col min="48" max="49" width="15.42578125" style="7" customWidth="1"/>
    <col min="50" max="50" width="15.5703125" style="7" customWidth="1"/>
    <col min="51" max="51" width="15.85546875" style="7" customWidth="1"/>
    <col min="52" max="52" width="15.28515625" style="7" customWidth="1"/>
    <col min="53" max="53" width="15.85546875" style="7" customWidth="1"/>
    <col min="54" max="54" width="13.85546875" style="7" customWidth="1"/>
    <col min="55" max="55" width="15.85546875" style="7" customWidth="1"/>
    <col min="56" max="56" width="20.85546875" style="7" customWidth="1"/>
    <col min="57" max="57" width="18" style="7" customWidth="1"/>
    <col min="58" max="58" width="20.42578125" style="7" customWidth="1"/>
    <col min="59" max="59" width="24.140625" style="7" customWidth="1"/>
    <col min="60" max="61" width="24.7109375" style="7" customWidth="1"/>
    <col min="62" max="62" width="25.28515625" style="7" customWidth="1"/>
    <col min="63" max="63" width="18.28515625" style="7" customWidth="1"/>
    <col min="64" max="64" width="25.140625" style="7" customWidth="1"/>
    <col min="65" max="65" width="28.28515625" style="7" customWidth="1"/>
    <col min="66" max="66" width="31.85546875" style="7" customWidth="1"/>
    <col min="67" max="68" width="26.140625" style="7" customWidth="1"/>
    <col min="69" max="69" width="21" style="7" customWidth="1"/>
    <col min="70" max="70" width="10.42578125" style="7" customWidth="1"/>
    <col min="71" max="71" width="11.42578125" style="7" customWidth="1"/>
    <col min="72" max="74" width="11.7109375" style="7" customWidth="1"/>
    <col min="75" max="16384" width="11.42578125" style="7"/>
  </cols>
  <sheetData>
    <row r="1" spans="1:74" ht="11.25" hidden="1" customHeight="1" x14ac:dyDescent="0.2">
      <c r="A1" s="123"/>
      <c r="B1" s="123" t="s">
        <v>104</v>
      </c>
      <c r="C1" s="124" t="s">
        <v>21</v>
      </c>
      <c r="D1" s="125"/>
      <c r="E1" s="20" t="s">
        <v>103</v>
      </c>
      <c r="F1" s="7" t="str">
        <f t="shared" ref="F1:AJ1" si="0">+F101</f>
        <v>Apellido y Nombre</v>
      </c>
      <c r="G1" s="7" t="str">
        <f t="shared" si="0"/>
        <v>CUIL</v>
      </c>
      <c r="H1" s="7" t="str">
        <f t="shared" si="0"/>
        <v>F.R.P.</v>
      </c>
      <c r="I1" s="7" t="str">
        <f t="shared" si="0"/>
        <v>Nro. Doc</v>
      </c>
      <c r="J1" s="7" t="str">
        <f t="shared" si="0"/>
        <v>Apellido</v>
      </c>
      <c r="K1" s="7" t="str">
        <f t="shared" si="0"/>
        <v>Nombre</v>
      </c>
      <c r="L1" s="7" t="str">
        <f t="shared" si="0"/>
        <v>Sexo</v>
      </c>
      <c r="M1" s="7" t="str">
        <f t="shared" si="0"/>
        <v>F. Antigüedad</v>
      </c>
      <c r="N1" s="29" t="str">
        <f t="shared" si="0"/>
        <v>Ingreso</v>
      </c>
      <c r="O1" s="29" t="str">
        <f t="shared" si="0"/>
        <v>Egreso</v>
      </c>
      <c r="P1" s="29" t="str">
        <f t="shared" si="0"/>
        <v>FecBajaCAT</v>
      </c>
      <c r="Q1" s="7" t="str">
        <f t="shared" si="0"/>
        <v>Convenio</v>
      </c>
      <c r="R1" s="7" t="str">
        <f t="shared" si="0"/>
        <v>Categoría</v>
      </c>
      <c r="S1" s="7" t="str">
        <f t="shared" si="0"/>
        <v>Cliente</v>
      </c>
      <c r="T1" s="7" t="str">
        <f t="shared" si="0"/>
        <v>Unidad</v>
      </c>
      <c r="U1" s="7" t="str">
        <f t="shared" si="0"/>
        <v>U.O.Propia</v>
      </c>
      <c r="V1" s="7" t="str">
        <f t="shared" si="0"/>
        <v>Calificación Profesional</v>
      </c>
      <c r="W1" s="7" t="str">
        <f t="shared" si="0"/>
        <v>O Soc Codigo</v>
      </c>
      <c r="X1" s="7" t="str">
        <f t="shared" si="0"/>
        <v>O Soc Nombre</v>
      </c>
      <c r="Y1" s="7" t="str">
        <f t="shared" si="0"/>
        <v>Zona</v>
      </c>
      <c r="Z1" s="7" t="str">
        <f t="shared" si="0"/>
        <v>Laboral Barrio</v>
      </c>
      <c r="AA1" s="7" t="str">
        <f t="shared" si="0"/>
        <v>Laboral CP</v>
      </c>
      <c r="AB1" s="7" t="str">
        <f t="shared" si="0"/>
        <v>Laboral Calle</v>
      </c>
      <c r="AC1" s="7" t="str">
        <f t="shared" si="0"/>
        <v>Laboral Nro</v>
      </c>
      <c r="AD1" s="7" t="str">
        <f t="shared" si="0"/>
        <v>Laboral Piso</v>
      </c>
      <c r="AE1" s="7" t="str">
        <f t="shared" si="0"/>
        <v>Laboral Dpto</v>
      </c>
      <c r="AF1" s="7" t="str">
        <f t="shared" si="0"/>
        <v>Laboral Localidad</v>
      </c>
      <c r="AG1" s="7" t="str">
        <f t="shared" si="0"/>
        <v>Laboral Provincia</v>
      </c>
      <c r="AH1" s="7" t="str">
        <f t="shared" si="0"/>
        <v>Centro de Costo</v>
      </c>
      <c r="AI1" s="7" t="str">
        <f t="shared" si="0"/>
        <v>Lugar de Pago</v>
      </c>
      <c r="AJ1" s="7" t="str">
        <f t="shared" si="0"/>
        <v>Sector Interno</v>
      </c>
      <c r="AK1" s="7" t="str">
        <f t="shared" ref="AK1:BP1" si="1">+AK101</f>
        <v>Recibos</v>
      </c>
      <c r="AL1" s="7" t="str">
        <f t="shared" si="1"/>
        <v>Legajos</v>
      </c>
      <c r="AM1" s="7" t="str">
        <f t="shared" si="1"/>
        <v>Bruto</v>
      </c>
      <c r="AN1" s="7" t="str">
        <f t="shared" si="1"/>
        <v>Retenciones</v>
      </c>
      <c r="AO1" s="7" t="str">
        <f t="shared" si="1"/>
        <v>Salario Familiar</v>
      </c>
      <c r="AP1" s="7" t="str">
        <f t="shared" si="1"/>
        <v>Exento</v>
      </c>
      <c r="AQ1" s="7" t="str">
        <f t="shared" si="1"/>
        <v>Neto</v>
      </c>
      <c r="AR1" s="8" t="str">
        <f t="shared" si="1"/>
        <v>870 - Cuota Sindical (C)</v>
      </c>
      <c r="AS1" s="8" t="str">
        <f t="shared" si="1"/>
        <v>871 - Aporte Solidario (D)</v>
      </c>
      <c r="AT1" s="7" t="str">
        <f t="shared" si="1"/>
        <v>872 - Federación</v>
      </c>
      <c r="AU1" s="7" t="str">
        <f t="shared" si="1"/>
        <v>873 - Ajuste Desc.Obra Social</v>
      </c>
      <c r="AV1" s="7" t="str">
        <f t="shared" si="1"/>
        <v>874 - Sindicato (D)</v>
      </c>
      <c r="AW1" s="7" t="str">
        <f t="shared" si="1"/>
        <v>875 - Sindicato (T)</v>
      </c>
      <c r="AX1" s="7" t="str">
        <f t="shared" si="1"/>
        <v>880 - Ajuste Sindicato</v>
      </c>
      <c r="AY1" s="7" t="str">
        <f t="shared" si="1"/>
        <v>900 - Seguro de Vida</v>
      </c>
      <c r="AZ1" s="8" t="str">
        <f t="shared" si="1"/>
        <v>901 - Seguro CCT</v>
      </c>
      <c r="BA1" s="7" t="str">
        <f t="shared" si="1"/>
        <v>903 - Seguro (C)</v>
      </c>
      <c r="BC1" s="7" t="str">
        <f t="shared" si="1"/>
        <v>916 - Mutual(C)</v>
      </c>
      <c r="BD1" s="7" t="str">
        <f t="shared" si="1"/>
        <v>932 - Desc.Tarjeta Magnetica</v>
      </c>
      <c r="BE1" s="7" t="str">
        <f t="shared" si="1"/>
        <v>994 - Descuento Anticipo</v>
      </c>
      <c r="BF1" s="7" t="str">
        <f t="shared" si="1"/>
        <v>995 - Descuento Anticipo (M)</v>
      </c>
      <c r="BG1" s="8" t="str">
        <f t="shared" si="1"/>
        <v>1200 - Contribución Patronal 1(C7)</v>
      </c>
      <c r="BH1" s="7" t="str">
        <f t="shared" si="1"/>
        <v>1201 - Contribución Patronal 2 (C8)</v>
      </c>
      <c r="BI1" s="7" t="str">
        <f t="shared" si="1"/>
        <v>1202 - Contribución Patronal 3 (C9)</v>
      </c>
      <c r="BJ1" s="7" t="str">
        <f t="shared" si="1"/>
        <v>1203 - Ajuste Contribución Patronal</v>
      </c>
      <c r="BK1" s="7" t="str">
        <f t="shared" si="1"/>
        <v>1204 - Aporte acuerdo NR</v>
      </c>
      <c r="BL1" s="7" t="str">
        <f t="shared" si="1"/>
        <v>1205 - Contribucion Patronal (T)(C7)</v>
      </c>
      <c r="BM1" s="7" t="str">
        <f t="shared" si="1"/>
        <v>1206 - Contribucion Patronal UOCRA(C8)</v>
      </c>
      <c r="BN1" s="7" t="str">
        <f t="shared" si="1"/>
        <v>1207 - Ajte. Contribucion Patronal UOCRA(C8)</v>
      </c>
      <c r="BO1" s="7" t="str">
        <f t="shared" si="1"/>
        <v>1212 - Contribución Patronal 4(C107)</v>
      </c>
      <c r="BP1" s="7" t="str">
        <f t="shared" si="1"/>
        <v>1213 - Contribución Patronal 5</v>
      </c>
      <c r="BQ1" s="7" t="str">
        <f>+BR101</f>
        <v>TOTAL -</v>
      </c>
      <c r="BR1" s="7" t="e">
        <f>+#REF!</f>
        <v>#REF!</v>
      </c>
      <c r="BS1" s="7" t="str">
        <f t="shared" ref="BS1" si="2">+BS101</f>
        <v>NO REM</v>
      </c>
    </row>
    <row r="2" spans="1:74" ht="11.25" hidden="1" x14ac:dyDescent="0.2">
      <c r="A2" s="123"/>
      <c r="B2" s="123"/>
      <c r="C2" s="124"/>
      <c r="D2" s="125"/>
      <c r="E2" s="18">
        <v>1</v>
      </c>
      <c r="F2" s="16" t="s">
        <v>28</v>
      </c>
      <c r="G2" s="14" t="s">
        <v>109</v>
      </c>
      <c r="H2" s="21">
        <f t="shared" ref="H2:BA2" si="3">SUMIFS(H$102:H$1048576,$A$102:$A$1048576,$E2)</f>
        <v>6977856</v>
      </c>
      <c r="I2" s="21">
        <f t="shared" si="3"/>
        <v>7036506794</v>
      </c>
      <c r="J2" s="21">
        <f t="shared" si="3"/>
        <v>0</v>
      </c>
      <c r="K2" s="21">
        <f t="shared" si="3"/>
        <v>0</v>
      </c>
      <c r="L2" s="21">
        <f t="shared" si="3"/>
        <v>0</v>
      </c>
      <c r="M2" s="21">
        <f t="shared" si="3"/>
        <v>0</v>
      </c>
      <c r="N2" s="29">
        <f t="shared" si="3"/>
        <v>6959016</v>
      </c>
      <c r="O2" s="29">
        <f t="shared" si="3"/>
        <v>316897</v>
      </c>
      <c r="P2" s="160">
        <f t="shared" si="3"/>
        <v>2898063</v>
      </c>
      <c r="Q2" s="21">
        <f t="shared" si="3"/>
        <v>0</v>
      </c>
      <c r="R2" s="21">
        <f t="shared" si="3"/>
        <v>0</v>
      </c>
      <c r="S2" s="21">
        <f t="shared" si="3"/>
        <v>0</v>
      </c>
      <c r="T2" s="21">
        <f t="shared" si="3"/>
        <v>0</v>
      </c>
      <c r="U2" s="21">
        <f t="shared" si="3"/>
        <v>0</v>
      </c>
      <c r="V2" s="21">
        <f t="shared" si="3"/>
        <v>0</v>
      </c>
      <c r="W2" s="21">
        <f t="shared" si="3"/>
        <v>16893296</v>
      </c>
      <c r="X2" s="21">
        <f t="shared" si="3"/>
        <v>0</v>
      </c>
      <c r="Y2" s="21">
        <f t="shared" si="3"/>
        <v>0</v>
      </c>
      <c r="Z2" s="21">
        <f t="shared" si="3"/>
        <v>0</v>
      </c>
      <c r="AA2" s="21">
        <f t="shared" si="3"/>
        <v>0</v>
      </c>
      <c r="AB2" s="21">
        <f t="shared" si="3"/>
        <v>0</v>
      </c>
      <c r="AC2" s="21">
        <f t="shared" si="3"/>
        <v>189805</v>
      </c>
      <c r="AD2" s="21">
        <f t="shared" si="3"/>
        <v>0</v>
      </c>
      <c r="AE2" s="21">
        <f t="shared" si="3"/>
        <v>0</v>
      </c>
      <c r="AF2" s="21">
        <f t="shared" si="3"/>
        <v>0</v>
      </c>
      <c r="AG2" s="21">
        <f t="shared" si="3"/>
        <v>0</v>
      </c>
      <c r="AH2" s="21">
        <f t="shared" si="3"/>
        <v>0</v>
      </c>
      <c r="AI2" s="21">
        <f t="shared" si="3"/>
        <v>0</v>
      </c>
      <c r="AJ2" s="21">
        <f t="shared" si="3"/>
        <v>0</v>
      </c>
      <c r="AK2" s="21">
        <f t="shared" si="3"/>
        <v>314</v>
      </c>
      <c r="AL2" s="21">
        <f t="shared" si="3"/>
        <v>154</v>
      </c>
      <c r="AM2" s="21">
        <f t="shared" si="3"/>
        <v>8672373.9000000022</v>
      </c>
      <c r="AN2" s="21">
        <f t="shared" si="3"/>
        <v>1771706.5799999996</v>
      </c>
      <c r="AO2" s="21">
        <f t="shared" si="3"/>
        <v>0</v>
      </c>
      <c r="AP2" s="21">
        <f t="shared" si="3"/>
        <v>2322360.19</v>
      </c>
      <c r="AQ2" s="21">
        <f t="shared" si="3"/>
        <v>9223027.5099999961</v>
      </c>
      <c r="AR2" s="21">
        <f t="shared" si="3"/>
        <v>18299.739999999998</v>
      </c>
      <c r="AS2" s="21">
        <f t="shared" si="3"/>
        <v>181188.86000000002</v>
      </c>
      <c r="AT2" s="21">
        <f t="shared" si="3"/>
        <v>0</v>
      </c>
      <c r="AU2" s="21">
        <f t="shared" si="3"/>
        <v>0</v>
      </c>
      <c r="AV2" s="21">
        <f t="shared" si="3"/>
        <v>0</v>
      </c>
      <c r="AW2" s="21">
        <f t="shared" si="3"/>
        <v>0</v>
      </c>
      <c r="AX2" s="21">
        <f t="shared" si="3"/>
        <v>0</v>
      </c>
      <c r="AY2" s="21">
        <f t="shared" si="3"/>
        <v>0</v>
      </c>
      <c r="AZ2" s="21">
        <f t="shared" si="3"/>
        <v>97914.370000000024</v>
      </c>
      <c r="BA2" s="21">
        <f t="shared" si="3"/>
        <v>0</v>
      </c>
      <c r="BB2" s="21"/>
      <c r="BC2" s="21">
        <f t="shared" ref="BC2:BQ2" si="4">SUMIFS(BC$102:BC$1048576,$A$102:$A$1048576,$E2)</f>
        <v>0</v>
      </c>
      <c r="BD2" s="21">
        <f t="shared" si="4"/>
        <v>0</v>
      </c>
      <c r="BE2" s="21">
        <f t="shared" si="4"/>
        <v>0</v>
      </c>
      <c r="BF2" s="21">
        <f t="shared" si="4"/>
        <v>0</v>
      </c>
      <c r="BG2" s="21">
        <f t="shared" si="4"/>
        <v>195828.65000000002</v>
      </c>
      <c r="BH2" s="21">
        <f t="shared" si="4"/>
        <v>0</v>
      </c>
      <c r="BI2" s="21">
        <f t="shared" si="4"/>
        <v>0</v>
      </c>
      <c r="BJ2" s="21">
        <f t="shared" si="4"/>
        <v>0</v>
      </c>
      <c r="BK2" s="21">
        <f t="shared" si="4"/>
        <v>0</v>
      </c>
      <c r="BL2" s="21">
        <f t="shared" si="4"/>
        <v>0</v>
      </c>
      <c r="BM2" s="21">
        <f t="shared" si="4"/>
        <v>0</v>
      </c>
      <c r="BN2" s="21">
        <f t="shared" si="4"/>
        <v>0</v>
      </c>
      <c r="BO2" s="21">
        <f t="shared" si="4"/>
        <v>97914.370000000024</v>
      </c>
      <c r="BP2" s="21">
        <f t="shared" si="4"/>
        <v>270000</v>
      </c>
      <c r="BQ2" s="21">
        <f t="shared" si="4"/>
        <v>0</v>
      </c>
      <c r="BR2" s="21" t="e">
        <f>SUMIFS(#REF!,$A$102:$A$1048576,$E2)</f>
        <v>#REF!</v>
      </c>
      <c r="BS2" s="21">
        <f>SUMIFS(BS$102:BS$1048576,$A$102:$A$1048576,$E2)</f>
        <v>1119060.4300000006</v>
      </c>
      <c r="BT2" s="21"/>
      <c r="BU2" s="21"/>
      <c r="BV2" s="145"/>
    </row>
    <row r="3" spans="1:74" ht="11.25" hidden="1" x14ac:dyDescent="0.2">
      <c r="A3" s="123"/>
      <c r="B3" s="123"/>
      <c r="C3" s="124"/>
      <c r="D3" s="125"/>
      <c r="E3" s="18">
        <v>1</v>
      </c>
      <c r="F3" s="16" t="s">
        <v>25</v>
      </c>
      <c r="G3" s="14" t="s">
        <v>109</v>
      </c>
      <c r="H3" s="14">
        <f t="shared" ref="H3:BA3" si="5">COUNTIFS(H$102:H$1048576,"&gt;-1000000",$A$102:$A$1048576,$E3)</f>
        <v>154</v>
      </c>
      <c r="I3" s="14">
        <f t="shared" si="5"/>
        <v>154</v>
      </c>
      <c r="J3" s="14">
        <f t="shared" si="5"/>
        <v>0</v>
      </c>
      <c r="K3" s="14">
        <f t="shared" si="5"/>
        <v>0</v>
      </c>
      <c r="L3" s="14">
        <f t="shared" si="5"/>
        <v>0</v>
      </c>
      <c r="M3" s="14">
        <f t="shared" si="5"/>
        <v>0</v>
      </c>
      <c r="N3" s="29">
        <f t="shared" si="5"/>
        <v>154</v>
      </c>
      <c r="O3" s="29">
        <f t="shared" si="5"/>
        <v>7</v>
      </c>
      <c r="P3" s="160">
        <f t="shared" si="5"/>
        <v>64</v>
      </c>
      <c r="Q3" s="14">
        <f t="shared" si="5"/>
        <v>0</v>
      </c>
      <c r="R3" s="14">
        <f t="shared" si="5"/>
        <v>0</v>
      </c>
      <c r="S3" s="14">
        <f t="shared" si="5"/>
        <v>0</v>
      </c>
      <c r="T3" s="14">
        <f t="shared" si="5"/>
        <v>0</v>
      </c>
      <c r="U3" s="14">
        <f t="shared" si="5"/>
        <v>0</v>
      </c>
      <c r="V3" s="14">
        <f t="shared" si="5"/>
        <v>0</v>
      </c>
      <c r="W3" s="14">
        <f t="shared" si="5"/>
        <v>154</v>
      </c>
      <c r="X3" s="14">
        <f t="shared" si="5"/>
        <v>0</v>
      </c>
      <c r="Y3" s="14">
        <f t="shared" si="5"/>
        <v>0</v>
      </c>
      <c r="Z3" s="14">
        <f t="shared" si="5"/>
        <v>0</v>
      </c>
      <c r="AA3" s="14">
        <f t="shared" si="5"/>
        <v>0</v>
      </c>
      <c r="AB3" s="14">
        <f t="shared" si="5"/>
        <v>0</v>
      </c>
      <c r="AC3" s="14">
        <f t="shared" si="5"/>
        <v>154</v>
      </c>
      <c r="AD3" s="14">
        <f t="shared" si="5"/>
        <v>0</v>
      </c>
      <c r="AE3" s="14">
        <f t="shared" si="5"/>
        <v>0</v>
      </c>
      <c r="AF3" s="14">
        <f t="shared" si="5"/>
        <v>0</v>
      </c>
      <c r="AG3" s="14">
        <f t="shared" si="5"/>
        <v>0</v>
      </c>
      <c r="AH3" s="14">
        <f t="shared" si="5"/>
        <v>0</v>
      </c>
      <c r="AI3" s="14">
        <f t="shared" si="5"/>
        <v>0</v>
      </c>
      <c r="AJ3" s="14">
        <f t="shared" si="5"/>
        <v>0</v>
      </c>
      <c r="AK3" s="14">
        <f t="shared" si="5"/>
        <v>154</v>
      </c>
      <c r="AL3" s="14">
        <f t="shared" si="5"/>
        <v>154</v>
      </c>
      <c r="AM3" s="14">
        <f t="shared" si="5"/>
        <v>85</v>
      </c>
      <c r="AN3" s="14">
        <f t="shared" si="5"/>
        <v>85</v>
      </c>
      <c r="AO3" s="14">
        <f t="shared" si="5"/>
        <v>0</v>
      </c>
      <c r="AP3" s="14">
        <f t="shared" si="5"/>
        <v>154</v>
      </c>
      <c r="AQ3" s="14">
        <f t="shared" si="5"/>
        <v>154</v>
      </c>
      <c r="AR3" s="14">
        <f t="shared" si="5"/>
        <v>7</v>
      </c>
      <c r="AS3" s="14">
        <f t="shared" si="5"/>
        <v>78</v>
      </c>
      <c r="AT3" s="14">
        <f t="shared" si="5"/>
        <v>0</v>
      </c>
      <c r="AU3" s="14">
        <f t="shared" si="5"/>
        <v>0</v>
      </c>
      <c r="AV3" s="14">
        <f t="shared" si="5"/>
        <v>0</v>
      </c>
      <c r="AW3" s="14">
        <f t="shared" si="5"/>
        <v>0</v>
      </c>
      <c r="AX3" s="14">
        <f t="shared" si="5"/>
        <v>0</v>
      </c>
      <c r="AY3" s="14">
        <f t="shared" si="5"/>
        <v>0</v>
      </c>
      <c r="AZ3" s="14">
        <f t="shared" si="5"/>
        <v>85</v>
      </c>
      <c r="BA3" s="14">
        <f t="shared" si="5"/>
        <v>0</v>
      </c>
      <c r="BB3" s="14"/>
      <c r="BC3" s="14">
        <f t="shared" ref="BC3:BQ3" si="6">COUNTIFS(BC$102:BC$1048576,"&gt;-1000000",$A$102:$A$1048576,$E3)</f>
        <v>0</v>
      </c>
      <c r="BD3" s="14">
        <f t="shared" si="6"/>
        <v>0</v>
      </c>
      <c r="BE3" s="14">
        <f t="shared" si="6"/>
        <v>0</v>
      </c>
      <c r="BF3" s="14">
        <f t="shared" si="6"/>
        <v>0</v>
      </c>
      <c r="BG3" s="14">
        <f t="shared" si="6"/>
        <v>85</v>
      </c>
      <c r="BH3" s="14">
        <f t="shared" si="6"/>
        <v>0</v>
      </c>
      <c r="BI3" s="14">
        <f t="shared" si="6"/>
        <v>0</v>
      </c>
      <c r="BJ3" s="14">
        <f t="shared" si="6"/>
        <v>0</v>
      </c>
      <c r="BK3" s="14">
        <f t="shared" si="6"/>
        <v>0</v>
      </c>
      <c r="BL3" s="14">
        <f t="shared" si="6"/>
        <v>0</v>
      </c>
      <c r="BM3" s="14">
        <f t="shared" si="6"/>
        <v>0</v>
      </c>
      <c r="BN3" s="14">
        <f t="shared" si="6"/>
        <v>0</v>
      </c>
      <c r="BO3" s="14">
        <f t="shared" si="6"/>
        <v>85</v>
      </c>
      <c r="BP3" s="14">
        <f t="shared" si="6"/>
        <v>51</v>
      </c>
      <c r="BQ3" s="14">
        <f t="shared" si="6"/>
        <v>0</v>
      </c>
      <c r="BR3" s="14" t="e">
        <f>COUNTIFS(#REF!,"&gt;-1000000",$A$102:$A$1048576,$E3)</f>
        <v>#REF!</v>
      </c>
      <c r="BS3" s="14">
        <f>COUNTIFS(BS$102:BS$1048576,"&gt;-1000000",$A$102:$A$1048576,$E3)</f>
        <v>85</v>
      </c>
      <c r="BT3" s="14"/>
      <c r="BU3" s="14"/>
      <c r="BV3" s="146"/>
    </row>
    <row r="4" spans="1:74" ht="11.25" hidden="1" x14ac:dyDescent="0.2">
      <c r="A4" s="123"/>
      <c r="B4" s="123"/>
      <c r="C4" s="124"/>
      <c r="D4" s="125"/>
      <c r="E4" s="18">
        <v>1</v>
      </c>
      <c r="F4" s="16" t="s">
        <v>24</v>
      </c>
      <c r="G4" s="14" t="s">
        <v>109</v>
      </c>
      <c r="H4" s="14">
        <f t="shared" ref="H4:BA4" si="7">SUMIFS($AM$102:$AM$1048576,H$102:H$1048576,"&gt;-1000000",$A$102:$A$1048576,$E4)</f>
        <v>8672373.9000000022</v>
      </c>
      <c r="I4" s="14">
        <f t="shared" si="7"/>
        <v>8672373.9000000022</v>
      </c>
      <c r="J4" s="14">
        <f t="shared" si="7"/>
        <v>0</v>
      </c>
      <c r="K4" s="14">
        <f t="shared" si="7"/>
        <v>0</v>
      </c>
      <c r="L4" s="14">
        <f t="shared" si="7"/>
        <v>0</v>
      </c>
      <c r="M4" s="14">
        <f t="shared" si="7"/>
        <v>0</v>
      </c>
      <c r="N4" s="29">
        <f t="shared" si="7"/>
        <v>8672373.9000000022</v>
      </c>
      <c r="O4" s="29">
        <f t="shared" si="7"/>
        <v>116602.42</v>
      </c>
      <c r="P4" s="160">
        <f t="shared" si="7"/>
        <v>211890.99</v>
      </c>
      <c r="Q4" s="14">
        <f t="shared" si="7"/>
        <v>0</v>
      </c>
      <c r="R4" s="14">
        <f t="shared" si="7"/>
        <v>0</v>
      </c>
      <c r="S4" s="14">
        <f t="shared" si="7"/>
        <v>0</v>
      </c>
      <c r="T4" s="14">
        <f t="shared" si="7"/>
        <v>0</v>
      </c>
      <c r="U4" s="14">
        <f t="shared" si="7"/>
        <v>0</v>
      </c>
      <c r="V4" s="14">
        <f t="shared" si="7"/>
        <v>0</v>
      </c>
      <c r="W4" s="14">
        <f t="shared" si="7"/>
        <v>8672373.9000000022</v>
      </c>
      <c r="X4" s="14">
        <f t="shared" si="7"/>
        <v>0</v>
      </c>
      <c r="Y4" s="14">
        <f t="shared" si="7"/>
        <v>0</v>
      </c>
      <c r="Z4" s="14">
        <f t="shared" si="7"/>
        <v>0</v>
      </c>
      <c r="AA4" s="14">
        <f t="shared" si="7"/>
        <v>0</v>
      </c>
      <c r="AB4" s="14">
        <f t="shared" si="7"/>
        <v>0</v>
      </c>
      <c r="AC4" s="14">
        <f t="shared" si="7"/>
        <v>8672373.9000000022</v>
      </c>
      <c r="AD4" s="14">
        <f t="shared" si="7"/>
        <v>0</v>
      </c>
      <c r="AE4" s="14">
        <f t="shared" si="7"/>
        <v>0</v>
      </c>
      <c r="AF4" s="14">
        <f t="shared" si="7"/>
        <v>0</v>
      </c>
      <c r="AG4" s="14">
        <f t="shared" si="7"/>
        <v>0</v>
      </c>
      <c r="AH4" s="14">
        <f t="shared" si="7"/>
        <v>0</v>
      </c>
      <c r="AI4" s="14">
        <f t="shared" si="7"/>
        <v>0</v>
      </c>
      <c r="AJ4" s="14">
        <f t="shared" si="7"/>
        <v>0</v>
      </c>
      <c r="AK4" s="14">
        <f t="shared" si="7"/>
        <v>8672373.9000000022</v>
      </c>
      <c r="AL4" s="14">
        <f t="shared" si="7"/>
        <v>8672373.9000000022</v>
      </c>
      <c r="AM4" s="14">
        <f t="shared" si="7"/>
        <v>8672373.9000000022</v>
      </c>
      <c r="AN4" s="14">
        <f t="shared" si="7"/>
        <v>8672373.9000000022</v>
      </c>
      <c r="AO4" s="14">
        <f t="shared" si="7"/>
        <v>0</v>
      </c>
      <c r="AP4" s="14">
        <f t="shared" si="7"/>
        <v>8672373.9000000022</v>
      </c>
      <c r="AQ4" s="14">
        <f t="shared" si="7"/>
        <v>8672373.9000000022</v>
      </c>
      <c r="AR4" s="14">
        <f t="shared" si="7"/>
        <v>635472.02</v>
      </c>
      <c r="AS4" s="14">
        <f t="shared" si="7"/>
        <v>8036901.8800000027</v>
      </c>
      <c r="AT4" s="14">
        <f t="shared" si="7"/>
        <v>0</v>
      </c>
      <c r="AU4" s="14">
        <f t="shared" si="7"/>
        <v>0</v>
      </c>
      <c r="AV4" s="14">
        <f t="shared" si="7"/>
        <v>0</v>
      </c>
      <c r="AW4" s="14">
        <f t="shared" si="7"/>
        <v>0</v>
      </c>
      <c r="AX4" s="14">
        <f t="shared" si="7"/>
        <v>0</v>
      </c>
      <c r="AY4" s="14">
        <f t="shared" si="7"/>
        <v>0</v>
      </c>
      <c r="AZ4" s="14">
        <f t="shared" si="7"/>
        <v>8672373.9000000022</v>
      </c>
      <c r="BA4" s="14">
        <f t="shared" si="7"/>
        <v>0</v>
      </c>
      <c r="BB4" s="14"/>
      <c r="BC4" s="14">
        <f t="shared" ref="BC4:BQ4" si="8">SUMIFS($AM$102:$AM$1048576,BC$102:BC$1048576,"&gt;-1000000",$A$102:$A$1048576,$E4)</f>
        <v>0</v>
      </c>
      <c r="BD4" s="14">
        <f t="shared" si="8"/>
        <v>0</v>
      </c>
      <c r="BE4" s="14">
        <f t="shared" si="8"/>
        <v>0</v>
      </c>
      <c r="BF4" s="14">
        <f t="shared" si="8"/>
        <v>0</v>
      </c>
      <c r="BG4" s="14">
        <f t="shared" si="8"/>
        <v>8672373.9000000022</v>
      </c>
      <c r="BH4" s="14">
        <f t="shared" si="8"/>
        <v>0</v>
      </c>
      <c r="BI4" s="14">
        <f t="shared" si="8"/>
        <v>0</v>
      </c>
      <c r="BJ4" s="14">
        <f t="shared" si="8"/>
        <v>0</v>
      </c>
      <c r="BK4" s="14">
        <f t="shared" si="8"/>
        <v>0</v>
      </c>
      <c r="BL4" s="14">
        <f t="shared" si="8"/>
        <v>0</v>
      </c>
      <c r="BM4" s="14">
        <f t="shared" si="8"/>
        <v>0</v>
      </c>
      <c r="BN4" s="14">
        <f t="shared" si="8"/>
        <v>0</v>
      </c>
      <c r="BO4" s="14">
        <f t="shared" si="8"/>
        <v>8672373.9000000022</v>
      </c>
      <c r="BP4" s="14">
        <f t="shared" si="8"/>
        <v>7733308.2300000004</v>
      </c>
      <c r="BQ4" s="14">
        <f t="shared" si="8"/>
        <v>0</v>
      </c>
      <c r="BR4" s="14" t="e">
        <f>SUMIFS($AM$102:$AM$1048576,#REF!,"&gt;-1000000",$A$102:$A$1048576,$E4)</f>
        <v>#REF!</v>
      </c>
      <c r="BS4" s="14">
        <f>SUMIFS($AM$102:$AM$1048576,BS$102:BS$1048576,"&gt;-1000000",$A$102:$A$1048576,$E4)</f>
        <v>8672373.9000000022</v>
      </c>
      <c r="BT4" s="14"/>
      <c r="BU4" s="14"/>
      <c r="BV4" s="146"/>
    </row>
    <row r="5" spans="1:74" ht="11.25" hidden="1" x14ac:dyDescent="0.2">
      <c r="A5" s="123"/>
      <c r="B5" s="123"/>
      <c r="C5" s="124"/>
      <c r="D5" s="125"/>
      <c r="E5" s="18">
        <v>1</v>
      </c>
      <c r="F5" s="16" t="s">
        <v>31</v>
      </c>
      <c r="G5" s="14" t="s">
        <v>109</v>
      </c>
      <c r="H5" s="14">
        <f t="shared" ref="H5:BA5" si="9">SUMIFS($AP$102:$AP$1048576,H$102:H$1048576,"&gt;-1000000",$A$102:$A$1048576,$E5)</f>
        <v>2322360.19</v>
      </c>
      <c r="I5" s="14">
        <f t="shared" si="9"/>
        <v>2322360.19</v>
      </c>
      <c r="J5" s="14">
        <f t="shared" si="9"/>
        <v>0</v>
      </c>
      <c r="K5" s="14">
        <f t="shared" si="9"/>
        <v>0</v>
      </c>
      <c r="L5" s="14">
        <f t="shared" si="9"/>
        <v>0</v>
      </c>
      <c r="M5" s="14">
        <f t="shared" si="9"/>
        <v>0</v>
      </c>
      <c r="N5" s="29">
        <f t="shared" si="9"/>
        <v>2322360.19</v>
      </c>
      <c r="O5" s="29">
        <f t="shared" si="9"/>
        <v>47792.770000000004</v>
      </c>
      <c r="P5" s="160">
        <f t="shared" si="9"/>
        <v>326434.14999999997</v>
      </c>
      <c r="Q5" s="14">
        <f t="shared" si="9"/>
        <v>0</v>
      </c>
      <c r="R5" s="14">
        <f t="shared" si="9"/>
        <v>0</v>
      </c>
      <c r="S5" s="14">
        <f t="shared" si="9"/>
        <v>0</v>
      </c>
      <c r="T5" s="14">
        <f t="shared" si="9"/>
        <v>0</v>
      </c>
      <c r="U5" s="14">
        <f t="shared" si="9"/>
        <v>0</v>
      </c>
      <c r="V5" s="14">
        <f t="shared" si="9"/>
        <v>0</v>
      </c>
      <c r="W5" s="14">
        <f t="shared" si="9"/>
        <v>2322360.19</v>
      </c>
      <c r="X5" s="14">
        <f t="shared" si="9"/>
        <v>0</v>
      </c>
      <c r="Y5" s="14">
        <f t="shared" si="9"/>
        <v>0</v>
      </c>
      <c r="Z5" s="14">
        <f t="shared" si="9"/>
        <v>0</v>
      </c>
      <c r="AA5" s="14">
        <f t="shared" si="9"/>
        <v>0</v>
      </c>
      <c r="AB5" s="14">
        <f t="shared" si="9"/>
        <v>0</v>
      </c>
      <c r="AC5" s="14">
        <f t="shared" si="9"/>
        <v>2322360.19</v>
      </c>
      <c r="AD5" s="14">
        <f t="shared" si="9"/>
        <v>0</v>
      </c>
      <c r="AE5" s="14">
        <f t="shared" si="9"/>
        <v>0</v>
      </c>
      <c r="AF5" s="14">
        <f t="shared" si="9"/>
        <v>0</v>
      </c>
      <c r="AG5" s="14">
        <f t="shared" si="9"/>
        <v>0</v>
      </c>
      <c r="AH5" s="14">
        <f t="shared" si="9"/>
        <v>0</v>
      </c>
      <c r="AI5" s="14">
        <f t="shared" si="9"/>
        <v>0</v>
      </c>
      <c r="AJ5" s="14">
        <f t="shared" si="9"/>
        <v>0</v>
      </c>
      <c r="AK5" s="14">
        <f t="shared" si="9"/>
        <v>2322360.19</v>
      </c>
      <c r="AL5" s="14">
        <f t="shared" si="9"/>
        <v>2322360.19</v>
      </c>
      <c r="AM5" s="14">
        <f t="shared" si="9"/>
        <v>2035749.14</v>
      </c>
      <c r="AN5" s="14">
        <f t="shared" si="9"/>
        <v>2035749.14</v>
      </c>
      <c r="AO5" s="14">
        <f t="shared" si="9"/>
        <v>0</v>
      </c>
      <c r="AP5" s="14">
        <f t="shared" si="9"/>
        <v>2322360.19</v>
      </c>
      <c r="AQ5" s="14">
        <f t="shared" si="9"/>
        <v>2322360.19</v>
      </c>
      <c r="AR5" s="14">
        <f t="shared" si="9"/>
        <v>182987.33</v>
      </c>
      <c r="AS5" s="14">
        <f t="shared" si="9"/>
        <v>1852761.8099999998</v>
      </c>
      <c r="AT5" s="14">
        <f t="shared" si="9"/>
        <v>0</v>
      </c>
      <c r="AU5" s="14">
        <f t="shared" si="9"/>
        <v>0</v>
      </c>
      <c r="AV5" s="14">
        <f t="shared" si="9"/>
        <v>0</v>
      </c>
      <c r="AW5" s="14">
        <f t="shared" si="9"/>
        <v>0</v>
      </c>
      <c r="AX5" s="14">
        <f t="shared" si="9"/>
        <v>0</v>
      </c>
      <c r="AY5" s="14">
        <f t="shared" si="9"/>
        <v>0</v>
      </c>
      <c r="AZ5" s="14">
        <f t="shared" si="9"/>
        <v>2035749.14</v>
      </c>
      <c r="BA5" s="14">
        <f t="shared" si="9"/>
        <v>0</v>
      </c>
      <c r="BB5" s="14"/>
      <c r="BC5" s="14">
        <f t="shared" ref="BC5:BQ5" si="10">SUMIFS($AP$102:$AP$1048576,BC$102:BC$1048576,"&gt;-1000000",$A$102:$A$1048576,$E5)</f>
        <v>0</v>
      </c>
      <c r="BD5" s="14">
        <f t="shared" si="10"/>
        <v>0</v>
      </c>
      <c r="BE5" s="14">
        <f t="shared" si="10"/>
        <v>0</v>
      </c>
      <c r="BF5" s="14">
        <f t="shared" si="10"/>
        <v>0</v>
      </c>
      <c r="BG5" s="14">
        <f t="shared" si="10"/>
        <v>2035749.14</v>
      </c>
      <c r="BH5" s="14">
        <f t="shared" si="10"/>
        <v>0</v>
      </c>
      <c r="BI5" s="14">
        <f t="shared" si="10"/>
        <v>0</v>
      </c>
      <c r="BJ5" s="14">
        <f t="shared" si="10"/>
        <v>0</v>
      </c>
      <c r="BK5" s="14">
        <f t="shared" si="10"/>
        <v>0</v>
      </c>
      <c r="BL5" s="14">
        <f t="shared" si="10"/>
        <v>0</v>
      </c>
      <c r="BM5" s="14">
        <f t="shared" si="10"/>
        <v>0</v>
      </c>
      <c r="BN5" s="14">
        <f t="shared" si="10"/>
        <v>0</v>
      </c>
      <c r="BO5" s="14">
        <f t="shared" si="10"/>
        <v>2035749.14</v>
      </c>
      <c r="BP5" s="14">
        <f t="shared" si="10"/>
        <v>1760642.0199999996</v>
      </c>
      <c r="BQ5" s="14">
        <f t="shared" si="10"/>
        <v>0</v>
      </c>
      <c r="BR5" s="14" t="e">
        <f>SUMIFS($AP$102:$AP$1048576,#REF!,"&gt;-1000000",$A$102:$A$1048576,$E5)</f>
        <v>#REF!</v>
      </c>
      <c r="BS5" s="14">
        <f>SUMIFS($AP$102:$AP$1048576,BS$102:BS$1048576,"&gt;-1000000",$A$102:$A$1048576,$E5)</f>
        <v>2035749.14</v>
      </c>
      <c r="BT5" s="14"/>
      <c r="BU5" s="14"/>
      <c r="BV5" s="146"/>
    </row>
    <row r="6" spans="1:74" ht="11.25" hidden="1" x14ac:dyDescent="0.2">
      <c r="A6" s="123"/>
      <c r="B6" s="123"/>
      <c r="C6" s="124"/>
      <c r="D6" s="125"/>
      <c r="E6" s="19">
        <v>1</v>
      </c>
      <c r="F6" s="17" t="s">
        <v>29</v>
      </c>
      <c r="G6" s="15" t="s">
        <v>109</v>
      </c>
      <c r="H6" s="126">
        <f t="shared" ref="H6:BA6" si="11">SUMIFS(H$102:H$1048576,$A$102:$A$1048576,$E6,$C$102:$C$1048576,"OK")</f>
        <v>3761813</v>
      </c>
      <c r="I6" s="126">
        <f t="shared" si="11"/>
        <v>3820677262</v>
      </c>
      <c r="J6" s="126">
        <f t="shared" si="11"/>
        <v>0</v>
      </c>
      <c r="K6" s="126">
        <f t="shared" si="11"/>
        <v>0</v>
      </c>
      <c r="L6" s="126">
        <f t="shared" si="11"/>
        <v>0</v>
      </c>
      <c r="M6" s="126">
        <f t="shared" si="11"/>
        <v>0</v>
      </c>
      <c r="N6" s="29">
        <f t="shared" si="11"/>
        <v>3748879</v>
      </c>
      <c r="O6" s="29">
        <f t="shared" si="11"/>
        <v>45310</v>
      </c>
      <c r="P6" s="161">
        <f t="shared" si="11"/>
        <v>45310</v>
      </c>
      <c r="Q6" s="126">
        <f t="shared" si="11"/>
        <v>0</v>
      </c>
      <c r="R6" s="126">
        <f t="shared" si="11"/>
        <v>0</v>
      </c>
      <c r="S6" s="126">
        <f t="shared" si="11"/>
        <v>0</v>
      </c>
      <c r="T6" s="126">
        <f t="shared" si="11"/>
        <v>0</v>
      </c>
      <c r="U6" s="126">
        <f t="shared" si="11"/>
        <v>0</v>
      </c>
      <c r="V6" s="126">
        <f t="shared" si="11"/>
        <v>0</v>
      </c>
      <c r="W6" s="126">
        <f t="shared" si="11"/>
        <v>8859682</v>
      </c>
      <c r="X6" s="126">
        <f t="shared" si="11"/>
        <v>0</v>
      </c>
      <c r="Y6" s="126">
        <f t="shared" si="11"/>
        <v>0</v>
      </c>
      <c r="Z6" s="126">
        <f t="shared" si="11"/>
        <v>0</v>
      </c>
      <c r="AA6" s="126">
        <f t="shared" si="11"/>
        <v>0</v>
      </c>
      <c r="AB6" s="126">
        <f t="shared" si="11"/>
        <v>0</v>
      </c>
      <c r="AC6" s="126">
        <f t="shared" si="11"/>
        <v>102712</v>
      </c>
      <c r="AD6" s="126">
        <f t="shared" si="11"/>
        <v>0</v>
      </c>
      <c r="AE6" s="126">
        <f t="shared" si="11"/>
        <v>0</v>
      </c>
      <c r="AF6" s="126">
        <f t="shared" si="11"/>
        <v>0</v>
      </c>
      <c r="AG6" s="126">
        <f t="shared" si="11"/>
        <v>0</v>
      </c>
      <c r="AH6" s="126">
        <f t="shared" si="11"/>
        <v>0</v>
      </c>
      <c r="AI6" s="126">
        <f t="shared" si="11"/>
        <v>0</v>
      </c>
      <c r="AJ6" s="126">
        <f t="shared" si="11"/>
        <v>0</v>
      </c>
      <c r="AK6" s="126">
        <f t="shared" si="11"/>
        <v>228</v>
      </c>
      <c r="AL6" s="126">
        <f t="shared" si="11"/>
        <v>83</v>
      </c>
      <c r="AM6" s="126">
        <f t="shared" si="11"/>
        <v>8576633.7500000037</v>
      </c>
      <c r="AN6" s="126">
        <f t="shared" si="11"/>
        <v>1752113.7999999993</v>
      </c>
      <c r="AO6" s="126">
        <f t="shared" si="11"/>
        <v>0</v>
      </c>
      <c r="AP6" s="126">
        <f t="shared" si="11"/>
        <v>1993099.0999999999</v>
      </c>
      <c r="AQ6" s="126">
        <f t="shared" si="11"/>
        <v>8817619.0500000007</v>
      </c>
      <c r="AR6" s="126">
        <f t="shared" si="11"/>
        <v>18299.739999999998</v>
      </c>
      <c r="AS6" s="126">
        <f t="shared" si="11"/>
        <v>178977.56</v>
      </c>
      <c r="AT6" s="126">
        <f t="shared" si="11"/>
        <v>0</v>
      </c>
      <c r="AU6" s="126">
        <f t="shared" si="11"/>
        <v>0</v>
      </c>
      <c r="AV6" s="126">
        <f t="shared" si="11"/>
        <v>0</v>
      </c>
      <c r="AW6" s="126">
        <f t="shared" si="11"/>
        <v>0</v>
      </c>
      <c r="AX6" s="126">
        <f t="shared" si="11"/>
        <v>0</v>
      </c>
      <c r="AY6" s="126">
        <f t="shared" si="11"/>
        <v>0</v>
      </c>
      <c r="AZ6" s="126">
        <f t="shared" si="11"/>
        <v>96808.72000000003</v>
      </c>
      <c r="BA6" s="126">
        <f t="shared" si="11"/>
        <v>0</v>
      </c>
      <c r="BB6" s="126"/>
      <c r="BC6" s="126">
        <f t="shared" ref="BC6:BQ6" si="12">SUMIFS(BC$102:BC$1048576,$A$102:$A$1048576,$E6,$C$102:$C$1048576,"OK")</f>
        <v>0</v>
      </c>
      <c r="BD6" s="126">
        <f t="shared" si="12"/>
        <v>0</v>
      </c>
      <c r="BE6" s="126">
        <f t="shared" si="12"/>
        <v>0</v>
      </c>
      <c r="BF6" s="126">
        <f t="shared" si="12"/>
        <v>0</v>
      </c>
      <c r="BG6" s="126">
        <f t="shared" si="12"/>
        <v>193617.35000000003</v>
      </c>
      <c r="BH6" s="126">
        <f t="shared" si="12"/>
        <v>0</v>
      </c>
      <c r="BI6" s="126">
        <f t="shared" si="12"/>
        <v>0</v>
      </c>
      <c r="BJ6" s="126">
        <f t="shared" si="12"/>
        <v>0</v>
      </c>
      <c r="BK6" s="126">
        <f t="shared" si="12"/>
        <v>0</v>
      </c>
      <c r="BL6" s="126">
        <f t="shared" si="12"/>
        <v>0</v>
      </c>
      <c r="BM6" s="126">
        <f t="shared" si="12"/>
        <v>0</v>
      </c>
      <c r="BN6" s="126">
        <f t="shared" si="12"/>
        <v>0</v>
      </c>
      <c r="BO6" s="126">
        <f t="shared" si="12"/>
        <v>96808.72000000003</v>
      </c>
      <c r="BP6" s="126">
        <f t="shared" si="12"/>
        <v>265000</v>
      </c>
      <c r="BQ6" s="126">
        <f t="shared" si="12"/>
        <v>0</v>
      </c>
      <c r="BR6" s="126" t="e">
        <f>SUMIFS(#REF!,$A$102:$A$1048576,$E6,$C$102:$C$1048576,"OK")</f>
        <v>#REF!</v>
      </c>
      <c r="BS6" s="126">
        <f>SUMIFS(BS$102:BS$1048576,$A$102:$A$1048576,$E6,$C$102:$C$1048576,"OK")</f>
        <v>1104235.3900000006</v>
      </c>
      <c r="BT6" s="126"/>
      <c r="BU6" s="126"/>
      <c r="BV6" s="147"/>
    </row>
    <row r="7" spans="1:74" ht="11.25" hidden="1" x14ac:dyDescent="0.2">
      <c r="A7" s="123"/>
      <c r="B7" s="123"/>
      <c r="C7" s="124"/>
      <c r="D7" s="125"/>
      <c r="E7" s="19">
        <v>1</v>
      </c>
      <c r="F7" s="17" t="s">
        <v>23</v>
      </c>
      <c r="G7" s="15" t="s">
        <v>109</v>
      </c>
      <c r="H7" s="126">
        <f t="shared" ref="H7:BA7" si="13">COUNTIFS(H$102:H$1048576,"&gt;-1000000",$C$102:$C$1048576,"OK",$A$102:$A$1048576,$E7)</f>
        <v>83</v>
      </c>
      <c r="I7" s="126">
        <f t="shared" si="13"/>
        <v>83</v>
      </c>
      <c r="J7" s="126">
        <f t="shared" si="13"/>
        <v>0</v>
      </c>
      <c r="K7" s="126">
        <f t="shared" si="13"/>
        <v>0</v>
      </c>
      <c r="L7" s="126">
        <f t="shared" si="13"/>
        <v>0</v>
      </c>
      <c r="M7" s="126">
        <f t="shared" si="13"/>
        <v>0</v>
      </c>
      <c r="N7" s="29">
        <f t="shared" si="13"/>
        <v>83</v>
      </c>
      <c r="O7" s="29">
        <f t="shared" si="13"/>
        <v>1</v>
      </c>
      <c r="P7" s="161">
        <f t="shared" si="13"/>
        <v>1</v>
      </c>
      <c r="Q7" s="126">
        <f t="shared" si="13"/>
        <v>0</v>
      </c>
      <c r="R7" s="126">
        <f t="shared" si="13"/>
        <v>0</v>
      </c>
      <c r="S7" s="126">
        <f t="shared" si="13"/>
        <v>0</v>
      </c>
      <c r="T7" s="126">
        <f t="shared" si="13"/>
        <v>0</v>
      </c>
      <c r="U7" s="126">
        <f t="shared" si="13"/>
        <v>0</v>
      </c>
      <c r="V7" s="126">
        <f t="shared" si="13"/>
        <v>0</v>
      </c>
      <c r="W7" s="126">
        <f t="shared" si="13"/>
        <v>83</v>
      </c>
      <c r="X7" s="126">
        <f t="shared" si="13"/>
        <v>0</v>
      </c>
      <c r="Y7" s="126">
        <f t="shared" si="13"/>
        <v>0</v>
      </c>
      <c r="Z7" s="126">
        <f t="shared" si="13"/>
        <v>0</v>
      </c>
      <c r="AA7" s="126">
        <f t="shared" si="13"/>
        <v>0</v>
      </c>
      <c r="AB7" s="126">
        <f t="shared" si="13"/>
        <v>0</v>
      </c>
      <c r="AC7" s="126">
        <f t="shared" si="13"/>
        <v>83</v>
      </c>
      <c r="AD7" s="126">
        <f t="shared" si="13"/>
        <v>0</v>
      </c>
      <c r="AE7" s="126">
        <f t="shared" si="13"/>
        <v>0</v>
      </c>
      <c r="AF7" s="126">
        <f t="shared" si="13"/>
        <v>0</v>
      </c>
      <c r="AG7" s="126">
        <f t="shared" si="13"/>
        <v>0</v>
      </c>
      <c r="AH7" s="126">
        <f t="shared" si="13"/>
        <v>0</v>
      </c>
      <c r="AI7" s="126">
        <f t="shared" si="13"/>
        <v>0</v>
      </c>
      <c r="AJ7" s="126">
        <f t="shared" si="13"/>
        <v>0</v>
      </c>
      <c r="AK7" s="126">
        <f t="shared" si="13"/>
        <v>83</v>
      </c>
      <c r="AL7" s="126">
        <f t="shared" si="13"/>
        <v>83</v>
      </c>
      <c r="AM7" s="126">
        <f t="shared" si="13"/>
        <v>83</v>
      </c>
      <c r="AN7" s="126">
        <f t="shared" si="13"/>
        <v>83</v>
      </c>
      <c r="AO7" s="126">
        <f t="shared" si="13"/>
        <v>0</v>
      </c>
      <c r="AP7" s="126">
        <f t="shared" si="13"/>
        <v>83</v>
      </c>
      <c r="AQ7" s="126">
        <f t="shared" si="13"/>
        <v>83</v>
      </c>
      <c r="AR7" s="126">
        <f t="shared" si="13"/>
        <v>7</v>
      </c>
      <c r="AS7" s="126">
        <f t="shared" si="13"/>
        <v>76</v>
      </c>
      <c r="AT7" s="126">
        <f t="shared" si="13"/>
        <v>0</v>
      </c>
      <c r="AU7" s="126">
        <f t="shared" si="13"/>
        <v>0</v>
      </c>
      <c r="AV7" s="126">
        <f t="shared" si="13"/>
        <v>0</v>
      </c>
      <c r="AW7" s="126">
        <f t="shared" si="13"/>
        <v>0</v>
      </c>
      <c r="AX7" s="126">
        <f t="shared" si="13"/>
        <v>0</v>
      </c>
      <c r="AY7" s="126">
        <f t="shared" si="13"/>
        <v>0</v>
      </c>
      <c r="AZ7" s="126">
        <f t="shared" si="13"/>
        <v>83</v>
      </c>
      <c r="BA7" s="126">
        <f t="shared" si="13"/>
        <v>0</v>
      </c>
      <c r="BB7" s="126"/>
      <c r="BC7" s="126">
        <f t="shared" ref="BC7:BQ7" si="14">COUNTIFS(BC$102:BC$1048576,"&gt;-1000000",$C$102:$C$1048576,"OK",$A$102:$A$1048576,$E7)</f>
        <v>0</v>
      </c>
      <c r="BD7" s="126">
        <f t="shared" si="14"/>
        <v>0</v>
      </c>
      <c r="BE7" s="126">
        <f t="shared" si="14"/>
        <v>0</v>
      </c>
      <c r="BF7" s="126">
        <f t="shared" si="14"/>
        <v>0</v>
      </c>
      <c r="BG7" s="126">
        <f t="shared" si="14"/>
        <v>83</v>
      </c>
      <c r="BH7" s="126">
        <f t="shared" si="14"/>
        <v>0</v>
      </c>
      <c r="BI7" s="126">
        <f t="shared" si="14"/>
        <v>0</v>
      </c>
      <c r="BJ7" s="126">
        <f t="shared" si="14"/>
        <v>0</v>
      </c>
      <c r="BK7" s="126">
        <f t="shared" si="14"/>
        <v>0</v>
      </c>
      <c r="BL7" s="126">
        <f t="shared" si="14"/>
        <v>0</v>
      </c>
      <c r="BM7" s="126">
        <f t="shared" si="14"/>
        <v>0</v>
      </c>
      <c r="BN7" s="126">
        <f t="shared" si="14"/>
        <v>0</v>
      </c>
      <c r="BO7" s="126">
        <f t="shared" si="14"/>
        <v>83</v>
      </c>
      <c r="BP7" s="126">
        <f t="shared" si="14"/>
        <v>50</v>
      </c>
      <c r="BQ7" s="126">
        <f t="shared" si="14"/>
        <v>0</v>
      </c>
      <c r="BR7" s="126" t="e">
        <f>COUNTIFS(#REF!,"&gt;-1000000",$C$102:$C$1048576,"OK",$A$102:$A$1048576,$E7)</f>
        <v>#REF!</v>
      </c>
      <c r="BS7" s="126">
        <f>COUNTIFS(BS$102:BS$1048576,"&gt;-1000000",$C$102:$C$1048576,"OK",$A$102:$A$1048576,$E7)</f>
        <v>83</v>
      </c>
      <c r="BT7" s="126"/>
      <c r="BU7" s="126"/>
      <c r="BV7" s="147"/>
    </row>
    <row r="8" spans="1:74" ht="11.25" hidden="1" x14ac:dyDescent="0.2">
      <c r="A8" s="123"/>
      <c r="B8" s="123"/>
      <c r="C8" s="124"/>
      <c r="D8" s="125"/>
      <c r="E8" s="19">
        <v>1</v>
      </c>
      <c r="F8" s="17" t="s">
        <v>30</v>
      </c>
      <c r="G8" s="15" t="s">
        <v>109</v>
      </c>
      <c r="H8" s="126">
        <f t="shared" ref="H8:BA8" si="15">SUMIFS($AM$102:$AM$1048576,H$102:H$1048576,"&gt;-1000000",$C$102:$C$1048576,"OK",$A$102:$A$1048576,$E8)</f>
        <v>8576633.7500000037</v>
      </c>
      <c r="I8" s="126">
        <f t="shared" si="15"/>
        <v>8576633.7500000037</v>
      </c>
      <c r="J8" s="126">
        <f t="shared" si="15"/>
        <v>0</v>
      </c>
      <c r="K8" s="126">
        <f t="shared" si="15"/>
        <v>0</v>
      </c>
      <c r="L8" s="126">
        <f t="shared" si="15"/>
        <v>0</v>
      </c>
      <c r="M8" s="126">
        <f t="shared" si="15"/>
        <v>0</v>
      </c>
      <c r="N8" s="29">
        <f t="shared" si="15"/>
        <v>8576633.7500000037</v>
      </c>
      <c r="O8" s="29">
        <f t="shared" si="15"/>
        <v>116150.84</v>
      </c>
      <c r="P8" s="161">
        <f t="shared" si="15"/>
        <v>116150.84</v>
      </c>
      <c r="Q8" s="126">
        <f t="shared" si="15"/>
        <v>0</v>
      </c>
      <c r="R8" s="126">
        <f t="shared" si="15"/>
        <v>0</v>
      </c>
      <c r="S8" s="126">
        <f t="shared" si="15"/>
        <v>0</v>
      </c>
      <c r="T8" s="126">
        <f t="shared" si="15"/>
        <v>0</v>
      </c>
      <c r="U8" s="126">
        <f t="shared" si="15"/>
        <v>0</v>
      </c>
      <c r="V8" s="126">
        <f t="shared" si="15"/>
        <v>0</v>
      </c>
      <c r="W8" s="126">
        <f t="shared" si="15"/>
        <v>8576633.7500000037</v>
      </c>
      <c r="X8" s="126">
        <f t="shared" si="15"/>
        <v>0</v>
      </c>
      <c r="Y8" s="126">
        <f t="shared" si="15"/>
        <v>0</v>
      </c>
      <c r="Z8" s="126">
        <f t="shared" si="15"/>
        <v>0</v>
      </c>
      <c r="AA8" s="126">
        <f t="shared" si="15"/>
        <v>0</v>
      </c>
      <c r="AB8" s="126">
        <f t="shared" si="15"/>
        <v>0</v>
      </c>
      <c r="AC8" s="126">
        <f t="shared" si="15"/>
        <v>8576633.7500000037</v>
      </c>
      <c r="AD8" s="126">
        <f t="shared" si="15"/>
        <v>0</v>
      </c>
      <c r="AE8" s="126">
        <f t="shared" si="15"/>
        <v>0</v>
      </c>
      <c r="AF8" s="126">
        <f t="shared" si="15"/>
        <v>0</v>
      </c>
      <c r="AG8" s="126">
        <f t="shared" si="15"/>
        <v>0</v>
      </c>
      <c r="AH8" s="126">
        <f t="shared" si="15"/>
        <v>0</v>
      </c>
      <c r="AI8" s="126">
        <f t="shared" si="15"/>
        <v>0</v>
      </c>
      <c r="AJ8" s="126">
        <f t="shared" si="15"/>
        <v>0</v>
      </c>
      <c r="AK8" s="126">
        <f t="shared" si="15"/>
        <v>8576633.7500000037</v>
      </c>
      <c r="AL8" s="126">
        <f t="shared" si="15"/>
        <v>8576633.7500000037</v>
      </c>
      <c r="AM8" s="126">
        <f t="shared" si="15"/>
        <v>8576633.7500000037</v>
      </c>
      <c r="AN8" s="126">
        <f t="shared" si="15"/>
        <v>8576633.7500000037</v>
      </c>
      <c r="AO8" s="126">
        <f t="shared" si="15"/>
        <v>0</v>
      </c>
      <c r="AP8" s="126">
        <f t="shared" si="15"/>
        <v>8576633.7500000037</v>
      </c>
      <c r="AQ8" s="126">
        <f t="shared" si="15"/>
        <v>8576633.7500000037</v>
      </c>
      <c r="AR8" s="126">
        <f t="shared" si="15"/>
        <v>635472.02</v>
      </c>
      <c r="AS8" s="126">
        <f t="shared" si="15"/>
        <v>7941161.7300000023</v>
      </c>
      <c r="AT8" s="126">
        <f t="shared" si="15"/>
        <v>0</v>
      </c>
      <c r="AU8" s="126">
        <f t="shared" si="15"/>
        <v>0</v>
      </c>
      <c r="AV8" s="126">
        <f t="shared" si="15"/>
        <v>0</v>
      </c>
      <c r="AW8" s="126">
        <f t="shared" si="15"/>
        <v>0</v>
      </c>
      <c r="AX8" s="126">
        <f t="shared" si="15"/>
        <v>0</v>
      </c>
      <c r="AY8" s="126">
        <f t="shared" si="15"/>
        <v>0</v>
      </c>
      <c r="AZ8" s="126">
        <f t="shared" si="15"/>
        <v>8576633.7500000037</v>
      </c>
      <c r="BA8" s="126">
        <f t="shared" si="15"/>
        <v>0</v>
      </c>
      <c r="BB8" s="126"/>
      <c r="BC8" s="126">
        <f t="shared" ref="BC8:BQ8" si="16">SUMIFS($AM$102:$AM$1048576,BC$102:BC$1048576,"&gt;-1000000",$C$102:$C$1048576,"OK",$A$102:$A$1048576,$E8)</f>
        <v>0</v>
      </c>
      <c r="BD8" s="126">
        <f t="shared" si="16"/>
        <v>0</v>
      </c>
      <c r="BE8" s="126">
        <f t="shared" si="16"/>
        <v>0</v>
      </c>
      <c r="BF8" s="126">
        <f t="shared" si="16"/>
        <v>0</v>
      </c>
      <c r="BG8" s="126">
        <f t="shared" si="16"/>
        <v>8576633.7500000037</v>
      </c>
      <c r="BH8" s="126">
        <f t="shared" si="16"/>
        <v>0</v>
      </c>
      <c r="BI8" s="126">
        <f t="shared" si="16"/>
        <v>0</v>
      </c>
      <c r="BJ8" s="126">
        <f t="shared" si="16"/>
        <v>0</v>
      </c>
      <c r="BK8" s="126">
        <f t="shared" si="16"/>
        <v>0</v>
      </c>
      <c r="BL8" s="126">
        <f t="shared" si="16"/>
        <v>0</v>
      </c>
      <c r="BM8" s="126">
        <f t="shared" si="16"/>
        <v>0</v>
      </c>
      <c r="BN8" s="126">
        <f t="shared" si="16"/>
        <v>0</v>
      </c>
      <c r="BO8" s="126">
        <f t="shared" si="16"/>
        <v>8576633.7500000037</v>
      </c>
      <c r="BP8" s="126">
        <f t="shared" si="16"/>
        <v>7638019.6600000001</v>
      </c>
      <c r="BQ8" s="126">
        <f t="shared" si="16"/>
        <v>0</v>
      </c>
      <c r="BR8" s="126" t="e">
        <f>SUMIFS($AM$102:$AM$1048576,#REF!,"&gt;-1000000",$C$102:$C$1048576,"OK",$A$102:$A$1048576,$E8)</f>
        <v>#REF!</v>
      </c>
      <c r="BS8" s="126">
        <f>SUMIFS($AM$102:$AM$1048576,BS$102:BS$1048576,"&gt;-1000000",$C$102:$C$1048576,"OK",$A$102:$A$1048576,$E8)</f>
        <v>8576633.7500000037</v>
      </c>
      <c r="BT8" s="126"/>
      <c r="BU8" s="126"/>
      <c r="BV8" s="147"/>
    </row>
    <row r="9" spans="1:74" ht="11.25" hidden="1" x14ac:dyDescent="0.2">
      <c r="A9" s="123"/>
      <c r="B9" s="123"/>
      <c r="C9" s="124"/>
      <c r="D9" s="125"/>
      <c r="E9" s="19">
        <v>1</v>
      </c>
      <c r="F9" s="17" t="s">
        <v>32</v>
      </c>
      <c r="G9" s="15" t="s">
        <v>109</v>
      </c>
      <c r="H9" s="126">
        <f t="shared" ref="H9:BA9" si="17">SUMIFS($AP$102:$AP$1048576,H$102:H$1048576,"&gt;-1000000",$C$102:$C$1048576,"OK",$A$102:$A$1048576,$E9)</f>
        <v>1993099.0999999999</v>
      </c>
      <c r="I9" s="126">
        <f t="shared" si="17"/>
        <v>1993099.0999999999</v>
      </c>
      <c r="J9" s="126">
        <f t="shared" si="17"/>
        <v>0</v>
      </c>
      <c r="K9" s="126">
        <f t="shared" si="17"/>
        <v>0</v>
      </c>
      <c r="L9" s="126">
        <f t="shared" si="17"/>
        <v>0</v>
      </c>
      <c r="M9" s="126">
        <f t="shared" si="17"/>
        <v>0</v>
      </c>
      <c r="N9" s="29">
        <f t="shared" si="17"/>
        <v>1993099.0999999999</v>
      </c>
      <c r="O9" s="29">
        <f t="shared" si="17"/>
        <v>29256.38</v>
      </c>
      <c r="P9" s="161">
        <f t="shared" si="17"/>
        <v>29256.38</v>
      </c>
      <c r="Q9" s="126">
        <f t="shared" si="17"/>
        <v>0</v>
      </c>
      <c r="R9" s="126">
        <f t="shared" si="17"/>
        <v>0</v>
      </c>
      <c r="S9" s="126">
        <f t="shared" si="17"/>
        <v>0</v>
      </c>
      <c r="T9" s="126">
        <f t="shared" si="17"/>
        <v>0</v>
      </c>
      <c r="U9" s="126">
        <f t="shared" si="17"/>
        <v>0</v>
      </c>
      <c r="V9" s="126">
        <f t="shared" si="17"/>
        <v>0</v>
      </c>
      <c r="W9" s="126">
        <f t="shared" si="17"/>
        <v>1993099.0999999999</v>
      </c>
      <c r="X9" s="126">
        <f t="shared" si="17"/>
        <v>0</v>
      </c>
      <c r="Y9" s="126">
        <f t="shared" si="17"/>
        <v>0</v>
      </c>
      <c r="Z9" s="126">
        <f t="shared" si="17"/>
        <v>0</v>
      </c>
      <c r="AA9" s="126">
        <f t="shared" si="17"/>
        <v>0</v>
      </c>
      <c r="AB9" s="126">
        <f t="shared" si="17"/>
        <v>0</v>
      </c>
      <c r="AC9" s="126">
        <f t="shared" si="17"/>
        <v>1993099.0999999999</v>
      </c>
      <c r="AD9" s="126">
        <f t="shared" si="17"/>
        <v>0</v>
      </c>
      <c r="AE9" s="126">
        <f t="shared" si="17"/>
        <v>0</v>
      </c>
      <c r="AF9" s="126">
        <f t="shared" si="17"/>
        <v>0</v>
      </c>
      <c r="AG9" s="126">
        <f t="shared" si="17"/>
        <v>0</v>
      </c>
      <c r="AH9" s="126">
        <f t="shared" si="17"/>
        <v>0</v>
      </c>
      <c r="AI9" s="126">
        <f t="shared" si="17"/>
        <v>0</v>
      </c>
      <c r="AJ9" s="126">
        <f t="shared" si="17"/>
        <v>0</v>
      </c>
      <c r="AK9" s="126">
        <f t="shared" si="17"/>
        <v>1993099.0999999999</v>
      </c>
      <c r="AL9" s="126">
        <f t="shared" si="17"/>
        <v>1993099.0999999999</v>
      </c>
      <c r="AM9" s="126">
        <f t="shared" si="17"/>
        <v>1993099.0999999999</v>
      </c>
      <c r="AN9" s="126">
        <f t="shared" si="17"/>
        <v>1993099.0999999999</v>
      </c>
      <c r="AO9" s="126">
        <f t="shared" si="17"/>
        <v>0</v>
      </c>
      <c r="AP9" s="126">
        <f t="shared" si="17"/>
        <v>1993099.0999999999</v>
      </c>
      <c r="AQ9" s="126">
        <f t="shared" si="17"/>
        <v>1993099.0999999999</v>
      </c>
      <c r="AR9" s="126">
        <f t="shared" si="17"/>
        <v>182987.33</v>
      </c>
      <c r="AS9" s="126">
        <f t="shared" si="17"/>
        <v>1810111.7699999998</v>
      </c>
      <c r="AT9" s="126">
        <f t="shared" si="17"/>
        <v>0</v>
      </c>
      <c r="AU9" s="126">
        <f t="shared" si="17"/>
        <v>0</v>
      </c>
      <c r="AV9" s="126">
        <f t="shared" si="17"/>
        <v>0</v>
      </c>
      <c r="AW9" s="126">
        <f t="shared" si="17"/>
        <v>0</v>
      </c>
      <c r="AX9" s="126">
        <f t="shared" si="17"/>
        <v>0</v>
      </c>
      <c r="AY9" s="126">
        <f t="shared" si="17"/>
        <v>0</v>
      </c>
      <c r="AZ9" s="126">
        <f t="shared" si="17"/>
        <v>1993099.0999999999</v>
      </c>
      <c r="BA9" s="126">
        <f t="shared" si="17"/>
        <v>0</v>
      </c>
      <c r="BB9" s="126"/>
      <c r="BC9" s="126">
        <f t="shared" ref="BC9:BQ9" si="18">SUMIFS($AP$102:$AP$1048576,BC$102:BC$1048576,"&gt;-1000000",$C$102:$C$1048576,"OK",$A$102:$A$1048576,$E9)</f>
        <v>0</v>
      </c>
      <c r="BD9" s="126">
        <f t="shared" si="18"/>
        <v>0</v>
      </c>
      <c r="BE9" s="126">
        <f t="shared" si="18"/>
        <v>0</v>
      </c>
      <c r="BF9" s="126">
        <f t="shared" si="18"/>
        <v>0</v>
      </c>
      <c r="BG9" s="126">
        <f t="shared" si="18"/>
        <v>1993099.0999999999</v>
      </c>
      <c r="BH9" s="126">
        <f t="shared" si="18"/>
        <v>0</v>
      </c>
      <c r="BI9" s="126">
        <f t="shared" si="18"/>
        <v>0</v>
      </c>
      <c r="BJ9" s="126">
        <f t="shared" si="18"/>
        <v>0</v>
      </c>
      <c r="BK9" s="126">
        <f t="shared" si="18"/>
        <v>0</v>
      </c>
      <c r="BL9" s="126">
        <f t="shared" si="18"/>
        <v>0</v>
      </c>
      <c r="BM9" s="126">
        <f t="shared" si="18"/>
        <v>0</v>
      </c>
      <c r="BN9" s="126">
        <f t="shared" si="18"/>
        <v>0</v>
      </c>
      <c r="BO9" s="126">
        <f t="shared" si="18"/>
        <v>1993099.0999999999</v>
      </c>
      <c r="BP9" s="126">
        <f t="shared" si="18"/>
        <v>1720525.5999999996</v>
      </c>
      <c r="BQ9" s="126">
        <f t="shared" si="18"/>
        <v>0</v>
      </c>
      <c r="BR9" s="126" t="e">
        <f>SUMIFS($AP$102:$AP$1048576,#REF!,"&gt;-1000000",$C$102:$C$1048576,"OK",$A$102:$A$1048576,$E9)</f>
        <v>#REF!</v>
      </c>
      <c r="BS9" s="126">
        <f>SUMIFS($AP$102:$AP$1048576,BS$102:BS$1048576,"&gt;-1000000",$C$102:$C$1048576,"OK",$A$102:$A$1048576,$E9)</f>
        <v>1993099.0999999999</v>
      </c>
      <c r="BT9" s="126"/>
      <c r="BU9" s="126"/>
      <c r="BV9" s="147"/>
    </row>
    <row r="10" spans="1:74" ht="11.25" hidden="1" x14ac:dyDescent="0.2">
      <c r="A10" s="123"/>
      <c r="B10" s="123"/>
      <c r="C10" s="124"/>
      <c r="D10" s="125"/>
      <c r="E10" s="18">
        <v>2</v>
      </c>
      <c r="F10" s="16" t="s">
        <v>28</v>
      </c>
      <c r="G10" s="14" t="s">
        <v>109</v>
      </c>
      <c r="H10" s="21">
        <f t="shared" ref="H10:BA10" si="19">SUMIFS(H$102:H$1048576,$A$102:$A$1048576,$E10)</f>
        <v>4761823</v>
      </c>
      <c r="I10" s="21">
        <f t="shared" si="19"/>
        <v>4607614522</v>
      </c>
      <c r="J10" s="21">
        <f t="shared" si="19"/>
        <v>0</v>
      </c>
      <c r="K10" s="21">
        <f t="shared" si="19"/>
        <v>0</v>
      </c>
      <c r="L10" s="21">
        <f t="shared" si="19"/>
        <v>0</v>
      </c>
      <c r="M10" s="21">
        <f t="shared" si="19"/>
        <v>0</v>
      </c>
      <c r="N10" s="29">
        <f t="shared" si="19"/>
        <v>4748157</v>
      </c>
      <c r="O10" s="29">
        <f t="shared" si="19"/>
        <v>272072</v>
      </c>
      <c r="P10" s="160">
        <f t="shared" si="19"/>
        <v>317032</v>
      </c>
      <c r="Q10" s="21">
        <f t="shared" si="19"/>
        <v>0</v>
      </c>
      <c r="R10" s="21">
        <f t="shared" si="19"/>
        <v>0</v>
      </c>
      <c r="S10" s="21">
        <f t="shared" si="19"/>
        <v>0</v>
      </c>
      <c r="T10" s="21">
        <f t="shared" si="19"/>
        <v>0</v>
      </c>
      <c r="U10" s="21">
        <f t="shared" si="19"/>
        <v>0</v>
      </c>
      <c r="V10" s="21">
        <f t="shared" si="19"/>
        <v>0</v>
      </c>
      <c r="W10" s="21">
        <f t="shared" si="19"/>
        <v>11476574</v>
      </c>
      <c r="X10" s="21">
        <f t="shared" si="19"/>
        <v>0</v>
      </c>
      <c r="Y10" s="21">
        <f t="shared" si="19"/>
        <v>0</v>
      </c>
      <c r="Z10" s="21">
        <f t="shared" si="19"/>
        <v>0</v>
      </c>
      <c r="AA10" s="21">
        <f t="shared" si="19"/>
        <v>0</v>
      </c>
      <c r="AB10" s="21">
        <f t="shared" si="19"/>
        <v>0</v>
      </c>
      <c r="AC10" s="21">
        <f t="shared" si="19"/>
        <v>132830</v>
      </c>
      <c r="AD10" s="21">
        <f t="shared" si="19"/>
        <v>0</v>
      </c>
      <c r="AE10" s="21">
        <f t="shared" si="19"/>
        <v>0</v>
      </c>
      <c r="AF10" s="21">
        <f t="shared" si="19"/>
        <v>0</v>
      </c>
      <c r="AG10" s="21">
        <f t="shared" si="19"/>
        <v>0</v>
      </c>
      <c r="AH10" s="21">
        <f t="shared" si="19"/>
        <v>0</v>
      </c>
      <c r="AI10" s="21">
        <f t="shared" si="19"/>
        <v>0</v>
      </c>
      <c r="AJ10" s="21">
        <f t="shared" si="19"/>
        <v>0</v>
      </c>
      <c r="AK10" s="21">
        <f t="shared" si="19"/>
        <v>170</v>
      </c>
      <c r="AL10" s="21">
        <f t="shared" si="19"/>
        <v>105</v>
      </c>
      <c r="AM10" s="21">
        <f t="shared" si="19"/>
        <v>9219173.2399999984</v>
      </c>
      <c r="AN10" s="21">
        <f t="shared" si="19"/>
        <v>1909347.79</v>
      </c>
      <c r="AO10" s="21">
        <f t="shared" si="19"/>
        <v>0</v>
      </c>
      <c r="AP10" s="21">
        <f t="shared" si="19"/>
        <v>1986337.0099999995</v>
      </c>
      <c r="AQ10" s="21">
        <f t="shared" si="19"/>
        <v>9296162.459999999</v>
      </c>
      <c r="AR10" s="21">
        <f t="shared" si="19"/>
        <v>31820.979999999996</v>
      </c>
      <c r="AS10" s="21">
        <f t="shared" si="19"/>
        <v>198653.42000000007</v>
      </c>
      <c r="AT10" s="21">
        <f t="shared" si="19"/>
        <v>0</v>
      </c>
      <c r="AU10" s="21">
        <f t="shared" si="19"/>
        <v>0</v>
      </c>
      <c r="AV10" s="21">
        <f t="shared" si="19"/>
        <v>0</v>
      </c>
      <c r="AW10" s="21">
        <f t="shared" si="19"/>
        <v>0</v>
      </c>
      <c r="AX10" s="21">
        <f t="shared" si="19"/>
        <v>0</v>
      </c>
      <c r="AY10" s="21">
        <f t="shared" si="19"/>
        <v>0</v>
      </c>
      <c r="AZ10" s="21">
        <f t="shared" si="19"/>
        <v>111613.91000000005</v>
      </c>
      <c r="BA10" s="21">
        <f t="shared" si="19"/>
        <v>0</v>
      </c>
      <c r="BB10" s="21"/>
      <c r="BC10" s="21">
        <f t="shared" ref="BC10:BQ10" si="20">SUMIFS(BC$102:BC$1048576,$A$102:$A$1048576,$E10)</f>
        <v>0</v>
      </c>
      <c r="BD10" s="21">
        <f t="shared" si="20"/>
        <v>0</v>
      </c>
      <c r="BE10" s="21">
        <f t="shared" si="20"/>
        <v>0</v>
      </c>
      <c r="BF10" s="21">
        <f t="shared" si="20"/>
        <v>0</v>
      </c>
      <c r="BG10" s="21">
        <f t="shared" si="20"/>
        <v>224110.21000000011</v>
      </c>
      <c r="BH10" s="21">
        <f t="shared" si="20"/>
        <v>506.32</v>
      </c>
      <c r="BI10" s="21">
        <f t="shared" si="20"/>
        <v>0</v>
      </c>
      <c r="BJ10" s="21">
        <f t="shared" si="20"/>
        <v>140000</v>
      </c>
      <c r="BK10" s="21">
        <f t="shared" si="20"/>
        <v>0</v>
      </c>
      <c r="BL10" s="21">
        <f t="shared" si="20"/>
        <v>0</v>
      </c>
      <c r="BM10" s="21">
        <f t="shared" si="20"/>
        <v>0</v>
      </c>
      <c r="BN10" s="21">
        <f t="shared" si="20"/>
        <v>0</v>
      </c>
      <c r="BO10" s="21">
        <f t="shared" si="20"/>
        <v>111548.83000000003</v>
      </c>
      <c r="BP10" s="21">
        <f t="shared" si="20"/>
        <v>0</v>
      </c>
      <c r="BQ10" s="21">
        <f t="shared" si="20"/>
        <v>0</v>
      </c>
      <c r="BR10" s="21" t="e">
        <f>SUMIFS(#REF!,$A$102:$A$1048576,$E10)</f>
        <v>#REF!</v>
      </c>
      <c r="BS10" s="21">
        <f>SUMIFS(BS$102:BS$1048576,$A$102:$A$1048576,$E10)</f>
        <v>1942889.6699999992</v>
      </c>
      <c r="BT10" s="21"/>
      <c r="BU10" s="21"/>
      <c r="BV10" s="145"/>
    </row>
    <row r="11" spans="1:74" ht="11.25" hidden="1" x14ac:dyDescent="0.2">
      <c r="A11" s="123"/>
      <c r="B11" s="123"/>
      <c r="C11" s="124"/>
      <c r="D11" s="125"/>
      <c r="E11" s="18">
        <v>2</v>
      </c>
      <c r="F11" s="16" t="s">
        <v>25</v>
      </c>
      <c r="G11" s="14" t="s">
        <v>109</v>
      </c>
      <c r="H11" s="14">
        <f t="shared" ref="H11:BA11" si="21">COUNTIFS(H$102:H$1048576,"&gt;-1000000",$A$102:$A$1048576,$E11)</f>
        <v>105</v>
      </c>
      <c r="I11" s="14">
        <f t="shared" si="21"/>
        <v>105</v>
      </c>
      <c r="J11" s="14">
        <f t="shared" si="21"/>
        <v>0</v>
      </c>
      <c r="K11" s="14">
        <f t="shared" si="21"/>
        <v>0</v>
      </c>
      <c r="L11" s="14">
        <f t="shared" si="21"/>
        <v>0</v>
      </c>
      <c r="M11" s="14">
        <f t="shared" si="21"/>
        <v>0</v>
      </c>
      <c r="N11" s="29">
        <f t="shared" si="21"/>
        <v>105</v>
      </c>
      <c r="O11" s="29">
        <f t="shared" si="21"/>
        <v>6</v>
      </c>
      <c r="P11" s="160">
        <f t="shared" si="21"/>
        <v>7</v>
      </c>
      <c r="Q11" s="14">
        <f t="shared" si="21"/>
        <v>0</v>
      </c>
      <c r="R11" s="14">
        <f t="shared" si="21"/>
        <v>0</v>
      </c>
      <c r="S11" s="14">
        <f t="shared" si="21"/>
        <v>0</v>
      </c>
      <c r="T11" s="14">
        <f t="shared" si="21"/>
        <v>0</v>
      </c>
      <c r="U11" s="14">
        <f t="shared" si="21"/>
        <v>0</v>
      </c>
      <c r="V11" s="14">
        <f t="shared" si="21"/>
        <v>0</v>
      </c>
      <c r="W11" s="14">
        <f t="shared" si="21"/>
        <v>105</v>
      </c>
      <c r="X11" s="14">
        <f t="shared" si="21"/>
        <v>0</v>
      </c>
      <c r="Y11" s="14">
        <f t="shared" si="21"/>
        <v>0</v>
      </c>
      <c r="Z11" s="14">
        <f t="shared" si="21"/>
        <v>0</v>
      </c>
      <c r="AA11" s="14">
        <f t="shared" si="21"/>
        <v>0</v>
      </c>
      <c r="AB11" s="14">
        <f t="shared" si="21"/>
        <v>0</v>
      </c>
      <c r="AC11" s="14">
        <f t="shared" si="21"/>
        <v>105</v>
      </c>
      <c r="AD11" s="14">
        <f t="shared" si="21"/>
        <v>0</v>
      </c>
      <c r="AE11" s="14">
        <f t="shared" si="21"/>
        <v>0</v>
      </c>
      <c r="AF11" s="14">
        <f t="shared" si="21"/>
        <v>0</v>
      </c>
      <c r="AG11" s="14">
        <f t="shared" si="21"/>
        <v>0</v>
      </c>
      <c r="AH11" s="14">
        <f t="shared" si="21"/>
        <v>0</v>
      </c>
      <c r="AI11" s="14">
        <f t="shared" si="21"/>
        <v>0</v>
      </c>
      <c r="AJ11" s="14">
        <f t="shared" si="21"/>
        <v>0</v>
      </c>
      <c r="AK11" s="14">
        <f t="shared" si="21"/>
        <v>105</v>
      </c>
      <c r="AL11" s="14">
        <f t="shared" si="21"/>
        <v>105</v>
      </c>
      <c r="AM11" s="14">
        <f t="shared" si="21"/>
        <v>91</v>
      </c>
      <c r="AN11" s="14">
        <f t="shared" si="21"/>
        <v>91</v>
      </c>
      <c r="AO11" s="14">
        <f t="shared" si="21"/>
        <v>0</v>
      </c>
      <c r="AP11" s="14">
        <f t="shared" si="21"/>
        <v>90</v>
      </c>
      <c r="AQ11" s="14">
        <f t="shared" si="21"/>
        <v>91</v>
      </c>
      <c r="AR11" s="14">
        <f t="shared" si="21"/>
        <v>7</v>
      </c>
      <c r="AS11" s="14">
        <f t="shared" si="21"/>
        <v>84</v>
      </c>
      <c r="AT11" s="14">
        <f t="shared" si="21"/>
        <v>0</v>
      </c>
      <c r="AU11" s="14">
        <f t="shared" si="21"/>
        <v>0</v>
      </c>
      <c r="AV11" s="14">
        <f t="shared" si="21"/>
        <v>0</v>
      </c>
      <c r="AW11" s="14">
        <f t="shared" si="21"/>
        <v>0</v>
      </c>
      <c r="AX11" s="14">
        <f t="shared" si="21"/>
        <v>0</v>
      </c>
      <c r="AY11" s="14">
        <f t="shared" si="21"/>
        <v>0</v>
      </c>
      <c r="AZ11" s="14">
        <f t="shared" si="21"/>
        <v>91</v>
      </c>
      <c r="BA11" s="14">
        <f t="shared" si="21"/>
        <v>0</v>
      </c>
      <c r="BB11" s="14"/>
      <c r="BC11" s="14">
        <f t="shared" ref="BC11:BQ11" si="22">COUNTIFS(BC$102:BC$1048576,"&gt;-1000000",$A$102:$A$1048576,$E11)</f>
        <v>0</v>
      </c>
      <c r="BD11" s="14">
        <f t="shared" si="22"/>
        <v>0</v>
      </c>
      <c r="BE11" s="14">
        <f t="shared" si="22"/>
        <v>0</v>
      </c>
      <c r="BF11" s="14">
        <f t="shared" si="22"/>
        <v>0</v>
      </c>
      <c r="BG11" s="14">
        <f t="shared" si="22"/>
        <v>91</v>
      </c>
      <c r="BH11" s="14">
        <f t="shared" si="22"/>
        <v>1</v>
      </c>
      <c r="BI11" s="14">
        <f t="shared" si="22"/>
        <v>0</v>
      </c>
      <c r="BJ11" s="14">
        <f t="shared" si="22"/>
        <v>28</v>
      </c>
      <c r="BK11" s="14">
        <f t="shared" si="22"/>
        <v>0</v>
      </c>
      <c r="BL11" s="14">
        <f t="shared" si="22"/>
        <v>0</v>
      </c>
      <c r="BM11" s="14">
        <f t="shared" si="22"/>
        <v>0</v>
      </c>
      <c r="BN11" s="14">
        <f t="shared" si="22"/>
        <v>0</v>
      </c>
      <c r="BO11" s="14">
        <f t="shared" si="22"/>
        <v>91</v>
      </c>
      <c r="BP11" s="14">
        <f t="shared" si="22"/>
        <v>0</v>
      </c>
      <c r="BQ11" s="14">
        <f t="shared" si="22"/>
        <v>0</v>
      </c>
      <c r="BR11" s="14" t="e">
        <f>COUNTIFS(#REF!,"&gt;-1000000",$A$102:$A$1048576,$E11)</f>
        <v>#REF!</v>
      </c>
      <c r="BS11" s="14">
        <f>COUNTIFS(BS$102:BS$1048576,"&gt;-1000000",$A$102:$A$1048576,$E11)</f>
        <v>105</v>
      </c>
      <c r="BT11" s="14"/>
      <c r="BU11" s="14"/>
      <c r="BV11" s="146"/>
    </row>
    <row r="12" spans="1:74" ht="11.25" hidden="1" x14ac:dyDescent="0.2">
      <c r="A12" s="123"/>
      <c r="B12" s="123"/>
      <c r="C12" s="124"/>
      <c r="D12" s="125"/>
      <c r="E12" s="18">
        <v>2</v>
      </c>
      <c r="F12" s="16" t="s">
        <v>24</v>
      </c>
      <c r="G12" s="14" t="s">
        <v>109</v>
      </c>
      <c r="H12" s="14">
        <f t="shared" ref="H12:BA12" si="23">SUMIFS($AM$102:$AM$1048576,H$102:H$1048576,"&gt;-1000000",$A$102:$A$1048576,$E12)</f>
        <v>9219173.2399999984</v>
      </c>
      <c r="I12" s="14">
        <f t="shared" si="23"/>
        <v>9219173.2399999984</v>
      </c>
      <c r="J12" s="14">
        <f t="shared" si="23"/>
        <v>0</v>
      </c>
      <c r="K12" s="14">
        <f t="shared" si="23"/>
        <v>0</v>
      </c>
      <c r="L12" s="14">
        <f t="shared" si="23"/>
        <v>0</v>
      </c>
      <c r="M12" s="14">
        <f t="shared" si="23"/>
        <v>0</v>
      </c>
      <c r="N12" s="29">
        <f t="shared" si="23"/>
        <v>9219173.2399999984</v>
      </c>
      <c r="O12" s="29">
        <f t="shared" si="23"/>
        <v>1108860.3500000001</v>
      </c>
      <c r="P12" s="160">
        <f t="shared" si="23"/>
        <v>976544.79</v>
      </c>
      <c r="Q12" s="14">
        <f t="shared" si="23"/>
        <v>0</v>
      </c>
      <c r="R12" s="14">
        <f t="shared" si="23"/>
        <v>0</v>
      </c>
      <c r="S12" s="14">
        <f t="shared" si="23"/>
        <v>0</v>
      </c>
      <c r="T12" s="14">
        <f t="shared" si="23"/>
        <v>0</v>
      </c>
      <c r="U12" s="14">
        <f t="shared" si="23"/>
        <v>0</v>
      </c>
      <c r="V12" s="14">
        <f t="shared" si="23"/>
        <v>0</v>
      </c>
      <c r="W12" s="14">
        <f t="shared" si="23"/>
        <v>9219173.2399999984</v>
      </c>
      <c r="X12" s="14">
        <f t="shared" si="23"/>
        <v>0</v>
      </c>
      <c r="Y12" s="14">
        <f t="shared" si="23"/>
        <v>0</v>
      </c>
      <c r="Z12" s="14">
        <f t="shared" si="23"/>
        <v>0</v>
      </c>
      <c r="AA12" s="14">
        <f t="shared" si="23"/>
        <v>0</v>
      </c>
      <c r="AB12" s="14">
        <f t="shared" si="23"/>
        <v>0</v>
      </c>
      <c r="AC12" s="14">
        <f t="shared" si="23"/>
        <v>9219173.2399999984</v>
      </c>
      <c r="AD12" s="14">
        <f t="shared" si="23"/>
        <v>0</v>
      </c>
      <c r="AE12" s="14">
        <f t="shared" si="23"/>
        <v>0</v>
      </c>
      <c r="AF12" s="14">
        <f t="shared" si="23"/>
        <v>0</v>
      </c>
      <c r="AG12" s="14">
        <f t="shared" si="23"/>
        <v>0</v>
      </c>
      <c r="AH12" s="14">
        <f t="shared" si="23"/>
        <v>0</v>
      </c>
      <c r="AI12" s="14">
        <f t="shared" si="23"/>
        <v>0</v>
      </c>
      <c r="AJ12" s="14">
        <f t="shared" si="23"/>
        <v>0</v>
      </c>
      <c r="AK12" s="14">
        <f t="shared" si="23"/>
        <v>9219173.2399999984</v>
      </c>
      <c r="AL12" s="14">
        <f t="shared" si="23"/>
        <v>9219173.2399999984</v>
      </c>
      <c r="AM12" s="14">
        <f t="shared" si="23"/>
        <v>9219173.2399999984</v>
      </c>
      <c r="AN12" s="14">
        <f t="shared" si="23"/>
        <v>9219173.2399999984</v>
      </c>
      <c r="AO12" s="14">
        <f t="shared" si="23"/>
        <v>0</v>
      </c>
      <c r="AP12" s="14">
        <f t="shared" si="23"/>
        <v>9214736.5099999979</v>
      </c>
      <c r="AQ12" s="14">
        <f t="shared" si="23"/>
        <v>9219173.2399999984</v>
      </c>
      <c r="AR12" s="14">
        <f t="shared" si="23"/>
        <v>1054384.67</v>
      </c>
      <c r="AS12" s="14">
        <f t="shared" si="23"/>
        <v>8164788.5699999984</v>
      </c>
      <c r="AT12" s="14">
        <f t="shared" si="23"/>
        <v>0</v>
      </c>
      <c r="AU12" s="14">
        <f t="shared" si="23"/>
        <v>0</v>
      </c>
      <c r="AV12" s="14">
        <f t="shared" si="23"/>
        <v>0</v>
      </c>
      <c r="AW12" s="14">
        <f t="shared" si="23"/>
        <v>0</v>
      </c>
      <c r="AX12" s="14">
        <f t="shared" si="23"/>
        <v>0</v>
      </c>
      <c r="AY12" s="14">
        <f t="shared" si="23"/>
        <v>0</v>
      </c>
      <c r="AZ12" s="14">
        <f t="shared" si="23"/>
        <v>9219173.2399999984</v>
      </c>
      <c r="BA12" s="14">
        <f t="shared" si="23"/>
        <v>0</v>
      </c>
      <c r="BB12" s="14"/>
      <c r="BC12" s="14">
        <f t="shared" ref="BC12:BQ12" si="24">SUMIFS($AM$102:$AM$1048576,BC$102:BC$1048576,"&gt;-1000000",$A$102:$A$1048576,$E12)</f>
        <v>0</v>
      </c>
      <c r="BD12" s="14">
        <f t="shared" si="24"/>
        <v>0</v>
      </c>
      <c r="BE12" s="14">
        <f t="shared" si="24"/>
        <v>0</v>
      </c>
      <c r="BF12" s="14">
        <f t="shared" si="24"/>
        <v>0</v>
      </c>
      <c r="BG12" s="14">
        <f t="shared" si="24"/>
        <v>9219173.2399999984</v>
      </c>
      <c r="BH12" s="14">
        <f t="shared" si="24"/>
        <v>237040.28</v>
      </c>
      <c r="BI12" s="14">
        <f t="shared" si="24"/>
        <v>0</v>
      </c>
      <c r="BJ12" s="14">
        <f t="shared" si="24"/>
        <v>1136040.1300000004</v>
      </c>
      <c r="BK12" s="14">
        <f t="shared" si="24"/>
        <v>0</v>
      </c>
      <c r="BL12" s="14">
        <f t="shared" si="24"/>
        <v>0</v>
      </c>
      <c r="BM12" s="14">
        <f t="shared" si="24"/>
        <v>0</v>
      </c>
      <c r="BN12" s="14">
        <f t="shared" si="24"/>
        <v>0</v>
      </c>
      <c r="BO12" s="14">
        <f t="shared" si="24"/>
        <v>9219173.2399999984</v>
      </c>
      <c r="BP12" s="14">
        <f t="shared" si="24"/>
        <v>0</v>
      </c>
      <c r="BQ12" s="14">
        <f t="shared" si="24"/>
        <v>0</v>
      </c>
      <c r="BR12" s="14" t="e">
        <f>SUMIFS($AM$102:$AM$1048576,#REF!,"&gt;-1000000",$A$102:$A$1048576,$E12)</f>
        <v>#REF!</v>
      </c>
      <c r="BS12" s="14">
        <f>SUMIFS($AM$102:$AM$1048576,BS$102:BS$1048576,"&gt;-1000000",$A$102:$A$1048576,$E12)</f>
        <v>9219173.2399999984</v>
      </c>
      <c r="BT12" s="14"/>
      <c r="BU12" s="14"/>
      <c r="BV12" s="146"/>
    </row>
    <row r="13" spans="1:74" ht="11.25" hidden="1" x14ac:dyDescent="0.2">
      <c r="A13" s="123"/>
      <c r="B13" s="123"/>
      <c r="C13" s="124"/>
      <c r="D13" s="125"/>
      <c r="E13" s="18">
        <v>2</v>
      </c>
      <c r="F13" s="16" t="s">
        <v>31</v>
      </c>
      <c r="G13" s="14" t="s">
        <v>109</v>
      </c>
      <c r="H13" s="14">
        <f t="shared" ref="H13:BA13" si="25">SUMIFS($AP$102:$AP$1048576,H$102:H$1048576,"&gt;-1000000",$A$102:$A$1048576,$E13)</f>
        <v>1986337.0099999995</v>
      </c>
      <c r="I13" s="14">
        <f t="shared" si="25"/>
        <v>1986337.0099999995</v>
      </c>
      <c r="J13" s="14">
        <f t="shared" si="25"/>
        <v>0</v>
      </c>
      <c r="K13" s="14">
        <f t="shared" si="25"/>
        <v>0</v>
      </c>
      <c r="L13" s="14">
        <f t="shared" si="25"/>
        <v>0</v>
      </c>
      <c r="M13" s="14">
        <f t="shared" si="25"/>
        <v>0</v>
      </c>
      <c r="N13" s="29">
        <f t="shared" si="25"/>
        <v>1986337.0099999995</v>
      </c>
      <c r="O13" s="29">
        <f t="shared" si="25"/>
        <v>237158.15000000002</v>
      </c>
      <c r="P13" s="160">
        <f t="shared" si="25"/>
        <v>204996.86000000002</v>
      </c>
      <c r="Q13" s="14">
        <f t="shared" si="25"/>
        <v>0</v>
      </c>
      <c r="R13" s="14">
        <f t="shared" si="25"/>
        <v>0</v>
      </c>
      <c r="S13" s="14">
        <f t="shared" si="25"/>
        <v>0</v>
      </c>
      <c r="T13" s="14">
        <f t="shared" si="25"/>
        <v>0</v>
      </c>
      <c r="U13" s="14">
        <f t="shared" si="25"/>
        <v>0</v>
      </c>
      <c r="V13" s="14">
        <f t="shared" si="25"/>
        <v>0</v>
      </c>
      <c r="W13" s="14">
        <f t="shared" si="25"/>
        <v>1986337.0099999995</v>
      </c>
      <c r="X13" s="14">
        <f t="shared" si="25"/>
        <v>0</v>
      </c>
      <c r="Y13" s="14">
        <f t="shared" si="25"/>
        <v>0</v>
      </c>
      <c r="Z13" s="14">
        <f t="shared" si="25"/>
        <v>0</v>
      </c>
      <c r="AA13" s="14">
        <f t="shared" si="25"/>
        <v>0</v>
      </c>
      <c r="AB13" s="14">
        <f t="shared" si="25"/>
        <v>0</v>
      </c>
      <c r="AC13" s="14">
        <f t="shared" si="25"/>
        <v>1986337.0099999995</v>
      </c>
      <c r="AD13" s="14">
        <f t="shared" si="25"/>
        <v>0</v>
      </c>
      <c r="AE13" s="14">
        <f t="shared" si="25"/>
        <v>0</v>
      </c>
      <c r="AF13" s="14">
        <f t="shared" si="25"/>
        <v>0</v>
      </c>
      <c r="AG13" s="14">
        <f t="shared" si="25"/>
        <v>0</v>
      </c>
      <c r="AH13" s="14">
        <f t="shared" si="25"/>
        <v>0</v>
      </c>
      <c r="AI13" s="14">
        <f t="shared" si="25"/>
        <v>0</v>
      </c>
      <c r="AJ13" s="14">
        <f t="shared" si="25"/>
        <v>0</v>
      </c>
      <c r="AK13" s="14">
        <f t="shared" si="25"/>
        <v>1986337.0099999995</v>
      </c>
      <c r="AL13" s="14">
        <f t="shared" si="25"/>
        <v>1986337.0099999995</v>
      </c>
      <c r="AM13" s="14">
        <f t="shared" si="25"/>
        <v>1986337.0099999995</v>
      </c>
      <c r="AN13" s="14">
        <f t="shared" si="25"/>
        <v>1986337.0099999995</v>
      </c>
      <c r="AO13" s="14">
        <f t="shared" si="25"/>
        <v>0</v>
      </c>
      <c r="AP13" s="14">
        <f t="shared" si="25"/>
        <v>1986337.0099999995</v>
      </c>
      <c r="AQ13" s="14">
        <f t="shared" si="25"/>
        <v>1986337.0099999995</v>
      </c>
      <c r="AR13" s="14">
        <f t="shared" si="25"/>
        <v>218454.34</v>
      </c>
      <c r="AS13" s="14">
        <f t="shared" si="25"/>
        <v>1767882.6699999997</v>
      </c>
      <c r="AT13" s="14">
        <f t="shared" si="25"/>
        <v>0</v>
      </c>
      <c r="AU13" s="14">
        <f t="shared" si="25"/>
        <v>0</v>
      </c>
      <c r="AV13" s="14">
        <f t="shared" si="25"/>
        <v>0</v>
      </c>
      <c r="AW13" s="14">
        <f t="shared" si="25"/>
        <v>0</v>
      </c>
      <c r="AX13" s="14">
        <f t="shared" si="25"/>
        <v>0</v>
      </c>
      <c r="AY13" s="14">
        <f t="shared" si="25"/>
        <v>0</v>
      </c>
      <c r="AZ13" s="14">
        <f t="shared" si="25"/>
        <v>1986337.0099999995</v>
      </c>
      <c r="BA13" s="14">
        <f t="shared" si="25"/>
        <v>0</v>
      </c>
      <c r="BB13" s="14"/>
      <c r="BC13" s="14">
        <f t="shared" ref="BC13:BQ13" si="26">SUMIFS($AP$102:$AP$1048576,BC$102:BC$1048576,"&gt;-1000000",$A$102:$A$1048576,$E13)</f>
        <v>0</v>
      </c>
      <c r="BD13" s="14">
        <f t="shared" si="26"/>
        <v>0</v>
      </c>
      <c r="BE13" s="14">
        <f t="shared" si="26"/>
        <v>0</v>
      </c>
      <c r="BF13" s="14">
        <f t="shared" si="26"/>
        <v>0</v>
      </c>
      <c r="BG13" s="14">
        <f t="shared" si="26"/>
        <v>1986337.0099999995</v>
      </c>
      <c r="BH13" s="14">
        <f t="shared" si="26"/>
        <v>56530.27</v>
      </c>
      <c r="BI13" s="14">
        <f t="shared" si="26"/>
        <v>0</v>
      </c>
      <c r="BJ13" s="14">
        <f t="shared" si="26"/>
        <v>256371.15999999997</v>
      </c>
      <c r="BK13" s="14">
        <f t="shared" si="26"/>
        <v>0</v>
      </c>
      <c r="BL13" s="14">
        <f t="shared" si="26"/>
        <v>0</v>
      </c>
      <c r="BM13" s="14">
        <f t="shared" si="26"/>
        <v>0</v>
      </c>
      <c r="BN13" s="14">
        <f t="shared" si="26"/>
        <v>0</v>
      </c>
      <c r="BO13" s="14">
        <f t="shared" si="26"/>
        <v>1986337.0099999995</v>
      </c>
      <c r="BP13" s="14">
        <f t="shared" si="26"/>
        <v>0</v>
      </c>
      <c r="BQ13" s="14">
        <f t="shared" si="26"/>
        <v>0</v>
      </c>
      <c r="BR13" s="14" t="e">
        <f>SUMIFS($AP$102:$AP$1048576,#REF!,"&gt;-1000000",$A$102:$A$1048576,$E13)</f>
        <v>#REF!</v>
      </c>
      <c r="BS13" s="14">
        <f>SUMIFS($AP$102:$AP$1048576,BS$102:BS$1048576,"&gt;-1000000",$A$102:$A$1048576,$E13)</f>
        <v>1986337.0099999995</v>
      </c>
      <c r="BT13" s="14"/>
      <c r="BU13" s="14"/>
      <c r="BV13" s="146"/>
    </row>
    <row r="14" spans="1:74" ht="11.25" hidden="1" x14ac:dyDescent="0.2">
      <c r="A14" s="123"/>
      <c r="B14" s="123"/>
      <c r="C14" s="124"/>
      <c r="D14" s="125"/>
      <c r="E14" s="19">
        <v>2</v>
      </c>
      <c r="F14" s="17" t="s">
        <v>29</v>
      </c>
      <c r="G14" s="15" t="s">
        <v>109</v>
      </c>
      <c r="H14" s="126">
        <f t="shared" ref="H14:BA14" si="27">SUMIFS(H$102:H$1048576,$A$102:$A$1048576,$E14,$C$102:$C$1048576,"OK")</f>
        <v>4036503</v>
      </c>
      <c r="I14" s="126">
        <f t="shared" si="27"/>
        <v>3876240410</v>
      </c>
      <c r="J14" s="126">
        <f t="shared" si="27"/>
        <v>0</v>
      </c>
      <c r="K14" s="126">
        <f t="shared" si="27"/>
        <v>0</v>
      </c>
      <c r="L14" s="126">
        <f t="shared" si="27"/>
        <v>0</v>
      </c>
      <c r="M14" s="126">
        <f t="shared" si="27"/>
        <v>0</v>
      </c>
      <c r="N14" s="29">
        <f t="shared" si="27"/>
        <v>4024216</v>
      </c>
      <c r="O14" s="29">
        <f t="shared" si="27"/>
        <v>272072</v>
      </c>
      <c r="P14" s="161">
        <f t="shared" si="27"/>
        <v>226726</v>
      </c>
      <c r="Q14" s="126">
        <f t="shared" si="27"/>
        <v>0</v>
      </c>
      <c r="R14" s="126">
        <f t="shared" si="27"/>
        <v>0</v>
      </c>
      <c r="S14" s="126">
        <f t="shared" si="27"/>
        <v>0</v>
      </c>
      <c r="T14" s="126">
        <f t="shared" si="27"/>
        <v>0</v>
      </c>
      <c r="U14" s="126">
        <f t="shared" si="27"/>
        <v>0</v>
      </c>
      <c r="V14" s="126">
        <f t="shared" si="27"/>
        <v>0</v>
      </c>
      <c r="W14" s="126">
        <f t="shared" si="27"/>
        <v>9722613</v>
      </c>
      <c r="X14" s="126">
        <f t="shared" si="27"/>
        <v>0</v>
      </c>
      <c r="Y14" s="126">
        <f t="shared" si="27"/>
        <v>0</v>
      </c>
      <c r="Z14" s="126">
        <f t="shared" si="27"/>
        <v>0</v>
      </c>
      <c r="AA14" s="126">
        <f t="shared" si="27"/>
        <v>0</v>
      </c>
      <c r="AB14" s="126">
        <f t="shared" si="27"/>
        <v>0</v>
      </c>
      <c r="AC14" s="126">
        <f t="shared" si="27"/>
        <v>113314</v>
      </c>
      <c r="AD14" s="126">
        <f t="shared" si="27"/>
        <v>0</v>
      </c>
      <c r="AE14" s="126">
        <f t="shared" si="27"/>
        <v>0</v>
      </c>
      <c r="AF14" s="126">
        <f t="shared" si="27"/>
        <v>0</v>
      </c>
      <c r="AG14" s="126">
        <f t="shared" si="27"/>
        <v>0</v>
      </c>
      <c r="AH14" s="126">
        <f t="shared" si="27"/>
        <v>0</v>
      </c>
      <c r="AI14" s="126">
        <f t="shared" si="27"/>
        <v>0</v>
      </c>
      <c r="AJ14" s="126">
        <f t="shared" si="27"/>
        <v>0</v>
      </c>
      <c r="AK14" s="126">
        <f t="shared" si="27"/>
        <v>154</v>
      </c>
      <c r="AL14" s="126">
        <f t="shared" si="27"/>
        <v>89</v>
      </c>
      <c r="AM14" s="126">
        <f t="shared" si="27"/>
        <v>9170748.549999997</v>
      </c>
      <c r="AN14" s="126">
        <f t="shared" si="27"/>
        <v>1899359.2</v>
      </c>
      <c r="AO14" s="126">
        <f t="shared" si="27"/>
        <v>0</v>
      </c>
      <c r="AP14" s="126">
        <f t="shared" si="27"/>
        <v>1976215.9199999995</v>
      </c>
      <c r="AQ14" s="126">
        <f t="shared" si="27"/>
        <v>9247605.2699999996</v>
      </c>
      <c r="AR14" s="126">
        <f t="shared" si="27"/>
        <v>31820.979999999996</v>
      </c>
      <c r="AS14" s="126">
        <f t="shared" si="27"/>
        <v>197482.5100000001</v>
      </c>
      <c r="AT14" s="126">
        <f t="shared" si="27"/>
        <v>0</v>
      </c>
      <c r="AU14" s="126">
        <f t="shared" si="27"/>
        <v>0</v>
      </c>
      <c r="AV14" s="126">
        <f t="shared" si="27"/>
        <v>0</v>
      </c>
      <c r="AW14" s="126">
        <f t="shared" si="27"/>
        <v>0</v>
      </c>
      <c r="AX14" s="126">
        <f t="shared" si="27"/>
        <v>0</v>
      </c>
      <c r="AY14" s="126">
        <f t="shared" si="27"/>
        <v>0</v>
      </c>
      <c r="AZ14" s="126">
        <f t="shared" si="27"/>
        <v>111028.45000000003</v>
      </c>
      <c r="BA14" s="126">
        <f t="shared" si="27"/>
        <v>0</v>
      </c>
      <c r="BB14" s="126"/>
      <c r="BC14" s="126">
        <f t="shared" ref="BC14:BQ14" si="28">SUMIFS(BC$102:BC$1048576,$A$102:$A$1048576,$E14,$C$102:$C$1048576,"OK")</f>
        <v>0</v>
      </c>
      <c r="BD14" s="126">
        <f t="shared" si="28"/>
        <v>0</v>
      </c>
      <c r="BE14" s="126">
        <f t="shared" si="28"/>
        <v>0</v>
      </c>
      <c r="BF14" s="126">
        <f t="shared" si="28"/>
        <v>0</v>
      </c>
      <c r="BG14" s="126">
        <f t="shared" si="28"/>
        <v>222939.3000000001</v>
      </c>
      <c r="BH14" s="126">
        <f t="shared" si="28"/>
        <v>506.32</v>
      </c>
      <c r="BI14" s="126">
        <f t="shared" si="28"/>
        <v>0</v>
      </c>
      <c r="BJ14" s="126">
        <f t="shared" si="28"/>
        <v>70000</v>
      </c>
      <c r="BK14" s="126">
        <f t="shared" si="28"/>
        <v>0</v>
      </c>
      <c r="BL14" s="126">
        <f t="shared" si="28"/>
        <v>0</v>
      </c>
      <c r="BM14" s="126">
        <f t="shared" si="28"/>
        <v>0</v>
      </c>
      <c r="BN14" s="126">
        <f t="shared" si="28"/>
        <v>0</v>
      </c>
      <c r="BO14" s="126">
        <f t="shared" si="28"/>
        <v>110963.37000000002</v>
      </c>
      <c r="BP14" s="126">
        <f t="shared" si="28"/>
        <v>0</v>
      </c>
      <c r="BQ14" s="126">
        <f t="shared" si="28"/>
        <v>0</v>
      </c>
      <c r="BR14" s="126" t="e">
        <f>SUMIFS(#REF!,$A$102:$A$1048576,$E14,$C$102:$C$1048576,"OK")</f>
        <v>#REF!</v>
      </c>
      <c r="BS14" s="126">
        <f>SUMIFS(BS$102:BS$1048576,$A$102:$A$1048576,$E14,$C$102:$C$1048576,"OK")</f>
        <v>1922637.9799999993</v>
      </c>
      <c r="BT14" s="126"/>
      <c r="BU14" s="126"/>
      <c r="BV14" s="147"/>
    </row>
    <row r="15" spans="1:74" ht="11.25" hidden="1" x14ac:dyDescent="0.2">
      <c r="A15" s="123"/>
      <c r="B15" s="123"/>
      <c r="C15" s="124"/>
      <c r="D15" s="125"/>
      <c r="E15" s="19">
        <v>2</v>
      </c>
      <c r="F15" s="17" t="s">
        <v>23</v>
      </c>
      <c r="G15" s="15" t="s">
        <v>109</v>
      </c>
      <c r="H15" s="126">
        <f t="shared" ref="H15:BA15" si="29">COUNTIFS(H$102:H$1048576,"&gt;-1000000",$C$102:$C$1048576,"OK",$A$102:$A$1048576,$E15)</f>
        <v>89</v>
      </c>
      <c r="I15" s="126">
        <f t="shared" si="29"/>
        <v>89</v>
      </c>
      <c r="J15" s="126">
        <f t="shared" si="29"/>
        <v>0</v>
      </c>
      <c r="K15" s="126">
        <f t="shared" si="29"/>
        <v>0</v>
      </c>
      <c r="L15" s="126">
        <f t="shared" si="29"/>
        <v>0</v>
      </c>
      <c r="M15" s="126">
        <f t="shared" si="29"/>
        <v>0</v>
      </c>
      <c r="N15" s="29">
        <f t="shared" si="29"/>
        <v>89</v>
      </c>
      <c r="O15" s="29">
        <f t="shared" si="29"/>
        <v>6</v>
      </c>
      <c r="P15" s="161">
        <f t="shared" si="29"/>
        <v>5</v>
      </c>
      <c r="Q15" s="126">
        <f t="shared" si="29"/>
        <v>0</v>
      </c>
      <c r="R15" s="126">
        <f t="shared" si="29"/>
        <v>0</v>
      </c>
      <c r="S15" s="126">
        <f t="shared" si="29"/>
        <v>0</v>
      </c>
      <c r="T15" s="126">
        <f t="shared" si="29"/>
        <v>0</v>
      </c>
      <c r="U15" s="126">
        <f t="shared" si="29"/>
        <v>0</v>
      </c>
      <c r="V15" s="126">
        <f t="shared" si="29"/>
        <v>0</v>
      </c>
      <c r="W15" s="126">
        <f t="shared" si="29"/>
        <v>89</v>
      </c>
      <c r="X15" s="126">
        <f t="shared" si="29"/>
        <v>0</v>
      </c>
      <c r="Y15" s="126">
        <f t="shared" si="29"/>
        <v>0</v>
      </c>
      <c r="Z15" s="126">
        <f t="shared" si="29"/>
        <v>0</v>
      </c>
      <c r="AA15" s="126">
        <f t="shared" si="29"/>
        <v>0</v>
      </c>
      <c r="AB15" s="126">
        <f t="shared" si="29"/>
        <v>0</v>
      </c>
      <c r="AC15" s="126">
        <f t="shared" si="29"/>
        <v>89</v>
      </c>
      <c r="AD15" s="126">
        <f t="shared" si="29"/>
        <v>0</v>
      </c>
      <c r="AE15" s="126">
        <f t="shared" si="29"/>
        <v>0</v>
      </c>
      <c r="AF15" s="126">
        <f t="shared" si="29"/>
        <v>0</v>
      </c>
      <c r="AG15" s="126">
        <f t="shared" si="29"/>
        <v>0</v>
      </c>
      <c r="AH15" s="126">
        <f t="shared" si="29"/>
        <v>0</v>
      </c>
      <c r="AI15" s="126">
        <f t="shared" si="29"/>
        <v>0</v>
      </c>
      <c r="AJ15" s="126">
        <f t="shared" si="29"/>
        <v>0</v>
      </c>
      <c r="AK15" s="126">
        <f t="shared" si="29"/>
        <v>89</v>
      </c>
      <c r="AL15" s="126">
        <f t="shared" si="29"/>
        <v>89</v>
      </c>
      <c r="AM15" s="126">
        <f t="shared" si="29"/>
        <v>89</v>
      </c>
      <c r="AN15" s="126">
        <f t="shared" si="29"/>
        <v>89</v>
      </c>
      <c r="AO15" s="126">
        <f t="shared" si="29"/>
        <v>0</v>
      </c>
      <c r="AP15" s="126">
        <f t="shared" si="29"/>
        <v>88</v>
      </c>
      <c r="AQ15" s="126">
        <f t="shared" si="29"/>
        <v>89</v>
      </c>
      <c r="AR15" s="126">
        <f t="shared" si="29"/>
        <v>7</v>
      </c>
      <c r="AS15" s="126">
        <f t="shared" si="29"/>
        <v>82</v>
      </c>
      <c r="AT15" s="126">
        <f t="shared" si="29"/>
        <v>0</v>
      </c>
      <c r="AU15" s="126">
        <f t="shared" si="29"/>
        <v>0</v>
      </c>
      <c r="AV15" s="126">
        <f t="shared" si="29"/>
        <v>0</v>
      </c>
      <c r="AW15" s="126">
        <f t="shared" si="29"/>
        <v>0</v>
      </c>
      <c r="AX15" s="126">
        <f t="shared" si="29"/>
        <v>0</v>
      </c>
      <c r="AY15" s="126">
        <f t="shared" si="29"/>
        <v>0</v>
      </c>
      <c r="AZ15" s="126">
        <f t="shared" si="29"/>
        <v>89</v>
      </c>
      <c r="BA15" s="126">
        <f t="shared" si="29"/>
        <v>0</v>
      </c>
      <c r="BB15" s="126"/>
      <c r="BC15" s="126">
        <f t="shared" ref="BC15:BQ15" si="30">COUNTIFS(BC$102:BC$1048576,"&gt;-1000000",$C$102:$C$1048576,"OK",$A$102:$A$1048576,$E15)</f>
        <v>0</v>
      </c>
      <c r="BD15" s="126">
        <f t="shared" si="30"/>
        <v>0</v>
      </c>
      <c r="BE15" s="126">
        <f t="shared" si="30"/>
        <v>0</v>
      </c>
      <c r="BF15" s="126">
        <f t="shared" si="30"/>
        <v>0</v>
      </c>
      <c r="BG15" s="126">
        <f t="shared" si="30"/>
        <v>89</v>
      </c>
      <c r="BH15" s="126">
        <f t="shared" si="30"/>
        <v>1</v>
      </c>
      <c r="BI15" s="126">
        <f t="shared" si="30"/>
        <v>0</v>
      </c>
      <c r="BJ15" s="126">
        <f t="shared" si="30"/>
        <v>14</v>
      </c>
      <c r="BK15" s="126">
        <f t="shared" si="30"/>
        <v>0</v>
      </c>
      <c r="BL15" s="126">
        <f t="shared" si="30"/>
        <v>0</v>
      </c>
      <c r="BM15" s="126">
        <f t="shared" si="30"/>
        <v>0</v>
      </c>
      <c r="BN15" s="126">
        <f t="shared" si="30"/>
        <v>0</v>
      </c>
      <c r="BO15" s="126">
        <f t="shared" si="30"/>
        <v>89</v>
      </c>
      <c r="BP15" s="126">
        <f t="shared" si="30"/>
        <v>0</v>
      </c>
      <c r="BQ15" s="126">
        <f t="shared" si="30"/>
        <v>0</v>
      </c>
      <c r="BR15" s="126" t="e">
        <f>COUNTIFS(#REF!,"&gt;-1000000",$C$102:$C$1048576,"OK",$A$102:$A$1048576,$E15)</f>
        <v>#REF!</v>
      </c>
      <c r="BS15" s="126">
        <f>COUNTIFS(BS$102:BS$1048576,"&gt;-1000000",$C$102:$C$1048576,"OK",$A$102:$A$1048576,$E15)</f>
        <v>89</v>
      </c>
      <c r="BT15" s="126"/>
      <c r="BU15" s="126"/>
      <c r="BV15" s="147"/>
    </row>
    <row r="16" spans="1:74" ht="11.25" hidden="1" x14ac:dyDescent="0.2">
      <c r="A16" s="123"/>
      <c r="B16" s="123"/>
      <c r="C16" s="124"/>
      <c r="D16" s="125"/>
      <c r="E16" s="19">
        <v>2</v>
      </c>
      <c r="F16" s="17" t="s">
        <v>30</v>
      </c>
      <c r="G16" s="15" t="s">
        <v>109</v>
      </c>
      <c r="H16" s="126">
        <f t="shared" ref="H16:BA16" si="31">SUMIFS($AM$102:$AM$1048576,H$102:H$1048576,"&gt;-1000000",$C$102:$C$1048576,"OK",$A$102:$A$1048576,$E16)</f>
        <v>9170748.549999997</v>
      </c>
      <c r="I16" s="126">
        <f t="shared" si="31"/>
        <v>9170748.549999997</v>
      </c>
      <c r="J16" s="126">
        <f t="shared" si="31"/>
        <v>0</v>
      </c>
      <c r="K16" s="126">
        <f t="shared" si="31"/>
        <v>0</v>
      </c>
      <c r="L16" s="126">
        <f t="shared" si="31"/>
        <v>0</v>
      </c>
      <c r="M16" s="126">
        <f t="shared" si="31"/>
        <v>0</v>
      </c>
      <c r="N16" s="29">
        <f t="shared" si="31"/>
        <v>9170748.549999997</v>
      </c>
      <c r="O16" s="29">
        <f t="shared" si="31"/>
        <v>1108860.3500000001</v>
      </c>
      <c r="P16" s="161">
        <f t="shared" si="31"/>
        <v>928120.10000000009</v>
      </c>
      <c r="Q16" s="126">
        <f t="shared" si="31"/>
        <v>0</v>
      </c>
      <c r="R16" s="126">
        <f t="shared" si="31"/>
        <v>0</v>
      </c>
      <c r="S16" s="126">
        <f t="shared" si="31"/>
        <v>0</v>
      </c>
      <c r="T16" s="126">
        <f t="shared" si="31"/>
        <v>0</v>
      </c>
      <c r="U16" s="126">
        <f t="shared" si="31"/>
        <v>0</v>
      </c>
      <c r="V16" s="126">
        <f t="shared" si="31"/>
        <v>0</v>
      </c>
      <c r="W16" s="126">
        <f t="shared" si="31"/>
        <v>9170748.549999997</v>
      </c>
      <c r="X16" s="126">
        <f t="shared" si="31"/>
        <v>0</v>
      </c>
      <c r="Y16" s="126">
        <f t="shared" si="31"/>
        <v>0</v>
      </c>
      <c r="Z16" s="126">
        <f t="shared" si="31"/>
        <v>0</v>
      </c>
      <c r="AA16" s="126">
        <f t="shared" si="31"/>
        <v>0</v>
      </c>
      <c r="AB16" s="126">
        <f t="shared" si="31"/>
        <v>0</v>
      </c>
      <c r="AC16" s="126">
        <f t="shared" si="31"/>
        <v>9170748.549999997</v>
      </c>
      <c r="AD16" s="126">
        <f t="shared" si="31"/>
        <v>0</v>
      </c>
      <c r="AE16" s="126">
        <f t="shared" si="31"/>
        <v>0</v>
      </c>
      <c r="AF16" s="126">
        <f t="shared" si="31"/>
        <v>0</v>
      </c>
      <c r="AG16" s="126">
        <f t="shared" si="31"/>
        <v>0</v>
      </c>
      <c r="AH16" s="126">
        <f t="shared" si="31"/>
        <v>0</v>
      </c>
      <c r="AI16" s="126">
        <f t="shared" si="31"/>
        <v>0</v>
      </c>
      <c r="AJ16" s="126">
        <f t="shared" si="31"/>
        <v>0</v>
      </c>
      <c r="AK16" s="126">
        <f t="shared" si="31"/>
        <v>9170748.549999997</v>
      </c>
      <c r="AL16" s="126">
        <f t="shared" si="31"/>
        <v>9170748.549999997</v>
      </c>
      <c r="AM16" s="126">
        <f t="shared" si="31"/>
        <v>9170748.549999997</v>
      </c>
      <c r="AN16" s="126">
        <f t="shared" si="31"/>
        <v>9170748.549999997</v>
      </c>
      <c r="AO16" s="126">
        <f t="shared" si="31"/>
        <v>0</v>
      </c>
      <c r="AP16" s="126">
        <f t="shared" si="31"/>
        <v>9166311.8199999984</v>
      </c>
      <c r="AQ16" s="126">
        <f t="shared" si="31"/>
        <v>9170748.549999997</v>
      </c>
      <c r="AR16" s="126">
        <f t="shared" si="31"/>
        <v>1054384.67</v>
      </c>
      <c r="AS16" s="126">
        <f t="shared" si="31"/>
        <v>8116363.879999998</v>
      </c>
      <c r="AT16" s="126">
        <f t="shared" si="31"/>
        <v>0</v>
      </c>
      <c r="AU16" s="126">
        <f t="shared" si="31"/>
        <v>0</v>
      </c>
      <c r="AV16" s="126">
        <f t="shared" si="31"/>
        <v>0</v>
      </c>
      <c r="AW16" s="126">
        <f t="shared" si="31"/>
        <v>0</v>
      </c>
      <c r="AX16" s="126">
        <f t="shared" si="31"/>
        <v>0</v>
      </c>
      <c r="AY16" s="126">
        <f t="shared" si="31"/>
        <v>0</v>
      </c>
      <c r="AZ16" s="126">
        <f t="shared" si="31"/>
        <v>9170748.549999997</v>
      </c>
      <c r="BA16" s="126">
        <f t="shared" si="31"/>
        <v>0</v>
      </c>
      <c r="BB16" s="126"/>
      <c r="BC16" s="126">
        <f t="shared" ref="BC16:BQ16" si="32">SUMIFS($AM$102:$AM$1048576,BC$102:BC$1048576,"&gt;-1000000",$C$102:$C$1048576,"OK",$A$102:$A$1048576,$E16)</f>
        <v>0</v>
      </c>
      <c r="BD16" s="126">
        <f t="shared" si="32"/>
        <v>0</v>
      </c>
      <c r="BE16" s="126">
        <f t="shared" si="32"/>
        <v>0</v>
      </c>
      <c r="BF16" s="126">
        <f t="shared" si="32"/>
        <v>0</v>
      </c>
      <c r="BG16" s="126">
        <f t="shared" si="32"/>
        <v>9170748.549999997</v>
      </c>
      <c r="BH16" s="126">
        <f t="shared" si="32"/>
        <v>237040.28</v>
      </c>
      <c r="BI16" s="126">
        <f t="shared" si="32"/>
        <v>0</v>
      </c>
      <c r="BJ16" s="126">
        <f t="shared" si="32"/>
        <v>1136040.1300000004</v>
      </c>
      <c r="BK16" s="126">
        <f t="shared" si="32"/>
        <v>0</v>
      </c>
      <c r="BL16" s="126">
        <f t="shared" si="32"/>
        <v>0</v>
      </c>
      <c r="BM16" s="126">
        <f t="shared" si="32"/>
        <v>0</v>
      </c>
      <c r="BN16" s="126">
        <f t="shared" si="32"/>
        <v>0</v>
      </c>
      <c r="BO16" s="126">
        <f t="shared" si="32"/>
        <v>9170748.549999997</v>
      </c>
      <c r="BP16" s="126">
        <f t="shared" si="32"/>
        <v>0</v>
      </c>
      <c r="BQ16" s="126">
        <f t="shared" si="32"/>
        <v>0</v>
      </c>
      <c r="BR16" s="126" t="e">
        <f>SUMIFS($AM$102:$AM$1048576,#REF!,"&gt;-1000000",$C$102:$C$1048576,"OK",$A$102:$A$1048576,$E16)</f>
        <v>#REF!</v>
      </c>
      <c r="BS16" s="126">
        <f>SUMIFS($AM$102:$AM$1048576,BS$102:BS$1048576,"&gt;-1000000",$C$102:$C$1048576,"OK",$A$102:$A$1048576,$E16)</f>
        <v>9170748.549999997</v>
      </c>
      <c r="BT16" s="126"/>
      <c r="BU16" s="126"/>
      <c r="BV16" s="147"/>
    </row>
    <row r="17" spans="1:74" ht="11.25" hidden="1" x14ac:dyDescent="0.2">
      <c r="A17" s="123"/>
      <c r="B17" s="123"/>
      <c r="C17" s="124"/>
      <c r="D17" s="125"/>
      <c r="E17" s="19">
        <v>2</v>
      </c>
      <c r="F17" s="17" t="s">
        <v>32</v>
      </c>
      <c r="G17" s="15" t="s">
        <v>109</v>
      </c>
      <c r="H17" s="126">
        <f t="shared" ref="H17:BA17" si="33">SUMIFS($AP$102:$AP$1048576,H$102:H$1048576,"&gt;-1000000",$C$102:$C$1048576,"OK",$A$102:$A$1048576,$E17)</f>
        <v>1976215.9199999995</v>
      </c>
      <c r="I17" s="126">
        <f t="shared" si="33"/>
        <v>1976215.9199999995</v>
      </c>
      <c r="J17" s="126">
        <f t="shared" si="33"/>
        <v>0</v>
      </c>
      <c r="K17" s="126">
        <f t="shared" si="33"/>
        <v>0</v>
      </c>
      <c r="L17" s="126">
        <f t="shared" si="33"/>
        <v>0</v>
      </c>
      <c r="M17" s="126">
        <f t="shared" si="33"/>
        <v>0</v>
      </c>
      <c r="N17" s="29">
        <f t="shared" si="33"/>
        <v>1976215.9199999995</v>
      </c>
      <c r="O17" s="29">
        <f t="shared" si="33"/>
        <v>237158.15000000002</v>
      </c>
      <c r="P17" s="161">
        <f t="shared" si="33"/>
        <v>194875.77000000002</v>
      </c>
      <c r="Q17" s="126">
        <f t="shared" si="33"/>
        <v>0</v>
      </c>
      <c r="R17" s="126">
        <f t="shared" si="33"/>
        <v>0</v>
      </c>
      <c r="S17" s="126">
        <f t="shared" si="33"/>
        <v>0</v>
      </c>
      <c r="T17" s="126">
        <f t="shared" si="33"/>
        <v>0</v>
      </c>
      <c r="U17" s="126">
        <f t="shared" si="33"/>
        <v>0</v>
      </c>
      <c r="V17" s="126">
        <f t="shared" si="33"/>
        <v>0</v>
      </c>
      <c r="W17" s="126">
        <f t="shared" si="33"/>
        <v>1976215.9199999995</v>
      </c>
      <c r="X17" s="126">
        <f t="shared" si="33"/>
        <v>0</v>
      </c>
      <c r="Y17" s="126">
        <f t="shared" si="33"/>
        <v>0</v>
      </c>
      <c r="Z17" s="126">
        <f t="shared" si="33"/>
        <v>0</v>
      </c>
      <c r="AA17" s="126">
        <f t="shared" si="33"/>
        <v>0</v>
      </c>
      <c r="AB17" s="126">
        <f t="shared" si="33"/>
        <v>0</v>
      </c>
      <c r="AC17" s="126">
        <f t="shared" si="33"/>
        <v>1976215.9199999995</v>
      </c>
      <c r="AD17" s="126">
        <f t="shared" si="33"/>
        <v>0</v>
      </c>
      <c r="AE17" s="126">
        <f t="shared" si="33"/>
        <v>0</v>
      </c>
      <c r="AF17" s="126">
        <f t="shared" si="33"/>
        <v>0</v>
      </c>
      <c r="AG17" s="126">
        <f t="shared" si="33"/>
        <v>0</v>
      </c>
      <c r="AH17" s="126">
        <f t="shared" si="33"/>
        <v>0</v>
      </c>
      <c r="AI17" s="126">
        <f t="shared" si="33"/>
        <v>0</v>
      </c>
      <c r="AJ17" s="126">
        <f t="shared" si="33"/>
        <v>0</v>
      </c>
      <c r="AK17" s="126">
        <f t="shared" si="33"/>
        <v>1976215.9199999995</v>
      </c>
      <c r="AL17" s="126">
        <f t="shared" si="33"/>
        <v>1976215.9199999995</v>
      </c>
      <c r="AM17" s="126">
        <f t="shared" si="33"/>
        <v>1976215.9199999995</v>
      </c>
      <c r="AN17" s="126">
        <f t="shared" si="33"/>
        <v>1976215.9199999995</v>
      </c>
      <c r="AO17" s="126">
        <f t="shared" si="33"/>
        <v>0</v>
      </c>
      <c r="AP17" s="126">
        <f t="shared" si="33"/>
        <v>1976215.9199999995</v>
      </c>
      <c r="AQ17" s="126">
        <f t="shared" si="33"/>
        <v>1976215.9199999995</v>
      </c>
      <c r="AR17" s="126">
        <f t="shared" si="33"/>
        <v>218454.34</v>
      </c>
      <c r="AS17" s="126">
        <f t="shared" si="33"/>
        <v>1757761.5799999998</v>
      </c>
      <c r="AT17" s="126">
        <f t="shared" si="33"/>
        <v>0</v>
      </c>
      <c r="AU17" s="126">
        <f t="shared" si="33"/>
        <v>0</v>
      </c>
      <c r="AV17" s="126">
        <f t="shared" si="33"/>
        <v>0</v>
      </c>
      <c r="AW17" s="126">
        <f t="shared" si="33"/>
        <v>0</v>
      </c>
      <c r="AX17" s="126">
        <f t="shared" si="33"/>
        <v>0</v>
      </c>
      <c r="AY17" s="126">
        <f t="shared" si="33"/>
        <v>0</v>
      </c>
      <c r="AZ17" s="126">
        <f t="shared" si="33"/>
        <v>1976215.9199999995</v>
      </c>
      <c r="BA17" s="126">
        <f t="shared" si="33"/>
        <v>0</v>
      </c>
      <c r="BB17" s="126"/>
      <c r="BC17" s="126">
        <f t="shared" ref="BC17:BQ17" si="34">SUMIFS($AP$102:$AP$1048576,BC$102:BC$1048576,"&gt;-1000000",$C$102:$C$1048576,"OK",$A$102:$A$1048576,$E17)</f>
        <v>0</v>
      </c>
      <c r="BD17" s="126">
        <f t="shared" si="34"/>
        <v>0</v>
      </c>
      <c r="BE17" s="126">
        <f t="shared" si="34"/>
        <v>0</v>
      </c>
      <c r="BF17" s="126">
        <f t="shared" si="34"/>
        <v>0</v>
      </c>
      <c r="BG17" s="126">
        <f t="shared" si="34"/>
        <v>1976215.9199999995</v>
      </c>
      <c r="BH17" s="126">
        <f t="shared" si="34"/>
        <v>56530.27</v>
      </c>
      <c r="BI17" s="126">
        <f t="shared" si="34"/>
        <v>0</v>
      </c>
      <c r="BJ17" s="126">
        <f t="shared" si="34"/>
        <v>256371.15999999997</v>
      </c>
      <c r="BK17" s="126">
        <f t="shared" si="34"/>
        <v>0</v>
      </c>
      <c r="BL17" s="126">
        <f t="shared" si="34"/>
        <v>0</v>
      </c>
      <c r="BM17" s="126">
        <f t="shared" si="34"/>
        <v>0</v>
      </c>
      <c r="BN17" s="126">
        <f t="shared" si="34"/>
        <v>0</v>
      </c>
      <c r="BO17" s="126">
        <f t="shared" si="34"/>
        <v>1976215.9199999995</v>
      </c>
      <c r="BP17" s="126">
        <f t="shared" si="34"/>
        <v>0</v>
      </c>
      <c r="BQ17" s="126">
        <f t="shared" si="34"/>
        <v>0</v>
      </c>
      <c r="BR17" s="126" t="e">
        <f>SUMIFS($AP$102:$AP$1048576,#REF!,"&gt;-1000000",$C$102:$C$1048576,"OK",$A$102:$A$1048576,$E17)</f>
        <v>#REF!</v>
      </c>
      <c r="BS17" s="126">
        <f>SUMIFS($AP$102:$AP$1048576,BS$102:BS$1048576,"&gt;-1000000",$C$102:$C$1048576,"OK",$A$102:$A$1048576,$E17)</f>
        <v>1976215.9199999995</v>
      </c>
      <c r="BT17" s="126"/>
      <c r="BU17" s="126"/>
      <c r="BV17" s="147"/>
    </row>
    <row r="18" spans="1:74" ht="11.25" hidden="1" x14ac:dyDescent="0.2">
      <c r="A18" s="123"/>
      <c r="B18" s="123"/>
      <c r="C18" s="124"/>
      <c r="D18" s="125"/>
      <c r="E18" s="18">
        <v>3</v>
      </c>
      <c r="F18" s="16" t="s">
        <v>28</v>
      </c>
      <c r="G18" s="14" t="s">
        <v>109</v>
      </c>
      <c r="H18" s="21">
        <f t="shared" ref="H18:BA18" si="35">SUMIFS(H$102:H$1048576,$A$102:$A$1048576,$E18)</f>
        <v>5854184</v>
      </c>
      <c r="I18" s="21">
        <f t="shared" si="35"/>
        <v>5617901978</v>
      </c>
      <c r="J18" s="21">
        <f t="shared" si="35"/>
        <v>0</v>
      </c>
      <c r="K18" s="21">
        <f t="shared" si="35"/>
        <v>0</v>
      </c>
      <c r="L18" s="21">
        <f t="shared" si="35"/>
        <v>0</v>
      </c>
      <c r="M18" s="21">
        <f t="shared" si="35"/>
        <v>0</v>
      </c>
      <c r="N18" s="29">
        <f t="shared" si="35"/>
        <v>5836769</v>
      </c>
      <c r="O18" s="29">
        <f t="shared" si="35"/>
        <v>543988</v>
      </c>
      <c r="P18" s="160">
        <f t="shared" si="35"/>
        <v>453320</v>
      </c>
      <c r="Q18" s="21">
        <f t="shared" si="35"/>
        <v>0</v>
      </c>
      <c r="R18" s="21">
        <f t="shared" si="35"/>
        <v>0</v>
      </c>
      <c r="S18" s="21">
        <f t="shared" si="35"/>
        <v>0</v>
      </c>
      <c r="T18" s="21">
        <f t="shared" si="35"/>
        <v>0</v>
      </c>
      <c r="U18" s="21">
        <f t="shared" si="35"/>
        <v>0</v>
      </c>
      <c r="V18" s="21">
        <f t="shared" si="35"/>
        <v>0</v>
      </c>
      <c r="W18" s="21">
        <f t="shared" si="35"/>
        <v>13989030</v>
      </c>
      <c r="X18" s="21">
        <f t="shared" si="35"/>
        <v>0</v>
      </c>
      <c r="Y18" s="21">
        <f t="shared" si="35"/>
        <v>0</v>
      </c>
      <c r="Z18" s="21">
        <f t="shared" si="35"/>
        <v>0</v>
      </c>
      <c r="AA18" s="21">
        <f t="shared" si="35"/>
        <v>0</v>
      </c>
      <c r="AB18" s="21">
        <f t="shared" si="35"/>
        <v>0</v>
      </c>
      <c r="AC18" s="21">
        <f t="shared" si="35"/>
        <v>162864</v>
      </c>
      <c r="AD18" s="21">
        <f t="shared" si="35"/>
        <v>0</v>
      </c>
      <c r="AE18" s="21">
        <f t="shared" si="35"/>
        <v>0</v>
      </c>
      <c r="AF18" s="21">
        <f t="shared" si="35"/>
        <v>0</v>
      </c>
      <c r="AG18" s="21">
        <f t="shared" si="35"/>
        <v>0</v>
      </c>
      <c r="AH18" s="21">
        <f t="shared" si="35"/>
        <v>0</v>
      </c>
      <c r="AI18" s="21">
        <f t="shared" si="35"/>
        <v>0</v>
      </c>
      <c r="AJ18" s="21">
        <f t="shared" si="35"/>
        <v>0</v>
      </c>
      <c r="AK18" s="21">
        <f t="shared" si="35"/>
        <v>251</v>
      </c>
      <c r="AL18" s="21">
        <f t="shared" si="35"/>
        <v>129</v>
      </c>
      <c r="AM18" s="21">
        <f t="shared" si="35"/>
        <v>9295468.4600000009</v>
      </c>
      <c r="AN18" s="21">
        <f t="shared" si="35"/>
        <v>1963321.209999999</v>
      </c>
      <c r="AO18" s="21">
        <f t="shared" si="35"/>
        <v>0</v>
      </c>
      <c r="AP18" s="21">
        <f t="shared" si="35"/>
        <v>4032698.2999999989</v>
      </c>
      <c r="AQ18" s="21">
        <f t="shared" si="35"/>
        <v>11364845.549999995</v>
      </c>
      <c r="AR18" s="21">
        <f t="shared" si="35"/>
        <v>24966.699999999997</v>
      </c>
      <c r="AS18" s="21">
        <f t="shared" si="35"/>
        <v>244849.43</v>
      </c>
      <c r="AT18" s="21">
        <f t="shared" si="35"/>
        <v>0</v>
      </c>
      <c r="AU18" s="21">
        <f t="shared" si="35"/>
        <v>0</v>
      </c>
      <c r="AV18" s="21">
        <f t="shared" si="35"/>
        <v>0</v>
      </c>
      <c r="AW18" s="21">
        <f t="shared" si="35"/>
        <v>0</v>
      </c>
      <c r="AX18" s="21">
        <f t="shared" si="35"/>
        <v>0</v>
      </c>
      <c r="AY18" s="21">
        <f t="shared" si="35"/>
        <v>0</v>
      </c>
      <c r="AZ18" s="21">
        <f t="shared" si="35"/>
        <v>113275.52</v>
      </c>
      <c r="BA18" s="21">
        <f t="shared" si="35"/>
        <v>0</v>
      </c>
      <c r="BB18" s="21"/>
      <c r="BC18" s="21">
        <f t="shared" ref="BC18:BQ18" si="36">SUMIFS(BC$102:BC$1048576,$A$102:$A$1048576,$E18)</f>
        <v>0</v>
      </c>
      <c r="BD18" s="21">
        <f t="shared" si="36"/>
        <v>0</v>
      </c>
      <c r="BE18" s="21">
        <f t="shared" si="36"/>
        <v>0</v>
      </c>
      <c r="BF18" s="21">
        <f t="shared" si="36"/>
        <v>0</v>
      </c>
      <c r="BG18" s="21">
        <f t="shared" si="36"/>
        <v>264822.76999999996</v>
      </c>
      <c r="BH18" s="21">
        <f t="shared" si="36"/>
        <v>189.78</v>
      </c>
      <c r="BI18" s="21">
        <f t="shared" si="36"/>
        <v>0</v>
      </c>
      <c r="BJ18" s="21">
        <f t="shared" si="36"/>
        <v>0</v>
      </c>
      <c r="BK18" s="21">
        <f t="shared" si="36"/>
        <v>0</v>
      </c>
      <c r="BL18" s="21">
        <f t="shared" si="36"/>
        <v>0</v>
      </c>
      <c r="BM18" s="21">
        <f t="shared" si="36"/>
        <v>0</v>
      </c>
      <c r="BN18" s="21">
        <f t="shared" si="36"/>
        <v>0</v>
      </c>
      <c r="BO18" s="21">
        <f t="shared" si="36"/>
        <v>132221.63000000006</v>
      </c>
      <c r="BP18" s="21">
        <f t="shared" si="36"/>
        <v>585000</v>
      </c>
      <c r="BQ18" s="21">
        <f t="shared" si="36"/>
        <v>0</v>
      </c>
      <c r="BR18" s="21" t="e">
        <f>SUMIFS(#REF!,$A$102:$A$1048576,$E18)</f>
        <v>#REF!</v>
      </c>
      <c r="BS18" s="21">
        <f>SUMIFS(BS$102:BS$1048576,$A$102:$A$1048576,$E18)</f>
        <v>4026230.1999999979</v>
      </c>
      <c r="BT18" s="21"/>
      <c r="BU18" s="21"/>
      <c r="BV18" s="145"/>
    </row>
    <row r="19" spans="1:74" ht="11.25" hidden="1" x14ac:dyDescent="0.2">
      <c r="A19" s="123"/>
      <c r="B19" s="123"/>
      <c r="C19" s="124"/>
      <c r="D19" s="125"/>
      <c r="E19" s="18">
        <v>3</v>
      </c>
      <c r="F19" s="16" t="s">
        <v>25</v>
      </c>
      <c r="G19" s="14" t="s">
        <v>109</v>
      </c>
      <c r="H19" s="14">
        <f t="shared" ref="H19:BA19" si="37">COUNTIFS(H$102:H$1048576,"&gt;-1000000",$A$102:$A$1048576,$E19)</f>
        <v>129</v>
      </c>
      <c r="I19" s="14">
        <f t="shared" si="37"/>
        <v>129</v>
      </c>
      <c r="J19" s="14">
        <f t="shared" si="37"/>
        <v>0</v>
      </c>
      <c r="K19" s="14">
        <f t="shared" si="37"/>
        <v>0</v>
      </c>
      <c r="L19" s="14">
        <f t="shared" si="37"/>
        <v>0</v>
      </c>
      <c r="M19" s="14">
        <f t="shared" si="37"/>
        <v>0</v>
      </c>
      <c r="N19" s="29">
        <f t="shared" si="37"/>
        <v>129</v>
      </c>
      <c r="O19" s="29">
        <f t="shared" si="37"/>
        <v>12</v>
      </c>
      <c r="P19" s="160">
        <f t="shared" si="37"/>
        <v>10</v>
      </c>
      <c r="Q19" s="14">
        <f t="shared" si="37"/>
        <v>0</v>
      </c>
      <c r="R19" s="14">
        <f t="shared" si="37"/>
        <v>0</v>
      </c>
      <c r="S19" s="14">
        <f t="shared" si="37"/>
        <v>0</v>
      </c>
      <c r="T19" s="14">
        <f t="shared" si="37"/>
        <v>0</v>
      </c>
      <c r="U19" s="14">
        <f t="shared" si="37"/>
        <v>0</v>
      </c>
      <c r="V19" s="14">
        <f t="shared" si="37"/>
        <v>0</v>
      </c>
      <c r="W19" s="14">
        <f t="shared" si="37"/>
        <v>129</v>
      </c>
      <c r="X19" s="14">
        <f t="shared" si="37"/>
        <v>0</v>
      </c>
      <c r="Y19" s="14">
        <f t="shared" si="37"/>
        <v>0</v>
      </c>
      <c r="Z19" s="14">
        <f t="shared" si="37"/>
        <v>0</v>
      </c>
      <c r="AA19" s="14">
        <f t="shared" si="37"/>
        <v>0</v>
      </c>
      <c r="AB19" s="14">
        <f t="shared" si="37"/>
        <v>0</v>
      </c>
      <c r="AC19" s="14">
        <f t="shared" si="37"/>
        <v>129</v>
      </c>
      <c r="AD19" s="14">
        <f t="shared" si="37"/>
        <v>0</v>
      </c>
      <c r="AE19" s="14">
        <f t="shared" si="37"/>
        <v>0</v>
      </c>
      <c r="AF19" s="14">
        <f t="shared" si="37"/>
        <v>0</v>
      </c>
      <c r="AG19" s="14">
        <f t="shared" si="37"/>
        <v>0</v>
      </c>
      <c r="AH19" s="14">
        <f t="shared" si="37"/>
        <v>0</v>
      </c>
      <c r="AI19" s="14">
        <f t="shared" si="37"/>
        <v>0</v>
      </c>
      <c r="AJ19" s="14">
        <f t="shared" si="37"/>
        <v>0</v>
      </c>
      <c r="AK19" s="14">
        <f t="shared" si="37"/>
        <v>129</v>
      </c>
      <c r="AL19" s="14">
        <f t="shared" si="37"/>
        <v>129</v>
      </c>
      <c r="AM19" s="14">
        <f t="shared" si="37"/>
        <v>97</v>
      </c>
      <c r="AN19" s="14">
        <f t="shared" si="37"/>
        <v>127</v>
      </c>
      <c r="AO19" s="14">
        <f t="shared" si="37"/>
        <v>0</v>
      </c>
      <c r="AP19" s="14">
        <f t="shared" si="37"/>
        <v>128</v>
      </c>
      <c r="AQ19" s="14">
        <f t="shared" si="37"/>
        <v>129</v>
      </c>
      <c r="AR19" s="14">
        <f t="shared" si="37"/>
        <v>9</v>
      </c>
      <c r="AS19" s="14">
        <f t="shared" si="37"/>
        <v>118</v>
      </c>
      <c r="AT19" s="14">
        <f t="shared" si="37"/>
        <v>0</v>
      </c>
      <c r="AU19" s="14">
        <f t="shared" si="37"/>
        <v>0</v>
      </c>
      <c r="AV19" s="14">
        <f t="shared" si="37"/>
        <v>0</v>
      </c>
      <c r="AW19" s="14">
        <f t="shared" si="37"/>
        <v>0</v>
      </c>
      <c r="AX19" s="14">
        <f t="shared" si="37"/>
        <v>0</v>
      </c>
      <c r="AY19" s="14">
        <f t="shared" si="37"/>
        <v>0</v>
      </c>
      <c r="AZ19" s="14">
        <f t="shared" si="37"/>
        <v>97</v>
      </c>
      <c r="BA19" s="14">
        <f t="shared" si="37"/>
        <v>0</v>
      </c>
      <c r="BB19" s="14"/>
      <c r="BC19" s="14">
        <f t="shared" ref="BC19:BQ19" si="38">COUNTIFS(BC$102:BC$1048576,"&gt;-1000000",$A$102:$A$1048576,$E19)</f>
        <v>0</v>
      </c>
      <c r="BD19" s="14">
        <f t="shared" si="38"/>
        <v>0</v>
      </c>
      <c r="BE19" s="14">
        <f t="shared" si="38"/>
        <v>0</v>
      </c>
      <c r="BF19" s="14">
        <f t="shared" si="38"/>
        <v>0</v>
      </c>
      <c r="BG19" s="14">
        <f t="shared" si="38"/>
        <v>127</v>
      </c>
      <c r="BH19" s="14">
        <f t="shared" si="38"/>
        <v>1</v>
      </c>
      <c r="BI19" s="14">
        <f t="shared" si="38"/>
        <v>0</v>
      </c>
      <c r="BJ19" s="14">
        <f t="shared" si="38"/>
        <v>0</v>
      </c>
      <c r="BK19" s="14">
        <f t="shared" si="38"/>
        <v>0</v>
      </c>
      <c r="BL19" s="14">
        <f t="shared" si="38"/>
        <v>0</v>
      </c>
      <c r="BM19" s="14">
        <f t="shared" si="38"/>
        <v>0</v>
      </c>
      <c r="BN19" s="14">
        <f t="shared" si="38"/>
        <v>0</v>
      </c>
      <c r="BO19" s="14">
        <f t="shared" si="38"/>
        <v>127</v>
      </c>
      <c r="BP19" s="14">
        <f t="shared" si="38"/>
        <v>95</v>
      </c>
      <c r="BQ19" s="14">
        <f t="shared" si="38"/>
        <v>0</v>
      </c>
      <c r="BR19" s="14" t="e">
        <f>COUNTIFS(#REF!,"&gt;-1000000",$A$102:$A$1048576,$E19)</f>
        <v>#REF!</v>
      </c>
      <c r="BS19" s="14">
        <f>COUNTIFS(BS$102:BS$1048576,"&gt;-1000000",$A$102:$A$1048576,$E19)</f>
        <v>129</v>
      </c>
      <c r="BT19" s="14"/>
      <c r="BU19" s="14"/>
      <c r="BV19" s="146"/>
    </row>
    <row r="20" spans="1:74" ht="11.25" hidden="1" x14ac:dyDescent="0.2">
      <c r="A20" s="123"/>
      <c r="B20" s="123"/>
      <c r="C20" s="124"/>
      <c r="D20" s="125"/>
      <c r="E20" s="18">
        <v>3</v>
      </c>
      <c r="F20" s="16" t="s">
        <v>24</v>
      </c>
      <c r="G20" s="14" t="s">
        <v>109</v>
      </c>
      <c r="H20" s="14">
        <f t="shared" ref="H20:BA20" si="39">SUMIFS($AM$102:$AM$1048576,H$102:H$1048576,"&gt;-1000000",$A$102:$A$1048576,$E20)</f>
        <v>9295468.4600000009</v>
      </c>
      <c r="I20" s="14">
        <f t="shared" si="39"/>
        <v>9295468.4600000009</v>
      </c>
      <c r="J20" s="14">
        <f t="shared" si="39"/>
        <v>0</v>
      </c>
      <c r="K20" s="14">
        <f t="shared" si="39"/>
        <v>0</v>
      </c>
      <c r="L20" s="14">
        <f t="shared" si="39"/>
        <v>0</v>
      </c>
      <c r="M20" s="14">
        <f t="shared" si="39"/>
        <v>0</v>
      </c>
      <c r="N20" s="29">
        <f t="shared" si="39"/>
        <v>9295468.4600000009</v>
      </c>
      <c r="O20" s="29">
        <f t="shared" si="39"/>
        <v>350807.54</v>
      </c>
      <c r="P20" s="160">
        <f t="shared" si="39"/>
        <v>350807.54</v>
      </c>
      <c r="Q20" s="14">
        <f t="shared" si="39"/>
        <v>0</v>
      </c>
      <c r="R20" s="14">
        <f t="shared" si="39"/>
        <v>0</v>
      </c>
      <c r="S20" s="14">
        <f t="shared" si="39"/>
        <v>0</v>
      </c>
      <c r="T20" s="14">
        <f t="shared" si="39"/>
        <v>0</v>
      </c>
      <c r="U20" s="14">
        <f t="shared" si="39"/>
        <v>0</v>
      </c>
      <c r="V20" s="14">
        <f t="shared" si="39"/>
        <v>0</v>
      </c>
      <c r="W20" s="14">
        <f t="shared" si="39"/>
        <v>9295468.4600000009</v>
      </c>
      <c r="X20" s="14">
        <f t="shared" si="39"/>
        <v>0</v>
      </c>
      <c r="Y20" s="14">
        <f t="shared" si="39"/>
        <v>0</v>
      </c>
      <c r="Z20" s="14">
        <f t="shared" si="39"/>
        <v>0</v>
      </c>
      <c r="AA20" s="14">
        <f t="shared" si="39"/>
        <v>0</v>
      </c>
      <c r="AB20" s="14">
        <f t="shared" si="39"/>
        <v>0</v>
      </c>
      <c r="AC20" s="14">
        <f t="shared" si="39"/>
        <v>9295468.4600000009</v>
      </c>
      <c r="AD20" s="14">
        <f t="shared" si="39"/>
        <v>0</v>
      </c>
      <c r="AE20" s="14">
        <f t="shared" si="39"/>
        <v>0</v>
      </c>
      <c r="AF20" s="14">
        <f t="shared" si="39"/>
        <v>0</v>
      </c>
      <c r="AG20" s="14">
        <f t="shared" si="39"/>
        <v>0</v>
      </c>
      <c r="AH20" s="14">
        <f t="shared" si="39"/>
        <v>0</v>
      </c>
      <c r="AI20" s="14">
        <f t="shared" si="39"/>
        <v>0</v>
      </c>
      <c r="AJ20" s="14">
        <f t="shared" si="39"/>
        <v>0</v>
      </c>
      <c r="AK20" s="14">
        <f t="shared" si="39"/>
        <v>9295468.4600000009</v>
      </c>
      <c r="AL20" s="14">
        <f t="shared" si="39"/>
        <v>9295468.4600000009</v>
      </c>
      <c r="AM20" s="14">
        <f t="shared" si="39"/>
        <v>9295468.4600000009</v>
      </c>
      <c r="AN20" s="14">
        <f t="shared" si="39"/>
        <v>9295468.4600000009</v>
      </c>
      <c r="AO20" s="14">
        <f t="shared" si="39"/>
        <v>0</v>
      </c>
      <c r="AP20" s="14">
        <f t="shared" si="39"/>
        <v>9294938.6699999999</v>
      </c>
      <c r="AQ20" s="14">
        <f t="shared" si="39"/>
        <v>9295468.4600000009</v>
      </c>
      <c r="AR20" s="14">
        <f t="shared" si="39"/>
        <v>699101.37</v>
      </c>
      <c r="AS20" s="14">
        <f t="shared" si="39"/>
        <v>8596367.089999998</v>
      </c>
      <c r="AT20" s="14">
        <f t="shared" si="39"/>
        <v>0</v>
      </c>
      <c r="AU20" s="14">
        <f t="shared" si="39"/>
        <v>0</v>
      </c>
      <c r="AV20" s="14">
        <f t="shared" si="39"/>
        <v>0</v>
      </c>
      <c r="AW20" s="14">
        <f t="shared" si="39"/>
        <v>0</v>
      </c>
      <c r="AX20" s="14">
        <f t="shared" si="39"/>
        <v>0</v>
      </c>
      <c r="AY20" s="14">
        <f t="shared" si="39"/>
        <v>0</v>
      </c>
      <c r="AZ20" s="14">
        <f t="shared" si="39"/>
        <v>9295468.4600000009</v>
      </c>
      <c r="BA20" s="14">
        <f t="shared" si="39"/>
        <v>0</v>
      </c>
      <c r="BB20" s="14"/>
      <c r="BC20" s="14">
        <f t="shared" ref="BC20:BQ20" si="40">SUMIFS($AM$102:$AM$1048576,BC$102:BC$1048576,"&gt;-1000000",$A$102:$A$1048576,$E20)</f>
        <v>0</v>
      </c>
      <c r="BD20" s="14">
        <f t="shared" si="40"/>
        <v>0</v>
      </c>
      <c r="BE20" s="14">
        <f t="shared" si="40"/>
        <v>0</v>
      </c>
      <c r="BF20" s="14">
        <f t="shared" si="40"/>
        <v>0</v>
      </c>
      <c r="BG20" s="14">
        <f t="shared" si="40"/>
        <v>9295468.4600000009</v>
      </c>
      <c r="BH20" s="14">
        <f t="shared" si="40"/>
        <v>19857.3</v>
      </c>
      <c r="BI20" s="14">
        <f t="shared" si="40"/>
        <v>0</v>
      </c>
      <c r="BJ20" s="14">
        <f t="shared" si="40"/>
        <v>0</v>
      </c>
      <c r="BK20" s="14">
        <f t="shared" si="40"/>
        <v>0</v>
      </c>
      <c r="BL20" s="14">
        <f t="shared" si="40"/>
        <v>0</v>
      </c>
      <c r="BM20" s="14">
        <f t="shared" si="40"/>
        <v>0</v>
      </c>
      <c r="BN20" s="14">
        <f t="shared" si="40"/>
        <v>0</v>
      </c>
      <c r="BO20" s="14">
        <f t="shared" si="40"/>
        <v>9295468.4600000009</v>
      </c>
      <c r="BP20" s="14">
        <f t="shared" si="40"/>
        <v>9260044.8599999994</v>
      </c>
      <c r="BQ20" s="14">
        <f t="shared" si="40"/>
        <v>0</v>
      </c>
      <c r="BR20" s="14" t="e">
        <f>SUMIFS($AM$102:$AM$1048576,#REF!,"&gt;-1000000",$A$102:$A$1048576,$E20)</f>
        <v>#REF!</v>
      </c>
      <c r="BS20" s="14">
        <f>SUMIFS($AM$102:$AM$1048576,BS$102:BS$1048576,"&gt;-1000000",$A$102:$A$1048576,$E20)</f>
        <v>9295468.4600000009</v>
      </c>
      <c r="BT20" s="14"/>
      <c r="BU20" s="14"/>
      <c r="BV20" s="146"/>
    </row>
    <row r="21" spans="1:74" ht="11.25" hidden="1" x14ac:dyDescent="0.2">
      <c r="A21" s="123"/>
      <c r="B21" s="123"/>
      <c r="C21" s="124"/>
      <c r="D21" s="125"/>
      <c r="E21" s="18">
        <v>3</v>
      </c>
      <c r="F21" s="16" t="s">
        <v>31</v>
      </c>
      <c r="G21" s="14" t="s">
        <v>109</v>
      </c>
      <c r="H21" s="14">
        <f t="shared" ref="H21:BA21" si="41">SUMIFS($AP$102:$AP$1048576,H$102:H$1048576,"&gt;-1000000",$A$102:$A$1048576,$E21)</f>
        <v>4032698.2999999989</v>
      </c>
      <c r="I21" s="14">
        <f t="shared" si="41"/>
        <v>4032698.2999999989</v>
      </c>
      <c r="J21" s="14">
        <f t="shared" si="41"/>
        <v>0</v>
      </c>
      <c r="K21" s="14">
        <f t="shared" si="41"/>
        <v>0</v>
      </c>
      <c r="L21" s="14">
        <f t="shared" si="41"/>
        <v>0</v>
      </c>
      <c r="M21" s="14">
        <f t="shared" si="41"/>
        <v>0</v>
      </c>
      <c r="N21" s="29">
        <f t="shared" si="41"/>
        <v>4032698.2999999989</v>
      </c>
      <c r="O21" s="29">
        <f t="shared" si="41"/>
        <v>319022.65000000002</v>
      </c>
      <c r="P21" s="160">
        <f t="shared" si="41"/>
        <v>302550.62</v>
      </c>
      <c r="Q21" s="14">
        <f t="shared" si="41"/>
        <v>0</v>
      </c>
      <c r="R21" s="14">
        <f t="shared" si="41"/>
        <v>0</v>
      </c>
      <c r="S21" s="14">
        <f t="shared" si="41"/>
        <v>0</v>
      </c>
      <c r="T21" s="14">
        <f t="shared" si="41"/>
        <v>0</v>
      </c>
      <c r="U21" s="14">
        <f t="shared" si="41"/>
        <v>0</v>
      </c>
      <c r="V21" s="14">
        <f t="shared" si="41"/>
        <v>0</v>
      </c>
      <c r="W21" s="14">
        <f t="shared" si="41"/>
        <v>4032698.2999999989</v>
      </c>
      <c r="X21" s="14">
        <f t="shared" si="41"/>
        <v>0</v>
      </c>
      <c r="Y21" s="14">
        <f t="shared" si="41"/>
        <v>0</v>
      </c>
      <c r="Z21" s="14">
        <f t="shared" si="41"/>
        <v>0</v>
      </c>
      <c r="AA21" s="14">
        <f t="shared" si="41"/>
        <v>0</v>
      </c>
      <c r="AB21" s="14">
        <f t="shared" si="41"/>
        <v>0</v>
      </c>
      <c r="AC21" s="14">
        <f t="shared" si="41"/>
        <v>4032698.2999999989</v>
      </c>
      <c r="AD21" s="14">
        <f t="shared" si="41"/>
        <v>0</v>
      </c>
      <c r="AE21" s="14">
        <f t="shared" si="41"/>
        <v>0</v>
      </c>
      <c r="AF21" s="14">
        <f t="shared" si="41"/>
        <v>0</v>
      </c>
      <c r="AG21" s="14">
        <f t="shared" si="41"/>
        <v>0</v>
      </c>
      <c r="AH21" s="14">
        <f t="shared" si="41"/>
        <v>0</v>
      </c>
      <c r="AI21" s="14">
        <f t="shared" si="41"/>
        <v>0</v>
      </c>
      <c r="AJ21" s="14">
        <f t="shared" si="41"/>
        <v>0</v>
      </c>
      <c r="AK21" s="14">
        <f t="shared" si="41"/>
        <v>4032698.2999999989</v>
      </c>
      <c r="AL21" s="14">
        <f t="shared" si="41"/>
        <v>4032698.2999999989</v>
      </c>
      <c r="AM21" s="14">
        <f t="shared" si="41"/>
        <v>3764018.3299999982</v>
      </c>
      <c r="AN21" s="14">
        <f t="shared" si="41"/>
        <v>3945669.709999999</v>
      </c>
      <c r="AO21" s="14">
        <f t="shared" si="41"/>
        <v>0</v>
      </c>
      <c r="AP21" s="14">
        <f t="shared" si="41"/>
        <v>4032698.2999999989</v>
      </c>
      <c r="AQ21" s="14">
        <f t="shared" si="41"/>
        <v>4032698.2999999989</v>
      </c>
      <c r="AR21" s="14">
        <f t="shared" si="41"/>
        <v>299566.43000000005</v>
      </c>
      <c r="AS21" s="14">
        <f t="shared" si="41"/>
        <v>3646103.2799999989</v>
      </c>
      <c r="AT21" s="14">
        <f t="shared" si="41"/>
        <v>0</v>
      </c>
      <c r="AU21" s="14">
        <f t="shared" si="41"/>
        <v>0</v>
      </c>
      <c r="AV21" s="14">
        <f t="shared" si="41"/>
        <v>0</v>
      </c>
      <c r="AW21" s="14">
        <f t="shared" si="41"/>
        <v>0</v>
      </c>
      <c r="AX21" s="14">
        <f t="shared" si="41"/>
        <v>0</v>
      </c>
      <c r="AY21" s="14">
        <f t="shared" si="41"/>
        <v>0</v>
      </c>
      <c r="AZ21" s="14">
        <f t="shared" si="41"/>
        <v>3764018.3299999982</v>
      </c>
      <c r="BA21" s="14">
        <f t="shared" si="41"/>
        <v>0</v>
      </c>
      <c r="BB21" s="14"/>
      <c r="BC21" s="14">
        <f t="shared" ref="BC21:BQ21" si="42">SUMIFS($AP$102:$AP$1048576,BC$102:BC$1048576,"&gt;-1000000",$A$102:$A$1048576,$E21)</f>
        <v>0</v>
      </c>
      <c r="BD21" s="14">
        <f t="shared" si="42"/>
        <v>0</v>
      </c>
      <c r="BE21" s="14">
        <f t="shared" si="42"/>
        <v>0</v>
      </c>
      <c r="BF21" s="14">
        <f t="shared" si="42"/>
        <v>0</v>
      </c>
      <c r="BG21" s="14">
        <f t="shared" si="42"/>
        <v>3945669.709999999</v>
      </c>
      <c r="BH21" s="14">
        <f t="shared" si="42"/>
        <v>10202.06</v>
      </c>
      <c r="BI21" s="14">
        <f t="shared" si="42"/>
        <v>0</v>
      </c>
      <c r="BJ21" s="14">
        <f t="shared" si="42"/>
        <v>0</v>
      </c>
      <c r="BK21" s="14">
        <f t="shared" si="42"/>
        <v>0</v>
      </c>
      <c r="BL21" s="14">
        <f t="shared" si="42"/>
        <v>0</v>
      </c>
      <c r="BM21" s="14">
        <f t="shared" si="42"/>
        <v>0</v>
      </c>
      <c r="BN21" s="14">
        <f t="shared" si="42"/>
        <v>0</v>
      </c>
      <c r="BO21" s="14">
        <f t="shared" si="42"/>
        <v>3945669.709999999</v>
      </c>
      <c r="BP21" s="14">
        <f t="shared" si="42"/>
        <v>3750569.4899999984</v>
      </c>
      <c r="BQ21" s="14">
        <f t="shared" si="42"/>
        <v>0</v>
      </c>
      <c r="BR21" s="14" t="e">
        <f>SUMIFS($AP$102:$AP$1048576,#REF!,"&gt;-1000000",$A$102:$A$1048576,$E21)</f>
        <v>#REF!</v>
      </c>
      <c r="BS21" s="14">
        <f>SUMIFS($AP$102:$AP$1048576,BS$102:BS$1048576,"&gt;-1000000",$A$102:$A$1048576,$E21)</f>
        <v>4032698.2999999989</v>
      </c>
      <c r="BT21" s="14"/>
      <c r="BU21" s="14"/>
      <c r="BV21" s="146"/>
    </row>
    <row r="22" spans="1:74" ht="11.25" hidden="1" x14ac:dyDescent="0.2">
      <c r="A22" s="123"/>
      <c r="B22" s="123"/>
      <c r="C22" s="124"/>
      <c r="D22" s="125"/>
      <c r="E22" s="19">
        <v>3</v>
      </c>
      <c r="F22" s="17" t="s">
        <v>29</v>
      </c>
      <c r="G22" s="15" t="s">
        <v>109</v>
      </c>
      <c r="H22" s="126">
        <f t="shared" ref="H22:BA22" si="43">SUMIFS(H$102:H$1048576,$A$102:$A$1048576,$E22,$C$102:$C$1048576,"OK")</f>
        <v>4311614</v>
      </c>
      <c r="I22" s="126">
        <f t="shared" si="43"/>
        <v>4171049500</v>
      </c>
      <c r="J22" s="126">
        <f t="shared" si="43"/>
        <v>0</v>
      </c>
      <c r="K22" s="126">
        <f t="shared" si="43"/>
        <v>0</v>
      </c>
      <c r="L22" s="126">
        <f t="shared" si="43"/>
        <v>0</v>
      </c>
      <c r="M22" s="126">
        <f t="shared" si="43"/>
        <v>0</v>
      </c>
      <c r="N22" s="29">
        <f t="shared" si="43"/>
        <v>4301115</v>
      </c>
      <c r="O22" s="29">
        <f t="shared" si="43"/>
        <v>136091</v>
      </c>
      <c r="P22" s="161">
        <f t="shared" si="43"/>
        <v>136091</v>
      </c>
      <c r="Q22" s="126">
        <f t="shared" si="43"/>
        <v>0</v>
      </c>
      <c r="R22" s="126">
        <f t="shared" si="43"/>
        <v>0</v>
      </c>
      <c r="S22" s="126">
        <f t="shared" si="43"/>
        <v>0</v>
      </c>
      <c r="T22" s="126">
        <f t="shared" si="43"/>
        <v>0</v>
      </c>
      <c r="U22" s="126">
        <f t="shared" si="43"/>
        <v>0</v>
      </c>
      <c r="V22" s="126">
        <f t="shared" si="43"/>
        <v>0</v>
      </c>
      <c r="W22" s="126">
        <f t="shared" si="43"/>
        <v>10255417</v>
      </c>
      <c r="X22" s="126">
        <f t="shared" si="43"/>
        <v>0</v>
      </c>
      <c r="Y22" s="126">
        <f t="shared" si="43"/>
        <v>0</v>
      </c>
      <c r="Z22" s="126">
        <f t="shared" si="43"/>
        <v>0</v>
      </c>
      <c r="AA22" s="126">
        <f t="shared" si="43"/>
        <v>0</v>
      </c>
      <c r="AB22" s="126">
        <f t="shared" si="43"/>
        <v>0</v>
      </c>
      <c r="AC22" s="126">
        <f t="shared" si="43"/>
        <v>117581</v>
      </c>
      <c r="AD22" s="126">
        <f t="shared" si="43"/>
        <v>0</v>
      </c>
      <c r="AE22" s="126">
        <f t="shared" si="43"/>
        <v>0</v>
      </c>
      <c r="AF22" s="126">
        <f t="shared" si="43"/>
        <v>0</v>
      </c>
      <c r="AG22" s="126">
        <f t="shared" si="43"/>
        <v>0</v>
      </c>
      <c r="AH22" s="126">
        <f t="shared" si="43"/>
        <v>0</v>
      </c>
      <c r="AI22" s="126">
        <f t="shared" si="43"/>
        <v>0</v>
      </c>
      <c r="AJ22" s="126">
        <f t="shared" si="43"/>
        <v>0</v>
      </c>
      <c r="AK22" s="126">
        <f t="shared" si="43"/>
        <v>210</v>
      </c>
      <c r="AL22" s="126">
        <f t="shared" si="43"/>
        <v>95</v>
      </c>
      <c r="AM22" s="126">
        <f t="shared" si="43"/>
        <v>9278919.2400000002</v>
      </c>
      <c r="AN22" s="126">
        <f t="shared" si="43"/>
        <v>1955853.5599999994</v>
      </c>
      <c r="AO22" s="126">
        <f t="shared" si="43"/>
        <v>0</v>
      </c>
      <c r="AP22" s="126">
        <f t="shared" si="43"/>
        <v>3746345.3399999989</v>
      </c>
      <c r="AQ22" s="126">
        <f t="shared" si="43"/>
        <v>11069411.02</v>
      </c>
      <c r="AR22" s="126">
        <f t="shared" si="43"/>
        <v>24276.62</v>
      </c>
      <c r="AS22" s="126">
        <f t="shared" si="43"/>
        <v>241083.99</v>
      </c>
      <c r="AT22" s="126">
        <f t="shared" si="43"/>
        <v>0</v>
      </c>
      <c r="AU22" s="126">
        <f t="shared" si="43"/>
        <v>0</v>
      </c>
      <c r="AV22" s="126">
        <f t="shared" si="43"/>
        <v>0</v>
      </c>
      <c r="AW22" s="126">
        <f t="shared" si="43"/>
        <v>0</v>
      </c>
      <c r="AX22" s="126">
        <f t="shared" si="43"/>
        <v>0</v>
      </c>
      <c r="AY22" s="126">
        <f t="shared" si="43"/>
        <v>0</v>
      </c>
      <c r="AZ22" s="126">
        <f t="shared" si="43"/>
        <v>113076.75</v>
      </c>
      <c r="BA22" s="126">
        <f t="shared" si="43"/>
        <v>0</v>
      </c>
      <c r="BB22" s="126"/>
      <c r="BC22" s="126">
        <f t="shared" ref="BC22:BQ22" si="44">SUMIFS(BC$102:BC$1048576,$A$102:$A$1048576,$E22,$C$102:$C$1048576,"OK")</f>
        <v>0</v>
      </c>
      <c r="BD22" s="126">
        <f t="shared" si="44"/>
        <v>0</v>
      </c>
      <c r="BE22" s="126">
        <f t="shared" si="44"/>
        <v>0</v>
      </c>
      <c r="BF22" s="126">
        <f t="shared" si="44"/>
        <v>0</v>
      </c>
      <c r="BG22" s="126">
        <f t="shared" si="44"/>
        <v>260505.25999999998</v>
      </c>
      <c r="BH22" s="126">
        <f t="shared" si="44"/>
        <v>189.78</v>
      </c>
      <c r="BI22" s="126">
        <f t="shared" si="44"/>
        <v>0</v>
      </c>
      <c r="BJ22" s="126">
        <f t="shared" si="44"/>
        <v>0</v>
      </c>
      <c r="BK22" s="126">
        <f t="shared" si="44"/>
        <v>0</v>
      </c>
      <c r="BL22" s="126">
        <f t="shared" si="44"/>
        <v>0</v>
      </c>
      <c r="BM22" s="126">
        <f t="shared" si="44"/>
        <v>0</v>
      </c>
      <c r="BN22" s="126">
        <f t="shared" si="44"/>
        <v>0</v>
      </c>
      <c r="BO22" s="126">
        <f t="shared" si="44"/>
        <v>130062.87000000002</v>
      </c>
      <c r="BP22" s="126">
        <f t="shared" si="44"/>
        <v>580000</v>
      </c>
      <c r="BQ22" s="126">
        <f t="shared" si="44"/>
        <v>0</v>
      </c>
      <c r="BR22" s="126" t="e">
        <f>SUMIFS(#REF!,$A$102:$A$1048576,$E22,$C$102:$C$1048576,"OK")</f>
        <v>#REF!</v>
      </c>
      <c r="BS22" s="126">
        <f>SUMIFS(BS$102:BS$1048576,$A$102:$A$1048576,$E22,$C$102:$C$1048576,"OK")</f>
        <v>3812401.4299999983</v>
      </c>
      <c r="BT22" s="126"/>
      <c r="BU22" s="126"/>
      <c r="BV22" s="147"/>
    </row>
    <row r="23" spans="1:74" ht="11.25" hidden="1" x14ac:dyDescent="0.2">
      <c r="A23" s="123"/>
      <c r="B23" s="123"/>
      <c r="C23" s="124"/>
      <c r="D23" s="125"/>
      <c r="E23" s="19">
        <v>3</v>
      </c>
      <c r="F23" s="17" t="s">
        <v>23</v>
      </c>
      <c r="G23" s="15" t="s">
        <v>109</v>
      </c>
      <c r="H23" s="126">
        <f t="shared" ref="H23:BA23" si="45">COUNTIFS(H$102:H$1048576,"&gt;-1000000",$C$102:$C$1048576,"OK",$A$102:$A$1048576,$E23)</f>
        <v>95</v>
      </c>
      <c r="I23" s="126">
        <f t="shared" si="45"/>
        <v>95</v>
      </c>
      <c r="J23" s="126">
        <f t="shared" si="45"/>
        <v>0</v>
      </c>
      <c r="K23" s="126">
        <f t="shared" si="45"/>
        <v>0</v>
      </c>
      <c r="L23" s="126">
        <f t="shared" si="45"/>
        <v>0</v>
      </c>
      <c r="M23" s="126">
        <f t="shared" si="45"/>
        <v>0</v>
      </c>
      <c r="N23" s="29">
        <f t="shared" si="45"/>
        <v>95</v>
      </c>
      <c r="O23" s="29">
        <f t="shared" si="45"/>
        <v>3</v>
      </c>
      <c r="P23" s="161">
        <f t="shared" si="45"/>
        <v>3</v>
      </c>
      <c r="Q23" s="126">
        <f t="shared" si="45"/>
        <v>0</v>
      </c>
      <c r="R23" s="126">
        <f t="shared" si="45"/>
        <v>0</v>
      </c>
      <c r="S23" s="126">
        <f t="shared" si="45"/>
        <v>0</v>
      </c>
      <c r="T23" s="126">
        <f t="shared" si="45"/>
        <v>0</v>
      </c>
      <c r="U23" s="126">
        <f t="shared" si="45"/>
        <v>0</v>
      </c>
      <c r="V23" s="126">
        <f t="shared" si="45"/>
        <v>0</v>
      </c>
      <c r="W23" s="126">
        <f t="shared" si="45"/>
        <v>95</v>
      </c>
      <c r="X23" s="126">
        <f t="shared" si="45"/>
        <v>0</v>
      </c>
      <c r="Y23" s="126">
        <f t="shared" si="45"/>
        <v>0</v>
      </c>
      <c r="Z23" s="126">
        <f t="shared" si="45"/>
        <v>0</v>
      </c>
      <c r="AA23" s="126">
        <f t="shared" si="45"/>
        <v>0</v>
      </c>
      <c r="AB23" s="126">
        <f t="shared" si="45"/>
        <v>0</v>
      </c>
      <c r="AC23" s="126">
        <f t="shared" si="45"/>
        <v>95</v>
      </c>
      <c r="AD23" s="126">
        <f t="shared" si="45"/>
        <v>0</v>
      </c>
      <c r="AE23" s="126">
        <f t="shared" si="45"/>
        <v>0</v>
      </c>
      <c r="AF23" s="126">
        <f t="shared" si="45"/>
        <v>0</v>
      </c>
      <c r="AG23" s="126">
        <f t="shared" si="45"/>
        <v>0</v>
      </c>
      <c r="AH23" s="126">
        <f t="shared" si="45"/>
        <v>0</v>
      </c>
      <c r="AI23" s="126">
        <f t="shared" si="45"/>
        <v>0</v>
      </c>
      <c r="AJ23" s="126">
        <f t="shared" si="45"/>
        <v>0</v>
      </c>
      <c r="AK23" s="126">
        <f t="shared" si="45"/>
        <v>95</v>
      </c>
      <c r="AL23" s="126">
        <f t="shared" si="45"/>
        <v>95</v>
      </c>
      <c r="AM23" s="126">
        <f t="shared" si="45"/>
        <v>95</v>
      </c>
      <c r="AN23" s="126">
        <f t="shared" si="45"/>
        <v>95</v>
      </c>
      <c r="AO23" s="126">
        <f t="shared" si="45"/>
        <v>0</v>
      </c>
      <c r="AP23" s="126">
        <f t="shared" si="45"/>
        <v>95</v>
      </c>
      <c r="AQ23" s="126">
        <f t="shared" si="45"/>
        <v>95</v>
      </c>
      <c r="AR23" s="126">
        <f t="shared" si="45"/>
        <v>5</v>
      </c>
      <c r="AS23" s="126">
        <f t="shared" si="45"/>
        <v>90</v>
      </c>
      <c r="AT23" s="126">
        <f t="shared" si="45"/>
        <v>0</v>
      </c>
      <c r="AU23" s="126">
        <f t="shared" si="45"/>
        <v>0</v>
      </c>
      <c r="AV23" s="126">
        <f t="shared" si="45"/>
        <v>0</v>
      </c>
      <c r="AW23" s="126">
        <f t="shared" si="45"/>
        <v>0</v>
      </c>
      <c r="AX23" s="126">
        <f t="shared" si="45"/>
        <v>0</v>
      </c>
      <c r="AY23" s="126">
        <f t="shared" si="45"/>
        <v>0</v>
      </c>
      <c r="AZ23" s="126">
        <f t="shared" si="45"/>
        <v>95</v>
      </c>
      <c r="BA23" s="126">
        <f t="shared" si="45"/>
        <v>0</v>
      </c>
      <c r="BB23" s="126"/>
      <c r="BC23" s="126">
        <f t="shared" ref="BC23:BQ23" si="46">COUNTIFS(BC$102:BC$1048576,"&gt;-1000000",$C$102:$C$1048576,"OK",$A$102:$A$1048576,$E23)</f>
        <v>0</v>
      </c>
      <c r="BD23" s="126">
        <f t="shared" si="46"/>
        <v>0</v>
      </c>
      <c r="BE23" s="126">
        <f t="shared" si="46"/>
        <v>0</v>
      </c>
      <c r="BF23" s="126">
        <f t="shared" si="46"/>
        <v>0</v>
      </c>
      <c r="BG23" s="126">
        <f t="shared" si="46"/>
        <v>95</v>
      </c>
      <c r="BH23" s="126">
        <f t="shared" si="46"/>
        <v>1</v>
      </c>
      <c r="BI23" s="126">
        <f t="shared" si="46"/>
        <v>0</v>
      </c>
      <c r="BJ23" s="126">
        <f t="shared" si="46"/>
        <v>0</v>
      </c>
      <c r="BK23" s="126">
        <f t="shared" si="46"/>
        <v>0</v>
      </c>
      <c r="BL23" s="126">
        <f t="shared" si="46"/>
        <v>0</v>
      </c>
      <c r="BM23" s="126">
        <f t="shared" si="46"/>
        <v>0</v>
      </c>
      <c r="BN23" s="126">
        <f t="shared" si="46"/>
        <v>0</v>
      </c>
      <c r="BO23" s="126">
        <f t="shared" si="46"/>
        <v>95</v>
      </c>
      <c r="BP23" s="126">
        <f t="shared" si="46"/>
        <v>94</v>
      </c>
      <c r="BQ23" s="126">
        <f t="shared" si="46"/>
        <v>0</v>
      </c>
      <c r="BR23" s="126" t="e">
        <f>COUNTIFS(#REF!,"&gt;-1000000",$C$102:$C$1048576,"OK",$A$102:$A$1048576,$E23)</f>
        <v>#REF!</v>
      </c>
      <c r="BS23" s="126">
        <f>COUNTIFS(BS$102:BS$1048576,"&gt;-1000000",$C$102:$C$1048576,"OK",$A$102:$A$1048576,$E23)</f>
        <v>95</v>
      </c>
      <c r="BT23" s="126"/>
      <c r="BU23" s="126"/>
      <c r="BV23" s="147"/>
    </row>
    <row r="24" spans="1:74" ht="11.25" hidden="1" x14ac:dyDescent="0.2">
      <c r="A24" s="123"/>
      <c r="B24" s="123"/>
      <c r="C24" s="124"/>
      <c r="D24" s="125"/>
      <c r="E24" s="19">
        <v>3</v>
      </c>
      <c r="F24" s="17" t="s">
        <v>30</v>
      </c>
      <c r="G24" s="15" t="s">
        <v>109</v>
      </c>
      <c r="H24" s="126">
        <f t="shared" ref="H24:BA24" si="47">SUMIFS($AM$102:$AM$1048576,H$102:H$1048576,"&gt;-1000000",$C$102:$C$1048576,"OK",$A$102:$A$1048576,$E24)</f>
        <v>9278919.2400000002</v>
      </c>
      <c r="I24" s="126">
        <f t="shared" si="47"/>
        <v>9278919.2400000002</v>
      </c>
      <c r="J24" s="126">
        <f t="shared" si="47"/>
        <v>0</v>
      </c>
      <c r="K24" s="126">
        <f t="shared" si="47"/>
        <v>0</v>
      </c>
      <c r="L24" s="126">
        <f t="shared" si="47"/>
        <v>0</v>
      </c>
      <c r="M24" s="126">
        <f t="shared" si="47"/>
        <v>0</v>
      </c>
      <c r="N24" s="29">
        <f t="shared" si="47"/>
        <v>9278919.2400000002</v>
      </c>
      <c r="O24" s="29">
        <f t="shared" si="47"/>
        <v>334258.32</v>
      </c>
      <c r="P24" s="161">
        <f t="shared" si="47"/>
        <v>334258.32</v>
      </c>
      <c r="Q24" s="126">
        <f t="shared" si="47"/>
        <v>0</v>
      </c>
      <c r="R24" s="126">
        <f t="shared" si="47"/>
        <v>0</v>
      </c>
      <c r="S24" s="126">
        <f t="shared" si="47"/>
        <v>0</v>
      </c>
      <c r="T24" s="126">
        <f t="shared" si="47"/>
        <v>0</v>
      </c>
      <c r="U24" s="126">
        <f t="shared" si="47"/>
        <v>0</v>
      </c>
      <c r="V24" s="126">
        <f t="shared" si="47"/>
        <v>0</v>
      </c>
      <c r="W24" s="126">
        <f t="shared" si="47"/>
        <v>9278919.2400000002</v>
      </c>
      <c r="X24" s="126">
        <f t="shared" si="47"/>
        <v>0</v>
      </c>
      <c r="Y24" s="126">
        <f t="shared" si="47"/>
        <v>0</v>
      </c>
      <c r="Z24" s="126">
        <f t="shared" si="47"/>
        <v>0</v>
      </c>
      <c r="AA24" s="126">
        <f t="shared" si="47"/>
        <v>0</v>
      </c>
      <c r="AB24" s="126">
        <f t="shared" si="47"/>
        <v>0</v>
      </c>
      <c r="AC24" s="126">
        <f t="shared" si="47"/>
        <v>9278919.2400000002</v>
      </c>
      <c r="AD24" s="126">
        <f t="shared" si="47"/>
        <v>0</v>
      </c>
      <c r="AE24" s="126">
        <f t="shared" si="47"/>
        <v>0</v>
      </c>
      <c r="AF24" s="126">
        <f t="shared" si="47"/>
        <v>0</v>
      </c>
      <c r="AG24" s="126">
        <f t="shared" si="47"/>
        <v>0</v>
      </c>
      <c r="AH24" s="126">
        <f t="shared" si="47"/>
        <v>0</v>
      </c>
      <c r="AI24" s="126">
        <f t="shared" si="47"/>
        <v>0</v>
      </c>
      <c r="AJ24" s="126">
        <f t="shared" si="47"/>
        <v>0</v>
      </c>
      <c r="AK24" s="126">
        <f t="shared" si="47"/>
        <v>9278919.2400000002</v>
      </c>
      <c r="AL24" s="126">
        <f t="shared" si="47"/>
        <v>9278919.2400000002</v>
      </c>
      <c r="AM24" s="126">
        <f t="shared" si="47"/>
        <v>9278919.2400000002</v>
      </c>
      <c r="AN24" s="126">
        <f t="shared" si="47"/>
        <v>9278919.2400000002</v>
      </c>
      <c r="AO24" s="126">
        <f t="shared" si="47"/>
        <v>0</v>
      </c>
      <c r="AP24" s="126">
        <f t="shared" si="47"/>
        <v>9278919.2400000002</v>
      </c>
      <c r="AQ24" s="126">
        <f t="shared" si="47"/>
        <v>9278919.2400000002</v>
      </c>
      <c r="AR24" s="126">
        <f t="shared" si="47"/>
        <v>698571.58</v>
      </c>
      <c r="AS24" s="126">
        <f t="shared" si="47"/>
        <v>8580347.6599999983</v>
      </c>
      <c r="AT24" s="126">
        <f t="shared" si="47"/>
        <v>0</v>
      </c>
      <c r="AU24" s="126">
        <f t="shared" si="47"/>
        <v>0</v>
      </c>
      <c r="AV24" s="126">
        <f t="shared" si="47"/>
        <v>0</v>
      </c>
      <c r="AW24" s="126">
        <f t="shared" si="47"/>
        <v>0</v>
      </c>
      <c r="AX24" s="126">
        <f t="shared" si="47"/>
        <v>0</v>
      </c>
      <c r="AY24" s="126">
        <f t="shared" si="47"/>
        <v>0</v>
      </c>
      <c r="AZ24" s="126">
        <f t="shared" si="47"/>
        <v>9278919.2400000002</v>
      </c>
      <c r="BA24" s="126">
        <f t="shared" si="47"/>
        <v>0</v>
      </c>
      <c r="BB24" s="126"/>
      <c r="BC24" s="126">
        <f t="shared" ref="BC24:BQ24" si="48">SUMIFS($AM$102:$AM$1048576,BC$102:BC$1048576,"&gt;-1000000",$C$102:$C$1048576,"OK",$A$102:$A$1048576,$E24)</f>
        <v>0</v>
      </c>
      <c r="BD24" s="126">
        <f t="shared" si="48"/>
        <v>0</v>
      </c>
      <c r="BE24" s="126">
        <f t="shared" si="48"/>
        <v>0</v>
      </c>
      <c r="BF24" s="126">
        <f t="shared" si="48"/>
        <v>0</v>
      </c>
      <c r="BG24" s="126">
        <f t="shared" si="48"/>
        <v>9278919.2400000002</v>
      </c>
      <c r="BH24" s="126">
        <f t="shared" si="48"/>
        <v>19857.3</v>
      </c>
      <c r="BI24" s="126">
        <f t="shared" si="48"/>
        <v>0</v>
      </c>
      <c r="BJ24" s="126">
        <f t="shared" si="48"/>
        <v>0</v>
      </c>
      <c r="BK24" s="126">
        <f t="shared" si="48"/>
        <v>0</v>
      </c>
      <c r="BL24" s="126">
        <f t="shared" si="48"/>
        <v>0</v>
      </c>
      <c r="BM24" s="126">
        <f t="shared" si="48"/>
        <v>0</v>
      </c>
      <c r="BN24" s="126">
        <f t="shared" si="48"/>
        <v>0</v>
      </c>
      <c r="BO24" s="126">
        <f t="shared" si="48"/>
        <v>9278919.2400000002</v>
      </c>
      <c r="BP24" s="126">
        <f t="shared" si="48"/>
        <v>9244025.4299999997</v>
      </c>
      <c r="BQ24" s="126">
        <f t="shared" si="48"/>
        <v>0</v>
      </c>
      <c r="BR24" s="126" t="e">
        <f>SUMIFS($AM$102:$AM$1048576,#REF!,"&gt;-1000000",$C$102:$C$1048576,"OK",$A$102:$A$1048576,$E24)</f>
        <v>#REF!</v>
      </c>
      <c r="BS24" s="126">
        <f>SUMIFS($AM$102:$AM$1048576,BS$102:BS$1048576,"&gt;-1000000",$C$102:$C$1048576,"OK",$A$102:$A$1048576,$E24)</f>
        <v>9278919.2400000002</v>
      </c>
      <c r="BT24" s="126"/>
      <c r="BU24" s="126"/>
      <c r="BV24" s="147"/>
    </row>
    <row r="25" spans="1:74" ht="11.25" hidden="1" x14ac:dyDescent="0.2">
      <c r="A25" s="123"/>
      <c r="B25" s="123"/>
      <c r="C25" s="124"/>
      <c r="D25" s="125"/>
      <c r="E25" s="19">
        <v>3</v>
      </c>
      <c r="F25" s="17" t="s">
        <v>32</v>
      </c>
      <c r="G25" s="15" t="s">
        <v>109</v>
      </c>
      <c r="H25" s="126">
        <f t="shared" ref="H25:BA25" si="49">SUMIFS($AP$102:$AP$1048576,H$102:H$1048576,"&gt;-1000000",$C$102:$C$1048576,"OK",$A$102:$A$1048576,$E25)</f>
        <v>3746345.3399999989</v>
      </c>
      <c r="I25" s="126">
        <f t="shared" si="49"/>
        <v>3746345.3399999989</v>
      </c>
      <c r="J25" s="126">
        <f t="shared" si="49"/>
        <v>0</v>
      </c>
      <c r="K25" s="126">
        <f t="shared" si="49"/>
        <v>0</v>
      </c>
      <c r="L25" s="126">
        <f t="shared" si="49"/>
        <v>0</v>
      </c>
      <c r="M25" s="126">
        <f t="shared" si="49"/>
        <v>0</v>
      </c>
      <c r="N25" s="29">
        <f t="shared" si="49"/>
        <v>3746345.3399999989</v>
      </c>
      <c r="O25" s="29">
        <f t="shared" si="49"/>
        <v>168475.18</v>
      </c>
      <c r="P25" s="161">
        <f t="shared" si="49"/>
        <v>168475.18</v>
      </c>
      <c r="Q25" s="126">
        <f t="shared" si="49"/>
        <v>0</v>
      </c>
      <c r="R25" s="126">
        <f t="shared" si="49"/>
        <v>0</v>
      </c>
      <c r="S25" s="126">
        <f t="shared" si="49"/>
        <v>0</v>
      </c>
      <c r="T25" s="126">
        <f t="shared" si="49"/>
        <v>0</v>
      </c>
      <c r="U25" s="126">
        <f t="shared" si="49"/>
        <v>0</v>
      </c>
      <c r="V25" s="126">
        <f t="shared" si="49"/>
        <v>0</v>
      </c>
      <c r="W25" s="126">
        <f t="shared" si="49"/>
        <v>3746345.3399999989</v>
      </c>
      <c r="X25" s="126">
        <f t="shared" si="49"/>
        <v>0</v>
      </c>
      <c r="Y25" s="126">
        <f t="shared" si="49"/>
        <v>0</v>
      </c>
      <c r="Z25" s="126">
        <f t="shared" si="49"/>
        <v>0</v>
      </c>
      <c r="AA25" s="126">
        <f t="shared" si="49"/>
        <v>0</v>
      </c>
      <c r="AB25" s="126">
        <f t="shared" si="49"/>
        <v>0</v>
      </c>
      <c r="AC25" s="126">
        <f t="shared" si="49"/>
        <v>3746345.3399999989</v>
      </c>
      <c r="AD25" s="126">
        <f t="shared" si="49"/>
        <v>0</v>
      </c>
      <c r="AE25" s="126">
        <f t="shared" si="49"/>
        <v>0</v>
      </c>
      <c r="AF25" s="126">
        <f t="shared" si="49"/>
        <v>0</v>
      </c>
      <c r="AG25" s="126">
        <f t="shared" si="49"/>
        <v>0</v>
      </c>
      <c r="AH25" s="126">
        <f t="shared" si="49"/>
        <v>0</v>
      </c>
      <c r="AI25" s="126">
        <f t="shared" si="49"/>
        <v>0</v>
      </c>
      <c r="AJ25" s="126">
        <f t="shared" si="49"/>
        <v>0</v>
      </c>
      <c r="AK25" s="126">
        <f t="shared" si="49"/>
        <v>3746345.3399999989</v>
      </c>
      <c r="AL25" s="126">
        <f t="shared" si="49"/>
        <v>3746345.3399999989</v>
      </c>
      <c r="AM25" s="126">
        <f t="shared" si="49"/>
        <v>3746345.3399999989</v>
      </c>
      <c r="AN25" s="126">
        <f t="shared" si="49"/>
        <v>3746345.3399999989</v>
      </c>
      <c r="AO25" s="126">
        <f t="shared" si="49"/>
        <v>0</v>
      </c>
      <c r="AP25" s="126">
        <f t="shared" si="49"/>
        <v>3746345.3399999989</v>
      </c>
      <c r="AQ25" s="126">
        <f t="shared" si="49"/>
        <v>3746345.3399999989</v>
      </c>
      <c r="AR25" s="126">
        <f t="shared" si="49"/>
        <v>272493</v>
      </c>
      <c r="AS25" s="126">
        <f t="shared" si="49"/>
        <v>3473852.3399999994</v>
      </c>
      <c r="AT25" s="126">
        <f t="shared" si="49"/>
        <v>0</v>
      </c>
      <c r="AU25" s="126">
        <f t="shared" si="49"/>
        <v>0</v>
      </c>
      <c r="AV25" s="126">
        <f t="shared" si="49"/>
        <v>0</v>
      </c>
      <c r="AW25" s="126">
        <f t="shared" si="49"/>
        <v>0</v>
      </c>
      <c r="AX25" s="126">
        <f t="shared" si="49"/>
        <v>0</v>
      </c>
      <c r="AY25" s="126">
        <f t="shared" si="49"/>
        <v>0</v>
      </c>
      <c r="AZ25" s="126">
        <f t="shared" si="49"/>
        <v>3746345.3399999989</v>
      </c>
      <c r="BA25" s="126">
        <f t="shared" si="49"/>
        <v>0</v>
      </c>
      <c r="BB25" s="126"/>
      <c r="BC25" s="126">
        <f t="shared" ref="BC25:BQ25" si="50">SUMIFS($AP$102:$AP$1048576,BC$102:BC$1048576,"&gt;-1000000",$C$102:$C$1048576,"OK",$A$102:$A$1048576,$E25)</f>
        <v>0</v>
      </c>
      <c r="BD25" s="126">
        <f t="shared" si="50"/>
        <v>0</v>
      </c>
      <c r="BE25" s="126">
        <f t="shared" si="50"/>
        <v>0</v>
      </c>
      <c r="BF25" s="126">
        <f t="shared" si="50"/>
        <v>0</v>
      </c>
      <c r="BG25" s="126">
        <f t="shared" si="50"/>
        <v>3746345.3399999989</v>
      </c>
      <c r="BH25" s="126">
        <f t="shared" si="50"/>
        <v>10202.06</v>
      </c>
      <c r="BI25" s="126">
        <f t="shared" si="50"/>
        <v>0</v>
      </c>
      <c r="BJ25" s="126">
        <f t="shared" si="50"/>
        <v>0</v>
      </c>
      <c r="BK25" s="126">
        <f t="shared" si="50"/>
        <v>0</v>
      </c>
      <c r="BL25" s="126">
        <f t="shared" si="50"/>
        <v>0</v>
      </c>
      <c r="BM25" s="126">
        <f t="shared" si="50"/>
        <v>0</v>
      </c>
      <c r="BN25" s="126">
        <f t="shared" si="50"/>
        <v>0</v>
      </c>
      <c r="BO25" s="126">
        <f t="shared" si="50"/>
        <v>3746345.3399999989</v>
      </c>
      <c r="BP25" s="126">
        <f t="shared" si="50"/>
        <v>3732896.4999999991</v>
      </c>
      <c r="BQ25" s="126">
        <f t="shared" si="50"/>
        <v>0</v>
      </c>
      <c r="BR25" s="126" t="e">
        <f>SUMIFS($AP$102:$AP$1048576,#REF!,"&gt;-1000000",$C$102:$C$1048576,"OK",$A$102:$A$1048576,$E25)</f>
        <v>#REF!</v>
      </c>
      <c r="BS25" s="126">
        <f>SUMIFS($AP$102:$AP$1048576,BS$102:BS$1048576,"&gt;-1000000",$C$102:$C$1048576,"OK",$A$102:$A$1048576,$E25)</f>
        <v>3746345.3399999989</v>
      </c>
      <c r="BT25" s="126"/>
      <c r="BU25" s="126"/>
      <c r="BV25" s="147"/>
    </row>
    <row r="26" spans="1:74" ht="11.25" hidden="1" x14ac:dyDescent="0.2">
      <c r="A26" s="123"/>
      <c r="B26" s="123"/>
      <c r="C26" s="124"/>
      <c r="D26" s="125"/>
      <c r="E26" s="18">
        <v>4</v>
      </c>
      <c r="F26" s="16" t="s">
        <v>28</v>
      </c>
      <c r="G26" s="14" t="s">
        <v>109</v>
      </c>
      <c r="H26" s="21">
        <f t="shared" ref="H26:BA26" si="51">SUMIFS(H$102:H$1048576,$A$102:$A$1048576,$E26)</f>
        <v>0</v>
      </c>
      <c r="I26" s="21">
        <f t="shared" si="51"/>
        <v>0</v>
      </c>
      <c r="J26" s="21">
        <f t="shared" si="51"/>
        <v>0</v>
      </c>
      <c r="K26" s="21">
        <f t="shared" si="51"/>
        <v>0</v>
      </c>
      <c r="L26" s="21">
        <f t="shared" si="51"/>
        <v>0</v>
      </c>
      <c r="M26" s="21">
        <f t="shared" si="51"/>
        <v>0</v>
      </c>
      <c r="N26" s="29">
        <f t="shared" si="51"/>
        <v>0</v>
      </c>
      <c r="O26" s="29">
        <f t="shared" si="51"/>
        <v>0</v>
      </c>
      <c r="P26" s="160">
        <f t="shared" si="51"/>
        <v>0</v>
      </c>
      <c r="Q26" s="21">
        <f t="shared" si="51"/>
        <v>0</v>
      </c>
      <c r="R26" s="21">
        <f t="shared" si="51"/>
        <v>0</v>
      </c>
      <c r="S26" s="21">
        <f t="shared" si="51"/>
        <v>0</v>
      </c>
      <c r="T26" s="21">
        <f t="shared" si="51"/>
        <v>0</v>
      </c>
      <c r="U26" s="21">
        <f t="shared" si="51"/>
        <v>0</v>
      </c>
      <c r="V26" s="21">
        <f t="shared" si="51"/>
        <v>0</v>
      </c>
      <c r="W26" s="21">
        <f t="shared" si="51"/>
        <v>0</v>
      </c>
      <c r="X26" s="21">
        <f t="shared" si="51"/>
        <v>0</v>
      </c>
      <c r="Y26" s="21">
        <f t="shared" si="51"/>
        <v>0</v>
      </c>
      <c r="Z26" s="21">
        <f t="shared" si="51"/>
        <v>0</v>
      </c>
      <c r="AA26" s="21">
        <f t="shared" si="51"/>
        <v>0</v>
      </c>
      <c r="AB26" s="21">
        <f t="shared" si="51"/>
        <v>0</v>
      </c>
      <c r="AC26" s="21">
        <f t="shared" si="51"/>
        <v>0</v>
      </c>
      <c r="AD26" s="21">
        <f t="shared" si="51"/>
        <v>0</v>
      </c>
      <c r="AE26" s="21">
        <f t="shared" si="51"/>
        <v>0</v>
      </c>
      <c r="AF26" s="21">
        <f t="shared" si="51"/>
        <v>0</v>
      </c>
      <c r="AG26" s="21">
        <f t="shared" si="51"/>
        <v>0</v>
      </c>
      <c r="AH26" s="21">
        <f t="shared" si="51"/>
        <v>0</v>
      </c>
      <c r="AI26" s="21">
        <f t="shared" si="51"/>
        <v>0</v>
      </c>
      <c r="AJ26" s="21">
        <f t="shared" si="51"/>
        <v>0</v>
      </c>
      <c r="AK26" s="21">
        <f t="shared" si="51"/>
        <v>0</v>
      </c>
      <c r="AL26" s="21">
        <f t="shared" si="51"/>
        <v>0</v>
      </c>
      <c r="AM26" s="21">
        <f t="shared" si="51"/>
        <v>0</v>
      </c>
      <c r="AN26" s="21">
        <f t="shared" si="51"/>
        <v>0</v>
      </c>
      <c r="AO26" s="21">
        <f t="shared" si="51"/>
        <v>0</v>
      </c>
      <c r="AP26" s="21">
        <f t="shared" si="51"/>
        <v>0</v>
      </c>
      <c r="AQ26" s="21">
        <f t="shared" si="51"/>
        <v>0</v>
      </c>
      <c r="AR26" s="21">
        <f t="shared" si="51"/>
        <v>0</v>
      </c>
      <c r="AS26" s="21">
        <f t="shared" si="51"/>
        <v>0</v>
      </c>
      <c r="AT26" s="21">
        <f t="shared" si="51"/>
        <v>0</v>
      </c>
      <c r="AU26" s="21">
        <f t="shared" si="51"/>
        <v>0</v>
      </c>
      <c r="AV26" s="21">
        <f t="shared" si="51"/>
        <v>0</v>
      </c>
      <c r="AW26" s="21">
        <f t="shared" si="51"/>
        <v>0</v>
      </c>
      <c r="AX26" s="21">
        <f t="shared" si="51"/>
        <v>0</v>
      </c>
      <c r="AY26" s="21">
        <f t="shared" si="51"/>
        <v>0</v>
      </c>
      <c r="AZ26" s="21">
        <f t="shared" si="51"/>
        <v>0</v>
      </c>
      <c r="BA26" s="21">
        <f t="shared" si="51"/>
        <v>0</v>
      </c>
      <c r="BB26" s="21"/>
      <c r="BC26" s="21">
        <f t="shared" ref="BC26:BQ26" si="52">SUMIFS(BC$102:BC$1048576,$A$102:$A$1048576,$E26)</f>
        <v>0</v>
      </c>
      <c r="BD26" s="21">
        <f t="shared" si="52"/>
        <v>0</v>
      </c>
      <c r="BE26" s="21">
        <f t="shared" si="52"/>
        <v>0</v>
      </c>
      <c r="BF26" s="21">
        <f t="shared" si="52"/>
        <v>0</v>
      </c>
      <c r="BG26" s="21">
        <f t="shared" si="52"/>
        <v>0</v>
      </c>
      <c r="BH26" s="21">
        <f t="shared" si="52"/>
        <v>0</v>
      </c>
      <c r="BI26" s="21">
        <f t="shared" si="52"/>
        <v>0</v>
      </c>
      <c r="BJ26" s="21">
        <f t="shared" si="52"/>
        <v>0</v>
      </c>
      <c r="BK26" s="21">
        <f t="shared" si="52"/>
        <v>0</v>
      </c>
      <c r="BL26" s="21">
        <f t="shared" si="52"/>
        <v>0</v>
      </c>
      <c r="BM26" s="21">
        <f t="shared" si="52"/>
        <v>0</v>
      </c>
      <c r="BN26" s="21">
        <f t="shared" si="52"/>
        <v>0</v>
      </c>
      <c r="BO26" s="21">
        <f t="shared" si="52"/>
        <v>0</v>
      </c>
      <c r="BP26" s="21">
        <f t="shared" si="52"/>
        <v>0</v>
      </c>
      <c r="BQ26" s="21">
        <f t="shared" si="52"/>
        <v>0</v>
      </c>
      <c r="BR26" s="21" t="e">
        <f>SUMIFS(#REF!,$A$102:$A$1048576,$E26)</f>
        <v>#REF!</v>
      </c>
      <c r="BS26" s="21">
        <f>SUMIFS(BS$102:BS$1048576,$A$102:$A$1048576,$E26)</f>
        <v>0</v>
      </c>
      <c r="BT26" s="21"/>
      <c r="BU26" s="21"/>
      <c r="BV26" s="145"/>
    </row>
    <row r="27" spans="1:74" ht="11.25" hidden="1" x14ac:dyDescent="0.2">
      <c r="A27" s="123"/>
      <c r="B27" s="123"/>
      <c r="C27" s="124"/>
      <c r="D27" s="125"/>
      <c r="E27" s="18">
        <v>4</v>
      </c>
      <c r="F27" s="16" t="s">
        <v>25</v>
      </c>
      <c r="G27" s="14" t="s">
        <v>109</v>
      </c>
      <c r="H27" s="14">
        <f t="shared" ref="H27:BA27" si="53">COUNTIFS(H$102:H$1048576,"&gt;-1000000",$A$102:$A$1048576,$E27)</f>
        <v>0</v>
      </c>
      <c r="I27" s="14">
        <f t="shared" si="53"/>
        <v>0</v>
      </c>
      <c r="J27" s="14">
        <f t="shared" si="53"/>
        <v>0</v>
      </c>
      <c r="K27" s="14">
        <f t="shared" si="53"/>
        <v>0</v>
      </c>
      <c r="L27" s="14">
        <f t="shared" si="53"/>
        <v>0</v>
      </c>
      <c r="M27" s="14">
        <f t="shared" si="53"/>
        <v>0</v>
      </c>
      <c r="N27" s="29">
        <f t="shared" si="53"/>
        <v>0</v>
      </c>
      <c r="O27" s="29">
        <f t="shared" si="53"/>
        <v>0</v>
      </c>
      <c r="P27" s="160">
        <f t="shared" si="53"/>
        <v>0</v>
      </c>
      <c r="Q27" s="14">
        <f t="shared" si="53"/>
        <v>0</v>
      </c>
      <c r="R27" s="14">
        <f t="shared" si="53"/>
        <v>0</v>
      </c>
      <c r="S27" s="14">
        <f t="shared" si="53"/>
        <v>0</v>
      </c>
      <c r="T27" s="14">
        <f t="shared" si="53"/>
        <v>0</v>
      </c>
      <c r="U27" s="14">
        <f t="shared" si="53"/>
        <v>0</v>
      </c>
      <c r="V27" s="14">
        <f t="shared" si="53"/>
        <v>0</v>
      </c>
      <c r="W27" s="14">
        <f t="shared" si="53"/>
        <v>0</v>
      </c>
      <c r="X27" s="14">
        <f t="shared" si="53"/>
        <v>0</v>
      </c>
      <c r="Y27" s="14">
        <f t="shared" si="53"/>
        <v>0</v>
      </c>
      <c r="Z27" s="14">
        <f t="shared" si="53"/>
        <v>0</v>
      </c>
      <c r="AA27" s="14">
        <f t="shared" si="53"/>
        <v>0</v>
      </c>
      <c r="AB27" s="14">
        <f t="shared" si="53"/>
        <v>0</v>
      </c>
      <c r="AC27" s="14">
        <f t="shared" si="53"/>
        <v>0</v>
      </c>
      <c r="AD27" s="14">
        <f t="shared" si="53"/>
        <v>0</v>
      </c>
      <c r="AE27" s="14">
        <f t="shared" si="53"/>
        <v>0</v>
      </c>
      <c r="AF27" s="14">
        <f t="shared" si="53"/>
        <v>0</v>
      </c>
      <c r="AG27" s="14">
        <f t="shared" si="53"/>
        <v>0</v>
      </c>
      <c r="AH27" s="14">
        <f t="shared" si="53"/>
        <v>0</v>
      </c>
      <c r="AI27" s="14">
        <f t="shared" si="53"/>
        <v>0</v>
      </c>
      <c r="AJ27" s="14">
        <f t="shared" si="53"/>
        <v>0</v>
      </c>
      <c r="AK27" s="14">
        <f t="shared" si="53"/>
        <v>0</v>
      </c>
      <c r="AL27" s="14">
        <f t="shared" si="53"/>
        <v>0</v>
      </c>
      <c r="AM27" s="14">
        <f t="shared" si="53"/>
        <v>0</v>
      </c>
      <c r="AN27" s="14">
        <f t="shared" si="53"/>
        <v>0</v>
      </c>
      <c r="AO27" s="14">
        <f t="shared" si="53"/>
        <v>0</v>
      </c>
      <c r="AP27" s="14">
        <f t="shared" si="53"/>
        <v>0</v>
      </c>
      <c r="AQ27" s="14">
        <f t="shared" si="53"/>
        <v>0</v>
      </c>
      <c r="AR27" s="14">
        <f t="shared" si="53"/>
        <v>0</v>
      </c>
      <c r="AS27" s="14">
        <f t="shared" si="53"/>
        <v>0</v>
      </c>
      <c r="AT27" s="14">
        <f t="shared" si="53"/>
        <v>0</v>
      </c>
      <c r="AU27" s="14">
        <f t="shared" si="53"/>
        <v>0</v>
      </c>
      <c r="AV27" s="14">
        <f t="shared" si="53"/>
        <v>0</v>
      </c>
      <c r="AW27" s="14">
        <f t="shared" si="53"/>
        <v>0</v>
      </c>
      <c r="AX27" s="14">
        <f t="shared" si="53"/>
        <v>0</v>
      </c>
      <c r="AY27" s="14">
        <f t="shared" si="53"/>
        <v>0</v>
      </c>
      <c r="AZ27" s="14">
        <f t="shared" si="53"/>
        <v>0</v>
      </c>
      <c r="BA27" s="14">
        <f t="shared" si="53"/>
        <v>0</v>
      </c>
      <c r="BB27" s="14"/>
      <c r="BC27" s="14">
        <f t="shared" ref="BC27:BQ27" si="54">COUNTIFS(BC$102:BC$1048576,"&gt;-1000000",$A$102:$A$1048576,$E27)</f>
        <v>0</v>
      </c>
      <c r="BD27" s="14">
        <f t="shared" si="54"/>
        <v>0</v>
      </c>
      <c r="BE27" s="14">
        <f t="shared" si="54"/>
        <v>0</v>
      </c>
      <c r="BF27" s="14">
        <f t="shared" si="54"/>
        <v>0</v>
      </c>
      <c r="BG27" s="14">
        <f t="shared" si="54"/>
        <v>0</v>
      </c>
      <c r="BH27" s="14">
        <f t="shared" si="54"/>
        <v>0</v>
      </c>
      <c r="BI27" s="14">
        <f t="shared" si="54"/>
        <v>0</v>
      </c>
      <c r="BJ27" s="14">
        <f t="shared" si="54"/>
        <v>0</v>
      </c>
      <c r="BK27" s="14">
        <f t="shared" si="54"/>
        <v>0</v>
      </c>
      <c r="BL27" s="14">
        <f t="shared" si="54"/>
        <v>0</v>
      </c>
      <c r="BM27" s="14">
        <f t="shared" si="54"/>
        <v>0</v>
      </c>
      <c r="BN27" s="14">
        <f t="shared" si="54"/>
        <v>0</v>
      </c>
      <c r="BO27" s="14">
        <f t="shared" si="54"/>
        <v>0</v>
      </c>
      <c r="BP27" s="14">
        <f t="shared" si="54"/>
        <v>0</v>
      </c>
      <c r="BQ27" s="14">
        <f t="shared" si="54"/>
        <v>0</v>
      </c>
      <c r="BR27" s="14" t="e">
        <f>COUNTIFS(#REF!,"&gt;-1000000",$A$102:$A$1048576,$E27)</f>
        <v>#REF!</v>
      </c>
      <c r="BS27" s="14">
        <f>COUNTIFS(BS$102:BS$1048576,"&gt;-1000000",$A$102:$A$1048576,$E27)</f>
        <v>0</v>
      </c>
      <c r="BT27" s="14"/>
      <c r="BU27" s="14"/>
      <c r="BV27" s="146"/>
    </row>
    <row r="28" spans="1:74" ht="11.25" hidden="1" x14ac:dyDescent="0.2">
      <c r="A28" s="123"/>
      <c r="B28" s="123"/>
      <c r="C28" s="124"/>
      <c r="D28" s="125"/>
      <c r="E28" s="18">
        <v>4</v>
      </c>
      <c r="F28" s="16" t="s">
        <v>24</v>
      </c>
      <c r="G28" s="14" t="s">
        <v>109</v>
      </c>
      <c r="H28" s="14">
        <f t="shared" ref="H28:BA28" si="55">SUMIFS($AM$102:$AM$1048576,H$102:H$1048576,"&gt;-1000000",$A$102:$A$1048576,$E28)</f>
        <v>0</v>
      </c>
      <c r="I28" s="14">
        <f t="shared" si="55"/>
        <v>0</v>
      </c>
      <c r="J28" s="14">
        <f t="shared" si="55"/>
        <v>0</v>
      </c>
      <c r="K28" s="14">
        <f t="shared" si="55"/>
        <v>0</v>
      </c>
      <c r="L28" s="14">
        <f t="shared" si="55"/>
        <v>0</v>
      </c>
      <c r="M28" s="14">
        <f t="shared" si="55"/>
        <v>0</v>
      </c>
      <c r="N28" s="29">
        <f t="shared" si="55"/>
        <v>0</v>
      </c>
      <c r="O28" s="29">
        <f t="shared" si="55"/>
        <v>0</v>
      </c>
      <c r="P28" s="160">
        <f t="shared" si="55"/>
        <v>0</v>
      </c>
      <c r="Q28" s="14">
        <f t="shared" si="55"/>
        <v>0</v>
      </c>
      <c r="R28" s="14">
        <f t="shared" si="55"/>
        <v>0</v>
      </c>
      <c r="S28" s="14">
        <f t="shared" si="55"/>
        <v>0</v>
      </c>
      <c r="T28" s="14">
        <f t="shared" si="55"/>
        <v>0</v>
      </c>
      <c r="U28" s="14">
        <f t="shared" si="55"/>
        <v>0</v>
      </c>
      <c r="V28" s="14">
        <f t="shared" si="55"/>
        <v>0</v>
      </c>
      <c r="W28" s="14">
        <f t="shared" si="55"/>
        <v>0</v>
      </c>
      <c r="X28" s="14">
        <f t="shared" si="55"/>
        <v>0</v>
      </c>
      <c r="Y28" s="14">
        <f t="shared" si="55"/>
        <v>0</v>
      </c>
      <c r="Z28" s="14">
        <f t="shared" si="55"/>
        <v>0</v>
      </c>
      <c r="AA28" s="14">
        <f t="shared" si="55"/>
        <v>0</v>
      </c>
      <c r="AB28" s="14">
        <f t="shared" si="55"/>
        <v>0</v>
      </c>
      <c r="AC28" s="14">
        <f t="shared" si="55"/>
        <v>0</v>
      </c>
      <c r="AD28" s="14">
        <f t="shared" si="55"/>
        <v>0</v>
      </c>
      <c r="AE28" s="14">
        <f t="shared" si="55"/>
        <v>0</v>
      </c>
      <c r="AF28" s="14">
        <f t="shared" si="55"/>
        <v>0</v>
      </c>
      <c r="AG28" s="14">
        <f t="shared" si="55"/>
        <v>0</v>
      </c>
      <c r="AH28" s="14">
        <f t="shared" si="55"/>
        <v>0</v>
      </c>
      <c r="AI28" s="14">
        <f t="shared" si="55"/>
        <v>0</v>
      </c>
      <c r="AJ28" s="14">
        <f t="shared" si="55"/>
        <v>0</v>
      </c>
      <c r="AK28" s="14">
        <f t="shared" si="55"/>
        <v>0</v>
      </c>
      <c r="AL28" s="14">
        <f t="shared" si="55"/>
        <v>0</v>
      </c>
      <c r="AM28" s="14">
        <f t="shared" si="55"/>
        <v>0</v>
      </c>
      <c r="AN28" s="14">
        <f t="shared" si="55"/>
        <v>0</v>
      </c>
      <c r="AO28" s="14">
        <f t="shared" si="55"/>
        <v>0</v>
      </c>
      <c r="AP28" s="14">
        <f t="shared" si="55"/>
        <v>0</v>
      </c>
      <c r="AQ28" s="14">
        <f t="shared" si="55"/>
        <v>0</v>
      </c>
      <c r="AR28" s="14">
        <f t="shared" si="55"/>
        <v>0</v>
      </c>
      <c r="AS28" s="14">
        <f t="shared" si="55"/>
        <v>0</v>
      </c>
      <c r="AT28" s="14">
        <f t="shared" si="55"/>
        <v>0</v>
      </c>
      <c r="AU28" s="14">
        <f t="shared" si="55"/>
        <v>0</v>
      </c>
      <c r="AV28" s="14">
        <f t="shared" si="55"/>
        <v>0</v>
      </c>
      <c r="AW28" s="14">
        <f t="shared" si="55"/>
        <v>0</v>
      </c>
      <c r="AX28" s="14">
        <f t="shared" si="55"/>
        <v>0</v>
      </c>
      <c r="AY28" s="14">
        <f t="shared" si="55"/>
        <v>0</v>
      </c>
      <c r="AZ28" s="14">
        <f t="shared" si="55"/>
        <v>0</v>
      </c>
      <c r="BA28" s="14">
        <f t="shared" si="55"/>
        <v>0</v>
      </c>
      <c r="BB28" s="14"/>
      <c r="BC28" s="14">
        <f t="shared" ref="BC28:BQ28" si="56">SUMIFS($AM$102:$AM$1048576,BC$102:BC$1048576,"&gt;-1000000",$A$102:$A$1048576,$E28)</f>
        <v>0</v>
      </c>
      <c r="BD28" s="14">
        <f t="shared" si="56"/>
        <v>0</v>
      </c>
      <c r="BE28" s="14">
        <f t="shared" si="56"/>
        <v>0</v>
      </c>
      <c r="BF28" s="14">
        <f t="shared" si="56"/>
        <v>0</v>
      </c>
      <c r="BG28" s="14">
        <f t="shared" si="56"/>
        <v>0</v>
      </c>
      <c r="BH28" s="14">
        <f t="shared" si="56"/>
        <v>0</v>
      </c>
      <c r="BI28" s="14">
        <f t="shared" si="56"/>
        <v>0</v>
      </c>
      <c r="BJ28" s="14">
        <f t="shared" si="56"/>
        <v>0</v>
      </c>
      <c r="BK28" s="14">
        <f t="shared" si="56"/>
        <v>0</v>
      </c>
      <c r="BL28" s="14">
        <f t="shared" si="56"/>
        <v>0</v>
      </c>
      <c r="BM28" s="14">
        <f t="shared" si="56"/>
        <v>0</v>
      </c>
      <c r="BN28" s="14">
        <f t="shared" si="56"/>
        <v>0</v>
      </c>
      <c r="BO28" s="14">
        <f t="shared" si="56"/>
        <v>0</v>
      </c>
      <c r="BP28" s="14">
        <f t="shared" si="56"/>
        <v>0</v>
      </c>
      <c r="BQ28" s="14">
        <f t="shared" si="56"/>
        <v>0</v>
      </c>
      <c r="BR28" s="14" t="e">
        <f>SUMIFS($AM$102:$AM$1048576,#REF!,"&gt;-1000000",$A$102:$A$1048576,$E28)</f>
        <v>#REF!</v>
      </c>
      <c r="BS28" s="14">
        <f>SUMIFS($AM$102:$AM$1048576,BS$102:BS$1048576,"&gt;-1000000",$A$102:$A$1048576,$E28)</f>
        <v>0</v>
      </c>
      <c r="BT28" s="14"/>
      <c r="BU28" s="14"/>
      <c r="BV28" s="146"/>
    </row>
    <row r="29" spans="1:74" ht="11.25" hidden="1" x14ac:dyDescent="0.2">
      <c r="A29" s="123"/>
      <c r="B29" s="123"/>
      <c r="C29" s="124"/>
      <c r="D29" s="125"/>
      <c r="E29" s="18">
        <v>4</v>
      </c>
      <c r="F29" s="16" t="s">
        <v>31</v>
      </c>
      <c r="G29" s="14" t="s">
        <v>109</v>
      </c>
      <c r="H29" s="14">
        <f t="shared" ref="H29:BA29" si="57">SUMIFS($AP$102:$AP$1048576,H$102:H$1048576,"&gt;-1000000",$A$102:$A$1048576,$E29)</f>
        <v>0</v>
      </c>
      <c r="I29" s="14">
        <f t="shared" si="57"/>
        <v>0</v>
      </c>
      <c r="J29" s="14">
        <f t="shared" si="57"/>
        <v>0</v>
      </c>
      <c r="K29" s="14">
        <f t="shared" si="57"/>
        <v>0</v>
      </c>
      <c r="L29" s="14">
        <f t="shared" si="57"/>
        <v>0</v>
      </c>
      <c r="M29" s="14">
        <f t="shared" si="57"/>
        <v>0</v>
      </c>
      <c r="N29" s="29">
        <f t="shared" si="57"/>
        <v>0</v>
      </c>
      <c r="O29" s="29">
        <f t="shared" si="57"/>
        <v>0</v>
      </c>
      <c r="P29" s="160">
        <f t="shared" si="57"/>
        <v>0</v>
      </c>
      <c r="Q29" s="14">
        <f t="shared" si="57"/>
        <v>0</v>
      </c>
      <c r="R29" s="14">
        <f t="shared" si="57"/>
        <v>0</v>
      </c>
      <c r="S29" s="14">
        <f t="shared" si="57"/>
        <v>0</v>
      </c>
      <c r="T29" s="14">
        <f t="shared" si="57"/>
        <v>0</v>
      </c>
      <c r="U29" s="14">
        <f t="shared" si="57"/>
        <v>0</v>
      </c>
      <c r="V29" s="14">
        <f t="shared" si="57"/>
        <v>0</v>
      </c>
      <c r="W29" s="14">
        <f t="shared" si="57"/>
        <v>0</v>
      </c>
      <c r="X29" s="14">
        <f t="shared" si="57"/>
        <v>0</v>
      </c>
      <c r="Y29" s="14">
        <f t="shared" si="57"/>
        <v>0</v>
      </c>
      <c r="Z29" s="14">
        <f t="shared" si="57"/>
        <v>0</v>
      </c>
      <c r="AA29" s="14">
        <f t="shared" si="57"/>
        <v>0</v>
      </c>
      <c r="AB29" s="14">
        <f t="shared" si="57"/>
        <v>0</v>
      </c>
      <c r="AC29" s="14">
        <f t="shared" si="57"/>
        <v>0</v>
      </c>
      <c r="AD29" s="14">
        <f t="shared" si="57"/>
        <v>0</v>
      </c>
      <c r="AE29" s="14">
        <f t="shared" si="57"/>
        <v>0</v>
      </c>
      <c r="AF29" s="14">
        <f t="shared" si="57"/>
        <v>0</v>
      </c>
      <c r="AG29" s="14">
        <f t="shared" si="57"/>
        <v>0</v>
      </c>
      <c r="AH29" s="14">
        <f t="shared" si="57"/>
        <v>0</v>
      </c>
      <c r="AI29" s="14">
        <f t="shared" si="57"/>
        <v>0</v>
      </c>
      <c r="AJ29" s="14">
        <f t="shared" si="57"/>
        <v>0</v>
      </c>
      <c r="AK29" s="14">
        <f t="shared" si="57"/>
        <v>0</v>
      </c>
      <c r="AL29" s="14">
        <f t="shared" si="57"/>
        <v>0</v>
      </c>
      <c r="AM29" s="14">
        <f t="shared" si="57"/>
        <v>0</v>
      </c>
      <c r="AN29" s="14">
        <f t="shared" si="57"/>
        <v>0</v>
      </c>
      <c r="AO29" s="14">
        <f t="shared" si="57"/>
        <v>0</v>
      </c>
      <c r="AP29" s="14">
        <f t="shared" si="57"/>
        <v>0</v>
      </c>
      <c r="AQ29" s="14">
        <f t="shared" si="57"/>
        <v>0</v>
      </c>
      <c r="AR29" s="14">
        <f t="shared" si="57"/>
        <v>0</v>
      </c>
      <c r="AS29" s="14">
        <f t="shared" si="57"/>
        <v>0</v>
      </c>
      <c r="AT29" s="14">
        <f t="shared" si="57"/>
        <v>0</v>
      </c>
      <c r="AU29" s="14">
        <f t="shared" si="57"/>
        <v>0</v>
      </c>
      <c r="AV29" s="14">
        <f t="shared" si="57"/>
        <v>0</v>
      </c>
      <c r="AW29" s="14">
        <f t="shared" si="57"/>
        <v>0</v>
      </c>
      <c r="AX29" s="14">
        <f t="shared" si="57"/>
        <v>0</v>
      </c>
      <c r="AY29" s="14">
        <f t="shared" si="57"/>
        <v>0</v>
      </c>
      <c r="AZ29" s="14">
        <f t="shared" si="57"/>
        <v>0</v>
      </c>
      <c r="BA29" s="14">
        <f t="shared" si="57"/>
        <v>0</v>
      </c>
      <c r="BB29" s="14"/>
      <c r="BC29" s="14">
        <f t="shared" ref="BC29:BQ29" si="58">SUMIFS($AP$102:$AP$1048576,BC$102:BC$1048576,"&gt;-1000000",$A$102:$A$1048576,$E29)</f>
        <v>0</v>
      </c>
      <c r="BD29" s="14">
        <f t="shared" si="58"/>
        <v>0</v>
      </c>
      <c r="BE29" s="14">
        <f t="shared" si="58"/>
        <v>0</v>
      </c>
      <c r="BF29" s="14">
        <f t="shared" si="58"/>
        <v>0</v>
      </c>
      <c r="BG29" s="14">
        <f t="shared" si="58"/>
        <v>0</v>
      </c>
      <c r="BH29" s="14">
        <f t="shared" si="58"/>
        <v>0</v>
      </c>
      <c r="BI29" s="14">
        <f t="shared" si="58"/>
        <v>0</v>
      </c>
      <c r="BJ29" s="14">
        <f t="shared" si="58"/>
        <v>0</v>
      </c>
      <c r="BK29" s="14">
        <f t="shared" si="58"/>
        <v>0</v>
      </c>
      <c r="BL29" s="14">
        <f t="shared" si="58"/>
        <v>0</v>
      </c>
      <c r="BM29" s="14">
        <f t="shared" si="58"/>
        <v>0</v>
      </c>
      <c r="BN29" s="14">
        <f t="shared" si="58"/>
        <v>0</v>
      </c>
      <c r="BO29" s="14">
        <f t="shared" si="58"/>
        <v>0</v>
      </c>
      <c r="BP29" s="14">
        <f t="shared" si="58"/>
        <v>0</v>
      </c>
      <c r="BQ29" s="14">
        <f t="shared" si="58"/>
        <v>0</v>
      </c>
      <c r="BR29" s="14" t="e">
        <f>SUMIFS($AP$102:$AP$1048576,#REF!,"&gt;-1000000",$A$102:$A$1048576,$E29)</f>
        <v>#REF!</v>
      </c>
      <c r="BS29" s="14">
        <f>SUMIFS($AP$102:$AP$1048576,BS$102:BS$1048576,"&gt;-1000000",$A$102:$A$1048576,$E29)</f>
        <v>0</v>
      </c>
      <c r="BT29" s="14"/>
      <c r="BU29" s="14"/>
      <c r="BV29" s="146"/>
    </row>
    <row r="30" spans="1:74" ht="11.25" hidden="1" x14ac:dyDescent="0.2">
      <c r="A30" s="123"/>
      <c r="B30" s="123"/>
      <c r="C30" s="124"/>
      <c r="D30" s="125"/>
      <c r="E30" s="19">
        <v>4</v>
      </c>
      <c r="F30" s="17" t="s">
        <v>29</v>
      </c>
      <c r="G30" s="15" t="s">
        <v>109</v>
      </c>
      <c r="H30" s="126">
        <f t="shared" ref="H30:BA30" si="59">SUMIFS(H$102:H$1048576,$A$102:$A$1048576,$E30,$C$102:$C$1048576,"OK")</f>
        <v>0</v>
      </c>
      <c r="I30" s="126">
        <f t="shared" si="59"/>
        <v>0</v>
      </c>
      <c r="J30" s="126">
        <f t="shared" si="59"/>
        <v>0</v>
      </c>
      <c r="K30" s="126">
        <f t="shared" si="59"/>
        <v>0</v>
      </c>
      <c r="L30" s="126">
        <f t="shared" si="59"/>
        <v>0</v>
      </c>
      <c r="M30" s="126">
        <f t="shared" si="59"/>
        <v>0</v>
      </c>
      <c r="N30" s="29">
        <f t="shared" si="59"/>
        <v>0</v>
      </c>
      <c r="O30" s="29">
        <f t="shared" si="59"/>
        <v>0</v>
      </c>
      <c r="P30" s="161">
        <f t="shared" si="59"/>
        <v>0</v>
      </c>
      <c r="Q30" s="126">
        <f t="shared" si="59"/>
        <v>0</v>
      </c>
      <c r="R30" s="126">
        <f t="shared" si="59"/>
        <v>0</v>
      </c>
      <c r="S30" s="126">
        <f t="shared" si="59"/>
        <v>0</v>
      </c>
      <c r="T30" s="126">
        <f t="shared" si="59"/>
        <v>0</v>
      </c>
      <c r="U30" s="126">
        <f t="shared" si="59"/>
        <v>0</v>
      </c>
      <c r="V30" s="126">
        <f t="shared" si="59"/>
        <v>0</v>
      </c>
      <c r="W30" s="126">
        <f t="shared" si="59"/>
        <v>0</v>
      </c>
      <c r="X30" s="126">
        <f t="shared" si="59"/>
        <v>0</v>
      </c>
      <c r="Y30" s="126">
        <f t="shared" si="59"/>
        <v>0</v>
      </c>
      <c r="Z30" s="126">
        <f t="shared" si="59"/>
        <v>0</v>
      </c>
      <c r="AA30" s="126">
        <f t="shared" si="59"/>
        <v>0</v>
      </c>
      <c r="AB30" s="126">
        <f t="shared" si="59"/>
        <v>0</v>
      </c>
      <c r="AC30" s="126">
        <f t="shared" si="59"/>
        <v>0</v>
      </c>
      <c r="AD30" s="126">
        <f t="shared" si="59"/>
        <v>0</v>
      </c>
      <c r="AE30" s="126">
        <f t="shared" si="59"/>
        <v>0</v>
      </c>
      <c r="AF30" s="126">
        <f t="shared" si="59"/>
        <v>0</v>
      </c>
      <c r="AG30" s="126">
        <f t="shared" si="59"/>
        <v>0</v>
      </c>
      <c r="AH30" s="126">
        <f t="shared" si="59"/>
        <v>0</v>
      </c>
      <c r="AI30" s="126">
        <f t="shared" si="59"/>
        <v>0</v>
      </c>
      <c r="AJ30" s="126">
        <f t="shared" si="59"/>
        <v>0</v>
      </c>
      <c r="AK30" s="126">
        <f t="shared" si="59"/>
        <v>0</v>
      </c>
      <c r="AL30" s="126">
        <f t="shared" si="59"/>
        <v>0</v>
      </c>
      <c r="AM30" s="126">
        <f t="shared" si="59"/>
        <v>0</v>
      </c>
      <c r="AN30" s="126">
        <f t="shared" si="59"/>
        <v>0</v>
      </c>
      <c r="AO30" s="126">
        <f t="shared" si="59"/>
        <v>0</v>
      </c>
      <c r="AP30" s="126">
        <f t="shared" si="59"/>
        <v>0</v>
      </c>
      <c r="AQ30" s="126">
        <f t="shared" si="59"/>
        <v>0</v>
      </c>
      <c r="AR30" s="126">
        <f t="shared" si="59"/>
        <v>0</v>
      </c>
      <c r="AS30" s="126">
        <f t="shared" si="59"/>
        <v>0</v>
      </c>
      <c r="AT30" s="126">
        <f t="shared" si="59"/>
        <v>0</v>
      </c>
      <c r="AU30" s="126">
        <f t="shared" si="59"/>
        <v>0</v>
      </c>
      <c r="AV30" s="126">
        <f t="shared" si="59"/>
        <v>0</v>
      </c>
      <c r="AW30" s="126">
        <f t="shared" si="59"/>
        <v>0</v>
      </c>
      <c r="AX30" s="126">
        <f t="shared" si="59"/>
        <v>0</v>
      </c>
      <c r="AY30" s="126">
        <f t="shared" si="59"/>
        <v>0</v>
      </c>
      <c r="AZ30" s="126">
        <f t="shared" si="59"/>
        <v>0</v>
      </c>
      <c r="BA30" s="126">
        <f t="shared" si="59"/>
        <v>0</v>
      </c>
      <c r="BB30" s="126"/>
      <c r="BC30" s="126">
        <f t="shared" ref="BC30:BQ30" si="60">SUMIFS(BC$102:BC$1048576,$A$102:$A$1048576,$E30,$C$102:$C$1048576,"OK")</f>
        <v>0</v>
      </c>
      <c r="BD30" s="126">
        <f t="shared" si="60"/>
        <v>0</v>
      </c>
      <c r="BE30" s="126">
        <f t="shared" si="60"/>
        <v>0</v>
      </c>
      <c r="BF30" s="126">
        <f t="shared" si="60"/>
        <v>0</v>
      </c>
      <c r="BG30" s="126">
        <f t="shared" si="60"/>
        <v>0</v>
      </c>
      <c r="BH30" s="126">
        <f t="shared" si="60"/>
        <v>0</v>
      </c>
      <c r="BI30" s="126">
        <f t="shared" si="60"/>
        <v>0</v>
      </c>
      <c r="BJ30" s="126">
        <f t="shared" si="60"/>
        <v>0</v>
      </c>
      <c r="BK30" s="126">
        <f t="shared" si="60"/>
        <v>0</v>
      </c>
      <c r="BL30" s="126">
        <f t="shared" si="60"/>
        <v>0</v>
      </c>
      <c r="BM30" s="126">
        <f t="shared" si="60"/>
        <v>0</v>
      </c>
      <c r="BN30" s="126">
        <f t="shared" si="60"/>
        <v>0</v>
      </c>
      <c r="BO30" s="126">
        <f t="shared" si="60"/>
        <v>0</v>
      </c>
      <c r="BP30" s="126">
        <f t="shared" si="60"/>
        <v>0</v>
      </c>
      <c r="BQ30" s="126">
        <f t="shared" si="60"/>
        <v>0</v>
      </c>
      <c r="BR30" s="126" t="e">
        <f>SUMIFS(#REF!,$A$102:$A$1048576,$E30,$C$102:$C$1048576,"OK")</f>
        <v>#REF!</v>
      </c>
      <c r="BS30" s="126">
        <f>SUMIFS(BS$102:BS$1048576,$A$102:$A$1048576,$E30,$C$102:$C$1048576,"OK")</f>
        <v>0</v>
      </c>
      <c r="BT30" s="126"/>
      <c r="BU30" s="126"/>
      <c r="BV30" s="147"/>
    </row>
    <row r="31" spans="1:74" ht="11.25" hidden="1" x14ac:dyDescent="0.2">
      <c r="A31" s="123"/>
      <c r="B31" s="123"/>
      <c r="C31" s="124"/>
      <c r="D31" s="125"/>
      <c r="E31" s="19">
        <v>4</v>
      </c>
      <c r="F31" s="17" t="s">
        <v>23</v>
      </c>
      <c r="G31" s="15" t="s">
        <v>109</v>
      </c>
      <c r="H31" s="126">
        <f t="shared" ref="H31:BA31" si="61">COUNTIFS(H$102:H$1048576,"&gt;-1000000",$C$102:$C$1048576,"OK",$A$102:$A$1048576,$E31)</f>
        <v>0</v>
      </c>
      <c r="I31" s="126">
        <f t="shared" si="61"/>
        <v>0</v>
      </c>
      <c r="J31" s="126">
        <f t="shared" si="61"/>
        <v>0</v>
      </c>
      <c r="K31" s="126">
        <f t="shared" si="61"/>
        <v>0</v>
      </c>
      <c r="L31" s="126">
        <f t="shared" si="61"/>
        <v>0</v>
      </c>
      <c r="M31" s="126">
        <f t="shared" si="61"/>
        <v>0</v>
      </c>
      <c r="N31" s="29">
        <f t="shared" si="61"/>
        <v>0</v>
      </c>
      <c r="O31" s="29">
        <f t="shared" si="61"/>
        <v>0</v>
      </c>
      <c r="P31" s="161">
        <f t="shared" si="61"/>
        <v>0</v>
      </c>
      <c r="Q31" s="126">
        <f t="shared" si="61"/>
        <v>0</v>
      </c>
      <c r="R31" s="126">
        <f t="shared" si="61"/>
        <v>0</v>
      </c>
      <c r="S31" s="126">
        <f t="shared" si="61"/>
        <v>0</v>
      </c>
      <c r="T31" s="126">
        <f t="shared" si="61"/>
        <v>0</v>
      </c>
      <c r="U31" s="126">
        <f t="shared" si="61"/>
        <v>0</v>
      </c>
      <c r="V31" s="126">
        <f t="shared" si="61"/>
        <v>0</v>
      </c>
      <c r="W31" s="126">
        <f t="shared" si="61"/>
        <v>0</v>
      </c>
      <c r="X31" s="126">
        <f t="shared" si="61"/>
        <v>0</v>
      </c>
      <c r="Y31" s="126">
        <f t="shared" si="61"/>
        <v>0</v>
      </c>
      <c r="Z31" s="126">
        <f t="shared" si="61"/>
        <v>0</v>
      </c>
      <c r="AA31" s="126">
        <f t="shared" si="61"/>
        <v>0</v>
      </c>
      <c r="AB31" s="126">
        <f t="shared" si="61"/>
        <v>0</v>
      </c>
      <c r="AC31" s="126">
        <f t="shared" si="61"/>
        <v>0</v>
      </c>
      <c r="AD31" s="126">
        <f t="shared" si="61"/>
        <v>0</v>
      </c>
      <c r="AE31" s="126">
        <f t="shared" si="61"/>
        <v>0</v>
      </c>
      <c r="AF31" s="126">
        <f t="shared" si="61"/>
        <v>0</v>
      </c>
      <c r="AG31" s="126">
        <f t="shared" si="61"/>
        <v>0</v>
      </c>
      <c r="AH31" s="126">
        <f t="shared" si="61"/>
        <v>0</v>
      </c>
      <c r="AI31" s="126">
        <f t="shared" si="61"/>
        <v>0</v>
      </c>
      <c r="AJ31" s="126">
        <f t="shared" si="61"/>
        <v>0</v>
      </c>
      <c r="AK31" s="126">
        <f t="shared" si="61"/>
        <v>0</v>
      </c>
      <c r="AL31" s="126">
        <f t="shared" si="61"/>
        <v>0</v>
      </c>
      <c r="AM31" s="126">
        <f t="shared" si="61"/>
        <v>0</v>
      </c>
      <c r="AN31" s="126">
        <f t="shared" si="61"/>
        <v>0</v>
      </c>
      <c r="AO31" s="126">
        <f t="shared" si="61"/>
        <v>0</v>
      </c>
      <c r="AP31" s="126">
        <f t="shared" si="61"/>
        <v>0</v>
      </c>
      <c r="AQ31" s="126">
        <f t="shared" si="61"/>
        <v>0</v>
      </c>
      <c r="AR31" s="126">
        <f t="shared" si="61"/>
        <v>0</v>
      </c>
      <c r="AS31" s="126">
        <f t="shared" si="61"/>
        <v>0</v>
      </c>
      <c r="AT31" s="126">
        <f t="shared" si="61"/>
        <v>0</v>
      </c>
      <c r="AU31" s="126">
        <f t="shared" si="61"/>
        <v>0</v>
      </c>
      <c r="AV31" s="126">
        <f t="shared" si="61"/>
        <v>0</v>
      </c>
      <c r="AW31" s="126">
        <f t="shared" si="61"/>
        <v>0</v>
      </c>
      <c r="AX31" s="126">
        <f t="shared" si="61"/>
        <v>0</v>
      </c>
      <c r="AY31" s="126">
        <f t="shared" si="61"/>
        <v>0</v>
      </c>
      <c r="AZ31" s="126">
        <f t="shared" si="61"/>
        <v>0</v>
      </c>
      <c r="BA31" s="126">
        <f t="shared" si="61"/>
        <v>0</v>
      </c>
      <c r="BB31" s="126"/>
      <c r="BC31" s="126">
        <f t="shared" ref="BC31:BQ31" si="62">COUNTIFS(BC$102:BC$1048576,"&gt;-1000000",$C$102:$C$1048576,"OK",$A$102:$A$1048576,$E31)</f>
        <v>0</v>
      </c>
      <c r="BD31" s="126">
        <f t="shared" si="62"/>
        <v>0</v>
      </c>
      <c r="BE31" s="126">
        <f t="shared" si="62"/>
        <v>0</v>
      </c>
      <c r="BF31" s="126">
        <f t="shared" si="62"/>
        <v>0</v>
      </c>
      <c r="BG31" s="126">
        <f t="shared" si="62"/>
        <v>0</v>
      </c>
      <c r="BH31" s="126">
        <f t="shared" si="62"/>
        <v>0</v>
      </c>
      <c r="BI31" s="126">
        <f t="shared" si="62"/>
        <v>0</v>
      </c>
      <c r="BJ31" s="126">
        <f t="shared" si="62"/>
        <v>0</v>
      </c>
      <c r="BK31" s="126">
        <f t="shared" si="62"/>
        <v>0</v>
      </c>
      <c r="BL31" s="126">
        <f t="shared" si="62"/>
        <v>0</v>
      </c>
      <c r="BM31" s="126">
        <f t="shared" si="62"/>
        <v>0</v>
      </c>
      <c r="BN31" s="126">
        <f t="shared" si="62"/>
        <v>0</v>
      </c>
      <c r="BO31" s="126">
        <f t="shared" si="62"/>
        <v>0</v>
      </c>
      <c r="BP31" s="126">
        <f t="shared" si="62"/>
        <v>0</v>
      </c>
      <c r="BQ31" s="126">
        <f t="shared" si="62"/>
        <v>0</v>
      </c>
      <c r="BR31" s="126" t="e">
        <f>COUNTIFS(#REF!,"&gt;-1000000",$C$102:$C$1048576,"OK",$A$102:$A$1048576,$E31)</f>
        <v>#REF!</v>
      </c>
      <c r="BS31" s="126">
        <f>COUNTIFS(BS$102:BS$1048576,"&gt;-1000000",$C$102:$C$1048576,"OK",$A$102:$A$1048576,$E31)</f>
        <v>0</v>
      </c>
      <c r="BT31" s="126"/>
      <c r="BU31" s="126"/>
      <c r="BV31" s="147"/>
    </row>
    <row r="32" spans="1:74" ht="11.25" hidden="1" x14ac:dyDescent="0.2">
      <c r="A32" s="123"/>
      <c r="B32" s="123"/>
      <c r="C32" s="124"/>
      <c r="D32" s="125"/>
      <c r="E32" s="19">
        <v>4</v>
      </c>
      <c r="F32" s="17" t="s">
        <v>30</v>
      </c>
      <c r="G32" s="15" t="s">
        <v>109</v>
      </c>
      <c r="H32" s="126">
        <f t="shared" ref="H32:BA32" si="63">SUMIFS($AM$102:$AM$1048576,H$102:H$1048576,"&gt;-1000000",$C$102:$C$1048576,"OK",$A$102:$A$1048576,$E32)</f>
        <v>0</v>
      </c>
      <c r="I32" s="126">
        <f t="shared" si="63"/>
        <v>0</v>
      </c>
      <c r="J32" s="126">
        <f t="shared" si="63"/>
        <v>0</v>
      </c>
      <c r="K32" s="126">
        <f t="shared" si="63"/>
        <v>0</v>
      </c>
      <c r="L32" s="126">
        <f t="shared" si="63"/>
        <v>0</v>
      </c>
      <c r="M32" s="126">
        <f t="shared" si="63"/>
        <v>0</v>
      </c>
      <c r="N32" s="29">
        <f t="shared" si="63"/>
        <v>0</v>
      </c>
      <c r="O32" s="29">
        <f t="shared" si="63"/>
        <v>0</v>
      </c>
      <c r="P32" s="161">
        <f t="shared" si="63"/>
        <v>0</v>
      </c>
      <c r="Q32" s="126">
        <f t="shared" si="63"/>
        <v>0</v>
      </c>
      <c r="R32" s="126">
        <f t="shared" si="63"/>
        <v>0</v>
      </c>
      <c r="S32" s="126">
        <f t="shared" si="63"/>
        <v>0</v>
      </c>
      <c r="T32" s="126">
        <f t="shared" si="63"/>
        <v>0</v>
      </c>
      <c r="U32" s="126">
        <f t="shared" si="63"/>
        <v>0</v>
      </c>
      <c r="V32" s="126">
        <f t="shared" si="63"/>
        <v>0</v>
      </c>
      <c r="W32" s="126">
        <f t="shared" si="63"/>
        <v>0</v>
      </c>
      <c r="X32" s="126">
        <f t="shared" si="63"/>
        <v>0</v>
      </c>
      <c r="Y32" s="126">
        <f t="shared" si="63"/>
        <v>0</v>
      </c>
      <c r="Z32" s="126">
        <f t="shared" si="63"/>
        <v>0</v>
      </c>
      <c r="AA32" s="126">
        <f t="shared" si="63"/>
        <v>0</v>
      </c>
      <c r="AB32" s="126">
        <f t="shared" si="63"/>
        <v>0</v>
      </c>
      <c r="AC32" s="126">
        <f t="shared" si="63"/>
        <v>0</v>
      </c>
      <c r="AD32" s="126">
        <f t="shared" si="63"/>
        <v>0</v>
      </c>
      <c r="AE32" s="126">
        <f t="shared" si="63"/>
        <v>0</v>
      </c>
      <c r="AF32" s="126">
        <f t="shared" si="63"/>
        <v>0</v>
      </c>
      <c r="AG32" s="126">
        <f t="shared" si="63"/>
        <v>0</v>
      </c>
      <c r="AH32" s="126">
        <f t="shared" si="63"/>
        <v>0</v>
      </c>
      <c r="AI32" s="126">
        <f t="shared" si="63"/>
        <v>0</v>
      </c>
      <c r="AJ32" s="126">
        <f t="shared" si="63"/>
        <v>0</v>
      </c>
      <c r="AK32" s="126">
        <f t="shared" si="63"/>
        <v>0</v>
      </c>
      <c r="AL32" s="126">
        <f t="shared" si="63"/>
        <v>0</v>
      </c>
      <c r="AM32" s="126">
        <f t="shared" si="63"/>
        <v>0</v>
      </c>
      <c r="AN32" s="126">
        <f t="shared" si="63"/>
        <v>0</v>
      </c>
      <c r="AO32" s="126">
        <f t="shared" si="63"/>
        <v>0</v>
      </c>
      <c r="AP32" s="126">
        <f t="shared" si="63"/>
        <v>0</v>
      </c>
      <c r="AQ32" s="126">
        <f t="shared" si="63"/>
        <v>0</v>
      </c>
      <c r="AR32" s="126">
        <f t="shared" si="63"/>
        <v>0</v>
      </c>
      <c r="AS32" s="126">
        <f t="shared" si="63"/>
        <v>0</v>
      </c>
      <c r="AT32" s="126">
        <f t="shared" si="63"/>
        <v>0</v>
      </c>
      <c r="AU32" s="126">
        <f t="shared" si="63"/>
        <v>0</v>
      </c>
      <c r="AV32" s="126">
        <f t="shared" si="63"/>
        <v>0</v>
      </c>
      <c r="AW32" s="126">
        <f t="shared" si="63"/>
        <v>0</v>
      </c>
      <c r="AX32" s="126">
        <f t="shared" si="63"/>
        <v>0</v>
      </c>
      <c r="AY32" s="126">
        <f t="shared" si="63"/>
        <v>0</v>
      </c>
      <c r="AZ32" s="126">
        <f t="shared" si="63"/>
        <v>0</v>
      </c>
      <c r="BA32" s="126">
        <f t="shared" si="63"/>
        <v>0</v>
      </c>
      <c r="BB32" s="126"/>
      <c r="BC32" s="126">
        <f t="shared" ref="BC32:BQ32" si="64">SUMIFS($AM$102:$AM$1048576,BC$102:BC$1048576,"&gt;-1000000",$C$102:$C$1048576,"OK",$A$102:$A$1048576,$E32)</f>
        <v>0</v>
      </c>
      <c r="BD32" s="126">
        <f t="shared" si="64"/>
        <v>0</v>
      </c>
      <c r="BE32" s="126">
        <f t="shared" si="64"/>
        <v>0</v>
      </c>
      <c r="BF32" s="126">
        <f t="shared" si="64"/>
        <v>0</v>
      </c>
      <c r="BG32" s="126">
        <f t="shared" si="64"/>
        <v>0</v>
      </c>
      <c r="BH32" s="126">
        <f t="shared" si="64"/>
        <v>0</v>
      </c>
      <c r="BI32" s="126">
        <f t="shared" si="64"/>
        <v>0</v>
      </c>
      <c r="BJ32" s="126">
        <f t="shared" si="64"/>
        <v>0</v>
      </c>
      <c r="BK32" s="126">
        <f t="shared" si="64"/>
        <v>0</v>
      </c>
      <c r="BL32" s="126">
        <f t="shared" si="64"/>
        <v>0</v>
      </c>
      <c r="BM32" s="126">
        <f t="shared" si="64"/>
        <v>0</v>
      </c>
      <c r="BN32" s="126">
        <f t="shared" si="64"/>
        <v>0</v>
      </c>
      <c r="BO32" s="126">
        <f t="shared" si="64"/>
        <v>0</v>
      </c>
      <c r="BP32" s="126">
        <f t="shared" si="64"/>
        <v>0</v>
      </c>
      <c r="BQ32" s="126">
        <f t="shared" si="64"/>
        <v>0</v>
      </c>
      <c r="BR32" s="126" t="e">
        <f>SUMIFS($AM$102:$AM$1048576,#REF!,"&gt;-1000000",$C$102:$C$1048576,"OK",$A$102:$A$1048576,$E32)</f>
        <v>#REF!</v>
      </c>
      <c r="BS32" s="126">
        <f>SUMIFS($AM$102:$AM$1048576,BS$102:BS$1048576,"&gt;-1000000",$C$102:$C$1048576,"OK",$A$102:$A$1048576,$E32)</f>
        <v>0</v>
      </c>
      <c r="BT32" s="126"/>
      <c r="BU32" s="126"/>
      <c r="BV32" s="147"/>
    </row>
    <row r="33" spans="1:74" ht="11.25" hidden="1" x14ac:dyDescent="0.2">
      <c r="A33" s="123"/>
      <c r="B33" s="123"/>
      <c r="C33" s="124"/>
      <c r="D33" s="125"/>
      <c r="E33" s="19">
        <v>4</v>
      </c>
      <c r="F33" s="17" t="s">
        <v>32</v>
      </c>
      <c r="G33" s="15" t="s">
        <v>109</v>
      </c>
      <c r="H33" s="126">
        <f t="shared" ref="H33:BA33" si="65">SUMIFS($AP$102:$AP$1048576,H$102:H$1048576,"&gt;-1000000",$C$102:$C$1048576,"OK",$A$102:$A$1048576,$E33)</f>
        <v>0</v>
      </c>
      <c r="I33" s="126">
        <f t="shared" si="65"/>
        <v>0</v>
      </c>
      <c r="J33" s="126">
        <f t="shared" si="65"/>
        <v>0</v>
      </c>
      <c r="K33" s="126">
        <f t="shared" si="65"/>
        <v>0</v>
      </c>
      <c r="L33" s="126">
        <f t="shared" si="65"/>
        <v>0</v>
      </c>
      <c r="M33" s="126">
        <f t="shared" si="65"/>
        <v>0</v>
      </c>
      <c r="N33" s="29">
        <f t="shared" si="65"/>
        <v>0</v>
      </c>
      <c r="O33" s="29">
        <f t="shared" si="65"/>
        <v>0</v>
      </c>
      <c r="P33" s="161">
        <f t="shared" si="65"/>
        <v>0</v>
      </c>
      <c r="Q33" s="126">
        <f t="shared" si="65"/>
        <v>0</v>
      </c>
      <c r="R33" s="126">
        <f t="shared" si="65"/>
        <v>0</v>
      </c>
      <c r="S33" s="126">
        <f t="shared" si="65"/>
        <v>0</v>
      </c>
      <c r="T33" s="126">
        <f t="shared" si="65"/>
        <v>0</v>
      </c>
      <c r="U33" s="126">
        <f t="shared" si="65"/>
        <v>0</v>
      </c>
      <c r="V33" s="126">
        <f t="shared" si="65"/>
        <v>0</v>
      </c>
      <c r="W33" s="126">
        <f t="shared" si="65"/>
        <v>0</v>
      </c>
      <c r="X33" s="126">
        <f t="shared" si="65"/>
        <v>0</v>
      </c>
      <c r="Y33" s="126">
        <f t="shared" si="65"/>
        <v>0</v>
      </c>
      <c r="Z33" s="126">
        <f t="shared" si="65"/>
        <v>0</v>
      </c>
      <c r="AA33" s="126">
        <f t="shared" si="65"/>
        <v>0</v>
      </c>
      <c r="AB33" s="126">
        <f t="shared" si="65"/>
        <v>0</v>
      </c>
      <c r="AC33" s="126">
        <f t="shared" si="65"/>
        <v>0</v>
      </c>
      <c r="AD33" s="126">
        <f t="shared" si="65"/>
        <v>0</v>
      </c>
      <c r="AE33" s="126">
        <f t="shared" si="65"/>
        <v>0</v>
      </c>
      <c r="AF33" s="126">
        <f t="shared" si="65"/>
        <v>0</v>
      </c>
      <c r="AG33" s="126">
        <f t="shared" si="65"/>
        <v>0</v>
      </c>
      <c r="AH33" s="126">
        <f t="shared" si="65"/>
        <v>0</v>
      </c>
      <c r="AI33" s="126">
        <f t="shared" si="65"/>
        <v>0</v>
      </c>
      <c r="AJ33" s="126">
        <f t="shared" si="65"/>
        <v>0</v>
      </c>
      <c r="AK33" s="126">
        <f t="shared" si="65"/>
        <v>0</v>
      </c>
      <c r="AL33" s="126">
        <f t="shared" si="65"/>
        <v>0</v>
      </c>
      <c r="AM33" s="126">
        <f t="shared" si="65"/>
        <v>0</v>
      </c>
      <c r="AN33" s="126">
        <f t="shared" si="65"/>
        <v>0</v>
      </c>
      <c r="AO33" s="126">
        <f t="shared" si="65"/>
        <v>0</v>
      </c>
      <c r="AP33" s="126">
        <f t="shared" si="65"/>
        <v>0</v>
      </c>
      <c r="AQ33" s="126">
        <f t="shared" si="65"/>
        <v>0</v>
      </c>
      <c r="AR33" s="126">
        <f t="shared" si="65"/>
        <v>0</v>
      </c>
      <c r="AS33" s="126">
        <f t="shared" si="65"/>
        <v>0</v>
      </c>
      <c r="AT33" s="126">
        <f t="shared" si="65"/>
        <v>0</v>
      </c>
      <c r="AU33" s="126">
        <f t="shared" si="65"/>
        <v>0</v>
      </c>
      <c r="AV33" s="126">
        <f t="shared" si="65"/>
        <v>0</v>
      </c>
      <c r="AW33" s="126">
        <f t="shared" si="65"/>
        <v>0</v>
      </c>
      <c r="AX33" s="126">
        <f t="shared" si="65"/>
        <v>0</v>
      </c>
      <c r="AY33" s="126">
        <f t="shared" si="65"/>
        <v>0</v>
      </c>
      <c r="AZ33" s="126">
        <f t="shared" si="65"/>
        <v>0</v>
      </c>
      <c r="BA33" s="126">
        <f t="shared" si="65"/>
        <v>0</v>
      </c>
      <c r="BB33" s="126"/>
      <c r="BC33" s="126">
        <f t="shared" ref="BC33:BQ33" si="66">SUMIFS($AP$102:$AP$1048576,BC$102:BC$1048576,"&gt;-1000000",$C$102:$C$1048576,"OK",$A$102:$A$1048576,$E33)</f>
        <v>0</v>
      </c>
      <c r="BD33" s="126">
        <f t="shared" si="66"/>
        <v>0</v>
      </c>
      <c r="BE33" s="126">
        <f t="shared" si="66"/>
        <v>0</v>
      </c>
      <c r="BF33" s="126">
        <f t="shared" si="66"/>
        <v>0</v>
      </c>
      <c r="BG33" s="126">
        <f t="shared" si="66"/>
        <v>0</v>
      </c>
      <c r="BH33" s="126">
        <f t="shared" si="66"/>
        <v>0</v>
      </c>
      <c r="BI33" s="126">
        <f t="shared" si="66"/>
        <v>0</v>
      </c>
      <c r="BJ33" s="126">
        <f t="shared" si="66"/>
        <v>0</v>
      </c>
      <c r="BK33" s="126">
        <f t="shared" si="66"/>
        <v>0</v>
      </c>
      <c r="BL33" s="126">
        <f t="shared" si="66"/>
        <v>0</v>
      </c>
      <c r="BM33" s="126">
        <f t="shared" si="66"/>
        <v>0</v>
      </c>
      <c r="BN33" s="126">
        <f t="shared" si="66"/>
        <v>0</v>
      </c>
      <c r="BO33" s="126">
        <f t="shared" si="66"/>
        <v>0</v>
      </c>
      <c r="BP33" s="126">
        <f t="shared" si="66"/>
        <v>0</v>
      </c>
      <c r="BQ33" s="126">
        <f t="shared" si="66"/>
        <v>0</v>
      </c>
      <c r="BR33" s="126" t="e">
        <f>SUMIFS($AP$102:$AP$1048576,#REF!,"&gt;-1000000",$C$102:$C$1048576,"OK",$A$102:$A$1048576,$E33)</f>
        <v>#REF!</v>
      </c>
      <c r="BS33" s="126">
        <f>SUMIFS($AP$102:$AP$1048576,BS$102:BS$1048576,"&gt;-1000000",$C$102:$C$1048576,"OK",$A$102:$A$1048576,$E33)</f>
        <v>0</v>
      </c>
      <c r="BT33" s="126"/>
      <c r="BU33" s="126"/>
      <c r="BV33" s="147"/>
    </row>
    <row r="34" spans="1:74" ht="11.25" hidden="1" x14ac:dyDescent="0.2">
      <c r="A34" s="123"/>
      <c r="B34" s="123"/>
      <c r="C34" s="124"/>
      <c r="D34" s="125"/>
      <c r="E34" s="18">
        <v>5</v>
      </c>
      <c r="F34" s="16" t="s">
        <v>28</v>
      </c>
      <c r="G34" s="14" t="s">
        <v>109</v>
      </c>
      <c r="H34" s="21">
        <f t="shared" ref="H34:BA34" si="67">SUMIFS(H$102:H$1048576,$A$102:$A$1048576,$E34)</f>
        <v>0</v>
      </c>
      <c r="I34" s="21">
        <f t="shared" si="67"/>
        <v>0</v>
      </c>
      <c r="J34" s="21">
        <f t="shared" si="67"/>
        <v>0</v>
      </c>
      <c r="K34" s="21">
        <f t="shared" si="67"/>
        <v>0</v>
      </c>
      <c r="L34" s="21">
        <f t="shared" si="67"/>
        <v>0</v>
      </c>
      <c r="M34" s="21">
        <f t="shared" si="67"/>
        <v>0</v>
      </c>
      <c r="N34" s="29">
        <f t="shared" si="67"/>
        <v>0</v>
      </c>
      <c r="O34" s="29">
        <f t="shared" si="67"/>
        <v>0</v>
      </c>
      <c r="P34" s="160">
        <f t="shared" si="67"/>
        <v>0</v>
      </c>
      <c r="Q34" s="21">
        <f t="shared" si="67"/>
        <v>0</v>
      </c>
      <c r="R34" s="21">
        <f t="shared" si="67"/>
        <v>0</v>
      </c>
      <c r="S34" s="21">
        <f t="shared" si="67"/>
        <v>0</v>
      </c>
      <c r="T34" s="21">
        <f t="shared" si="67"/>
        <v>0</v>
      </c>
      <c r="U34" s="21">
        <f t="shared" si="67"/>
        <v>0</v>
      </c>
      <c r="V34" s="21">
        <f t="shared" si="67"/>
        <v>0</v>
      </c>
      <c r="W34" s="21">
        <f t="shared" si="67"/>
        <v>0</v>
      </c>
      <c r="X34" s="21">
        <f t="shared" si="67"/>
        <v>0</v>
      </c>
      <c r="Y34" s="21">
        <f t="shared" si="67"/>
        <v>0</v>
      </c>
      <c r="Z34" s="21">
        <f t="shared" si="67"/>
        <v>0</v>
      </c>
      <c r="AA34" s="21">
        <f t="shared" si="67"/>
        <v>0</v>
      </c>
      <c r="AB34" s="21">
        <f t="shared" si="67"/>
        <v>0</v>
      </c>
      <c r="AC34" s="21">
        <f t="shared" si="67"/>
        <v>0</v>
      </c>
      <c r="AD34" s="21">
        <f t="shared" si="67"/>
        <v>0</v>
      </c>
      <c r="AE34" s="21">
        <f t="shared" si="67"/>
        <v>0</v>
      </c>
      <c r="AF34" s="21">
        <f t="shared" si="67"/>
        <v>0</v>
      </c>
      <c r="AG34" s="21">
        <f t="shared" si="67"/>
        <v>0</v>
      </c>
      <c r="AH34" s="21">
        <f t="shared" si="67"/>
        <v>0</v>
      </c>
      <c r="AI34" s="21">
        <f t="shared" si="67"/>
        <v>0</v>
      </c>
      <c r="AJ34" s="21">
        <f t="shared" si="67"/>
        <v>0</v>
      </c>
      <c r="AK34" s="21">
        <f t="shared" si="67"/>
        <v>0</v>
      </c>
      <c r="AL34" s="21">
        <f t="shared" si="67"/>
        <v>0</v>
      </c>
      <c r="AM34" s="21">
        <f t="shared" si="67"/>
        <v>0</v>
      </c>
      <c r="AN34" s="21">
        <f t="shared" si="67"/>
        <v>0</v>
      </c>
      <c r="AO34" s="21">
        <f t="shared" si="67"/>
        <v>0</v>
      </c>
      <c r="AP34" s="21">
        <f t="shared" si="67"/>
        <v>0</v>
      </c>
      <c r="AQ34" s="21">
        <f t="shared" si="67"/>
        <v>0</v>
      </c>
      <c r="AR34" s="21">
        <f t="shared" si="67"/>
        <v>0</v>
      </c>
      <c r="AS34" s="21">
        <f t="shared" si="67"/>
        <v>0</v>
      </c>
      <c r="AT34" s="21">
        <f t="shared" si="67"/>
        <v>0</v>
      </c>
      <c r="AU34" s="21">
        <f t="shared" si="67"/>
        <v>0</v>
      </c>
      <c r="AV34" s="21">
        <f t="shared" si="67"/>
        <v>0</v>
      </c>
      <c r="AW34" s="21">
        <f t="shared" si="67"/>
        <v>0</v>
      </c>
      <c r="AX34" s="21">
        <f t="shared" si="67"/>
        <v>0</v>
      </c>
      <c r="AY34" s="21">
        <f t="shared" si="67"/>
        <v>0</v>
      </c>
      <c r="AZ34" s="21">
        <f t="shared" si="67"/>
        <v>0</v>
      </c>
      <c r="BA34" s="21">
        <f t="shared" si="67"/>
        <v>0</v>
      </c>
      <c r="BB34" s="21"/>
      <c r="BC34" s="21">
        <f t="shared" ref="BC34:BQ34" si="68">SUMIFS(BC$102:BC$1048576,$A$102:$A$1048576,$E34)</f>
        <v>0</v>
      </c>
      <c r="BD34" s="21">
        <f t="shared" si="68"/>
        <v>0</v>
      </c>
      <c r="BE34" s="21">
        <f t="shared" si="68"/>
        <v>0</v>
      </c>
      <c r="BF34" s="21">
        <f t="shared" si="68"/>
        <v>0</v>
      </c>
      <c r="BG34" s="21">
        <f t="shared" si="68"/>
        <v>0</v>
      </c>
      <c r="BH34" s="21">
        <f t="shared" si="68"/>
        <v>0</v>
      </c>
      <c r="BI34" s="21">
        <f t="shared" si="68"/>
        <v>0</v>
      </c>
      <c r="BJ34" s="21">
        <f t="shared" si="68"/>
        <v>0</v>
      </c>
      <c r="BK34" s="21">
        <f t="shared" si="68"/>
        <v>0</v>
      </c>
      <c r="BL34" s="21">
        <f t="shared" si="68"/>
        <v>0</v>
      </c>
      <c r="BM34" s="21">
        <f t="shared" si="68"/>
        <v>0</v>
      </c>
      <c r="BN34" s="21">
        <f t="shared" si="68"/>
        <v>0</v>
      </c>
      <c r="BO34" s="21">
        <f t="shared" si="68"/>
        <v>0</v>
      </c>
      <c r="BP34" s="21">
        <f t="shared" si="68"/>
        <v>0</v>
      </c>
      <c r="BQ34" s="21">
        <f t="shared" si="68"/>
        <v>0</v>
      </c>
      <c r="BR34" s="21" t="e">
        <f>SUMIFS(#REF!,$A$102:$A$1048576,$E34)</f>
        <v>#REF!</v>
      </c>
      <c r="BS34" s="21">
        <f>SUMIFS(BS$102:BS$1048576,$A$102:$A$1048576,$E34)</f>
        <v>0</v>
      </c>
      <c r="BT34" s="21"/>
      <c r="BU34" s="21"/>
      <c r="BV34" s="145"/>
    </row>
    <row r="35" spans="1:74" ht="11.25" hidden="1" x14ac:dyDescent="0.2">
      <c r="A35" s="123"/>
      <c r="B35" s="123"/>
      <c r="C35" s="124"/>
      <c r="D35" s="125"/>
      <c r="E35" s="18">
        <v>5</v>
      </c>
      <c r="F35" s="16" t="s">
        <v>25</v>
      </c>
      <c r="G35" s="14" t="s">
        <v>109</v>
      </c>
      <c r="H35" s="14">
        <f t="shared" ref="H35:BA35" si="69">COUNTIFS(H$102:H$1048576,"&gt;-1000000",$A$102:$A$1048576,$E35)</f>
        <v>0</v>
      </c>
      <c r="I35" s="14">
        <f t="shared" si="69"/>
        <v>0</v>
      </c>
      <c r="J35" s="14">
        <f t="shared" si="69"/>
        <v>0</v>
      </c>
      <c r="K35" s="14">
        <f t="shared" si="69"/>
        <v>0</v>
      </c>
      <c r="L35" s="14">
        <f t="shared" si="69"/>
        <v>0</v>
      </c>
      <c r="M35" s="14">
        <f t="shared" si="69"/>
        <v>0</v>
      </c>
      <c r="N35" s="29">
        <f t="shared" si="69"/>
        <v>0</v>
      </c>
      <c r="O35" s="29">
        <f t="shared" si="69"/>
        <v>0</v>
      </c>
      <c r="P35" s="160">
        <f t="shared" si="69"/>
        <v>0</v>
      </c>
      <c r="Q35" s="14">
        <f t="shared" si="69"/>
        <v>0</v>
      </c>
      <c r="R35" s="14">
        <f t="shared" si="69"/>
        <v>0</v>
      </c>
      <c r="S35" s="14">
        <f t="shared" si="69"/>
        <v>0</v>
      </c>
      <c r="T35" s="14">
        <f t="shared" si="69"/>
        <v>0</v>
      </c>
      <c r="U35" s="14">
        <f t="shared" si="69"/>
        <v>0</v>
      </c>
      <c r="V35" s="14">
        <f t="shared" si="69"/>
        <v>0</v>
      </c>
      <c r="W35" s="14">
        <f t="shared" si="69"/>
        <v>0</v>
      </c>
      <c r="X35" s="14">
        <f t="shared" si="69"/>
        <v>0</v>
      </c>
      <c r="Y35" s="14">
        <f t="shared" si="69"/>
        <v>0</v>
      </c>
      <c r="Z35" s="14">
        <f t="shared" si="69"/>
        <v>0</v>
      </c>
      <c r="AA35" s="14">
        <f t="shared" si="69"/>
        <v>0</v>
      </c>
      <c r="AB35" s="14">
        <f t="shared" si="69"/>
        <v>0</v>
      </c>
      <c r="AC35" s="14">
        <f t="shared" si="69"/>
        <v>0</v>
      </c>
      <c r="AD35" s="14">
        <f t="shared" si="69"/>
        <v>0</v>
      </c>
      <c r="AE35" s="14">
        <f t="shared" si="69"/>
        <v>0</v>
      </c>
      <c r="AF35" s="14">
        <f t="shared" si="69"/>
        <v>0</v>
      </c>
      <c r="AG35" s="14">
        <f t="shared" si="69"/>
        <v>0</v>
      </c>
      <c r="AH35" s="14">
        <f t="shared" si="69"/>
        <v>0</v>
      </c>
      <c r="AI35" s="14">
        <f t="shared" si="69"/>
        <v>0</v>
      </c>
      <c r="AJ35" s="14">
        <f t="shared" si="69"/>
        <v>0</v>
      </c>
      <c r="AK35" s="14">
        <f t="shared" si="69"/>
        <v>0</v>
      </c>
      <c r="AL35" s="14">
        <f t="shared" si="69"/>
        <v>0</v>
      </c>
      <c r="AM35" s="14">
        <f t="shared" si="69"/>
        <v>0</v>
      </c>
      <c r="AN35" s="14">
        <f t="shared" si="69"/>
        <v>0</v>
      </c>
      <c r="AO35" s="14">
        <f t="shared" si="69"/>
        <v>0</v>
      </c>
      <c r="AP35" s="14">
        <f t="shared" si="69"/>
        <v>0</v>
      </c>
      <c r="AQ35" s="14">
        <f t="shared" si="69"/>
        <v>0</v>
      </c>
      <c r="AR35" s="14">
        <f t="shared" si="69"/>
        <v>0</v>
      </c>
      <c r="AS35" s="14">
        <f t="shared" si="69"/>
        <v>0</v>
      </c>
      <c r="AT35" s="14">
        <f t="shared" si="69"/>
        <v>0</v>
      </c>
      <c r="AU35" s="14">
        <f t="shared" si="69"/>
        <v>0</v>
      </c>
      <c r="AV35" s="14">
        <f t="shared" si="69"/>
        <v>0</v>
      </c>
      <c r="AW35" s="14">
        <f t="shared" si="69"/>
        <v>0</v>
      </c>
      <c r="AX35" s="14">
        <f t="shared" si="69"/>
        <v>0</v>
      </c>
      <c r="AY35" s="14">
        <f t="shared" si="69"/>
        <v>0</v>
      </c>
      <c r="AZ35" s="14">
        <f t="shared" si="69"/>
        <v>0</v>
      </c>
      <c r="BA35" s="14">
        <f t="shared" si="69"/>
        <v>0</v>
      </c>
      <c r="BB35" s="14"/>
      <c r="BC35" s="14">
        <f t="shared" ref="BC35:BQ35" si="70">COUNTIFS(BC$102:BC$1048576,"&gt;-1000000",$A$102:$A$1048576,$E35)</f>
        <v>0</v>
      </c>
      <c r="BD35" s="14">
        <f t="shared" si="70"/>
        <v>0</v>
      </c>
      <c r="BE35" s="14">
        <f t="shared" si="70"/>
        <v>0</v>
      </c>
      <c r="BF35" s="14">
        <f t="shared" si="70"/>
        <v>0</v>
      </c>
      <c r="BG35" s="14">
        <f t="shared" si="70"/>
        <v>0</v>
      </c>
      <c r="BH35" s="14">
        <f t="shared" si="70"/>
        <v>0</v>
      </c>
      <c r="BI35" s="14">
        <f t="shared" si="70"/>
        <v>0</v>
      </c>
      <c r="BJ35" s="14">
        <f t="shared" si="70"/>
        <v>0</v>
      </c>
      <c r="BK35" s="14">
        <f t="shared" si="70"/>
        <v>0</v>
      </c>
      <c r="BL35" s="14">
        <f t="shared" si="70"/>
        <v>0</v>
      </c>
      <c r="BM35" s="14">
        <f t="shared" si="70"/>
        <v>0</v>
      </c>
      <c r="BN35" s="14">
        <f t="shared" si="70"/>
        <v>0</v>
      </c>
      <c r="BO35" s="14">
        <f t="shared" si="70"/>
        <v>0</v>
      </c>
      <c r="BP35" s="14">
        <f t="shared" si="70"/>
        <v>0</v>
      </c>
      <c r="BQ35" s="14">
        <f t="shared" si="70"/>
        <v>0</v>
      </c>
      <c r="BR35" s="14" t="e">
        <f>COUNTIFS(#REF!,"&gt;-1000000",$A$102:$A$1048576,$E35)</f>
        <v>#REF!</v>
      </c>
      <c r="BS35" s="14">
        <f>COUNTIFS(BS$102:BS$1048576,"&gt;-1000000",$A$102:$A$1048576,$E35)</f>
        <v>0</v>
      </c>
      <c r="BT35" s="14"/>
      <c r="BU35" s="14"/>
      <c r="BV35" s="146"/>
    </row>
    <row r="36" spans="1:74" ht="11.25" hidden="1" x14ac:dyDescent="0.2">
      <c r="A36" s="123"/>
      <c r="B36" s="123"/>
      <c r="C36" s="124"/>
      <c r="D36" s="125"/>
      <c r="E36" s="18">
        <v>5</v>
      </c>
      <c r="F36" s="16" t="s">
        <v>24</v>
      </c>
      <c r="G36" s="14" t="s">
        <v>109</v>
      </c>
      <c r="H36" s="14">
        <f t="shared" ref="H36:BA36" si="71">SUMIFS($AM$102:$AM$1048576,H$102:H$1048576,"&gt;-1000000",$A$102:$A$1048576,$E36)</f>
        <v>0</v>
      </c>
      <c r="I36" s="14">
        <f t="shared" si="71"/>
        <v>0</v>
      </c>
      <c r="J36" s="14">
        <f t="shared" si="71"/>
        <v>0</v>
      </c>
      <c r="K36" s="14">
        <f t="shared" si="71"/>
        <v>0</v>
      </c>
      <c r="L36" s="14">
        <f t="shared" si="71"/>
        <v>0</v>
      </c>
      <c r="M36" s="14">
        <f t="shared" si="71"/>
        <v>0</v>
      </c>
      <c r="N36" s="29">
        <f t="shared" si="71"/>
        <v>0</v>
      </c>
      <c r="O36" s="29">
        <f t="shared" si="71"/>
        <v>0</v>
      </c>
      <c r="P36" s="160">
        <f t="shared" si="71"/>
        <v>0</v>
      </c>
      <c r="Q36" s="14">
        <f t="shared" si="71"/>
        <v>0</v>
      </c>
      <c r="R36" s="14">
        <f t="shared" si="71"/>
        <v>0</v>
      </c>
      <c r="S36" s="14">
        <f t="shared" si="71"/>
        <v>0</v>
      </c>
      <c r="T36" s="14">
        <f t="shared" si="71"/>
        <v>0</v>
      </c>
      <c r="U36" s="14">
        <f t="shared" si="71"/>
        <v>0</v>
      </c>
      <c r="V36" s="14">
        <f t="shared" si="71"/>
        <v>0</v>
      </c>
      <c r="W36" s="14">
        <f t="shared" si="71"/>
        <v>0</v>
      </c>
      <c r="X36" s="14">
        <f t="shared" si="71"/>
        <v>0</v>
      </c>
      <c r="Y36" s="14">
        <f t="shared" si="71"/>
        <v>0</v>
      </c>
      <c r="Z36" s="14">
        <f t="shared" si="71"/>
        <v>0</v>
      </c>
      <c r="AA36" s="14">
        <f t="shared" si="71"/>
        <v>0</v>
      </c>
      <c r="AB36" s="14">
        <f t="shared" si="71"/>
        <v>0</v>
      </c>
      <c r="AC36" s="14">
        <f t="shared" si="71"/>
        <v>0</v>
      </c>
      <c r="AD36" s="14">
        <f t="shared" si="71"/>
        <v>0</v>
      </c>
      <c r="AE36" s="14">
        <f t="shared" si="71"/>
        <v>0</v>
      </c>
      <c r="AF36" s="14">
        <f t="shared" si="71"/>
        <v>0</v>
      </c>
      <c r="AG36" s="14">
        <f t="shared" si="71"/>
        <v>0</v>
      </c>
      <c r="AH36" s="14">
        <f t="shared" si="71"/>
        <v>0</v>
      </c>
      <c r="AI36" s="14">
        <f t="shared" si="71"/>
        <v>0</v>
      </c>
      <c r="AJ36" s="14">
        <f t="shared" si="71"/>
        <v>0</v>
      </c>
      <c r="AK36" s="14">
        <f t="shared" si="71"/>
        <v>0</v>
      </c>
      <c r="AL36" s="14">
        <f t="shared" si="71"/>
        <v>0</v>
      </c>
      <c r="AM36" s="14">
        <f t="shared" si="71"/>
        <v>0</v>
      </c>
      <c r="AN36" s="14">
        <f t="shared" si="71"/>
        <v>0</v>
      </c>
      <c r="AO36" s="14">
        <f t="shared" si="71"/>
        <v>0</v>
      </c>
      <c r="AP36" s="14">
        <f t="shared" si="71"/>
        <v>0</v>
      </c>
      <c r="AQ36" s="14">
        <f t="shared" si="71"/>
        <v>0</v>
      </c>
      <c r="AR36" s="14">
        <f t="shared" si="71"/>
        <v>0</v>
      </c>
      <c r="AS36" s="14">
        <f t="shared" si="71"/>
        <v>0</v>
      </c>
      <c r="AT36" s="14">
        <f t="shared" si="71"/>
        <v>0</v>
      </c>
      <c r="AU36" s="14">
        <f t="shared" si="71"/>
        <v>0</v>
      </c>
      <c r="AV36" s="14">
        <f t="shared" si="71"/>
        <v>0</v>
      </c>
      <c r="AW36" s="14">
        <f t="shared" si="71"/>
        <v>0</v>
      </c>
      <c r="AX36" s="14">
        <f t="shared" si="71"/>
        <v>0</v>
      </c>
      <c r="AY36" s="14">
        <f t="shared" si="71"/>
        <v>0</v>
      </c>
      <c r="AZ36" s="14">
        <f t="shared" si="71"/>
        <v>0</v>
      </c>
      <c r="BA36" s="14">
        <f t="shared" si="71"/>
        <v>0</v>
      </c>
      <c r="BB36" s="14"/>
      <c r="BC36" s="14">
        <f t="shared" ref="BC36:BQ36" si="72">SUMIFS($AM$102:$AM$1048576,BC$102:BC$1048576,"&gt;-1000000",$A$102:$A$1048576,$E36)</f>
        <v>0</v>
      </c>
      <c r="BD36" s="14">
        <f t="shared" si="72"/>
        <v>0</v>
      </c>
      <c r="BE36" s="14">
        <f t="shared" si="72"/>
        <v>0</v>
      </c>
      <c r="BF36" s="14">
        <f t="shared" si="72"/>
        <v>0</v>
      </c>
      <c r="BG36" s="14">
        <f t="shared" si="72"/>
        <v>0</v>
      </c>
      <c r="BH36" s="14">
        <f t="shared" si="72"/>
        <v>0</v>
      </c>
      <c r="BI36" s="14">
        <f t="shared" si="72"/>
        <v>0</v>
      </c>
      <c r="BJ36" s="14">
        <f t="shared" si="72"/>
        <v>0</v>
      </c>
      <c r="BK36" s="14">
        <f t="shared" si="72"/>
        <v>0</v>
      </c>
      <c r="BL36" s="14">
        <f t="shared" si="72"/>
        <v>0</v>
      </c>
      <c r="BM36" s="14">
        <f t="shared" si="72"/>
        <v>0</v>
      </c>
      <c r="BN36" s="14">
        <f t="shared" si="72"/>
        <v>0</v>
      </c>
      <c r="BO36" s="14">
        <f t="shared" si="72"/>
        <v>0</v>
      </c>
      <c r="BP36" s="14">
        <f t="shared" si="72"/>
        <v>0</v>
      </c>
      <c r="BQ36" s="14">
        <f t="shared" si="72"/>
        <v>0</v>
      </c>
      <c r="BR36" s="14" t="e">
        <f>SUMIFS($AM$102:$AM$1048576,#REF!,"&gt;-1000000",$A$102:$A$1048576,$E36)</f>
        <v>#REF!</v>
      </c>
      <c r="BS36" s="14">
        <f>SUMIFS($AM$102:$AM$1048576,BS$102:BS$1048576,"&gt;-1000000",$A$102:$A$1048576,$E36)</f>
        <v>0</v>
      </c>
      <c r="BT36" s="14"/>
      <c r="BU36" s="14"/>
      <c r="BV36" s="146"/>
    </row>
    <row r="37" spans="1:74" ht="11.25" hidden="1" x14ac:dyDescent="0.2">
      <c r="A37" s="123"/>
      <c r="B37" s="123"/>
      <c r="C37" s="124"/>
      <c r="D37" s="125"/>
      <c r="E37" s="18">
        <v>5</v>
      </c>
      <c r="F37" s="16" t="s">
        <v>31</v>
      </c>
      <c r="G37" s="14" t="s">
        <v>109</v>
      </c>
      <c r="H37" s="14">
        <f t="shared" ref="H37:BA37" si="73">SUMIFS($AP$102:$AP$1048576,H$102:H$1048576,"&gt;-1000000",$A$102:$A$1048576,$E37)</f>
        <v>0</v>
      </c>
      <c r="I37" s="14">
        <f t="shared" si="73"/>
        <v>0</v>
      </c>
      <c r="J37" s="14">
        <f t="shared" si="73"/>
        <v>0</v>
      </c>
      <c r="K37" s="14">
        <f t="shared" si="73"/>
        <v>0</v>
      </c>
      <c r="L37" s="14">
        <f t="shared" si="73"/>
        <v>0</v>
      </c>
      <c r="M37" s="14">
        <f t="shared" si="73"/>
        <v>0</v>
      </c>
      <c r="N37" s="29">
        <f t="shared" si="73"/>
        <v>0</v>
      </c>
      <c r="O37" s="29">
        <f t="shared" si="73"/>
        <v>0</v>
      </c>
      <c r="P37" s="160">
        <f t="shared" si="73"/>
        <v>0</v>
      </c>
      <c r="Q37" s="14">
        <f t="shared" si="73"/>
        <v>0</v>
      </c>
      <c r="R37" s="14">
        <f t="shared" si="73"/>
        <v>0</v>
      </c>
      <c r="S37" s="14">
        <f t="shared" si="73"/>
        <v>0</v>
      </c>
      <c r="T37" s="14">
        <f t="shared" si="73"/>
        <v>0</v>
      </c>
      <c r="U37" s="14">
        <f t="shared" si="73"/>
        <v>0</v>
      </c>
      <c r="V37" s="14">
        <f t="shared" si="73"/>
        <v>0</v>
      </c>
      <c r="W37" s="14">
        <f t="shared" si="73"/>
        <v>0</v>
      </c>
      <c r="X37" s="14">
        <f t="shared" si="73"/>
        <v>0</v>
      </c>
      <c r="Y37" s="14">
        <f t="shared" si="73"/>
        <v>0</v>
      </c>
      <c r="Z37" s="14">
        <f t="shared" si="73"/>
        <v>0</v>
      </c>
      <c r="AA37" s="14">
        <f t="shared" si="73"/>
        <v>0</v>
      </c>
      <c r="AB37" s="14">
        <f t="shared" si="73"/>
        <v>0</v>
      </c>
      <c r="AC37" s="14">
        <f t="shared" si="73"/>
        <v>0</v>
      </c>
      <c r="AD37" s="14">
        <f t="shared" si="73"/>
        <v>0</v>
      </c>
      <c r="AE37" s="14">
        <f t="shared" si="73"/>
        <v>0</v>
      </c>
      <c r="AF37" s="14">
        <f t="shared" si="73"/>
        <v>0</v>
      </c>
      <c r="AG37" s="14">
        <f t="shared" si="73"/>
        <v>0</v>
      </c>
      <c r="AH37" s="14">
        <f t="shared" si="73"/>
        <v>0</v>
      </c>
      <c r="AI37" s="14">
        <f t="shared" si="73"/>
        <v>0</v>
      </c>
      <c r="AJ37" s="14">
        <f t="shared" si="73"/>
        <v>0</v>
      </c>
      <c r="AK37" s="14">
        <f t="shared" si="73"/>
        <v>0</v>
      </c>
      <c r="AL37" s="14">
        <f t="shared" si="73"/>
        <v>0</v>
      </c>
      <c r="AM37" s="14">
        <f t="shared" si="73"/>
        <v>0</v>
      </c>
      <c r="AN37" s="14">
        <f t="shared" si="73"/>
        <v>0</v>
      </c>
      <c r="AO37" s="14">
        <f t="shared" si="73"/>
        <v>0</v>
      </c>
      <c r="AP37" s="14">
        <f t="shared" si="73"/>
        <v>0</v>
      </c>
      <c r="AQ37" s="14">
        <f t="shared" si="73"/>
        <v>0</v>
      </c>
      <c r="AR37" s="14">
        <f t="shared" si="73"/>
        <v>0</v>
      </c>
      <c r="AS37" s="14">
        <f t="shared" si="73"/>
        <v>0</v>
      </c>
      <c r="AT37" s="14">
        <f t="shared" si="73"/>
        <v>0</v>
      </c>
      <c r="AU37" s="14">
        <f t="shared" si="73"/>
        <v>0</v>
      </c>
      <c r="AV37" s="14">
        <f t="shared" si="73"/>
        <v>0</v>
      </c>
      <c r="AW37" s="14">
        <f t="shared" si="73"/>
        <v>0</v>
      </c>
      <c r="AX37" s="14">
        <f t="shared" si="73"/>
        <v>0</v>
      </c>
      <c r="AY37" s="14">
        <f t="shared" si="73"/>
        <v>0</v>
      </c>
      <c r="AZ37" s="14">
        <f t="shared" si="73"/>
        <v>0</v>
      </c>
      <c r="BA37" s="14">
        <f t="shared" si="73"/>
        <v>0</v>
      </c>
      <c r="BB37" s="14"/>
      <c r="BC37" s="14">
        <f t="shared" ref="BC37:BQ37" si="74">SUMIFS($AP$102:$AP$1048576,BC$102:BC$1048576,"&gt;-1000000",$A$102:$A$1048576,$E37)</f>
        <v>0</v>
      </c>
      <c r="BD37" s="14">
        <f t="shared" si="74"/>
        <v>0</v>
      </c>
      <c r="BE37" s="14">
        <f t="shared" si="74"/>
        <v>0</v>
      </c>
      <c r="BF37" s="14">
        <f t="shared" si="74"/>
        <v>0</v>
      </c>
      <c r="BG37" s="14">
        <f t="shared" si="74"/>
        <v>0</v>
      </c>
      <c r="BH37" s="14">
        <f t="shared" si="74"/>
        <v>0</v>
      </c>
      <c r="BI37" s="14">
        <f t="shared" si="74"/>
        <v>0</v>
      </c>
      <c r="BJ37" s="14">
        <f t="shared" si="74"/>
        <v>0</v>
      </c>
      <c r="BK37" s="14">
        <f t="shared" si="74"/>
        <v>0</v>
      </c>
      <c r="BL37" s="14">
        <f t="shared" si="74"/>
        <v>0</v>
      </c>
      <c r="BM37" s="14">
        <f t="shared" si="74"/>
        <v>0</v>
      </c>
      <c r="BN37" s="14">
        <f t="shared" si="74"/>
        <v>0</v>
      </c>
      <c r="BO37" s="14">
        <f t="shared" si="74"/>
        <v>0</v>
      </c>
      <c r="BP37" s="14">
        <f t="shared" si="74"/>
        <v>0</v>
      </c>
      <c r="BQ37" s="14">
        <f t="shared" si="74"/>
        <v>0</v>
      </c>
      <c r="BR37" s="14" t="e">
        <f>SUMIFS($AP$102:$AP$1048576,#REF!,"&gt;-1000000",$A$102:$A$1048576,$E37)</f>
        <v>#REF!</v>
      </c>
      <c r="BS37" s="14">
        <f>SUMIFS($AP$102:$AP$1048576,BS$102:BS$1048576,"&gt;-1000000",$A$102:$A$1048576,$E37)</f>
        <v>0</v>
      </c>
      <c r="BT37" s="14"/>
      <c r="BU37" s="14"/>
      <c r="BV37" s="146"/>
    </row>
    <row r="38" spans="1:74" ht="11.25" hidden="1" x14ac:dyDescent="0.2">
      <c r="A38" s="123"/>
      <c r="B38" s="123"/>
      <c r="C38" s="124"/>
      <c r="D38" s="125"/>
      <c r="E38" s="19">
        <v>5</v>
      </c>
      <c r="F38" s="17" t="s">
        <v>29</v>
      </c>
      <c r="G38" s="15" t="s">
        <v>109</v>
      </c>
      <c r="H38" s="126">
        <f t="shared" ref="H38:BA38" si="75">SUMIFS(H$102:H$1048576,$A$102:$A$1048576,$E38,$C$102:$C$1048576,"OK")</f>
        <v>0</v>
      </c>
      <c r="I38" s="126">
        <f t="shared" si="75"/>
        <v>0</v>
      </c>
      <c r="J38" s="126">
        <f t="shared" si="75"/>
        <v>0</v>
      </c>
      <c r="K38" s="126">
        <f t="shared" si="75"/>
        <v>0</v>
      </c>
      <c r="L38" s="126">
        <f t="shared" si="75"/>
        <v>0</v>
      </c>
      <c r="M38" s="126">
        <f t="shared" si="75"/>
        <v>0</v>
      </c>
      <c r="N38" s="29">
        <f t="shared" si="75"/>
        <v>0</v>
      </c>
      <c r="O38" s="29">
        <f t="shared" si="75"/>
        <v>0</v>
      </c>
      <c r="P38" s="161">
        <f t="shared" si="75"/>
        <v>0</v>
      </c>
      <c r="Q38" s="126">
        <f t="shared" si="75"/>
        <v>0</v>
      </c>
      <c r="R38" s="126">
        <f t="shared" si="75"/>
        <v>0</v>
      </c>
      <c r="S38" s="126">
        <f t="shared" si="75"/>
        <v>0</v>
      </c>
      <c r="T38" s="126">
        <f t="shared" si="75"/>
        <v>0</v>
      </c>
      <c r="U38" s="126">
        <f t="shared" si="75"/>
        <v>0</v>
      </c>
      <c r="V38" s="126">
        <f t="shared" si="75"/>
        <v>0</v>
      </c>
      <c r="W38" s="126">
        <f t="shared" si="75"/>
        <v>0</v>
      </c>
      <c r="X38" s="126">
        <f t="shared" si="75"/>
        <v>0</v>
      </c>
      <c r="Y38" s="126">
        <f t="shared" si="75"/>
        <v>0</v>
      </c>
      <c r="Z38" s="126">
        <f t="shared" si="75"/>
        <v>0</v>
      </c>
      <c r="AA38" s="126">
        <f t="shared" si="75"/>
        <v>0</v>
      </c>
      <c r="AB38" s="126">
        <f t="shared" si="75"/>
        <v>0</v>
      </c>
      <c r="AC38" s="126">
        <f t="shared" si="75"/>
        <v>0</v>
      </c>
      <c r="AD38" s="126">
        <f t="shared" si="75"/>
        <v>0</v>
      </c>
      <c r="AE38" s="126">
        <f t="shared" si="75"/>
        <v>0</v>
      </c>
      <c r="AF38" s="126">
        <f t="shared" si="75"/>
        <v>0</v>
      </c>
      <c r="AG38" s="126">
        <f t="shared" si="75"/>
        <v>0</v>
      </c>
      <c r="AH38" s="126">
        <f t="shared" si="75"/>
        <v>0</v>
      </c>
      <c r="AI38" s="126">
        <f t="shared" si="75"/>
        <v>0</v>
      </c>
      <c r="AJ38" s="126">
        <f t="shared" si="75"/>
        <v>0</v>
      </c>
      <c r="AK38" s="126">
        <f t="shared" si="75"/>
        <v>0</v>
      </c>
      <c r="AL38" s="126">
        <f t="shared" si="75"/>
        <v>0</v>
      </c>
      <c r="AM38" s="126">
        <f t="shared" si="75"/>
        <v>0</v>
      </c>
      <c r="AN38" s="126">
        <f t="shared" si="75"/>
        <v>0</v>
      </c>
      <c r="AO38" s="126">
        <f t="shared" si="75"/>
        <v>0</v>
      </c>
      <c r="AP38" s="126">
        <f t="shared" si="75"/>
        <v>0</v>
      </c>
      <c r="AQ38" s="126">
        <f t="shared" si="75"/>
        <v>0</v>
      </c>
      <c r="AR38" s="126">
        <f t="shared" si="75"/>
        <v>0</v>
      </c>
      <c r="AS38" s="126">
        <f t="shared" si="75"/>
        <v>0</v>
      </c>
      <c r="AT38" s="126">
        <f t="shared" si="75"/>
        <v>0</v>
      </c>
      <c r="AU38" s="126">
        <f t="shared" si="75"/>
        <v>0</v>
      </c>
      <c r="AV38" s="126">
        <f t="shared" si="75"/>
        <v>0</v>
      </c>
      <c r="AW38" s="126">
        <f t="shared" si="75"/>
        <v>0</v>
      </c>
      <c r="AX38" s="126">
        <f t="shared" si="75"/>
        <v>0</v>
      </c>
      <c r="AY38" s="126">
        <f t="shared" si="75"/>
        <v>0</v>
      </c>
      <c r="AZ38" s="126">
        <f t="shared" si="75"/>
        <v>0</v>
      </c>
      <c r="BA38" s="126">
        <f t="shared" si="75"/>
        <v>0</v>
      </c>
      <c r="BB38" s="126"/>
      <c r="BC38" s="126">
        <f t="shared" ref="BC38:BQ38" si="76">SUMIFS(BC$102:BC$1048576,$A$102:$A$1048576,$E38,$C$102:$C$1048576,"OK")</f>
        <v>0</v>
      </c>
      <c r="BD38" s="126">
        <f t="shared" si="76"/>
        <v>0</v>
      </c>
      <c r="BE38" s="126">
        <f t="shared" si="76"/>
        <v>0</v>
      </c>
      <c r="BF38" s="126">
        <f t="shared" si="76"/>
        <v>0</v>
      </c>
      <c r="BG38" s="126">
        <f t="shared" si="76"/>
        <v>0</v>
      </c>
      <c r="BH38" s="126">
        <f t="shared" si="76"/>
        <v>0</v>
      </c>
      <c r="BI38" s="126">
        <f t="shared" si="76"/>
        <v>0</v>
      </c>
      <c r="BJ38" s="126">
        <f t="shared" si="76"/>
        <v>0</v>
      </c>
      <c r="BK38" s="126">
        <f t="shared" si="76"/>
        <v>0</v>
      </c>
      <c r="BL38" s="126">
        <f t="shared" si="76"/>
        <v>0</v>
      </c>
      <c r="BM38" s="126">
        <f t="shared" si="76"/>
        <v>0</v>
      </c>
      <c r="BN38" s="126">
        <f t="shared" si="76"/>
        <v>0</v>
      </c>
      <c r="BO38" s="126">
        <f t="shared" si="76"/>
        <v>0</v>
      </c>
      <c r="BP38" s="126">
        <f t="shared" si="76"/>
        <v>0</v>
      </c>
      <c r="BQ38" s="126">
        <f t="shared" si="76"/>
        <v>0</v>
      </c>
      <c r="BR38" s="126" t="e">
        <f>SUMIFS(#REF!,$A$102:$A$1048576,$E38,$C$102:$C$1048576,"OK")</f>
        <v>#REF!</v>
      </c>
      <c r="BS38" s="126">
        <f>SUMIFS(BS$102:BS$1048576,$A$102:$A$1048576,$E38,$C$102:$C$1048576,"OK")</f>
        <v>0</v>
      </c>
      <c r="BT38" s="126"/>
      <c r="BU38" s="126"/>
      <c r="BV38" s="147"/>
    </row>
    <row r="39" spans="1:74" ht="11.25" hidden="1" x14ac:dyDescent="0.2">
      <c r="A39" s="123"/>
      <c r="B39" s="123"/>
      <c r="C39" s="124"/>
      <c r="D39" s="125"/>
      <c r="E39" s="19">
        <v>5</v>
      </c>
      <c r="F39" s="17" t="s">
        <v>23</v>
      </c>
      <c r="G39" s="15" t="s">
        <v>109</v>
      </c>
      <c r="H39" s="126">
        <f t="shared" ref="H39:BA39" si="77">COUNTIFS(H$102:H$1048576,"&gt;-1000000",$C$102:$C$1048576,"OK",$A$102:$A$1048576,$E39)</f>
        <v>0</v>
      </c>
      <c r="I39" s="126">
        <f t="shared" si="77"/>
        <v>0</v>
      </c>
      <c r="J39" s="126">
        <f t="shared" si="77"/>
        <v>0</v>
      </c>
      <c r="K39" s="126">
        <f t="shared" si="77"/>
        <v>0</v>
      </c>
      <c r="L39" s="126">
        <f t="shared" si="77"/>
        <v>0</v>
      </c>
      <c r="M39" s="126">
        <f t="shared" si="77"/>
        <v>0</v>
      </c>
      <c r="N39" s="29">
        <f t="shared" si="77"/>
        <v>0</v>
      </c>
      <c r="O39" s="29">
        <f t="shared" si="77"/>
        <v>0</v>
      </c>
      <c r="P39" s="161">
        <f t="shared" si="77"/>
        <v>0</v>
      </c>
      <c r="Q39" s="126">
        <f t="shared" si="77"/>
        <v>0</v>
      </c>
      <c r="R39" s="126">
        <f t="shared" si="77"/>
        <v>0</v>
      </c>
      <c r="S39" s="126">
        <f t="shared" si="77"/>
        <v>0</v>
      </c>
      <c r="T39" s="126">
        <f t="shared" si="77"/>
        <v>0</v>
      </c>
      <c r="U39" s="126">
        <f t="shared" si="77"/>
        <v>0</v>
      </c>
      <c r="V39" s="126">
        <f t="shared" si="77"/>
        <v>0</v>
      </c>
      <c r="W39" s="126">
        <f t="shared" si="77"/>
        <v>0</v>
      </c>
      <c r="X39" s="126">
        <f t="shared" si="77"/>
        <v>0</v>
      </c>
      <c r="Y39" s="126">
        <f t="shared" si="77"/>
        <v>0</v>
      </c>
      <c r="Z39" s="126">
        <f t="shared" si="77"/>
        <v>0</v>
      </c>
      <c r="AA39" s="126">
        <f t="shared" si="77"/>
        <v>0</v>
      </c>
      <c r="AB39" s="126">
        <f t="shared" si="77"/>
        <v>0</v>
      </c>
      <c r="AC39" s="126">
        <f t="shared" si="77"/>
        <v>0</v>
      </c>
      <c r="AD39" s="126">
        <f t="shared" si="77"/>
        <v>0</v>
      </c>
      <c r="AE39" s="126">
        <f t="shared" si="77"/>
        <v>0</v>
      </c>
      <c r="AF39" s="126">
        <f t="shared" si="77"/>
        <v>0</v>
      </c>
      <c r="AG39" s="126">
        <f t="shared" si="77"/>
        <v>0</v>
      </c>
      <c r="AH39" s="126">
        <f t="shared" si="77"/>
        <v>0</v>
      </c>
      <c r="AI39" s="126">
        <f t="shared" si="77"/>
        <v>0</v>
      </c>
      <c r="AJ39" s="126">
        <f t="shared" si="77"/>
        <v>0</v>
      </c>
      <c r="AK39" s="126">
        <f t="shared" si="77"/>
        <v>0</v>
      </c>
      <c r="AL39" s="126">
        <f t="shared" si="77"/>
        <v>0</v>
      </c>
      <c r="AM39" s="126">
        <f t="shared" si="77"/>
        <v>0</v>
      </c>
      <c r="AN39" s="126">
        <f t="shared" si="77"/>
        <v>0</v>
      </c>
      <c r="AO39" s="126">
        <f t="shared" si="77"/>
        <v>0</v>
      </c>
      <c r="AP39" s="126">
        <f t="shared" si="77"/>
        <v>0</v>
      </c>
      <c r="AQ39" s="126">
        <f t="shared" si="77"/>
        <v>0</v>
      </c>
      <c r="AR39" s="126">
        <f t="shared" si="77"/>
        <v>0</v>
      </c>
      <c r="AS39" s="126">
        <f t="shared" si="77"/>
        <v>0</v>
      </c>
      <c r="AT39" s="126">
        <f t="shared" si="77"/>
        <v>0</v>
      </c>
      <c r="AU39" s="126">
        <f t="shared" si="77"/>
        <v>0</v>
      </c>
      <c r="AV39" s="126">
        <f t="shared" si="77"/>
        <v>0</v>
      </c>
      <c r="AW39" s="126">
        <f t="shared" si="77"/>
        <v>0</v>
      </c>
      <c r="AX39" s="126">
        <f t="shared" si="77"/>
        <v>0</v>
      </c>
      <c r="AY39" s="126">
        <f t="shared" si="77"/>
        <v>0</v>
      </c>
      <c r="AZ39" s="126">
        <f t="shared" si="77"/>
        <v>0</v>
      </c>
      <c r="BA39" s="126">
        <f t="shared" si="77"/>
        <v>0</v>
      </c>
      <c r="BB39" s="126"/>
      <c r="BC39" s="126">
        <f t="shared" ref="BC39:BQ39" si="78">COUNTIFS(BC$102:BC$1048576,"&gt;-1000000",$C$102:$C$1048576,"OK",$A$102:$A$1048576,$E39)</f>
        <v>0</v>
      </c>
      <c r="BD39" s="126">
        <f t="shared" si="78"/>
        <v>0</v>
      </c>
      <c r="BE39" s="126">
        <f t="shared" si="78"/>
        <v>0</v>
      </c>
      <c r="BF39" s="126">
        <f t="shared" si="78"/>
        <v>0</v>
      </c>
      <c r="BG39" s="126">
        <f t="shared" si="78"/>
        <v>0</v>
      </c>
      <c r="BH39" s="126">
        <f t="shared" si="78"/>
        <v>0</v>
      </c>
      <c r="BI39" s="126">
        <f t="shared" si="78"/>
        <v>0</v>
      </c>
      <c r="BJ39" s="126">
        <f t="shared" si="78"/>
        <v>0</v>
      </c>
      <c r="BK39" s="126">
        <f t="shared" si="78"/>
        <v>0</v>
      </c>
      <c r="BL39" s="126">
        <f t="shared" si="78"/>
        <v>0</v>
      </c>
      <c r="BM39" s="126">
        <f t="shared" si="78"/>
        <v>0</v>
      </c>
      <c r="BN39" s="126">
        <f t="shared" si="78"/>
        <v>0</v>
      </c>
      <c r="BO39" s="126">
        <f t="shared" si="78"/>
        <v>0</v>
      </c>
      <c r="BP39" s="126">
        <f t="shared" si="78"/>
        <v>0</v>
      </c>
      <c r="BQ39" s="126">
        <f t="shared" si="78"/>
        <v>0</v>
      </c>
      <c r="BR39" s="126" t="e">
        <f>COUNTIFS(#REF!,"&gt;-1000000",$C$102:$C$1048576,"OK",$A$102:$A$1048576,$E39)</f>
        <v>#REF!</v>
      </c>
      <c r="BS39" s="126">
        <f>COUNTIFS(BS$102:BS$1048576,"&gt;-1000000",$C$102:$C$1048576,"OK",$A$102:$A$1048576,$E39)</f>
        <v>0</v>
      </c>
      <c r="BT39" s="126"/>
      <c r="BU39" s="126"/>
      <c r="BV39" s="147"/>
    </row>
    <row r="40" spans="1:74" ht="11.25" hidden="1" x14ac:dyDescent="0.2">
      <c r="A40" s="123"/>
      <c r="B40" s="123"/>
      <c r="C40" s="124"/>
      <c r="D40" s="125"/>
      <c r="E40" s="19">
        <v>5</v>
      </c>
      <c r="F40" s="17" t="s">
        <v>30</v>
      </c>
      <c r="G40" s="15" t="s">
        <v>109</v>
      </c>
      <c r="H40" s="126">
        <f t="shared" ref="H40:BA40" si="79">SUMIFS($AM$102:$AM$1048576,H$102:H$1048576,"&gt;-1000000",$C$102:$C$1048576,"OK",$A$102:$A$1048576,$E40)</f>
        <v>0</v>
      </c>
      <c r="I40" s="126">
        <f t="shared" si="79"/>
        <v>0</v>
      </c>
      <c r="J40" s="126">
        <f t="shared" si="79"/>
        <v>0</v>
      </c>
      <c r="K40" s="126">
        <f t="shared" si="79"/>
        <v>0</v>
      </c>
      <c r="L40" s="126">
        <f t="shared" si="79"/>
        <v>0</v>
      </c>
      <c r="M40" s="126">
        <f t="shared" si="79"/>
        <v>0</v>
      </c>
      <c r="N40" s="29">
        <f t="shared" si="79"/>
        <v>0</v>
      </c>
      <c r="O40" s="29">
        <f t="shared" si="79"/>
        <v>0</v>
      </c>
      <c r="P40" s="161">
        <f t="shared" si="79"/>
        <v>0</v>
      </c>
      <c r="Q40" s="126">
        <f t="shared" si="79"/>
        <v>0</v>
      </c>
      <c r="R40" s="126">
        <f t="shared" si="79"/>
        <v>0</v>
      </c>
      <c r="S40" s="126">
        <f t="shared" si="79"/>
        <v>0</v>
      </c>
      <c r="T40" s="126">
        <f t="shared" si="79"/>
        <v>0</v>
      </c>
      <c r="U40" s="126">
        <f t="shared" si="79"/>
        <v>0</v>
      </c>
      <c r="V40" s="126">
        <f t="shared" si="79"/>
        <v>0</v>
      </c>
      <c r="W40" s="126">
        <f t="shared" si="79"/>
        <v>0</v>
      </c>
      <c r="X40" s="126">
        <f t="shared" si="79"/>
        <v>0</v>
      </c>
      <c r="Y40" s="126">
        <f t="shared" si="79"/>
        <v>0</v>
      </c>
      <c r="Z40" s="126">
        <f t="shared" si="79"/>
        <v>0</v>
      </c>
      <c r="AA40" s="126">
        <f t="shared" si="79"/>
        <v>0</v>
      </c>
      <c r="AB40" s="126">
        <f t="shared" si="79"/>
        <v>0</v>
      </c>
      <c r="AC40" s="126">
        <f t="shared" si="79"/>
        <v>0</v>
      </c>
      <c r="AD40" s="126">
        <f t="shared" si="79"/>
        <v>0</v>
      </c>
      <c r="AE40" s="126">
        <f t="shared" si="79"/>
        <v>0</v>
      </c>
      <c r="AF40" s="126">
        <f t="shared" si="79"/>
        <v>0</v>
      </c>
      <c r="AG40" s="126">
        <f t="shared" si="79"/>
        <v>0</v>
      </c>
      <c r="AH40" s="126">
        <f t="shared" si="79"/>
        <v>0</v>
      </c>
      <c r="AI40" s="126">
        <f t="shared" si="79"/>
        <v>0</v>
      </c>
      <c r="AJ40" s="126">
        <f t="shared" si="79"/>
        <v>0</v>
      </c>
      <c r="AK40" s="126">
        <f t="shared" si="79"/>
        <v>0</v>
      </c>
      <c r="AL40" s="126">
        <f t="shared" si="79"/>
        <v>0</v>
      </c>
      <c r="AM40" s="126">
        <f t="shared" si="79"/>
        <v>0</v>
      </c>
      <c r="AN40" s="126">
        <f t="shared" si="79"/>
        <v>0</v>
      </c>
      <c r="AO40" s="126">
        <f t="shared" si="79"/>
        <v>0</v>
      </c>
      <c r="AP40" s="126">
        <f t="shared" si="79"/>
        <v>0</v>
      </c>
      <c r="AQ40" s="126">
        <f t="shared" si="79"/>
        <v>0</v>
      </c>
      <c r="AR40" s="126">
        <f t="shared" si="79"/>
        <v>0</v>
      </c>
      <c r="AS40" s="126">
        <f t="shared" si="79"/>
        <v>0</v>
      </c>
      <c r="AT40" s="126">
        <f t="shared" si="79"/>
        <v>0</v>
      </c>
      <c r="AU40" s="126">
        <f t="shared" si="79"/>
        <v>0</v>
      </c>
      <c r="AV40" s="126">
        <f t="shared" si="79"/>
        <v>0</v>
      </c>
      <c r="AW40" s="126">
        <f t="shared" si="79"/>
        <v>0</v>
      </c>
      <c r="AX40" s="126">
        <f t="shared" si="79"/>
        <v>0</v>
      </c>
      <c r="AY40" s="126">
        <f t="shared" si="79"/>
        <v>0</v>
      </c>
      <c r="AZ40" s="126">
        <f t="shared" si="79"/>
        <v>0</v>
      </c>
      <c r="BA40" s="126">
        <f t="shared" si="79"/>
        <v>0</v>
      </c>
      <c r="BB40" s="126"/>
      <c r="BC40" s="126">
        <f t="shared" ref="BC40:BQ40" si="80">SUMIFS($AM$102:$AM$1048576,BC$102:BC$1048576,"&gt;-1000000",$C$102:$C$1048576,"OK",$A$102:$A$1048576,$E40)</f>
        <v>0</v>
      </c>
      <c r="BD40" s="126">
        <f t="shared" si="80"/>
        <v>0</v>
      </c>
      <c r="BE40" s="126">
        <f t="shared" si="80"/>
        <v>0</v>
      </c>
      <c r="BF40" s="126">
        <f t="shared" si="80"/>
        <v>0</v>
      </c>
      <c r="BG40" s="126">
        <f t="shared" si="80"/>
        <v>0</v>
      </c>
      <c r="BH40" s="126">
        <f t="shared" si="80"/>
        <v>0</v>
      </c>
      <c r="BI40" s="126">
        <f t="shared" si="80"/>
        <v>0</v>
      </c>
      <c r="BJ40" s="126">
        <f t="shared" si="80"/>
        <v>0</v>
      </c>
      <c r="BK40" s="126">
        <f t="shared" si="80"/>
        <v>0</v>
      </c>
      <c r="BL40" s="126">
        <f t="shared" si="80"/>
        <v>0</v>
      </c>
      <c r="BM40" s="126">
        <f t="shared" si="80"/>
        <v>0</v>
      </c>
      <c r="BN40" s="126">
        <f t="shared" si="80"/>
        <v>0</v>
      </c>
      <c r="BO40" s="126">
        <f t="shared" si="80"/>
        <v>0</v>
      </c>
      <c r="BP40" s="126">
        <f t="shared" si="80"/>
        <v>0</v>
      </c>
      <c r="BQ40" s="126">
        <f t="shared" si="80"/>
        <v>0</v>
      </c>
      <c r="BR40" s="126" t="e">
        <f>SUMIFS($AM$102:$AM$1048576,#REF!,"&gt;-1000000",$C$102:$C$1048576,"OK",$A$102:$A$1048576,$E40)</f>
        <v>#REF!</v>
      </c>
      <c r="BS40" s="126">
        <f>SUMIFS($AM$102:$AM$1048576,BS$102:BS$1048576,"&gt;-1000000",$C$102:$C$1048576,"OK",$A$102:$A$1048576,$E40)</f>
        <v>0</v>
      </c>
      <c r="BT40" s="126"/>
      <c r="BU40" s="126"/>
      <c r="BV40" s="147"/>
    </row>
    <row r="41" spans="1:74" ht="11.25" hidden="1" x14ac:dyDescent="0.2">
      <c r="A41" s="123"/>
      <c r="B41" s="123"/>
      <c r="C41" s="124"/>
      <c r="D41" s="125"/>
      <c r="E41" s="19">
        <v>5</v>
      </c>
      <c r="F41" s="17" t="s">
        <v>32</v>
      </c>
      <c r="G41" s="15" t="s">
        <v>109</v>
      </c>
      <c r="H41" s="126">
        <f t="shared" ref="H41:BA41" si="81">SUMIFS($AP$102:$AP$1048576,H$102:H$1048576,"&gt;-1000000",$C$102:$C$1048576,"OK",$A$102:$A$1048576,$E41)</f>
        <v>0</v>
      </c>
      <c r="I41" s="126">
        <f t="shared" si="81"/>
        <v>0</v>
      </c>
      <c r="J41" s="126">
        <f t="shared" si="81"/>
        <v>0</v>
      </c>
      <c r="K41" s="126">
        <f t="shared" si="81"/>
        <v>0</v>
      </c>
      <c r="L41" s="126">
        <f t="shared" si="81"/>
        <v>0</v>
      </c>
      <c r="M41" s="126">
        <f t="shared" si="81"/>
        <v>0</v>
      </c>
      <c r="N41" s="29">
        <f t="shared" si="81"/>
        <v>0</v>
      </c>
      <c r="O41" s="29">
        <f t="shared" si="81"/>
        <v>0</v>
      </c>
      <c r="P41" s="161">
        <f t="shared" si="81"/>
        <v>0</v>
      </c>
      <c r="Q41" s="126">
        <f t="shared" si="81"/>
        <v>0</v>
      </c>
      <c r="R41" s="126">
        <f t="shared" si="81"/>
        <v>0</v>
      </c>
      <c r="S41" s="126">
        <f t="shared" si="81"/>
        <v>0</v>
      </c>
      <c r="T41" s="126">
        <f t="shared" si="81"/>
        <v>0</v>
      </c>
      <c r="U41" s="126">
        <f t="shared" si="81"/>
        <v>0</v>
      </c>
      <c r="V41" s="126">
        <f t="shared" si="81"/>
        <v>0</v>
      </c>
      <c r="W41" s="126">
        <f t="shared" si="81"/>
        <v>0</v>
      </c>
      <c r="X41" s="126">
        <f t="shared" si="81"/>
        <v>0</v>
      </c>
      <c r="Y41" s="126">
        <f t="shared" si="81"/>
        <v>0</v>
      </c>
      <c r="Z41" s="126">
        <f t="shared" si="81"/>
        <v>0</v>
      </c>
      <c r="AA41" s="126">
        <f t="shared" si="81"/>
        <v>0</v>
      </c>
      <c r="AB41" s="126">
        <f t="shared" si="81"/>
        <v>0</v>
      </c>
      <c r="AC41" s="126">
        <f t="shared" si="81"/>
        <v>0</v>
      </c>
      <c r="AD41" s="126">
        <f t="shared" si="81"/>
        <v>0</v>
      </c>
      <c r="AE41" s="126">
        <f t="shared" si="81"/>
        <v>0</v>
      </c>
      <c r="AF41" s="126">
        <f t="shared" si="81"/>
        <v>0</v>
      </c>
      <c r="AG41" s="126">
        <f t="shared" si="81"/>
        <v>0</v>
      </c>
      <c r="AH41" s="126">
        <f t="shared" si="81"/>
        <v>0</v>
      </c>
      <c r="AI41" s="126">
        <f t="shared" si="81"/>
        <v>0</v>
      </c>
      <c r="AJ41" s="126">
        <f t="shared" si="81"/>
        <v>0</v>
      </c>
      <c r="AK41" s="126">
        <f t="shared" si="81"/>
        <v>0</v>
      </c>
      <c r="AL41" s="126">
        <f t="shared" si="81"/>
        <v>0</v>
      </c>
      <c r="AM41" s="126">
        <f t="shared" si="81"/>
        <v>0</v>
      </c>
      <c r="AN41" s="126">
        <f t="shared" si="81"/>
        <v>0</v>
      </c>
      <c r="AO41" s="126">
        <f t="shared" si="81"/>
        <v>0</v>
      </c>
      <c r="AP41" s="126">
        <f t="shared" si="81"/>
        <v>0</v>
      </c>
      <c r="AQ41" s="126">
        <f t="shared" si="81"/>
        <v>0</v>
      </c>
      <c r="AR41" s="126">
        <f t="shared" si="81"/>
        <v>0</v>
      </c>
      <c r="AS41" s="126">
        <f t="shared" si="81"/>
        <v>0</v>
      </c>
      <c r="AT41" s="126">
        <f t="shared" si="81"/>
        <v>0</v>
      </c>
      <c r="AU41" s="126">
        <f t="shared" si="81"/>
        <v>0</v>
      </c>
      <c r="AV41" s="126">
        <f t="shared" si="81"/>
        <v>0</v>
      </c>
      <c r="AW41" s="126">
        <f t="shared" si="81"/>
        <v>0</v>
      </c>
      <c r="AX41" s="126">
        <f t="shared" si="81"/>
        <v>0</v>
      </c>
      <c r="AY41" s="126">
        <f t="shared" si="81"/>
        <v>0</v>
      </c>
      <c r="AZ41" s="126">
        <f t="shared" si="81"/>
        <v>0</v>
      </c>
      <c r="BA41" s="126">
        <f t="shared" si="81"/>
        <v>0</v>
      </c>
      <c r="BB41" s="126"/>
      <c r="BC41" s="126">
        <f t="shared" ref="BC41:BQ41" si="82">SUMIFS($AP$102:$AP$1048576,BC$102:BC$1048576,"&gt;-1000000",$C$102:$C$1048576,"OK",$A$102:$A$1048576,$E41)</f>
        <v>0</v>
      </c>
      <c r="BD41" s="126">
        <f t="shared" si="82"/>
        <v>0</v>
      </c>
      <c r="BE41" s="126">
        <f t="shared" si="82"/>
        <v>0</v>
      </c>
      <c r="BF41" s="126">
        <f t="shared" si="82"/>
        <v>0</v>
      </c>
      <c r="BG41" s="126">
        <f t="shared" si="82"/>
        <v>0</v>
      </c>
      <c r="BH41" s="126">
        <f t="shared" si="82"/>
        <v>0</v>
      </c>
      <c r="BI41" s="126">
        <f t="shared" si="82"/>
        <v>0</v>
      </c>
      <c r="BJ41" s="126">
        <f t="shared" si="82"/>
        <v>0</v>
      </c>
      <c r="BK41" s="126">
        <f t="shared" si="82"/>
        <v>0</v>
      </c>
      <c r="BL41" s="126">
        <f t="shared" si="82"/>
        <v>0</v>
      </c>
      <c r="BM41" s="126">
        <f t="shared" si="82"/>
        <v>0</v>
      </c>
      <c r="BN41" s="126">
        <f t="shared" si="82"/>
        <v>0</v>
      </c>
      <c r="BO41" s="126">
        <f t="shared" si="82"/>
        <v>0</v>
      </c>
      <c r="BP41" s="126">
        <f t="shared" si="82"/>
        <v>0</v>
      </c>
      <c r="BQ41" s="126">
        <f t="shared" si="82"/>
        <v>0</v>
      </c>
      <c r="BR41" s="126" t="e">
        <f>SUMIFS($AP$102:$AP$1048576,#REF!,"&gt;-1000000",$C$102:$C$1048576,"OK",$A$102:$A$1048576,$E41)</f>
        <v>#REF!</v>
      </c>
      <c r="BS41" s="126">
        <f>SUMIFS($AP$102:$AP$1048576,BS$102:BS$1048576,"&gt;-1000000",$C$102:$C$1048576,"OK",$A$102:$A$1048576,$E41)</f>
        <v>0</v>
      </c>
      <c r="BT41" s="126"/>
      <c r="BU41" s="126"/>
      <c r="BV41" s="147"/>
    </row>
    <row r="42" spans="1:74" ht="11.25" hidden="1" x14ac:dyDescent="0.2">
      <c r="A42" s="123"/>
      <c r="B42" s="123"/>
      <c r="C42" s="124"/>
      <c r="D42" s="125"/>
      <c r="E42" s="18">
        <v>6</v>
      </c>
      <c r="F42" s="16" t="s">
        <v>28</v>
      </c>
      <c r="G42" s="14" t="s">
        <v>109</v>
      </c>
      <c r="H42" s="21">
        <f t="shared" ref="H42:BA42" si="83">SUMIFS(H$102:H$1048576,$A$102:$A$1048576,$E42)</f>
        <v>0</v>
      </c>
      <c r="I42" s="21">
        <f t="shared" si="83"/>
        <v>0</v>
      </c>
      <c r="J42" s="21">
        <f t="shared" si="83"/>
        <v>0</v>
      </c>
      <c r="K42" s="21">
        <f t="shared" si="83"/>
        <v>0</v>
      </c>
      <c r="L42" s="21">
        <f t="shared" si="83"/>
        <v>0</v>
      </c>
      <c r="M42" s="21">
        <f t="shared" si="83"/>
        <v>0</v>
      </c>
      <c r="N42" s="29">
        <f t="shared" si="83"/>
        <v>0</v>
      </c>
      <c r="O42" s="29">
        <f t="shared" si="83"/>
        <v>0</v>
      </c>
      <c r="P42" s="160">
        <f t="shared" si="83"/>
        <v>0</v>
      </c>
      <c r="Q42" s="21">
        <f t="shared" si="83"/>
        <v>0</v>
      </c>
      <c r="R42" s="21">
        <f t="shared" si="83"/>
        <v>0</v>
      </c>
      <c r="S42" s="21">
        <f t="shared" si="83"/>
        <v>0</v>
      </c>
      <c r="T42" s="21">
        <f t="shared" si="83"/>
        <v>0</v>
      </c>
      <c r="U42" s="21">
        <f t="shared" si="83"/>
        <v>0</v>
      </c>
      <c r="V42" s="21">
        <f t="shared" si="83"/>
        <v>0</v>
      </c>
      <c r="W42" s="21">
        <f t="shared" si="83"/>
        <v>0</v>
      </c>
      <c r="X42" s="21">
        <f t="shared" si="83"/>
        <v>0</v>
      </c>
      <c r="Y42" s="21">
        <f t="shared" si="83"/>
        <v>0</v>
      </c>
      <c r="Z42" s="21">
        <f t="shared" si="83"/>
        <v>0</v>
      </c>
      <c r="AA42" s="21">
        <f t="shared" si="83"/>
        <v>0</v>
      </c>
      <c r="AB42" s="21">
        <f t="shared" si="83"/>
        <v>0</v>
      </c>
      <c r="AC42" s="21">
        <f t="shared" si="83"/>
        <v>0</v>
      </c>
      <c r="AD42" s="21">
        <f t="shared" si="83"/>
        <v>0</v>
      </c>
      <c r="AE42" s="21">
        <f t="shared" si="83"/>
        <v>0</v>
      </c>
      <c r="AF42" s="21">
        <f t="shared" si="83"/>
        <v>0</v>
      </c>
      <c r="AG42" s="21">
        <f t="shared" si="83"/>
        <v>0</v>
      </c>
      <c r="AH42" s="21">
        <f t="shared" si="83"/>
        <v>0</v>
      </c>
      <c r="AI42" s="21">
        <f t="shared" si="83"/>
        <v>0</v>
      </c>
      <c r="AJ42" s="21">
        <f t="shared" si="83"/>
        <v>0</v>
      </c>
      <c r="AK42" s="21">
        <f t="shared" si="83"/>
        <v>0</v>
      </c>
      <c r="AL42" s="21">
        <f t="shared" si="83"/>
        <v>0</v>
      </c>
      <c r="AM42" s="21">
        <f t="shared" si="83"/>
        <v>0</v>
      </c>
      <c r="AN42" s="21">
        <f t="shared" si="83"/>
        <v>0</v>
      </c>
      <c r="AO42" s="21">
        <f t="shared" si="83"/>
        <v>0</v>
      </c>
      <c r="AP42" s="21">
        <f t="shared" si="83"/>
        <v>0</v>
      </c>
      <c r="AQ42" s="21">
        <f t="shared" si="83"/>
        <v>0</v>
      </c>
      <c r="AR42" s="21">
        <f t="shared" si="83"/>
        <v>0</v>
      </c>
      <c r="AS42" s="21">
        <f t="shared" si="83"/>
        <v>0</v>
      </c>
      <c r="AT42" s="21">
        <f t="shared" si="83"/>
        <v>0</v>
      </c>
      <c r="AU42" s="21">
        <f t="shared" si="83"/>
        <v>0</v>
      </c>
      <c r="AV42" s="21">
        <f t="shared" si="83"/>
        <v>0</v>
      </c>
      <c r="AW42" s="21">
        <f t="shared" si="83"/>
        <v>0</v>
      </c>
      <c r="AX42" s="21">
        <f t="shared" si="83"/>
        <v>0</v>
      </c>
      <c r="AY42" s="21">
        <f t="shared" si="83"/>
        <v>0</v>
      </c>
      <c r="AZ42" s="21">
        <f t="shared" si="83"/>
        <v>0</v>
      </c>
      <c r="BA42" s="21">
        <f t="shared" si="83"/>
        <v>0</v>
      </c>
      <c r="BB42" s="21"/>
      <c r="BC42" s="21">
        <f t="shared" ref="BC42:BQ42" si="84">SUMIFS(BC$102:BC$1048576,$A$102:$A$1048576,$E42)</f>
        <v>0</v>
      </c>
      <c r="BD42" s="21">
        <f t="shared" si="84"/>
        <v>0</v>
      </c>
      <c r="BE42" s="21">
        <f t="shared" si="84"/>
        <v>0</v>
      </c>
      <c r="BF42" s="21">
        <f t="shared" si="84"/>
        <v>0</v>
      </c>
      <c r="BG42" s="21">
        <f t="shared" si="84"/>
        <v>0</v>
      </c>
      <c r="BH42" s="21">
        <f t="shared" si="84"/>
        <v>0</v>
      </c>
      <c r="BI42" s="21">
        <f t="shared" si="84"/>
        <v>0</v>
      </c>
      <c r="BJ42" s="21">
        <f t="shared" si="84"/>
        <v>0</v>
      </c>
      <c r="BK42" s="21">
        <f t="shared" si="84"/>
        <v>0</v>
      </c>
      <c r="BL42" s="21">
        <f t="shared" si="84"/>
        <v>0</v>
      </c>
      <c r="BM42" s="21">
        <f t="shared" si="84"/>
        <v>0</v>
      </c>
      <c r="BN42" s="21">
        <f t="shared" si="84"/>
        <v>0</v>
      </c>
      <c r="BO42" s="21">
        <f t="shared" si="84"/>
        <v>0</v>
      </c>
      <c r="BP42" s="21">
        <f t="shared" si="84"/>
        <v>0</v>
      </c>
      <c r="BQ42" s="21">
        <f t="shared" si="84"/>
        <v>0</v>
      </c>
      <c r="BR42" s="21" t="e">
        <f>SUMIFS(#REF!,$A$102:$A$1048576,$E42)</f>
        <v>#REF!</v>
      </c>
      <c r="BS42" s="21">
        <f>SUMIFS(BS$102:BS$1048576,$A$102:$A$1048576,$E42)</f>
        <v>0</v>
      </c>
      <c r="BT42" s="21"/>
      <c r="BU42" s="21"/>
      <c r="BV42" s="145"/>
    </row>
    <row r="43" spans="1:74" ht="11.25" hidden="1" x14ac:dyDescent="0.2">
      <c r="A43" s="123"/>
      <c r="B43" s="123"/>
      <c r="C43" s="124"/>
      <c r="D43" s="125"/>
      <c r="E43" s="18">
        <v>6</v>
      </c>
      <c r="F43" s="16" t="s">
        <v>25</v>
      </c>
      <c r="G43" s="14" t="s">
        <v>109</v>
      </c>
      <c r="H43" s="14">
        <f t="shared" ref="H43:BA43" si="85">COUNTIFS(H$102:H$1048576,"&gt;-1000000",$A$102:$A$1048576,$E43)</f>
        <v>0</v>
      </c>
      <c r="I43" s="14">
        <f t="shared" si="85"/>
        <v>0</v>
      </c>
      <c r="J43" s="14">
        <f t="shared" si="85"/>
        <v>0</v>
      </c>
      <c r="K43" s="14">
        <f t="shared" si="85"/>
        <v>0</v>
      </c>
      <c r="L43" s="14">
        <f t="shared" si="85"/>
        <v>0</v>
      </c>
      <c r="M43" s="14">
        <f t="shared" si="85"/>
        <v>0</v>
      </c>
      <c r="N43" s="29">
        <f t="shared" si="85"/>
        <v>0</v>
      </c>
      <c r="O43" s="29">
        <f t="shared" si="85"/>
        <v>0</v>
      </c>
      <c r="P43" s="160">
        <f t="shared" si="85"/>
        <v>0</v>
      </c>
      <c r="Q43" s="14">
        <f t="shared" si="85"/>
        <v>0</v>
      </c>
      <c r="R43" s="14">
        <f t="shared" si="85"/>
        <v>0</v>
      </c>
      <c r="S43" s="14">
        <f t="shared" si="85"/>
        <v>0</v>
      </c>
      <c r="T43" s="14">
        <f t="shared" si="85"/>
        <v>0</v>
      </c>
      <c r="U43" s="14">
        <f t="shared" si="85"/>
        <v>0</v>
      </c>
      <c r="V43" s="14">
        <f t="shared" si="85"/>
        <v>0</v>
      </c>
      <c r="W43" s="14">
        <f t="shared" si="85"/>
        <v>0</v>
      </c>
      <c r="X43" s="14">
        <f t="shared" si="85"/>
        <v>0</v>
      </c>
      <c r="Y43" s="14">
        <f t="shared" si="85"/>
        <v>0</v>
      </c>
      <c r="Z43" s="14">
        <f t="shared" si="85"/>
        <v>0</v>
      </c>
      <c r="AA43" s="14">
        <f t="shared" si="85"/>
        <v>0</v>
      </c>
      <c r="AB43" s="14">
        <f t="shared" si="85"/>
        <v>0</v>
      </c>
      <c r="AC43" s="14">
        <f t="shared" si="85"/>
        <v>0</v>
      </c>
      <c r="AD43" s="14">
        <f t="shared" si="85"/>
        <v>0</v>
      </c>
      <c r="AE43" s="14">
        <f t="shared" si="85"/>
        <v>0</v>
      </c>
      <c r="AF43" s="14">
        <f t="shared" si="85"/>
        <v>0</v>
      </c>
      <c r="AG43" s="14">
        <f t="shared" si="85"/>
        <v>0</v>
      </c>
      <c r="AH43" s="14">
        <f t="shared" si="85"/>
        <v>0</v>
      </c>
      <c r="AI43" s="14">
        <f t="shared" si="85"/>
        <v>0</v>
      </c>
      <c r="AJ43" s="14">
        <f t="shared" si="85"/>
        <v>0</v>
      </c>
      <c r="AK43" s="14">
        <f t="shared" si="85"/>
        <v>0</v>
      </c>
      <c r="AL43" s="14">
        <f t="shared" si="85"/>
        <v>0</v>
      </c>
      <c r="AM43" s="14">
        <f t="shared" si="85"/>
        <v>0</v>
      </c>
      <c r="AN43" s="14">
        <f t="shared" si="85"/>
        <v>0</v>
      </c>
      <c r="AO43" s="14">
        <f t="shared" si="85"/>
        <v>0</v>
      </c>
      <c r="AP43" s="14">
        <f t="shared" si="85"/>
        <v>0</v>
      </c>
      <c r="AQ43" s="14">
        <f t="shared" si="85"/>
        <v>0</v>
      </c>
      <c r="AR43" s="14">
        <f t="shared" si="85"/>
        <v>0</v>
      </c>
      <c r="AS43" s="14">
        <f t="shared" si="85"/>
        <v>0</v>
      </c>
      <c r="AT43" s="14">
        <f t="shared" si="85"/>
        <v>0</v>
      </c>
      <c r="AU43" s="14">
        <f t="shared" si="85"/>
        <v>0</v>
      </c>
      <c r="AV43" s="14">
        <f t="shared" si="85"/>
        <v>0</v>
      </c>
      <c r="AW43" s="14">
        <f t="shared" si="85"/>
        <v>0</v>
      </c>
      <c r="AX43" s="14">
        <f t="shared" si="85"/>
        <v>0</v>
      </c>
      <c r="AY43" s="14">
        <f t="shared" si="85"/>
        <v>0</v>
      </c>
      <c r="AZ43" s="14">
        <f t="shared" si="85"/>
        <v>0</v>
      </c>
      <c r="BA43" s="14">
        <f t="shared" si="85"/>
        <v>0</v>
      </c>
      <c r="BB43" s="14"/>
      <c r="BC43" s="14">
        <f t="shared" ref="BC43:BQ43" si="86">COUNTIFS(BC$102:BC$1048576,"&gt;-1000000",$A$102:$A$1048576,$E43)</f>
        <v>0</v>
      </c>
      <c r="BD43" s="14">
        <f t="shared" si="86"/>
        <v>0</v>
      </c>
      <c r="BE43" s="14">
        <f t="shared" si="86"/>
        <v>0</v>
      </c>
      <c r="BF43" s="14">
        <f t="shared" si="86"/>
        <v>0</v>
      </c>
      <c r="BG43" s="14">
        <f t="shared" si="86"/>
        <v>0</v>
      </c>
      <c r="BH43" s="14">
        <f t="shared" si="86"/>
        <v>0</v>
      </c>
      <c r="BI43" s="14">
        <f t="shared" si="86"/>
        <v>0</v>
      </c>
      <c r="BJ43" s="14">
        <f t="shared" si="86"/>
        <v>0</v>
      </c>
      <c r="BK43" s="14">
        <f t="shared" si="86"/>
        <v>0</v>
      </c>
      <c r="BL43" s="14">
        <f t="shared" si="86"/>
        <v>0</v>
      </c>
      <c r="BM43" s="14">
        <f t="shared" si="86"/>
        <v>0</v>
      </c>
      <c r="BN43" s="14">
        <f t="shared" si="86"/>
        <v>0</v>
      </c>
      <c r="BO43" s="14">
        <f t="shared" si="86"/>
        <v>0</v>
      </c>
      <c r="BP43" s="14">
        <f t="shared" si="86"/>
        <v>0</v>
      </c>
      <c r="BQ43" s="14">
        <f t="shared" si="86"/>
        <v>0</v>
      </c>
      <c r="BR43" s="14" t="e">
        <f>COUNTIFS(#REF!,"&gt;-1000000",$A$102:$A$1048576,$E43)</f>
        <v>#REF!</v>
      </c>
      <c r="BS43" s="14">
        <f>COUNTIFS(BS$102:BS$1048576,"&gt;-1000000",$A$102:$A$1048576,$E43)</f>
        <v>0</v>
      </c>
      <c r="BT43" s="14"/>
      <c r="BU43" s="14"/>
      <c r="BV43" s="146"/>
    </row>
    <row r="44" spans="1:74" ht="11.25" hidden="1" x14ac:dyDescent="0.2">
      <c r="A44" s="123"/>
      <c r="B44" s="123"/>
      <c r="C44" s="124"/>
      <c r="D44" s="125"/>
      <c r="E44" s="18">
        <v>6</v>
      </c>
      <c r="F44" s="16" t="s">
        <v>24</v>
      </c>
      <c r="G44" s="14" t="s">
        <v>109</v>
      </c>
      <c r="H44" s="14">
        <f t="shared" ref="H44:BA44" si="87">SUMIFS($AM$102:$AM$1048576,H$102:H$1048576,"&gt;-1000000",$A$102:$A$1048576,$E44)</f>
        <v>0</v>
      </c>
      <c r="I44" s="14">
        <f t="shared" si="87"/>
        <v>0</v>
      </c>
      <c r="J44" s="14">
        <f t="shared" si="87"/>
        <v>0</v>
      </c>
      <c r="K44" s="14">
        <f t="shared" si="87"/>
        <v>0</v>
      </c>
      <c r="L44" s="14">
        <f t="shared" si="87"/>
        <v>0</v>
      </c>
      <c r="M44" s="14">
        <f t="shared" si="87"/>
        <v>0</v>
      </c>
      <c r="N44" s="29">
        <f t="shared" si="87"/>
        <v>0</v>
      </c>
      <c r="O44" s="29">
        <f t="shared" si="87"/>
        <v>0</v>
      </c>
      <c r="P44" s="160">
        <f t="shared" si="87"/>
        <v>0</v>
      </c>
      <c r="Q44" s="14">
        <f t="shared" si="87"/>
        <v>0</v>
      </c>
      <c r="R44" s="14">
        <f t="shared" si="87"/>
        <v>0</v>
      </c>
      <c r="S44" s="14">
        <f t="shared" si="87"/>
        <v>0</v>
      </c>
      <c r="T44" s="14">
        <f t="shared" si="87"/>
        <v>0</v>
      </c>
      <c r="U44" s="14">
        <f t="shared" si="87"/>
        <v>0</v>
      </c>
      <c r="V44" s="14">
        <f t="shared" si="87"/>
        <v>0</v>
      </c>
      <c r="W44" s="14">
        <f t="shared" si="87"/>
        <v>0</v>
      </c>
      <c r="X44" s="14">
        <f t="shared" si="87"/>
        <v>0</v>
      </c>
      <c r="Y44" s="14">
        <f t="shared" si="87"/>
        <v>0</v>
      </c>
      <c r="Z44" s="14">
        <f t="shared" si="87"/>
        <v>0</v>
      </c>
      <c r="AA44" s="14">
        <f t="shared" si="87"/>
        <v>0</v>
      </c>
      <c r="AB44" s="14">
        <f t="shared" si="87"/>
        <v>0</v>
      </c>
      <c r="AC44" s="14">
        <f t="shared" si="87"/>
        <v>0</v>
      </c>
      <c r="AD44" s="14">
        <f t="shared" si="87"/>
        <v>0</v>
      </c>
      <c r="AE44" s="14">
        <f t="shared" si="87"/>
        <v>0</v>
      </c>
      <c r="AF44" s="14">
        <f t="shared" si="87"/>
        <v>0</v>
      </c>
      <c r="AG44" s="14">
        <f t="shared" si="87"/>
        <v>0</v>
      </c>
      <c r="AH44" s="14">
        <f t="shared" si="87"/>
        <v>0</v>
      </c>
      <c r="AI44" s="14">
        <f t="shared" si="87"/>
        <v>0</v>
      </c>
      <c r="AJ44" s="14">
        <f t="shared" si="87"/>
        <v>0</v>
      </c>
      <c r="AK44" s="14">
        <f t="shared" si="87"/>
        <v>0</v>
      </c>
      <c r="AL44" s="14">
        <f t="shared" si="87"/>
        <v>0</v>
      </c>
      <c r="AM44" s="14">
        <f t="shared" si="87"/>
        <v>0</v>
      </c>
      <c r="AN44" s="14">
        <f t="shared" si="87"/>
        <v>0</v>
      </c>
      <c r="AO44" s="14">
        <f t="shared" si="87"/>
        <v>0</v>
      </c>
      <c r="AP44" s="14">
        <f t="shared" si="87"/>
        <v>0</v>
      </c>
      <c r="AQ44" s="14">
        <f t="shared" si="87"/>
        <v>0</v>
      </c>
      <c r="AR44" s="14">
        <f t="shared" si="87"/>
        <v>0</v>
      </c>
      <c r="AS44" s="14">
        <f t="shared" si="87"/>
        <v>0</v>
      </c>
      <c r="AT44" s="14">
        <f t="shared" si="87"/>
        <v>0</v>
      </c>
      <c r="AU44" s="14">
        <f t="shared" si="87"/>
        <v>0</v>
      </c>
      <c r="AV44" s="14">
        <f t="shared" si="87"/>
        <v>0</v>
      </c>
      <c r="AW44" s="14">
        <f t="shared" si="87"/>
        <v>0</v>
      </c>
      <c r="AX44" s="14">
        <f t="shared" si="87"/>
        <v>0</v>
      </c>
      <c r="AY44" s="14">
        <f t="shared" si="87"/>
        <v>0</v>
      </c>
      <c r="AZ44" s="14">
        <f t="shared" si="87"/>
        <v>0</v>
      </c>
      <c r="BA44" s="14">
        <f t="shared" si="87"/>
        <v>0</v>
      </c>
      <c r="BB44" s="14"/>
      <c r="BC44" s="14">
        <f t="shared" ref="BC44:BQ44" si="88">SUMIFS($AM$102:$AM$1048576,BC$102:BC$1048576,"&gt;-1000000",$A$102:$A$1048576,$E44)</f>
        <v>0</v>
      </c>
      <c r="BD44" s="14">
        <f t="shared" si="88"/>
        <v>0</v>
      </c>
      <c r="BE44" s="14">
        <f t="shared" si="88"/>
        <v>0</v>
      </c>
      <c r="BF44" s="14">
        <f t="shared" si="88"/>
        <v>0</v>
      </c>
      <c r="BG44" s="14">
        <f t="shared" si="88"/>
        <v>0</v>
      </c>
      <c r="BH44" s="14">
        <f t="shared" si="88"/>
        <v>0</v>
      </c>
      <c r="BI44" s="14">
        <f t="shared" si="88"/>
        <v>0</v>
      </c>
      <c r="BJ44" s="14">
        <f t="shared" si="88"/>
        <v>0</v>
      </c>
      <c r="BK44" s="14">
        <f t="shared" si="88"/>
        <v>0</v>
      </c>
      <c r="BL44" s="14">
        <f t="shared" si="88"/>
        <v>0</v>
      </c>
      <c r="BM44" s="14">
        <f t="shared" si="88"/>
        <v>0</v>
      </c>
      <c r="BN44" s="14">
        <f t="shared" si="88"/>
        <v>0</v>
      </c>
      <c r="BO44" s="14">
        <f t="shared" si="88"/>
        <v>0</v>
      </c>
      <c r="BP44" s="14">
        <f t="shared" si="88"/>
        <v>0</v>
      </c>
      <c r="BQ44" s="14">
        <f t="shared" si="88"/>
        <v>0</v>
      </c>
      <c r="BR44" s="14" t="e">
        <f>SUMIFS($AM$102:$AM$1048576,#REF!,"&gt;-1000000",$A$102:$A$1048576,$E44)</f>
        <v>#REF!</v>
      </c>
      <c r="BS44" s="14">
        <f>SUMIFS($AM$102:$AM$1048576,BS$102:BS$1048576,"&gt;-1000000",$A$102:$A$1048576,$E44)</f>
        <v>0</v>
      </c>
      <c r="BT44" s="14"/>
      <c r="BU44" s="14"/>
      <c r="BV44" s="146"/>
    </row>
    <row r="45" spans="1:74" ht="11.25" hidden="1" x14ac:dyDescent="0.2">
      <c r="A45" s="123"/>
      <c r="B45" s="123"/>
      <c r="C45" s="124"/>
      <c r="D45" s="125"/>
      <c r="E45" s="18">
        <v>6</v>
      </c>
      <c r="F45" s="16" t="s">
        <v>31</v>
      </c>
      <c r="G45" s="14" t="s">
        <v>109</v>
      </c>
      <c r="H45" s="14">
        <f t="shared" ref="H45:BA45" si="89">SUMIFS($AP$102:$AP$1048576,H$102:H$1048576,"&gt;-1000000",$A$102:$A$1048576,$E45)</f>
        <v>0</v>
      </c>
      <c r="I45" s="14">
        <f t="shared" si="89"/>
        <v>0</v>
      </c>
      <c r="J45" s="14">
        <f t="shared" si="89"/>
        <v>0</v>
      </c>
      <c r="K45" s="14">
        <f t="shared" si="89"/>
        <v>0</v>
      </c>
      <c r="L45" s="14">
        <f t="shared" si="89"/>
        <v>0</v>
      </c>
      <c r="M45" s="14">
        <f t="shared" si="89"/>
        <v>0</v>
      </c>
      <c r="N45" s="29">
        <f t="shared" si="89"/>
        <v>0</v>
      </c>
      <c r="O45" s="29">
        <f t="shared" si="89"/>
        <v>0</v>
      </c>
      <c r="P45" s="160">
        <f t="shared" si="89"/>
        <v>0</v>
      </c>
      <c r="Q45" s="14">
        <f t="shared" si="89"/>
        <v>0</v>
      </c>
      <c r="R45" s="14">
        <f t="shared" si="89"/>
        <v>0</v>
      </c>
      <c r="S45" s="14">
        <f t="shared" si="89"/>
        <v>0</v>
      </c>
      <c r="T45" s="14">
        <f t="shared" si="89"/>
        <v>0</v>
      </c>
      <c r="U45" s="14">
        <f t="shared" si="89"/>
        <v>0</v>
      </c>
      <c r="V45" s="14">
        <f t="shared" si="89"/>
        <v>0</v>
      </c>
      <c r="W45" s="14">
        <f t="shared" si="89"/>
        <v>0</v>
      </c>
      <c r="X45" s="14">
        <f t="shared" si="89"/>
        <v>0</v>
      </c>
      <c r="Y45" s="14">
        <f t="shared" si="89"/>
        <v>0</v>
      </c>
      <c r="Z45" s="14">
        <f t="shared" si="89"/>
        <v>0</v>
      </c>
      <c r="AA45" s="14">
        <f t="shared" si="89"/>
        <v>0</v>
      </c>
      <c r="AB45" s="14">
        <f t="shared" si="89"/>
        <v>0</v>
      </c>
      <c r="AC45" s="14">
        <f t="shared" si="89"/>
        <v>0</v>
      </c>
      <c r="AD45" s="14">
        <f t="shared" si="89"/>
        <v>0</v>
      </c>
      <c r="AE45" s="14">
        <f t="shared" si="89"/>
        <v>0</v>
      </c>
      <c r="AF45" s="14">
        <f t="shared" si="89"/>
        <v>0</v>
      </c>
      <c r="AG45" s="14">
        <f t="shared" si="89"/>
        <v>0</v>
      </c>
      <c r="AH45" s="14">
        <f t="shared" si="89"/>
        <v>0</v>
      </c>
      <c r="AI45" s="14">
        <f t="shared" si="89"/>
        <v>0</v>
      </c>
      <c r="AJ45" s="14">
        <f t="shared" si="89"/>
        <v>0</v>
      </c>
      <c r="AK45" s="14">
        <f t="shared" si="89"/>
        <v>0</v>
      </c>
      <c r="AL45" s="14">
        <f t="shared" si="89"/>
        <v>0</v>
      </c>
      <c r="AM45" s="14">
        <f t="shared" si="89"/>
        <v>0</v>
      </c>
      <c r="AN45" s="14">
        <f t="shared" si="89"/>
        <v>0</v>
      </c>
      <c r="AO45" s="14">
        <f t="shared" si="89"/>
        <v>0</v>
      </c>
      <c r="AP45" s="14">
        <f t="shared" si="89"/>
        <v>0</v>
      </c>
      <c r="AQ45" s="14">
        <f t="shared" si="89"/>
        <v>0</v>
      </c>
      <c r="AR45" s="14">
        <f t="shared" si="89"/>
        <v>0</v>
      </c>
      <c r="AS45" s="14">
        <f t="shared" si="89"/>
        <v>0</v>
      </c>
      <c r="AT45" s="14">
        <f t="shared" si="89"/>
        <v>0</v>
      </c>
      <c r="AU45" s="14">
        <f t="shared" si="89"/>
        <v>0</v>
      </c>
      <c r="AV45" s="14">
        <f t="shared" si="89"/>
        <v>0</v>
      </c>
      <c r="AW45" s="14">
        <f t="shared" si="89"/>
        <v>0</v>
      </c>
      <c r="AX45" s="14">
        <f t="shared" si="89"/>
        <v>0</v>
      </c>
      <c r="AY45" s="14">
        <f t="shared" si="89"/>
        <v>0</v>
      </c>
      <c r="AZ45" s="14">
        <f t="shared" si="89"/>
        <v>0</v>
      </c>
      <c r="BA45" s="14">
        <f t="shared" si="89"/>
        <v>0</v>
      </c>
      <c r="BB45" s="14"/>
      <c r="BC45" s="14">
        <f t="shared" ref="BC45:BQ45" si="90">SUMIFS($AP$102:$AP$1048576,BC$102:BC$1048576,"&gt;-1000000",$A$102:$A$1048576,$E45)</f>
        <v>0</v>
      </c>
      <c r="BD45" s="14">
        <f t="shared" si="90"/>
        <v>0</v>
      </c>
      <c r="BE45" s="14">
        <f t="shared" si="90"/>
        <v>0</v>
      </c>
      <c r="BF45" s="14">
        <f t="shared" si="90"/>
        <v>0</v>
      </c>
      <c r="BG45" s="14">
        <f t="shared" si="90"/>
        <v>0</v>
      </c>
      <c r="BH45" s="14">
        <f t="shared" si="90"/>
        <v>0</v>
      </c>
      <c r="BI45" s="14">
        <f t="shared" si="90"/>
        <v>0</v>
      </c>
      <c r="BJ45" s="14">
        <f t="shared" si="90"/>
        <v>0</v>
      </c>
      <c r="BK45" s="14">
        <f t="shared" si="90"/>
        <v>0</v>
      </c>
      <c r="BL45" s="14">
        <f t="shared" si="90"/>
        <v>0</v>
      </c>
      <c r="BM45" s="14">
        <f t="shared" si="90"/>
        <v>0</v>
      </c>
      <c r="BN45" s="14">
        <f t="shared" si="90"/>
        <v>0</v>
      </c>
      <c r="BO45" s="14">
        <f t="shared" si="90"/>
        <v>0</v>
      </c>
      <c r="BP45" s="14">
        <f t="shared" si="90"/>
        <v>0</v>
      </c>
      <c r="BQ45" s="14">
        <f t="shared" si="90"/>
        <v>0</v>
      </c>
      <c r="BR45" s="14" t="e">
        <f>SUMIFS($AP$102:$AP$1048576,#REF!,"&gt;-1000000",$A$102:$A$1048576,$E45)</f>
        <v>#REF!</v>
      </c>
      <c r="BS45" s="14">
        <f>SUMIFS($AP$102:$AP$1048576,BS$102:BS$1048576,"&gt;-1000000",$A$102:$A$1048576,$E45)</f>
        <v>0</v>
      </c>
      <c r="BT45" s="14"/>
      <c r="BU45" s="14"/>
      <c r="BV45" s="146"/>
    </row>
    <row r="46" spans="1:74" ht="11.25" hidden="1" x14ac:dyDescent="0.2">
      <c r="A46" s="123"/>
      <c r="B46" s="123"/>
      <c r="C46" s="124"/>
      <c r="D46" s="125"/>
      <c r="E46" s="19">
        <v>6</v>
      </c>
      <c r="F46" s="17" t="s">
        <v>29</v>
      </c>
      <c r="G46" s="15" t="s">
        <v>109</v>
      </c>
      <c r="H46" s="126">
        <f t="shared" ref="H46:BA46" si="91">SUMIFS(H$102:H$1048576,$A$102:$A$1048576,$E46,$C$102:$C$1048576,"OK")</f>
        <v>0</v>
      </c>
      <c r="I46" s="126">
        <f t="shared" si="91"/>
        <v>0</v>
      </c>
      <c r="J46" s="126">
        <f t="shared" si="91"/>
        <v>0</v>
      </c>
      <c r="K46" s="126">
        <f t="shared" si="91"/>
        <v>0</v>
      </c>
      <c r="L46" s="126">
        <f t="shared" si="91"/>
        <v>0</v>
      </c>
      <c r="M46" s="126">
        <f t="shared" si="91"/>
        <v>0</v>
      </c>
      <c r="N46" s="29">
        <f t="shared" si="91"/>
        <v>0</v>
      </c>
      <c r="O46" s="29">
        <f t="shared" si="91"/>
        <v>0</v>
      </c>
      <c r="P46" s="161">
        <f t="shared" si="91"/>
        <v>0</v>
      </c>
      <c r="Q46" s="126">
        <f t="shared" si="91"/>
        <v>0</v>
      </c>
      <c r="R46" s="126">
        <f t="shared" si="91"/>
        <v>0</v>
      </c>
      <c r="S46" s="126">
        <f t="shared" si="91"/>
        <v>0</v>
      </c>
      <c r="T46" s="126">
        <f t="shared" si="91"/>
        <v>0</v>
      </c>
      <c r="U46" s="126">
        <f t="shared" si="91"/>
        <v>0</v>
      </c>
      <c r="V46" s="126">
        <f t="shared" si="91"/>
        <v>0</v>
      </c>
      <c r="W46" s="126">
        <f t="shared" si="91"/>
        <v>0</v>
      </c>
      <c r="X46" s="126">
        <f t="shared" si="91"/>
        <v>0</v>
      </c>
      <c r="Y46" s="126">
        <f t="shared" si="91"/>
        <v>0</v>
      </c>
      <c r="Z46" s="126">
        <f t="shared" si="91"/>
        <v>0</v>
      </c>
      <c r="AA46" s="126">
        <f t="shared" si="91"/>
        <v>0</v>
      </c>
      <c r="AB46" s="126">
        <f t="shared" si="91"/>
        <v>0</v>
      </c>
      <c r="AC46" s="126">
        <f t="shared" si="91"/>
        <v>0</v>
      </c>
      <c r="AD46" s="126">
        <f t="shared" si="91"/>
        <v>0</v>
      </c>
      <c r="AE46" s="126">
        <f t="shared" si="91"/>
        <v>0</v>
      </c>
      <c r="AF46" s="126">
        <f t="shared" si="91"/>
        <v>0</v>
      </c>
      <c r="AG46" s="126">
        <f t="shared" si="91"/>
        <v>0</v>
      </c>
      <c r="AH46" s="126">
        <f t="shared" si="91"/>
        <v>0</v>
      </c>
      <c r="AI46" s="126">
        <f t="shared" si="91"/>
        <v>0</v>
      </c>
      <c r="AJ46" s="126">
        <f t="shared" si="91"/>
        <v>0</v>
      </c>
      <c r="AK46" s="126">
        <f t="shared" si="91"/>
        <v>0</v>
      </c>
      <c r="AL46" s="126">
        <f t="shared" si="91"/>
        <v>0</v>
      </c>
      <c r="AM46" s="126">
        <f t="shared" si="91"/>
        <v>0</v>
      </c>
      <c r="AN46" s="126">
        <f t="shared" si="91"/>
        <v>0</v>
      </c>
      <c r="AO46" s="126">
        <f t="shared" si="91"/>
        <v>0</v>
      </c>
      <c r="AP46" s="126">
        <f t="shared" si="91"/>
        <v>0</v>
      </c>
      <c r="AQ46" s="126">
        <f t="shared" si="91"/>
        <v>0</v>
      </c>
      <c r="AR46" s="126">
        <f t="shared" si="91"/>
        <v>0</v>
      </c>
      <c r="AS46" s="126">
        <f t="shared" si="91"/>
        <v>0</v>
      </c>
      <c r="AT46" s="126">
        <f t="shared" si="91"/>
        <v>0</v>
      </c>
      <c r="AU46" s="126">
        <f t="shared" si="91"/>
        <v>0</v>
      </c>
      <c r="AV46" s="126">
        <f t="shared" si="91"/>
        <v>0</v>
      </c>
      <c r="AW46" s="126">
        <f t="shared" si="91"/>
        <v>0</v>
      </c>
      <c r="AX46" s="126">
        <f t="shared" si="91"/>
        <v>0</v>
      </c>
      <c r="AY46" s="126">
        <f t="shared" si="91"/>
        <v>0</v>
      </c>
      <c r="AZ46" s="126">
        <f t="shared" si="91"/>
        <v>0</v>
      </c>
      <c r="BA46" s="126">
        <f t="shared" si="91"/>
        <v>0</v>
      </c>
      <c r="BB46" s="126"/>
      <c r="BC46" s="126">
        <f t="shared" ref="BC46:BQ46" si="92">SUMIFS(BC$102:BC$1048576,$A$102:$A$1048576,$E46,$C$102:$C$1048576,"OK")</f>
        <v>0</v>
      </c>
      <c r="BD46" s="126">
        <f t="shared" si="92"/>
        <v>0</v>
      </c>
      <c r="BE46" s="126">
        <f t="shared" si="92"/>
        <v>0</v>
      </c>
      <c r="BF46" s="126">
        <f t="shared" si="92"/>
        <v>0</v>
      </c>
      <c r="BG46" s="126">
        <f t="shared" si="92"/>
        <v>0</v>
      </c>
      <c r="BH46" s="126">
        <f t="shared" si="92"/>
        <v>0</v>
      </c>
      <c r="BI46" s="126">
        <f t="shared" si="92"/>
        <v>0</v>
      </c>
      <c r="BJ46" s="126">
        <f t="shared" si="92"/>
        <v>0</v>
      </c>
      <c r="BK46" s="126">
        <f t="shared" si="92"/>
        <v>0</v>
      </c>
      <c r="BL46" s="126">
        <f t="shared" si="92"/>
        <v>0</v>
      </c>
      <c r="BM46" s="126">
        <f t="shared" si="92"/>
        <v>0</v>
      </c>
      <c r="BN46" s="126">
        <f t="shared" si="92"/>
        <v>0</v>
      </c>
      <c r="BO46" s="126">
        <f t="shared" si="92"/>
        <v>0</v>
      </c>
      <c r="BP46" s="126">
        <f t="shared" si="92"/>
        <v>0</v>
      </c>
      <c r="BQ46" s="126">
        <f t="shared" si="92"/>
        <v>0</v>
      </c>
      <c r="BR46" s="126" t="e">
        <f>SUMIFS(#REF!,$A$102:$A$1048576,$E46,$C$102:$C$1048576,"OK")</f>
        <v>#REF!</v>
      </c>
      <c r="BS46" s="126">
        <f>SUMIFS(BS$102:BS$1048576,$A$102:$A$1048576,$E46,$C$102:$C$1048576,"OK")</f>
        <v>0</v>
      </c>
      <c r="BT46" s="126"/>
      <c r="BU46" s="126"/>
      <c r="BV46" s="147"/>
    </row>
    <row r="47" spans="1:74" ht="11.25" hidden="1" x14ac:dyDescent="0.2">
      <c r="A47" s="123"/>
      <c r="B47" s="123"/>
      <c r="C47" s="124"/>
      <c r="D47" s="125"/>
      <c r="E47" s="19">
        <v>6</v>
      </c>
      <c r="F47" s="17" t="s">
        <v>23</v>
      </c>
      <c r="G47" s="15" t="s">
        <v>109</v>
      </c>
      <c r="H47" s="126">
        <f t="shared" ref="H47:BA47" si="93">COUNTIFS(H$102:H$1048576,"&gt;-1000000",$C$102:$C$1048576,"OK",$A$102:$A$1048576,$E47)</f>
        <v>0</v>
      </c>
      <c r="I47" s="126">
        <f t="shared" si="93"/>
        <v>0</v>
      </c>
      <c r="J47" s="126">
        <f t="shared" si="93"/>
        <v>0</v>
      </c>
      <c r="K47" s="126">
        <f t="shared" si="93"/>
        <v>0</v>
      </c>
      <c r="L47" s="126">
        <f t="shared" si="93"/>
        <v>0</v>
      </c>
      <c r="M47" s="126">
        <f t="shared" si="93"/>
        <v>0</v>
      </c>
      <c r="N47" s="29">
        <f t="shared" si="93"/>
        <v>0</v>
      </c>
      <c r="O47" s="29">
        <f t="shared" si="93"/>
        <v>0</v>
      </c>
      <c r="P47" s="161">
        <f t="shared" si="93"/>
        <v>0</v>
      </c>
      <c r="Q47" s="126">
        <f t="shared" si="93"/>
        <v>0</v>
      </c>
      <c r="R47" s="126">
        <f t="shared" si="93"/>
        <v>0</v>
      </c>
      <c r="S47" s="126">
        <f t="shared" si="93"/>
        <v>0</v>
      </c>
      <c r="T47" s="126">
        <f t="shared" si="93"/>
        <v>0</v>
      </c>
      <c r="U47" s="126">
        <f t="shared" si="93"/>
        <v>0</v>
      </c>
      <c r="V47" s="126">
        <f t="shared" si="93"/>
        <v>0</v>
      </c>
      <c r="W47" s="126">
        <f t="shared" si="93"/>
        <v>0</v>
      </c>
      <c r="X47" s="126">
        <f t="shared" si="93"/>
        <v>0</v>
      </c>
      <c r="Y47" s="126">
        <f t="shared" si="93"/>
        <v>0</v>
      </c>
      <c r="Z47" s="126">
        <f t="shared" si="93"/>
        <v>0</v>
      </c>
      <c r="AA47" s="126">
        <f t="shared" si="93"/>
        <v>0</v>
      </c>
      <c r="AB47" s="126">
        <f t="shared" si="93"/>
        <v>0</v>
      </c>
      <c r="AC47" s="126">
        <f t="shared" si="93"/>
        <v>0</v>
      </c>
      <c r="AD47" s="126">
        <f t="shared" si="93"/>
        <v>0</v>
      </c>
      <c r="AE47" s="126">
        <f t="shared" si="93"/>
        <v>0</v>
      </c>
      <c r="AF47" s="126">
        <f t="shared" si="93"/>
        <v>0</v>
      </c>
      <c r="AG47" s="126">
        <f t="shared" si="93"/>
        <v>0</v>
      </c>
      <c r="AH47" s="126">
        <f t="shared" si="93"/>
        <v>0</v>
      </c>
      <c r="AI47" s="126">
        <f t="shared" si="93"/>
        <v>0</v>
      </c>
      <c r="AJ47" s="126">
        <f t="shared" si="93"/>
        <v>0</v>
      </c>
      <c r="AK47" s="126">
        <f t="shared" si="93"/>
        <v>0</v>
      </c>
      <c r="AL47" s="126">
        <f t="shared" si="93"/>
        <v>0</v>
      </c>
      <c r="AM47" s="126">
        <f t="shared" si="93"/>
        <v>0</v>
      </c>
      <c r="AN47" s="126">
        <f t="shared" si="93"/>
        <v>0</v>
      </c>
      <c r="AO47" s="126">
        <f t="shared" si="93"/>
        <v>0</v>
      </c>
      <c r="AP47" s="126">
        <f t="shared" si="93"/>
        <v>0</v>
      </c>
      <c r="AQ47" s="126">
        <f t="shared" si="93"/>
        <v>0</v>
      </c>
      <c r="AR47" s="126">
        <f t="shared" si="93"/>
        <v>0</v>
      </c>
      <c r="AS47" s="126">
        <f t="shared" si="93"/>
        <v>0</v>
      </c>
      <c r="AT47" s="126">
        <f t="shared" si="93"/>
        <v>0</v>
      </c>
      <c r="AU47" s="126">
        <f t="shared" si="93"/>
        <v>0</v>
      </c>
      <c r="AV47" s="126">
        <f t="shared" si="93"/>
        <v>0</v>
      </c>
      <c r="AW47" s="126">
        <f t="shared" si="93"/>
        <v>0</v>
      </c>
      <c r="AX47" s="126">
        <f t="shared" si="93"/>
        <v>0</v>
      </c>
      <c r="AY47" s="126">
        <f t="shared" si="93"/>
        <v>0</v>
      </c>
      <c r="AZ47" s="126">
        <f t="shared" si="93"/>
        <v>0</v>
      </c>
      <c r="BA47" s="126">
        <f t="shared" si="93"/>
        <v>0</v>
      </c>
      <c r="BB47" s="126"/>
      <c r="BC47" s="126">
        <f t="shared" ref="BC47:BQ47" si="94">COUNTIFS(BC$102:BC$1048576,"&gt;-1000000",$C$102:$C$1048576,"OK",$A$102:$A$1048576,$E47)</f>
        <v>0</v>
      </c>
      <c r="BD47" s="126">
        <f t="shared" si="94"/>
        <v>0</v>
      </c>
      <c r="BE47" s="126">
        <f t="shared" si="94"/>
        <v>0</v>
      </c>
      <c r="BF47" s="126">
        <f t="shared" si="94"/>
        <v>0</v>
      </c>
      <c r="BG47" s="126">
        <f t="shared" si="94"/>
        <v>0</v>
      </c>
      <c r="BH47" s="126">
        <f t="shared" si="94"/>
        <v>0</v>
      </c>
      <c r="BI47" s="126">
        <f t="shared" si="94"/>
        <v>0</v>
      </c>
      <c r="BJ47" s="126">
        <f t="shared" si="94"/>
        <v>0</v>
      </c>
      <c r="BK47" s="126">
        <f t="shared" si="94"/>
        <v>0</v>
      </c>
      <c r="BL47" s="126">
        <f t="shared" si="94"/>
        <v>0</v>
      </c>
      <c r="BM47" s="126">
        <f t="shared" si="94"/>
        <v>0</v>
      </c>
      <c r="BN47" s="126">
        <f t="shared" si="94"/>
        <v>0</v>
      </c>
      <c r="BO47" s="126">
        <f t="shared" si="94"/>
        <v>0</v>
      </c>
      <c r="BP47" s="126">
        <f t="shared" si="94"/>
        <v>0</v>
      </c>
      <c r="BQ47" s="126">
        <f t="shared" si="94"/>
        <v>0</v>
      </c>
      <c r="BR47" s="126" t="e">
        <f>COUNTIFS(#REF!,"&gt;-1000000",$C$102:$C$1048576,"OK",$A$102:$A$1048576,$E47)</f>
        <v>#REF!</v>
      </c>
      <c r="BS47" s="126">
        <f>COUNTIFS(BS$102:BS$1048576,"&gt;-1000000",$C$102:$C$1048576,"OK",$A$102:$A$1048576,$E47)</f>
        <v>0</v>
      </c>
      <c r="BT47" s="126"/>
      <c r="BU47" s="126"/>
      <c r="BV47" s="147"/>
    </row>
    <row r="48" spans="1:74" ht="11.25" hidden="1" x14ac:dyDescent="0.2">
      <c r="A48" s="123"/>
      <c r="B48" s="123"/>
      <c r="C48" s="124"/>
      <c r="D48" s="125"/>
      <c r="E48" s="19">
        <v>6</v>
      </c>
      <c r="F48" s="17" t="s">
        <v>30</v>
      </c>
      <c r="G48" s="15" t="s">
        <v>109</v>
      </c>
      <c r="H48" s="126">
        <f t="shared" ref="H48:BA48" si="95">SUMIFS($AM$102:$AM$1048576,H$102:H$1048576,"&gt;-1000000",$C$102:$C$1048576,"OK",$A$102:$A$1048576,$E48)</f>
        <v>0</v>
      </c>
      <c r="I48" s="126">
        <f t="shared" si="95"/>
        <v>0</v>
      </c>
      <c r="J48" s="126">
        <f t="shared" si="95"/>
        <v>0</v>
      </c>
      <c r="K48" s="126">
        <f t="shared" si="95"/>
        <v>0</v>
      </c>
      <c r="L48" s="126">
        <f t="shared" si="95"/>
        <v>0</v>
      </c>
      <c r="M48" s="126">
        <f t="shared" si="95"/>
        <v>0</v>
      </c>
      <c r="N48" s="29">
        <f t="shared" si="95"/>
        <v>0</v>
      </c>
      <c r="O48" s="29">
        <f t="shared" si="95"/>
        <v>0</v>
      </c>
      <c r="P48" s="161">
        <f t="shared" si="95"/>
        <v>0</v>
      </c>
      <c r="Q48" s="126">
        <f t="shared" si="95"/>
        <v>0</v>
      </c>
      <c r="R48" s="126">
        <f t="shared" si="95"/>
        <v>0</v>
      </c>
      <c r="S48" s="126">
        <f t="shared" si="95"/>
        <v>0</v>
      </c>
      <c r="T48" s="126">
        <f t="shared" si="95"/>
        <v>0</v>
      </c>
      <c r="U48" s="126">
        <f t="shared" si="95"/>
        <v>0</v>
      </c>
      <c r="V48" s="126">
        <f t="shared" si="95"/>
        <v>0</v>
      </c>
      <c r="W48" s="126">
        <f t="shared" si="95"/>
        <v>0</v>
      </c>
      <c r="X48" s="126">
        <f t="shared" si="95"/>
        <v>0</v>
      </c>
      <c r="Y48" s="126">
        <f t="shared" si="95"/>
        <v>0</v>
      </c>
      <c r="Z48" s="126">
        <f t="shared" si="95"/>
        <v>0</v>
      </c>
      <c r="AA48" s="126">
        <f t="shared" si="95"/>
        <v>0</v>
      </c>
      <c r="AB48" s="126">
        <f t="shared" si="95"/>
        <v>0</v>
      </c>
      <c r="AC48" s="126">
        <f t="shared" si="95"/>
        <v>0</v>
      </c>
      <c r="AD48" s="126">
        <f t="shared" si="95"/>
        <v>0</v>
      </c>
      <c r="AE48" s="126">
        <f t="shared" si="95"/>
        <v>0</v>
      </c>
      <c r="AF48" s="126">
        <f t="shared" si="95"/>
        <v>0</v>
      </c>
      <c r="AG48" s="126">
        <f t="shared" si="95"/>
        <v>0</v>
      </c>
      <c r="AH48" s="126">
        <f t="shared" si="95"/>
        <v>0</v>
      </c>
      <c r="AI48" s="126">
        <f t="shared" si="95"/>
        <v>0</v>
      </c>
      <c r="AJ48" s="126">
        <f t="shared" si="95"/>
        <v>0</v>
      </c>
      <c r="AK48" s="126">
        <f t="shared" si="95"/>
        <v>0</v>
      </c>
      <c r="AL48" s="126">
        <f t="shared" si="95"/>
        <v>0</v>
      </c>
      <c r="AM48" s="126">
        <f t="shared" si="95"/>
        <v>0</v>
      </c>
      <c r="AN48" s="126">
        <f t="shared" si="95"/>
        <v>0</v>
      </c>
      <c r="AO48" s="126">
        <f t="shared" si="95"/>
        <v>0</v>
      </c>
      <c r="AP48" s="126">
        <f t="shared" si="95"/>
        <v>0</v>
      </c>
      <c r="AQ48" s="126">
        <f t="shared" si="95"/>
        <v>0</v>
      </c>
      <c r="AR48" s="126">
        <f t="shared" si="95"/>
        <v>0</v>
      </c>
      <c r="AS48" s="126">
        <f t="shared" si="95"/>
        <v>0</v>
      </c>
      <c r="AT48" s="126">
        <f t="shared" si="95"/>
        <v>0</v>
      </c>
      <c r="AU48" s="126">
        <f t="shared" si="95"/>
        <v>0</v>
      </c>
      <c r="AV48" s="126">
        <f t="shared" si="95"/>
        <v>0</v>
      </c>
      <c r="AW48" s="126">
        <f t="shared" si="95"/>
        <v>0</v>
      </c>
      <c r="AX48" s="126">
        <f t="shared" si="95"/>
        <v>0</v>
      </c>
      <c r="AY48" s="126">
        <f t="shared" si="95"/>
        <v>0</v>
      </c>
      <c r="AZ48" s="126">
        <f t="shared" si="95"/>
        <v>0</v>
      </c>
      <c r="BA48" s="126">
        <f t="shared" si="95"/>
        <v>0</v>
      </c>
      <c r="BB48" s="126"/>
      <c r="BC48" s="126">
        <f t="shared" ref="BC48:BQ48" si="96">SUMIFS($AM$102:$AM$1048576,BC$102:BC$1048576,"&gt;-1000000",$C$102:$C$1048576,"OK",$A$102:$A$1048576,$E48)</f>
        <v>0</v>
      </c>
      <c r="BD48" s="126">
        <f t="shared" si="96"/>
        <v>0</v>
      </c>
      <c r="BE48" s="126">
        <f t="shared" si="96"/>
        <v>0</v>
      </c>
      <c r="BF48" s="126">
        <f t="shared" si="96"/>
        <v>0</v>
      </c>
      <c r="BG48" s="126">
        <f t="shared" si="96"/>
        <v>0</v>
      </c>
      <c r="BH48" s="126">
        <f t="shared" si="96"/>
        <v>0</v>
      </c>
      <c r="BI48" s="126">
        <f t="shared" si="96"/>
        <v>0</v>
      </c>
      <c r="BJ48" s="126">
        <f t="shared" si="96"/>
        <v>0</v>
      </c>
      <c r="BK48" s="126">
        <f t="shared" si="96"/>
        <v>0</v>
      </c>
      <c r="BL48" s="126">
        <f t="shared" si="96"/>
        <v>0</v>
      </c>
      <c r="BM48" s="126">
        <f t="shared" si="96"/>
        <v>0</v>
      </c>
      <c r="BN48" s="126">
        <f t="shared" si="96"/>
        <v>0</v>
      </c>
      <c r="BO48" s="126">
        <f t="shared" si="96"/>
        <v>0</v>
      </c>
      <c r="BP48" s="126">
        <f t="shared" si="96"/>
        <v>0</v>
      </c>
      <c r="BQ48" s="126">
        <f t="shared" si="96"/>
        <v>0</v>
      </c>
      <c r="BR48" s="126" t="e">
        <f>SUMIFS($AM$102:$AM$1048576,#REF!,"&gt;-1000000",$C$102:$C$1048576,"OK",$A$102:$A$1048576,$E48)</f>
        <v>#REF!</v>
      </c>
      <c r="BS48" s="126">
        <f>SUMIFS($AM$102:$AM$1048576,BS$102:BS$1048576,"&gt;-1000000",$C$102:$C$1048576,"OK",$A$102:$A$1048576,$E48)</f>
        <v>0</v>
      </c>
      <c r="BT48" s="126"/>
      <c r="BU48" s="126"/>
      <c r="BV48" s="147"/>
    </row>
    <row r="49" spans="1:74" ht="11.25" hidden="1" x14ac:dyDescent="0.2">
      <c r="A49" s="123"/>
      <c r="B49" s="123"/>
      <c r="C49" s="124"/>
      <c r="D49" s="125"/>
      <c r="E49" s="19">
        <v>6</v>
      </c>
      <c r="F49" s="17" t="s">
        <v>32</v>
      </c>
      <c r="G49" s="15" t="s">
        <v>109</v>
      </c>
      <c r="H49" s="126">
        <f t="shared" ref="H49:BA49" si="97">SUMIFS($AP$102:$AP$1048576,H$102:H$1048576,"&gt;-1000000",$C$102:$C$1048576,"OK",$A$102:$A$1048576,$E49)</f>
        <v>0</v>
      </c>
      <c r="I49" s="126">
        <f t="shared" si="97"/>
        <v>0</v>
      </c>
      <c r="J49" s="126">
        <f t="shared" si="97"/>
        <v>0</v>
      </c>
      <c r="K49" s="126">
        <f t="shared" si="97"/>
        <v>0</v>
      </c>
      <c r="L49" s="126">
        <f t="shared" si="97"/>
        <v>0</v>
      </c>
      <c r="M49" s="126">
        <f t="shared" si="97"/>
        <v>0</v>
      </c>
      <c r="N49" s="29">
        <f t="shared" si="97"/>
        <v>0</v>
      </c>
      <c r="O49" s="29">
        <f t="shared" si="97"/>
        <v>0</v>
      </c>
      <c r="P49" s="161">
        <f t="shared" si="97"/>
        <v>0</v>
      </c>
      <c r="Q49" s="126">
        <f t="shared" si="97"/>
        <v>0</v>
      </c>
      <c r="R49" s="126">
        <f t="shared" si="97"/>
        <v>0</v>
      </c>
      <c r="S49" s="126">
        <f t="shared" si="97"/>
        <v>0</v>
      </c>
      <c r="T49" s="126">
        <f t="shared" si="97"/>
        <v>0</v>
      </c>
      <c r="U49" s="126">
        <f t="shared" si="97"/>
        <v>0</v>
      </c>
      <c r="V49" s="126">
        <f t="shared" si="97"/>
        <v>0</v>
      </c>
      <c r="W49" s="126">
        <f t="shared" si="97"/>
        <v>0</v>
      </c>
      <c r="X49" s="126">
        <f t="shared" si="97"/>
        <v>0</v>
      </c>
      <c r="Y49" s="126">
        <f t="shared" si="97"/>
        <v>0</v>
      </c>
      <c r="Z49" s="126">
        <f t="shared" si="97"/>
        <v>0</v>
      </c>
      <c r="AA49" s="126">
        <f t="shared" si="97"/>
        <v>0</v>
      </c>
      <c r="AB49" s="126">
        <f t="shared" si="97"/>
        <v>0</v>
      </c>
      <c r="AC49" s="126">
        <f t="shared" si="97"/>
        <v>0</v>
      </c>
      <c r="AD49" s="126">
        <f t="shared" si="97"/>
        <v>0</v>
      </c>
      <c r="AE49" s="126">
        <f t="shared" si="97"/>
        <v>0</v>
      </c>
      <c r="AF49" s="126">
        <f t="shared" si="97"/>
        <v>0</v>
      </c>
      <c r="AG49" s="126">
        <f t="shared" si="97"/>
        <v>0</v>
      </c>
      <c r="AH49" s="126">
        <f t="shared" si="97"/>
        <v>0</v>
      </c>
      <c r="AI49" s="126">
        <f t="shared" si="97"/>
        <v>0</v>
      </c>
      <c r="AJ49" s="126">
        <f t="shared" si="97"/>
        <v>0</v>
      </c>
      <c r="AK49" s="126">
        <f t="shared" si="97"/>
        <v>0</v>
      </c>
      <c r="AL49" s="126">
        <f t="shared" si="97"/>
        <v>0</v>
      </c>
      <c r="AM49" s="126">
        <f t="shared" si="97"/>
        <v>0</v>
      </c>
      <c r="AN49" s="126">
        <f t="shared" si="97"/>
        <v>0</v>
      </c>
      <c r="AO49" s="126">
        <f t="shared" si="97"/>
        <v>0</v>
      </c>
      <c r="AP49" s="126">
        <f t="shared" si="97"/>
        <v>0</v>
      </c>
      <c r="AQ49" s="126">
        <f t="shared" si="97"/>
        <v>0</v>
      </c>
      <c r="AR49" s="126">
        <f t="shared" si="97"/>
        <v>0</v>
      </c>
      <c r="AS49" s="126">
        <f t="shared" si="97"/>
        <v>0</v>
      </c>
      <c r="AT49" s="126">
        <f t="shared" si="97"/>
        <v>0</v>
      </c>
      <c r="AU49" s="126">
        <f t="shared" si="97"/>
        <v>0</v>
      </c>
      <c r="AV49" s="126">
        <f t="shared" si="97"/>
        <v>0</v>
      </c>
      <c r="AW49" s="126">
        <f t="shared" si="97"/>
        <v>0</v>
      </c>
      <c r="AX49" s="126">
        <f t="shared" si="97"/>
        <v>0</v>
      </c>
      <c r="AY49" s="126">
        <f t="shared" si="97"/>
        <v>0</v>
      </c>
      <c r="AZ49" s="126">
        <f t="shared" si="97"/>
        <v>0</v>
      </c>
      <c r="BA49" s="126">
        <f t="shared" si="97"/>
        <v>0</v>
      </c>
      <c r="BB49" s="126"/>
      <c r="BC49" s="126">
        <f t="shared" ref="BC49:BQ49" si="98">SUMIFS($AP$102:$AP$1048576,BC$102:BC$1048576,"&gt;-1000000",$C$102:$C$1048576,"OK",$A$102:$A$1048576,$E49)</f>
        <v>0</v>
      </c>
      <c r="BD49" s="126">
        <f t="shared" si="98"/>
        <v>0</v>
      </c>
      <c r="BE49" s="126">
        <f t="shared" si="98"/>
        <v>0</v>
      </c>
      <c r="BF49" s="126">
        <f t="shared" si="98"/>
        <v>0</v>
      </c>
      <c r="BG49" s="126">
        <f t="shared" si="98"/>
        <v>0</v>
      </c>
      <c r="BH49" s="126">
        <f t="shared" si="98"/>
        <v>0</v>
      </c>
      <c r="BI49" s="126">
        <f t="shared" si="98"/>
        <v>0</v>
      </c>
      <c r="BJ49" s="126">
        <f t="shared" si="98"/>
        <v>0</v>
      </c>
      <c r="BK49" s="126">
        <f t="shared" si="98"/>
        <v>0</v>
      </c>
      <c r="BL49" s="126">
        <f t="shared" si="98"/>
        <v>0</v>
      </c>
      <c r="BM49" s="126">
        <f t="shared" si="98"/>
        <v>0</v>
      </c>
      <c r="BN49" s="126">
        <f t="shared" si="98"/>
        <v>0</v>
      </c>
      <c r="BO49" s="126">
        <f t="shared" si="98"/>
        <v>0</v>
      </c>
      <c r="BP49" s="126">
        <f t="shared" si="98"/>
        <v>0</v>
      </c>
      <c r="BQ49" s="126">
        <f t="shared" si="98"/>
        <v>0</v>
      </c>
      <c r="BR49" s="126" t="e">
        <f>SUMIFS($AP$102:$AP$1048576,#REF!,"&gt;-1000000",$C$102:$C$1048576,"OK",$A$102:$A$1048576,$E49)</f>
        <v>#REF!</v>
      </c>
      <c r="BS49" s="126">
        <f>SUMIFS($AP$102:$AP$1048576,BS$102:BS$1048576,"&gt;-1000000",$C$102:$C$1048576,"OK",$A$102:$A$1048576,$E49)</f>
        <v>0</v>
      </c>
      <c r="BT49" s="126"/>
      <c r="BU49" s="126"/>
      <c r="BV49" s="147"/>
    </row>
    <row r="50" spans="1:74" ht="11.25" hidden="1" x14ac:dyDescent="0.2">
      <c r="A50" s="123"/>
      <c r="B50" s="123"/>
      <c r="C50" s="124"/>
      <c r="D50" s="125"/>
      <c r="E50" s="18">
        <v>7</v>
      </c>
      <c r="F50" s="16" t="s">
        <v>28</v>
      </c>
      <c r="G50" s="14" t="s">
        <v>109</v>
      </c>
      <c r="H50" s="21">
        <f t="shared" ref="H50:BA50" si="99">SUMIFS(H$102:H$1048576,$A$102:$A$1048576,$E50)</f>
        <v>0</v>
      </c>
      <c r="I50" s="21">
        <f t="shared" si="99"/>
        <v>0</v>
      </c>
      <c r="J50" s="21">
        <f t="shared" si="99"/>
        <v>0</v>
      </c>
      <c r="K50" s="21">
        <f t="shared" si="99"/>
        <v>0</v>
      </c>
      <c r="L50" s="21">
        <f t="shared" si="99"/>
        <v>0</v>
      </c>
      <c r="M50" s="21">
        <f t="shared" si="99"/>
        <v>0</v>
      </c>
      <c r="N50" s="29">
        <f t="shared" si="99"/>
        <v>0</v>
      </c>
      <c r="O50" s="29">
        <f t="shared" si="99"/>
        <v>0</v>
      </c>
      <c r="P50" s="160">
        <f t="shared" si="99"/>
        <v>0</v>
      </c>
      <c r="Q50" s="21">
        <f t="shared" si="99"/>
        <v>0</v>
      </c>
      <c r="R50" s="21">
        <f t="shared" si="99"/>
        <v>0</v>
      </c>
      <c r="S50" s="21">
        <f t="shared" si="99"/>
        <v>0</v>
      </c>
      <c r="T50" s="21">
        <f t="shared" si="99"/>
        <v>0</v>
      </c>
      <c r="U50" s="21">
        <f t="shared" si="99"/>
        <v>0</v>
      </c>
      <c r="V50" s="21">
        <f t="shared" si="99"/>
        <v>0</v>
      </c>
      <c r="W50" s="21">
        <f t="shared" si="99"/>
        <v>0</v>
      </c>
      <c r="X50" s="21">
        <f t="shared" si="99"/>
        <v>0</v>
      </c>
      <c r="Y50" s="21">
        <f t="shared" si="99"/>
        <v>0</v>
      </c>
      <c r="Z50" s="21">
        <f t="shared" si="99"/>
        <v>0</v>
      </c>
      <c r="AA50" s="21">
        <f t="shared" si="99"/>
        <v>0</v>
      </c>
      <c r="AB50" s="21">
        <f t="shared" si="99"/>
        <v>0</v>
      </c>
      <c r="AC50" s="21">
        <f t="shared" si="99"/>
        <v>0</v>
      </c>
      <c r="AD50" s="21">
        <f t="shared" si="99"/>
        <v>0</v>
      </c>
      <c r="AE50" s="21">
        <f t="shared" si="99"/>
        <v>0</v>
      </c>
      <c r="AF50" s="21">
        <f t="shared" si="99"/>
        <v>0</v>
      </c>
      <c r="AG50" s="21">
        <f t="shared" si="99"/>
        <v>0</v>
      </c>
      <c r="AH50" s="21">
        <f t="shared" si="99"/>
        <v>0</v>
      </c>
      <c r="AI50" s="21">
        <f t="shared" si="99"/>
        <v>0</v>
      </c>
      <c r="AJ50" s="21">
        <f t="shared" si="99"/>
        <v>0</v>
      </c>
      <c r="AK50" s="21">
        <f t="shared" si="99"/>
        <v>0</v>
      </c>
      <c r="AL50" s="21">
        <f t="shared" si="99"/>
        <v>0</v>
      </c>
      <c r="AM50" s="21">
        <f t="shared" si="99"/>
        <v>0</v>
      </c>
      <c r="AN50" s="21">
        <f t="shared" si="99"/>
        <v>0</v>
      </c>
      <c r="AO50" s="21">
        <f t="shared" si="99"/>
        <v>0</v>
      </c>
      <c r="AP50" s="21">
        <f t="shared" si="99"/>
        <v>0</v>
      </c>
      <c r="AQ50" s="21">
        <f t="shared" si="99"/>
        <v>0</v>
      </c>
      <c r="AR50" s="21">
        <f t="shared" si="99"/>
        <v>0</v>
      </c>
      <c r="AS50" s="21">
        <f t="shared" si="99"/>
        <v>0</v>
      </c>
      <c r="AT50" s="21">
        <f t="shared" si="99"/>
        <v>0</v>
      </c>
      <c r="AU50" s="21">
        <f t="shared" si="99"/>
        <v>0</v>
      </c>
      <c r="AV50" s="21">
        <f t="shared" si="99"/>
        <v>0</v>
      </c>
      <c r="AW50" s="21">
        <f t="shared" si="99"/>
        <v>0</v>
      </c>
      <c r="AX50" s="21">
        <f t="shared" si="99"/>
        <v>0</v>
      </c>
      <c r="AY50" s="21">
        <f t="shared" si="99"/>
        <v>0</v>
      </c>
      <c r="AZ50" s="21">
        <f t="shared" si="99"/>
        <v>0</v>
      </c>
      <c r="BA50" s="21">
        <f t="shared" si="99"/>
        <v>0</v>
      </c>
      <c r="BB50" s="21"/>
      <c r="BC50" s="21">
        <f t="shared" ref="BC50:BQ50" si="100">SUMIFS(BC$102:BC$1048576,$A$102:$A$1048576,$E50)</f>
        <v>0</v>
      </c>
      <c r="BD50" s="21">
        <f t="shared" si="100"/>
        <v>0</v>
      </c>
      <c r="BE50" s="21">
        <f t="shared" si="100"/>
        <v>0</v>
      </c>
      <c r="BF50" s="21">
        <f t="shared" si="100"/>
        <v>0</v>
      </c>
      <c r="BG50" s="21">
        <f t="shared" si="100"/>
        <v>0</v>
      </c>
      <c r="BH50" s="21">
        <f t="shared" si="100"/>
        <v>0</v>
      </c>
      <c r="BI50" s="21">
        <f t="shared" si="100"/>
        <v>0</v>
      </c>
      <c r="BJ50" s="21">
        <f t="shared" si="100"/>
        <v>0</v>
      </c>
      <c r="BK50" s="21">
        <f t="shared" si="100"/>
        <v>0</v>
      </c>
      <c r="BL50" s="21">
        <f t="shared" si="100"/>
        <v>0</v>
      </c>
      <c r="BM50" s="21">
        <f t="shared" si="100"/>
        <v>0</v>
      </c>
      <c r="BN50" s="21">
        <f t="shared" si="100"/>
        <v>0</v>
      </c>
      <c r="BO50" s="21">
        <f t="shared" si="100"/>
        <v>0</v>
      </c>
      <c r="BP50" s="21">
        <f t="shared" si="100"/>
        <v>0</v>
      </c>
      <c r="BQ50" s="21">
        <f t="shared" si="100"/>
        <v>0</v>
      </c>
      <c r="BR50" s="21" t="e">
        <f>SUMIFS(#REF!,$A$102:$A$1048576,$E50)</f>
        <v>#REF!</v>
      </c>
      <c r="BS50" s="21">
        <f>SUMIFS(BS$102:BS$1048576,$A$102:$A$1048576,$E50)</f>
        <v>0</v>
      </c>
      <c r="BT50" s="21"/>
      <c r="BU50" s="21"/>
      <c r="BV50" s="145"/>
    </row>
    <row r="51" spans="1:74" ht="11.25" hidden="1" x14ac:dyDescent="0.2">
      <c r="A51" s="123"/>
      <c r="B51" s="123"/>
      <c r="C51" s="124"/>
      <c r="D51" s="125"/>
      <c r="E51" s="18">
        <v>7</v>
      </c>
      <c r="F51" s="16" t="s">
        <v>25</v>
      </c>
      <c r="G51" s="14" t="s">
        <v>109</v>
      </c>
      <c r="H51" s="14">
        <f t="shared" ref="H51:BA51" si="101">COUNTIFS(H$102:H$1048576,"&gt;-1000000",$A$102:$A$1048576,$E51)</f>
        <v>0</v>
      </c>
      <c r="I51" s="14">
        <f t="shared" si="101"/>
        <v>0</v>
      </c>
      <c r="J51" s="14">
        <f t="shared" si="101"/>
        <v>0</v>
      </c>
      <c r="K51" s="14">
        <f t="shared" si="101"/>
        <v>0</v>
      </c>
      <c r="L51" s="14">
        <f t="shared" si="101"/>
        <v>0</v>
      </c>
      <c r="M51" s="14">
        <f t="shared" si="101"/>
        <v>0</v>
      </c>
      <c r="N51" s="29">
        <f t="shared" si="101"/>
        <v>0</v>
      </c>
      <c r="O51" s="29">
        <f t="shared" si="101"/>
        <v>0</v>
      </c>
      <c r="P51" s="160">
        <f t="shared" si="101"/>
        <v>0</v>
      </c>
      <c r="Q51" s="14">
        <f t="shared" si="101"/>
        <v>0</v>
      </c>
      <c r="R51" s="14">
        <f t="shared" si="101"/>
        <v>0</v>
      </c>
      <c r="S51" s="14">
        <f t="shared" si="101"/>
        <v>0</v>
      </c>
      <c r="T51" s="14">
        <f t="shared" si="101"/>
        <v>0</v>
      </c>
      <c r="U51" s="14">
        <f t="shared" si="101"/>
        <v>0</v>
      </c>
      <c r="V51" s="14">
        <f t="shared" si="101"/>
        <v>0</v>
      </c>
      <c r="W51" s="14">
        <f t="shared" si="101"/>
        <v>0</v>
      </c>
      <c r="X51" s="14">
        <f t="shared" si="101"/>
        <v>0</v>
      </c>
      <c r="Y51" s="14">
        <f t="shared" si="101"/>
        <v>0</v>
      </c>
      <c r="Z51" s="14">
        <f t="shared" si="101"/>
        <v>0</v>
      </c>
      <c r="AA51" s="14">
        <f t="shared" si="101"/>
        <v>0</v>
      </c>
      <c r="AB51" s="14">
        <f t="shared" si="101"/>
        <v>0</v>
      </c>
      <c r="AC51" s="14">
        <f t="shared" si="101"/>
        <v>0</v>
      </c>
      <c r="AD51" s="14">
        <f t="shared" si="101"/>
        <v>0</v>
      </c>
      <c r="AE51" s="14">
        <f t="shared" si="101"/>
        <v>0</v>
      </c>
      <c r="AF51" s="14">
        <f t="shared" si="101"/>
        <v>0</v>
      </c>
      <c r="AG51" s="14">
        <f t="shared" si="101"/>
        <v>0</v>
      </c>
      <c r="AH51" s="14">
        <f t="shared" si="101"/>
        <v>0</v>
      </c>
      <c r="AI51" s="14">
        <f t="shared" si="101"/>
        <v>0</v>
      </c>
      <c r="AJ51" s="14">
        <f t="shared" si="101"/>
        <v>0</v>
      </c>
      <c r="AK51" s="14">
        <f t="shared" si="101"/>
        <v>0</v>
      </c>
      <c r="AL51" s="14">
        <f t="shared" si="101"/>
        <v>0</v>
      </c>
      <c r="AM51" s="14">
        <f t="shared" si="101"/>
        <v>0</v>
      </c>
      <c r="AN51" s="14">
        <f t="shared" si="101"/>
        <v>0</v>
      </c>
      <c r="AO51" s="14">
        <f t="shared" si="101"/>
        <v>0</v>
      </c>
      <c r="AP51" s="14">
        <f t="shared" si="101"/>
        <v>0</v>
      </c>
      <c r="AQ51" s="14">
        <f t="shared" si="101"/>
        <v>0</v>
      </c>
      <c r="AR51" s="14">
        <f t="shared" si="101"/>
        <v>0</v>
      </c>
      <c r="AS51" s="14">
        <f t="shared" si="101"/>
        <v>0</v>
      </c>
      <c r="AT51" s="14">
        <f t="shared" si="101"/>
        <v>0</v>
      </c>
      <c r="AU51" s="14">
        <f t="shared" si="101"/>
        <v>0</v>
      </c>
      <c r="AV51" s="14">
        <f t="shared" si="101"/>
        <v>0</v>
      </c>
      <c r="AW51" s="14">
        <f t="shared" si="101"/>
        <v>0</v>
      </c>
      <c r="AX51" s="14">
        <f t="shared" si="101"/>
        <v>0</v>
      </c>
      <c r="AY51" s="14">
        <f t="shared" si="101"/>
        <v>0</v>
      </c>
      <c r="AZ51" s="14">
        <f t="shared" si="101"/>
        <v>0</v>
      </c>
      <c r="BA51" s="14">
        <f t="shared" si="101"/>
        <v>0</v>
      </c>
      <c r="BB51" s="14"/>
      <c r="BC51" s="14">
        <f t="shared" ref="BC51:BQ51" si="102">COUNTIFS(BC$102:BC$1048576,"&gt;-1000000",$A$102:$A$1048576,$E51)</f>
        <v>0</v>
      </c>
      <c r="BD51" s="14">
        <f t="shared" si="102"/>
        <v>0</v>
      </c>
      <c r="BE51" s="14">
        <f t="shared" si="102"/>
        <v>0</v>
      </c>
      <c r="BF51" s="14">
        <f t="shared" si="102"/>
        <v>0</v>
      </c>
      <c r="BG51" s="14">
        <f t="shared" si="102"/>
        <v>0</v>
      </c>
      <c r="BH51" s="14">
        <f t="shared" si="102"/>
        <v>0</v>
      </c>
      <c r="BI51" s="14">
        <f t="shared" si="102"/>
        <v>0</v>
      </c>
      <c r="BJ51" s="14">
        <f t="shared" si="102"/>
        <v>0</v>
      </c>
      <c r="BK51" s="14">
        <f t="shared" si="102"/>
        <v>0</v>
      </c>
      <c r="BL51" s="14">
        <f t="shared" si="102"/>
        <v>0</v>
      </c>
      <c r="BM51" s="14">
        <f t="shared" si="102"/>
        <v>0</v>
      </c>
      <c r="BN51" s="14">
        <f t="shared" si="102"/>
        <v>0</v>
      </c>
      <c r="BO51" s="14">
        <f t="shared" si="102"/>
        <v>0</v>
      </c>
      <c r="BP51" s="14">
        <f t="shared" si="102"/>
        <v>0</v>
      </c>
      <c r="BQ51" s="14">
        <f t="shared" si="102"/>
        <v>0</v>
      </c>
      <c r="BR51" s="14" t="e">
        <f>COUNTIFS(#REF!,"&gt;-1000000",$A$102:$A$1048576,$E51)</f>
        <v>#REF!</v>
      </c>
      <c r="BS51" s="14">
        <f>COUNTIFS(BS$102:BS$1048576,"&gt;-1000000",$A$102:$A$1048576,$E51)</f>
        <v>0</v>
      </c>
      <c r="BT51" s="14"/>
      <c r="BU51" s="14"/>
      <c r="BV51" s="146"/>
    </row>
    <row r="52" spans="1:74" ht="11.25" hidden="1" x14ac:dyDescent="0.2">
      <c r="A52" s="123"/>
      <c r="B52" s="123"/>
      <c r="C52" s="124"/>
      <c r="D52" s="125"/>
      <c r="E52" s="18">
        <v>7</v>
      </c>
      <c r="F52" s="16" t="s">
        <v>24</v>
      </c>
      <c r="G52" s="14" t="s">
        <v>109</v>
      </c>
      <c r="H52" s="14">
        <f t="shared" ref="H52:BA52" si="103">SUMIFS($AM$102:$AM$1048576,H$102:H$1048576,"&gt;-1000000",$A$102:$A$1048576,$E52)</f>
        <v>0</v>
      </c>
      <c r="I52" s="14">
        <f t="shared" si="103"/>
        <v>0</v>
      </c>
      <c r="J52" s="14">
        <f t="shared" si="103"/>
        <v>0</v>
      </c>
      <c r="K52" s="14">
        <f t="shared" si="103"/>
        <v>0</v>
      </c>
      <c r="L52" s="14">
        <f t="shared" si="103"/>
        <v>0</v>
      </c>
      <c r="M52" s="14">
        <f t="shared" si="103"/>
        <v>0</v>
      </c>
      <c r="N52" s="29">
        <f t="shared" si="103"/>
        <v>0</v>
      </c>
      <c r="O52" s="29">
        <f t="shared" si="103"/>
        <v>0</v>
      </c>
      <c r="P52" s="160">
        <f t="shared" si="103"/>
        <v>0</v>
      </c>
      <c r="Q52" s="14">
        <f t="shared" si="103"/>
        <v>0</v>
      </c>
      <c r="R52" s="14">
        <f t="shared" si="103"/>
        <v>0</v>
      </c>
      <c r="S52" s="14">
        <f t="shared" si="103"/>
        <v>0</v>
      </c>
      <c r="T52" s="14">
        <f t="shared" si="103"/>
        <v>0</v>
      </c>
      <c r="U52" s="14">
        <f t="shared" si="103"/>
        <v>0</v>
      </c>
      <c r="V52" s="14">
        <f t="shared" si="103"/>
        <v>0</v>
      </c>
      <c r="W52" s="14">
        <f t="shared" si="103"/>
        <v>0</v>
      </c>
      <c r="X52" s="14">
        <f t="shared" si="103"/>
        <v>0</v>
      </c>
      <c r="Y52" s="14">
        <f t="shared" si="103"/>
        <v>0</v>
      </c>
      <c r="Z52" s="14">
        <f t="shared" si="103"/>
        <v>0</v>
      </c>
      <c r="AA52" s="14">
        <f t="shared" si="103"/>
        <v>0</v>
      </c>
      <c r="AB52" s="14">
        <f t="shared" si="103"/>
        <v>0</v>
      </c>
      <c r="AC52" s="14">
        <f t="shared" si="103"/>
        <v>0</v>
      </c>
      <c r="AD52" s="14">
        <f t="shared" si="103"/>
        <v>0</v>
      </c>
      <c r="AE52" s="14">
        <f t="shared" si="103"/>
        <v>0</v>
      </c>
      <c r="AF52" s="14">
        <f t="shared" si="103"/>
        <v>0</v>
      </c>
      <c r="AG52" s="14">
        <f t="shared" si="103"/>
        <v>0</v>
      </c>
      <c r="AH52" s="14">
        <f t="shared" si="103"/>
        <v>0</v>
      </c>
      <c r="AI52" s="14">
        <f t="shared" si="103"/>
        <v>0</v>
      </c>
      <c r="AJ52" s="14">
        <f t="shared" si="103"/>
        <v>0</v>
      </c>
      <c r="AK52" s="14">
        <f t="shared" si="103"/>
        <v>0</v>
      </c>
      <c r="AL52" s="14">
        <f t="shared" si="103"/>
        <v>0</v>
      </c>
      <c r="AM52" s="14">
        <f t="shared" si="103"/>
        <v>0</v>
      </c>
      <c r="AN52" s="14">
        <f t="shared" si="103"/>
        <v>0</v>
      </c>
      <c r="AO52" s="14">
        <f t="shared" si="103"/>
        <v>0</v>
      </c>
      <c r="AP52" s="14">
        <f t="shared" si="103"/>
        <v>0</v>
      </c>
      <c r="AQ52" s="14">
        <f t="shared" si="103"/>
        <v>0</v>
      </c>
      <c r="AR52" s="14">
        <f t="shared" si="103"/>
        <v>0</v>
      </c>
      <c r="AS52" s="14">
        <f t="shared" si="103"/>
        <v>0</v>
      </c>
      <c r="AT52" s="14">
        <f t="shared" si="103"/>
        <v>0</v>
      </c>
      <c r="AU52" s="14">
        <f t="shared" si="103"/>
        <v>0</v>
      </c>
      <c r="AV52" s="14">
        <f t="shared" si="103"/>
        <v>0</v>
      </c>
      <c r="AW52" s="14">
        <f t="shared" si="103"/>
        <v>0</v>
      </c>
      <c r="AX52" s="14">
        <f t="shared" si="103"/>
        <v>0</v>
      </c>
      <c r="AY52" s="14">
        <f t="shared" si="103"/>
        <v>0</v>
      </c>
      <c r="AZ52" s="14">
        <f t="shared" si="103"/>
        <v>0</v>
      </c>
      <c r="BA52" s="14">
        <f t="shared" si="103"/>
        <v>0</v>
      </c>
      <c r="BB52" s="14"/>
      <c r="BC52" s="14">
        <f t="shared" ref="BC52:BQ52" si="104">SUMIFS($AM$102:$AM$1048576,BC$102:BC$1048576,"&gt;-1000000",$A$102:$A$1048576,$E52)</f>
        <v>0</v>
      </c>
      <c r="BD52" s="14">
        <f t="shared" si="104"/>
        <v>0</v>
      </c>
      <c r="BE52" s="14">
        <f t="shared" si="104"/>
        <v>0</v>
      </c>
      <c r="BF52" s="14">
        <f t="shared" si="104"/>
        <v>0</v>
      </c>
      <c r="BG52" s="14">
        <f t="shared" si="104"/>
        <v>0</v>
      </c>
      <c r="BH52" s="14">
        <f t="shared" si="104"/>
        <v>0</v>
      </c>
      <c r="BI52" s="14">
        <f t="shared" si="104"/>
        <v>0</v>
      </c>
      <c r="BJ52" s="14">
        <f t="shared" si="104"/>
        <v>0</v>
      </c>
      <c r="BK52" s="14">
        <f t="shared" si="104"/>
        <v>0</v>
      </c>
      <c r="BL52" s="14">
        <f t="shared" si="104"/>
        <v>0</v>
      </c>
      <c r="BM52" s="14">
        <f t="shared" si="104"/>
        <v>0</v>
      </c>
      <c r="BN52" s="14">
        <f t="shared" si="104"/>
        <v>0</v>
      </c>
      <c r="BO52" s="14">
        <f t="shared" si="104"/>
        <v>0</v>
      </c>
      <c r="BP52" s="14">
        <f t="shared" si="104"/>
        <v>0</v>
      </c>
      <c r="BQ52" s="14">
        <f t="shared" si="104"/>
        <v>0</v>
      </c>
      <c r="BR52" s="14" t="e">
        <f>SUMIFS($AM$102:$AM$1048576,#REF!,"&gt;-1000000",$A$102:$A$1048576,$E52)</f>
        <v>#REF!</v>
      </c>
      <c r="BS52" s="14">
        <f>SUMIFS($AM$102:$AM$1048576,BS$102:BS$1048576,"&gt;-1000000",$A$102:$A$1048576,$E52)</f>
        <v>0</v>
      </c>
      <c r="BT52" s="14"/>
      <c r="BU52" s="14"/>
      <c r="BV52" s="146"/>
    </row>
    <row r="53" spans="1:74" ht="11.25" hidden="1" x14ac:dyDescent="0.2">
      <c r="A53" s="123"/>
      <c r="B53" s="123"/>
      <c r="C53" s="124"/>
      <c r="D53" s="125"/>
      <c r="E53" s="18">
        <v>7</v>
      </c>
      <c r="F53" s="16" t="s">
        <v>31</v>
      </c>
      <c r="G53" s="14" t="s">
        <v>109</v>
      </c>
      <c r="H53" s="14">
        <f t="shared" ref="H53:BA53" si="105">SUMIFS($AP$102:$AP$1048576,H$102:H$1048576,"&gt;-1000000",$A$102:$A$1048576,$E53)</f>
        <v>0</v>
      </c>
      <c r="I53" s="14">
        <f t="shared" si="105"/>
        <v>0</v>
      </c>
      <c r="J53" s="14">
        <f t="shared" si="105"/>
        <v>0</v>
      </c>
      <c r="K53" s="14">
        <f t="shared" si="105"/>
        <v>0</v>
      </c>
      <c r="L53" s="14">
        <f t="shared" si="105"/>
        <v>0</v>
      </c>
      <c r="M53" s="14">
        <f t="shared" si="105"/>
        <v>0</v>
      </c>
      <c r="N53" s="29">
        <f t="shared" si="105"/>
        <v>0</v>
      </c>
      <c r="O53" s="29">
        <f t="shared" si="105"/>
        <v>0</v>
      </c>
      <c r="P53" s="160">
        <f t="shared" si="105"/>
        <v>0</v>
      </c>
      <c r="Q53" s="14">
        <f t="shared" si="105"/>
        <v>0</v>
      </c>
      <c r="R53" s="14">
        <f t="shared" si="105"/>
        <v>0</v>
      </c>
      <c r="S53" s="14">
        <f t="shared" si="105"/>
        <v>0</v>
      </c>
      <c r="T53" s="14">
        <f t="shared" si="105"/>
        <v>0</v>
      </c>
      <c r="U53" s="14">
        <f t="shared" si="105"/>
        <v>0</v>
      </c>
      <c r="V53" s="14">
        <f t="shared" si="105"/>
        <v>0</v>
      </c>
      <c r="W53" s="14">
        <f t="shared" si="105"/>
        <v>0</v>
      </c>
      <c r="X53" s="14">
        <f t="shared" si="105"/>
        <v>0</v>
      </c>
      <c r="Y53" s="14">
        <f t="shared" si="105"/>
        <v>0</v>
      </c>
      <c r="Z53" s="14">
        <f t="shared" si="105"/>
        <v>0</v>
      </c>
      <c r="AA53" s="14">
        <f t="shared" si="105"/>
        <v>0</v>
      </c>
      <c r="AB53" s="14">
        <f t="shared" si="105"/>
        <v>0</v>
      </c>
      <c r="AC53" s="14">
        <f t="shared" si="105"/>
        <v>0</v>
      </c>
      <c r="AD53" s="14">
        <f t="shared" si="105"/>
        <v>0</v>
      </c>
      <c r="AE53" s="14">
        <f t="shared" si="105"/>
        <v>0</v>
      </c>
      <c r="AF53" s="14">
        <f t="shared" si="105"/>
        <v>0</v>
      </c>
      <c r="AG53" s="14">
        <f t="shared" si="105"/>
        <v>0</v>
      </c>
      <c r="AH53" s="14">
        <f t="shared" si="105"/>
        <v>0</v>
      </c>
      <c r="AI53" s="14">
        <f t="shared" si="105"/>
        <v>0</v>
      </c>
      <c r="AJ53" s="14">
        <f t="shared" si="105"/>
        <v>0</v>
      </c>
      <c r="AK53" s="14">
        <f t="shared" si="105"/>
        <v>0</v>
      </c>
      <c r="AL53" s="14">
        <f t="shared" si="105"/>
        <v>0</v>
      </c>
      <c r="AM53" s="14">
        <f t="shared" si="105"/>
        <v>0</v>
      </c>
      <c r="AN53" s="14">
        <f t="shared" si="105"/>
        <v>0</v>
      </c>
      <c r="AO53" s="14">
        <f t="shared" si="105"/>
        <v>0</v>
      </c>
      <c r="AP53" s="14">
        <f t="shared" si="105"/>
        <v>0</v>
      </c>
      <c r="AQ53" s="14">
        <f t="shared" si="105"/>
        <v>0</v>
      </c>
      <c r="AR53" s="14">
        <f t="shared" si="105"/>
        <v>0</v>
      </c>
      <c r="AS53" s="14">
        <f t="shared" si="105"/>
        <v>0</v>
      </c>
      <c r="AT53" s="14">
        <f t="shared" si="105"/>
        <v>0</v>
      </c>
      <c r="AU53" s="14">
        <f t="shared" si="105"/>
        <v>0</v>
      </c>
      <c r="AV53" s="14">
        <f t="shared" si="105"/>
        <v>0</v>
      </c>
      <c r="AW53" s="14">
        <f t="shared" si="105"/>
        <v>0</v>
      </c>
      <c r="AX53" s="14">
        <f t="shared" si="105"/>
        <v>0</v>
      </c>
      <c r="AY53" s="14">
        <f t="shared" si="105"/>
        <v>0</v>
      </c>
      <c r="AZ53" s="14">
        <f t="shared" si="105"/>
        <v>0</v>
      </c>
      <c r="BA53" s="14">
        <f t="shared" si="105"/>
        <v>0</v>
      </c>
      <c r="BB53" s="14"/>
      <c r="BC53" s="14">
        <f t="shared" ref="BC53:BQ53" si="106">SUMIFS($AP$102:$AP$1048576,BC$102:BC$1048576,"&gt;-1000000",$A$102:$A$1048576,$E53)</f>
        <v>0</v>
      </c>
      <c r="BD53" s="14">
        <f t="shared" si="106"/>
        <v>0</v>
      </c>
      <c r="BE53" s="14">
        <f t="shared" si="106"/>
        <v>0</v>
      </c>
      <c r="BF53" s="14">
        <f t="shared" si="106"/>
        <v>0</v>
      </c>
      <c r="BG53" s="14">
        <f t="shared" si="106"/>
        <v>0</v>
      </c>
      <c r="BH53" s="14">
        <f t="shared" si="106"/>
        <v>0</v>
      </c>
      <c r="BI53" s="14">
        <f t="shared" si="106"/>
        <v>0</v>
      </c>
      <c r="BJ53" s="14">
        <f t="shared" si="106"/>
        <v>0</v>
      </c>
      <c r="BK53" s="14">
        <f t="shared" si="106"/>
        <v>0</v>
      </c>
      <c r="BL53" s="14">
        <f t="shared" si="106"/>
        <v>0</v>
      </c>
      <c r="BM53" s="14">
        <f t="shared" si="106"/>
        <v>0</v>
      </c>
      <c r="BN53" s="14">
        <f t="shared" si="106"/>
        <v>0</v>
      </c>
      <c r="BO53" s="14">
        <f t="shared" si="106"/>
        <v>0</v>
      </c>
      <c r="BP53" s="14">
        <f t="shared" si="106"/>
        <v>0</v>
      </c>
      <c r="BQ53" s="14">
        <f t="shared" si="106"/>
        <v>0</v>
      </c>
      <c r="BR53" s="14" t="e">
        <f>SUMIFS($AP$102:$AP$1048576,#REF!,"&gt;-1000000",$A$102:$A$1048576,$E53)</f>
        <v>#REF!</v>
      </c>
      <c r="BS53" s="14">
        <f>SUMIFS($AP$102:$AP$1048576,BS$102:BS$1048576,"&gt;-1000000",$A$102:$A$1048576,$E53)</f>
        <v>0</v>
      </c>
      <c r="BT53" s="14"/>
      <c r="BU53" s="14"/>
      <c r="BV53" s="146"/>
    </row>
    <row r="54" spans="1:74" ht="11.25" hidden="1" x14ac:dyDescent="0.2">
      <c r="A54" s="123"/>
      <c r="B54" s="123"/>
      <c r="C54" s="124"/>
      <c r="D54" s="125"/>
      <c r="E54" s="19">
        <v>7</v>
      </c>
      <c r="F54" s="17" t="s">
        <v>29</v>
      </c>
      <c r="G54" s="15" t="s">
        <v>109</v>
      </c>
      <c r="H54" s="126">
        <f t="shared" ref="H54:BA54" si="107">SUMIFS(H$102:H$1048576,$A$102:$A$1048576,$E54,$C$102:$C$1048576,"OK")</f>
        <v>0</v>
      </c>
      <c r="I54" s="126">
        <f t="shared" si="107"/>
        <v>0</v>
      </c>
      <c r="J54" s="126">
        <f t="shared" si="107"/>
        <v>0</v>
      </c>
      <c r="K54" s="126">
        <f t="shared" si="107"/>
        <v>0</v>
      </c>
      <c r="L54" s="126">
        <f t="shared" si="107"/>
        <v>0</v>
      </c>
      <c r="M54" s="126">
        <f t="shared" si="107"/>
        <v>0</v>
      </c>
      <c r="N54" s="29">
        <f t="shared" si="107"/>
        <v>0</v>
      </c>
      <c r="O54" s="29">
        <f t="shared" si="107"/>
        <v>0</v>
      </c>
      <c r="P54" s="161">
        <f t="shared" si="107"/>
        <v>0</v>
      </c>
      <c r="Q54" s="126">
        <f t="shared" si="107"/>
        <v>0</v>
      </c>
      <c r="R54" s="126">
        <f t="shared" si="107"/>
        <v>0</v>
      </c>
      <c r="S54" s="126">
        <f t="shared" si="107"/>
        <v>0</v>
      </c>
      <c r="T54" s="126">
        <f t="shared" si="107"/>
        <v>0</v>
      </c>
      <c r="U54" s="126">
        <f t="shared" si="107"/>
        <v>0</v>
      </c>
      <c r="V54" s="126">
        <f t="shared" si="107"/>
        <v>0</v>
      </c>
      <c r="W54" s="126">
        <f t="shared" si="107"/>
        <v>0</v>
      </c>
      <c r="X54" s="126">
        <f t="shared" si="107"/>
        <v>0</v>
      </c>
      <c r="Y54" s="126">
        <f t="shared" si="107"/>
        <v>0</v>
      </c>
      <c r="Z54" s="126">
        <f t="shared" si="107"/>
        <v>0</v>
      </c>
      <c r="AA54" s="126">
        <f t="shared" si="107"/>
        <v>0</v>
      </c>
      <c r="AB54" s="126">
        <f t="shared" si="107"/>
        <v>0</v>
      </c>
      <c r="AC54" s="126">
        <f t="shared" si="107"/>
        <v>0</v>
      </c>
      <c r="AD54" s="126">
        <f t="shared" si="107"/>
        <v>0</v>
      </c>
      <c r="AE54" s="126">
        <f t="shared" si="107"/>
        <v>0</v>
      </c>
      <c r="AF54" s="126">
        <f t="shared" si="107"/>
        <v>0</v>
      </c>
      <c r="AG54" s="126">
        <f t="shared" si="107"/>
        <v>0</v>
      </c>
      <c r="AH54" s="126">
        <f t="shared" si="107"/>
        <v>0</v>
      </c>
      <c r="AI54" s="126">
        <f t="shared" si="107"/>
        <v>0</v>
      </c>
      <c r="AJ54" s="126">
        <f t="shared" si="107"/>
        <v>0</v>
      </c>
      <c r="AK54" s="126">
        <f t="shared" si="107"/>
        <v>0</v>
      </c>
      <c r="AL54" s="126">
        <f t="shared" si="107"/>
        <v>0</v>
      </c>
      <c r="AM54" s="126">
        <f t="shared" si="107"/>
        <v>0</v>
      </c>
      <c r="AN54" s="126">
        <f t="shared" si="107"/>
        <v>0</v>
      </c>
      <c r="AO54" s="126">
        <f t="shared" si="107"/>
        <v>0</v>
      </c>
      <c r="AP54" s="126">
        <f t="shared" si="107"/>
        <v>0</v>
      </c>
      <c r="AQ54" s="126">
        <f t="shared" si="107"/>
        <v>0</v>
      </c>
      <c r="AR54" s="126">
        <f t="shared" si="107"/>
        <v>0</v>
      </c>
      <c r="AS54" s="126">
        <f t="shared" si="107"/>
        <v>0</v>
      </c>
      <c r="AT54" s="126">
        <f t="shared" si="107"/>
        <v>0</v>
      </c>
      <c r="AU54" s="126">
        <f t="shared" si="107"/>
        <v>0</v>
      </c>
      <c r="AV54" s="126">
        <f t="shared" si="107"/>
        <v>0</v>
      </c>
      <c r="AW54" s="126">
        <f t="shared" si="107"/>
        <v>0</v>
      </c>
      <c r="AX54" s="126">
        <f t="shared" si="107"/>
        <v>0</v>
      </c>
      <c r="AY54" s="126">
        <f t="shared" si="107"/>
        <v>0</v>
      </c>
      <c r="AZ54" s="126">
        <f t="shared" si="107"/>
        <v>0</v>
      </c>
      <c r="BA54" s="126">
        <f t="shared" si="107"/>
        <v>0</v>
      </c>
      <c r="BB54" s="126"/>
      <c r="BC54" s="126">
        <f t="shared" ref="BC54:BQ54" si="108">SUMIFS(BC$102:BC$1048576,$A$102:$A$1048576,$E54,$C$102:$C$1048576,"OK")</f>
        <v>0</v>
      </c>
      <c r="BD54" s="126">
        <f t="shared" si="108"/>
        <v>0</v>
      </c>
      <c r="BE54" s="126">
        <f t="shared" si="108"/>
        <v>0</v>
      </c>
      <c r="BF54" s="126">
        <f t="shared" si="108"/>
        <v>0</v>
      </c>
      <c r="BG54" s="126">
        <f t="shared" si="108"/>
        <v>0</v>
      </c>
      <c r="BH54" s="126">
        <f t="shared" si="108"/>
        <v>0</v>
      </c>
      <c r="BI54" s="126">
        <f t="shared" si="108"/>
        <v>0</v>
      </c>
      <c r="BJ54" s="126">
        <f t="shared" si="108"/>
        <v>0</v>
      </c>
      <c r="BK54" s="126">
        <f t="shared" si="108"/>
        <v>0</v>
      </c>
      <c r="BL54" s="126">
        <f t="shared" si="108"/>
        <v>0</v>
      </c>
      <c r="BM54" s="126">
        <f t="shared" si="108"/>
        <v>0</v>
      </c>
      <c r="BN54" s="126">
        <f t="shared" si="108"/>
        <v>0</v>
      </c>
      <c r="BO54" s="126">
        <f t="shared" si="108"/>
        <v>0</v>
      </c>
      <c r="BP54" s="126">
        <f t="shared" si="108"/>
        <v>0</v>
      </c>
      <c r="BQ54" s="126">
        <f t="shared" si="108"/>
        <v>0</v>
      </c>
      <c r="BR54" s="126" t="e">
        <f>SUMIFS(#REF!,$A$102:$A$1048576,$E54,$C$102:$C$1048576,"OK")</f>
        <v>#REF!</v>
      </c>
      <c r="BS54" s="126">
        <f>SUMIFS(BS$102:BS$1048576,$A$102:$A$1048576,$E54,$C$102:$C$1048576,"OK")</f>
        <v>0</v>
      </c>
      <c r="BT54" s="126"/>
      <c r="BU54" s="126"/>
      <c r="BV54" s="147"/>
    </row>
    <row r="55" spans="1:74" ht="11.25" hidden="1" x14ac:dyDescent="0.2">
      <c r="A55" s="123"/>
      <c r="B55" s="123"/>
      <c r="C55" s="124"/>
      <c r="D55" s="125"/>
      <c r="E55" s="19">
        <v>7</v>
      </c>
      <c r="F55" s="17" t="s">
        <v>23</v>
      </c>
      <c r="G55" s="15" t="s">
        <v>109</v>
      </c>
      <c r="H55" s="126">
        <f t="shared" ref="H55:BA55" si="109">COUNTIFS(H$102:H$1048576,"&gt;-1000000",$C$102:$C$1048576,"OK",$A$102:$A$1048576,$E55)</f>
        <v>0</v>
      </c>
      <c r="I55" s="126">
        <f t="shared" si="109"/>
        <v>0</v>
      </c>
      <c r="J55" s="126">
        <f t="shared" si="109"/>
        <v>0</v>
      </c>
      <c r="K55" s="126">
        <f t="shared" si="109"/>
        <v>0</v>
      </c>
      <c r="L55" s="126">
        <f t="shared" si="109"/>
        <v>0</v>
      </c>
      <c r="M55" s="126">
        <f t="shared" si="109"/>
        <v>0</v>
      </c>
      <c r="N55" s="29">
        <f t="shared" si="109"/>
        <v>0</v>
      </c>
      <c r="O55" s="29">
        <f t="shared" si="109"/>
        <v>0</v>
      </c>
      <c r="P55" s="161">
        <f t="shared" si="109"/>
        <v>0</v>
      </c>
      <c r="Q55" s="126">
        <f t="shared" si="109"/>
        <v>0</v>
      </c>
      <c r="R55" s="126">
        <f t="shared" si="109"/>
        <v>0</v>
      </c>
      <c r="S55" s="126">
        <f t="shared" si="109"/>
        <v>0</v>
      </c>
      <c r="T55" s="126">
        <f t="shared" si="109"/>
        <v>0</v>
      </c>
      <c r="U55" s="126">
        <f t="shared" si="109"/>
        <v>0</v>
      </c>
      <c r="V55" s="126">
        <f t="shared" si="109"/>
        <v>0</v>
      </c>
      <c r="W55" s="126">
        <f t="shared" si="109"/>
        <v>0</v>
      </c>
      <c r="X55" s="126">
        <f t="shared" si="109"/>
        <v>0</v>
      </c>
      <c r="Y55" s="126">
        <f t="shared" si="109"/>
        <v>0</v>
      </c>
      <c r="Z55" s="126">
        <f t="shared" si="109"/>
        <v>0</v>
      </c>
      <c r="AA55" s="126">
        <f t="shared" si="109"/>
        <v>0</v>
      </c>
      <c r="AB55" s="126">
        <f t="shared" si="109"/>
        <v>0</v>
      </c>
      <c r="AC55" s="126">
        <f t="shared" si="109"/>
        <v>0</v>
      </c>
      <c r="AD55" s="126">
        <f t="shared" si="109"/>
        <v>0</v>
      </c>
      <c r="AE55" s="126">
        <f t="shared" si="109"/>
        <v>0</v>
      </c>
      <c r="AF55" s="126">
        <f t="shared" si="109"/>
        <v>0</v>
      </c>
      <c r="AG55" s="126">
        <f t="shared" si="109"/>
        <v>0</v>
      </c>
      <c r="AH55" s="126">
        <f t="shared" si="109"/>
        <v>0</v>
      </c>
      <c r="AI55" s="126">
        <f t="shared" si="109"/>
        <v>0</v>
      </c>
      <c r="AJ55" s="126">
        <f t="shared" si="109"/>
        <v>0</v>
      </c>
      <c r="AK55" s="126">
        <f t="shared" si="109"/>
        <v>0</v>
      </c>
      <c r="AL55" s="126">
        <f t="shared" si="109"/>
        <v>0</v>
      </c>
      <c r="AM55" s="126">
        <f t="shared" si="109"/>
        <v>0</v>
      </c>
      <c r="AN55" s="126">
        <f t="shared" si="109"/>
        <v>0</v>
      </c>
      <c r="AO55" s="126">
        <f t="shared" si="109"/>
        <v>0</v>
      </c>
      <c r="AP55" s="126">
        <f t="shared" si="109"/>
        <v>0</v>
      </c>
      <c r="AQ55" s="126">
        <f t="shared" si="109"/>
        <v>0</v>
      </c>
      <c r="AR55" s="126">
        <f t="shared" si="109"/>
        <v>0</v>
      </c>
      <c r="AS55" s="126">
        <f t="shared" si="109"/>
        <v>0</v>
      </c>
      <c r="AT55" s="126">
        <f t="shared" si="109"/>
        <v>0</v>
      </c>
      <c r="AU55" s="126">
        <f t="shared" si="109"/>
        <v>0</v>
      </c>
      <c r="AV55" s="126">
        <f t="shared" si="109"/>
        <v>0</v>
      </c>
      <c r="AW55" s="126">
        <f t="shared" si="109"/>
        <v>0</v>
      </c>
      <c r="AX55" s="126">
        <f t="shared" si="109"/>
        <v>0</v>
      </c>
      <c r="AY55" s="126">
        <f t="shared" si="109"/>
        <v>0</v>
      </c>
      <c r="AZ55" s="126">
        <f t="shared" si="109"/>
        <v>0</v>
      </c>
      <c r="BA55" s="126">
        <f t="shared" si="109"/>
        <v>0</v>
      </c>
      <c r="BB55" s="126"/>
      <c r="BC55" s="126">
        <f t="shared" ref="BC55:BQ55" si="110">COUNTIFS(BC$102:BC$1048576,"&gt;-1000000",$C$102:$C$1048576,"OK",$A$102:$A$1048576,$E55)</f>
        <v>0</v>
      </c>
      <c r="BD55" s="126">
        <f t="shared" si="110"/>
        <v>0</v>
      </c>
      <c r="BE55" s="126">
        <f t="shared" si="110"/>
        <v>0</v>
      </c>
      <c r="BF55" s="126">
        <f t="shared" si="110"/>
        <v>0</v>
      </c>
      <c r="BG55" s="126">
        <f t="shared" si="110"/>
        <v>0</v>
      </c>
      <c r="BH55" s="126">
        <f t="shared" si="110"/>
        <v>0</v>
      </c>
      <c r="BI55" s="126">
        <f t="shared" si="110"/>
        <v>0</v>
      </c>
      <c r="BJ55" s="126">
        <f t="shared" si="110"/>
        <v>0</v>
      </c>
      <c r="BK55" s="126">
        <f t="shared" si="110"/>
        <v>0</v>
      </c>
      <c r="BL55" s="126">
        <f t="shared" si="110"/>
        <v>0</v>
      </c>
      <c r="BM55" s="126">
        <f t="shared" si="110"/>
        <v>0</v>
      </c>
      <c r="BN55" s="126">
        <f t="shared" si="110"/>
        <v>0</v>
      </c>
      <c r="BO55" s="126">
        <f t="shared" si="110"/>
        <v>0</v>
      </c>
      <c r="BP55" s="126">
        <f t="shared" si="110"/>
        <v>0</v>
      </c>
      <c r="BQ55" s="126">
        <f t="shared" si="110"/>
        <v>0</v>
      </c>
      <c r="BR55" s="126" t="e">
        <f>COUNTIFS(#REF!,"&gt;-1000000",$C$102:$C$1048576,"OK",$A$102:$A$1048576,$E55)</f>
        <v>#REF!</v>
      </c>
      <c r="BS55" s="126">
        <f>COUNTIFS(BS$102:BS$1048576,"&gt;-1000000",$C$102:$C$1048576,"OK",$A$102:$A$1048576,$E55)</f>
        <v>0</v>
      </c>
      <c r="BT55" s="126"/>
      <c r="BU55" s="126"/>
      <c r="BV55" s="147"/>
    </row>
    <row r="56" spans="1:74" ht="11.25" hidden="1" x14ac:dyDescent="0.2">
      <c r="A56" s="123"/>
      <c r="B56" s="123"/>
      <c r="C56" s="124"/>
      <c r="D56" s="125"/>
      <c r="E56" s="19">
        <v>7</v>
      </c>
      <c r="F56" s="17" t="s">
        <v>30</v>
      </c>
      <c r="G56" s="15" t="s">
        <v>109</v>
      </c>
      <c r="H56" s="126">
        <f t="shared" ref="H56:BA56" si="111">SUMIFS($AM$102:$AM$1048576,H$102:H$1048576,"&gt;-1000000",$C$102:$C$1048576,"OK",$A$102:$A$1048576,$E56)</f>
        <v>0</v>
      </c>
      <c r="I56" s="126">
        <f t="shared" si="111"/>
        <v>0</v>
      </c>
      <c r="J56" s="126">
        <f t="shared" si="111"/>
        <v>0</v>
      </c>
      <c r="K56" s="126">
        <f t="shared" si="111"/>
        <v>0</v>
      </c>
      <c r="L56" s="126">
        <f t="shared" si="111"/>
        <v>0</v>
      </c>
      <c r="M56" s="126">
        <f t="shared" si="111"/>
        <v>0</v>
      </c>
      <c r="N56" s="29">
        <f t="shared" si="111"/>
        <v>0</v>
      </c>
      <c r="O56" s="29">
        <f t="shared" si="111"/>
        <v>0</v>
      </c>
      <c r="P56" s="161">
        <f t="shared" si="111"/>
        <v>0</v>
      </c>
      <c r="Q56" s="126">
        <f t="shared" si="111"/>
        <v>0</v>
      </c>
      <c r="R56" s="126">
        <f t="shared" si="111"/>
        <v>0</v>
      </c>
      <c r="S56" s="126">
        <f t="shared" si="111"/>
        <v>0</v>
      </c>
      <c r="T56" s="126">
        <f t="shared" si="111"/>
        <v>0</v>
      </c>
      <c r="U56" s="126">
        <f t="shared" si="111"/>
        <v>0</v>
      </c>
      <c r="V56" s="126">
        <f t="shared" si="111"/>
        <v>0</v>
      </c>
      <c r="W56" s="126">
        <f t="shared" si="111"/>
        <v>0</v>
      </c>
      <c r="X56" s="126">
        <f t="shared" si="111"/>
        <v>0</v>
      </c>
      <c r="Y56" s="126">
        <f t="shared" si="111"/>
        <v>0</v>
      </c>
      <c r="Z56" s="126">
        <f t="shared" si="111"/>
        <v>0</v>
      </c>
      <c r="AA56" s="126">
        <f t="shared" si="111"/>
        <v>0</v>
      </c>
      <c r="AB56" s="126">
        <f t="shared" si="111"/>
        <v>0</v>
      </c>
      <c r="AC56" s="126">
        <f t="shared" si="111"/>
        <v>0</v>
      </c>
      <c r="AD56" s="126">
        <f t="shared" si="111"/>
        <v>0</v>
      </c>
      <c r="AE56" s="126">
        <f t="shared" si="111"/>
        <v>0</v>
      </c>
      <c r="AF56" s="126">
        <f t="shared" si="111"/>
        <v>0</v>
      </c>
      <c r="AG56" s="126">
        <f t="shared" si="111"/>
        <v>0</v>
      </c>
      <c r="AH56" s="126">
        <f t="shared" si="111"/>
        <v>0</v>
      </c>
      <c r="AI56" s="126">
        <f t="shared" si="111"/>
        <v>0</v>
      </c>
      <c r="AJ56" s="126">
        <f t="shared" si="111"/>
        <v>0</v>
      </c>
      <c r="AK56" s="126">
        <f t="shared" si="111"/>
        <v>0</v>
      </c>
      <c r="AL56" s="126">
        <f t="shared" si="111"/>
        <v>0</v>
      </c>
      <c r="AM56" s="126">
        <f t="shared" si="111"/>
        <v>0</v>
      </c>
      <c r="AN56" s="126">
        <f t="shared" si="111"/>
        <v>0</v>
      </c>
      <c r="AO56" s="126">
        <f t="shared" si="111"/>
        <v>0</v>
      </c>
      <c r="AP56" s="126">
        <f t="shared" si="111"/>
        <v>0</v>
      </c>
      <c r="AQ56" s="126">
        <f t="shared" si="111"/>
        <v>0</v>
      </c>
      <c r="AR56" s="126">
        <f t="shared" si="111"/>
        <v>0</v>
      </c>
      <c r="AS56" s="126">
        <f t="shared" si="111"/>
        <v>0</v>
      </c>
      <c r="AT56" s="126">
        <f t="shared" si="111"/>
        <v>0</v>
      </c>
      <c r="AU56" s="126">
        <f t="shared" si="111"/>
        <v>0</v>
      </c>
      <c r="AV56" s="126">
        <f t="shared" si="111"/>
        <v>0</v>
      </c>
      <c r="AW56" s="126">
        <f t="shared" si="111"/>
        <v>0</v>
      </c>
      <c r="AX56" s="126">
        <f t="shared" si="111"/>
        <v>0</v>
      </c>
      <c r="AY56" s="126">
        <f t="shared" si="111"/>
        <v>0</v>
      </c>
      <c r="AZ56" s="126">
        <f t="shared" si="111"/>
        <v>0</v>
      </c>
      <c r="BA56" s="126">
        <f t="shared" si="111"/>
        <v>0</v>
      </c>
      <c r="BB56" s="126"/>
      <c r="BC56" s="126">
        <f t="shared" ref="BC56:BQ56" si="112">SUMIFS($AM$102:$AM$1048576,BC$102:BC$1048576,"&gt;-1000000",$C$102:$C$1048576,"OK",$A$102:$A$1048576,$E56)</f>
        <v>0</v>
      </c>
      <c r="BD56" s="126">
        <f t="shared" si="112"/>
        <v>0</v>
      </c>
      <c r="BE56" s="126">
        <f t="shared" si="112"/>
        <v>0</v>
      </c>
      <c r="BF56" s="126">
        <f t="shared" si="112"/>
        <v>0</v>
      </c>
      <c r="BG56" s="126">
        <f t="shared" si="112"/>
        <v>0</v>
      </c>
      <c r="BH56" s="126">
        <f t="shared" si="112"/>
        <v>0</v>
      </c>
      <c r="BI56" s="126">
        <f t="shared" si="112"/>
        <v>0</v>
      </c>
      <c r="BJ56" s="126">
        <f t="shared" si="112"/>
        <v>0</v>
      </c>
      <c r="BK56" s="126">
        <f t="shared" si="112"/>
        <v>0</v>
      </c>
      <c r="BL56" s="126">
        <f t="shared" si="112"/>
        <v>0</v>
      </c>
      <c r="BM56" s="126">
        <f t="shared" si="112"/>
        <v>0</v>
      </c>
      <c r="BN56" s="126">
        <f t="shared" si="112"/>
        <v>0</v>
      </c>
      <c r="BO56" s="126">
        <f t="shared" si="112"/>
        <v>0</v>
      </c>
      <c r="BP56" s="126">
        <f t="shared" si="112"/>
        <v>0</v>
      </c>
      <c r="BQ56" s="126">
        <f t="shared" si="112"/>
        <v>0</v>
      </c>
      <c r="BR56" s="126" t="e">
        <f>SUMIFS($AM$102:$AM$1048576,#REF!,"&gt;-1000000",$C$102:$C$1048576,"OK",$A$102:$A$1048576,$E56)</f>
        <v>#REF!</v>
      </c>
      <c r="BS56" s="126">
        <f>SUMIFS($AM$102:$AM$1048576,BS$102:BS$1048576,"&gt;-1000000",$C$102:$C$1048576,"OK",$A$102:$A$1048576,$E56)</f>
        <v>0</v>
      </c>
      <c r="BT56" s="126"/>
      <c r="BU56" s="126"/>
      <c r="BV56" s="147"/>
    </row>
    <row r="57" spans="1:74" ht="11.25" hidden="1" x14ac:dyDescent="0.2">
      <c r="A57" s="123"/>
      <c r="B57" s="123"/>
      <c r="C57" s="124"/>
      <c r="D57" s="125"/>
      <c r="E57" s="19">
        <v>7</v>
      </c>
      <c r="F57" s="17" t="s">
        <v>32</v>
      </c>
      <c r="G57" s="15" t="s">
        <v>109</v>
      </c>
      <c r="H57" s="126">
        <f t="shared" ref="H57:BA57" si="113">SUMIFS($AP$102:$AP$1048576,H$102:H$1048576,"&gt;-1000000",$C$102:$C$1048576,"OK",$A$102:$A$1048576,$E57)</f>
        <v>0</v>
      </c>
      <c r="I57" s="126">
        <f t="shared" si="113"/>
        <v>0</v>
      </c>
      <c r="J57" s="126">
        <f t="shared" si="113"/>
        <v>0</v>
      </c>
      <c r="K57" s="126">
        <f t="shared" si="113"/>
        <v>0</v>
      </c>
      <c r="L57" s="126">
        <f t="shared" si="113"/>
        <v>0</v>
      </c>
      <c r="M57" s="126">
        <f t="shared" si="113"/>
        <v>0</v>
      </c>
      <c r="N57" s="29">
        <f t="shared" si="113"/>
        <v>0</v>
      </c>
      <c r="O57" s="29">
        <f t="shared" si="113"/>
        <v>0</v>
      </c>
      <c r="P57" s="161">
        <f t="shared" si="113"/>
        <v>0</v>
      </c>
      <c r="Q57" s="126">
        <f t="shared" si="113"/>
        <v>0</v>
      </c>
      <c r="R57" s="126">
        <f t="shared" si="113"/>
        <v>0</v>
      </c>
      <c r="S57" s="126">
        <f t="shared" si="113"/>
        <v>0</v>
      </c>
      <c r="T57" s="126">
        <f t="shared" si="113"/>
        <v>0</v>
      </c>
      <c r="U57" s="126">
        <f t="shared" si="113"/>
        <v>0</v>
      </c>
      <c r="V57" s="126">
        <f t="shared" si="113"/>
        <v>0</v>
      </c>
      <c r="W57" s="126">
        <f t="shared" si="113"/>
        <v>0</v>
      </c>
      <c r="X57" s="126">
        <f t="shared" si="113"/>
        <v>0</v>
      </c>
      <c r="Y57" s="126">
        <f t="shared" si="113"/>
        <v>0</v>
      </c>
      <c r="Z57" s="126">
        <f t="shared" si="113"/>
        <v>0</v>
      </c>
      <c r="AA57" s="126">
        <f t="shared" si="113"/>
        <v>0</v>
      </c>
      <c r="AB57" s="126">
        <f t="shared" si="113"/>
        <v>0</v>
      </c>
      <c r="AC57" s="126">
        <f t="shared" si="113"/>
        <v>0</v>
      </c>
      <c r="AD57" s="126">
        <f t="shared" si="113"/>
        <v>0</v>
      </c>
      <c r="AE57" s="126">
        <f t="shared" si="113"/>
        <v>0</v>
      </c>
      <c r="AF57" s="126">
        <f t="shared" si="113"/>
        <v>0</v>
      </c>
      <c r="AG57" s="126">
        <f t="shared" si="113"/>
        <v>0</v>
      </c>
      <c r="AH57" s="126">
        <f t="shared" si="113"/>
        <v>0</v>
      </c>
      <c r="AI57" s="126">
        <f t="shared" si="113"/>
        <v>0</v>
      </c>
      <c r="AJ57" s="126">
        <f t="shared" si="113"/>
        <v>0</v>
      </c>
      <c r="AK57" s="126">
        <f t="shared" si="113"/>
        <v>0</v>
      </c>
      <c r="AL57" s="126">
        <f t="shared" si="113"/>
        <v>0</v>
      </c>
      <c r="AM57" s="126">
        <f t="shared" si="113"/>
        <v>0</v>
      </c>
      <c r="AN57" s="126">
        <f t="shared" si="113"/>
        <v>0</v>
      </c>
      <c r="AO57" s="126">
        <f t="shared" si="113"/>
        <v>0</v>
      </c>
      <c r="AP57" s="126">
        <f t="shared" si="113"/>
        <v>0</v>
      </c>
      <c r="AQ57" s="126">
        <f t="shared" si="113"/>
        <v>0</v>
      </c>
      <c r="AR57" s="126">
        <f t="shared" si="113"/>
        <v>0</v>
      </c>
      <c r="AS57" s="126">
        <f t="shared" si="113"/>
        <v>0</v>
      </c>
      <c r="AT57" s="126">
        <f t="shared" si="113"/>
        <v>0</v>
      </c>
      <c r="AU57" s="126">
        <f t="shared" si="113"/>
        <v>0</v>
      </c>
      <c r="AV57" s="126">
        <f t="shared" si="113"/>
        <v>0</v>
      </c>
      <c r="AW57" s="126">
        <f t="shared" si="113"/>
        <v>0</v>
      </c>
      <c r="AX57" s="126">
        <f t="shared" si="113"/>
        <v>0</v>
      </c>
      <c r="AY57" s="126">
        <f t="shared" si="113"/>
        <v>0</v>
      </c>
      <c r="AZ57" s="126">
        <f t="shared" si="113"/>
        <v>0</v>
      </c>
      <c r="BA57" s="126">
        <f t="shared" si="113"/>
        <v>0</v>
      </c>
      <c r="BB57" s="126"/>
      <c r="BC57" s="126">
        <f t="shared" ref="BC57:BQ57" si="114">SUMIFS($AP$102:$AP$1048576,BC$102:BC$1048576,"&gt;-1000000",$C$102:$C$1048576,"OK",$A$102:$A$1048576,$E57)</f>
        <v>0</v>
      </c>
      <c r="BD57" s="126">
        <f t="shared" si="114"/>
        <v>0</v>
      </c>
      <c r="BE57" s="126">
        <f t="shared" si="114"/>
        <v>0</v>
      </c>
      <c r="BF57" s="126">
        <f t="shared" si="114"/>
        <v>0</v>
      </c>
      <c r="BG57" s="126">
        <f t="shared" si="114"/>
        <v>0</v>
      </c>
      <c r="BH57" s="126">
        <f t="shared" si="114"/>
        <v>0</v>
      </c>
      <c r="BI57" s="126">
        <f t="shared" si="114"/>
        <v>0</v>
      </c>
      <c r="BJ57" s="126">
        <f t="shared" si="114"/>
        <v>0</v>
      </c>
      <c r="BK57" s="126">
        <f t="shared" si="114"/>
        <v>0</v>
      </c>
      <c r="BL57" s="126">
        <f t="shared" si="114"/>
        <v>0</v>
      </c>
      <c r="BM57" s="126">
        <f t="shared" si="114"/>
        <v>0</v>
      </c>
      <c r="BN57" s="126">
        <f t="shared" si="114"/>
        <v>0</v>
      </c>
      <c r="BO57" s="126">
        <f t="shared" si="114"/>
        <v>0</v>
      </c>
      <c r="BP57" s="126">
        <f t="shared" si="114"/>
        <v>0</v>
      </c>
      <c r="BQ57" s="126">
        <f t="shared" si="114"/>
        <v>0</v>
      </c>
      <c r="BR57" s="126" t="e">
        <f>SUMIFS($AP$102:$AP$1048576,#REF!,"&gt;-1000000",$C$102:$C$1048576,"OK",$A$102:$A$1048576,$E57)</f>
        <v>#REF!</v>
      </c>
      <c r="BS57" s="126">
        <f>SUMIFS($AP$102:$AP$1048576,BS$102:BS$1048576,"&gt;-1000000",$C$102:$C$1048576,"OK",$A$102:$A$1048576,$E57)</f>
        <v>0</v>
      </c>
      <c r="BT57" s="126"/>
      <c r="BU57" s="126"/>
      <c r="BV57" s="147"/>
    </row>
    <row r="58" spans="1:74" ht="11.25" hidden="1" x14ac:dyDescent="0.2">
      <c r="A58" s="123"/>
      <c r="B58" s="123"/>
      <c r="C58" s="124"/>
      <c r="D58" s="125"/>
      <c r="E58" s="18">
        <v>8</v>
      </c>
      <c r="F58" s="16" t="s">
        <v>28</v>
      </c>
      <c r="G58" s="14" t="s">
        <v>109</v>
      </c>
      <c r="H58" s="21">
        <f t="shared" ref="H58:BA58" si="115">SUMIFS(H$102:H$1048576,$A$102:$A$1048576,$E58)</f>
        <v>0</v>
      </c>
      <c r="I58" s="21">
        <f t="shared" si="115"/>
        <v>0</v>
      </c>
      <c r="J58" s="21">
        <f t="shared" si="115"/>
        <v>0</v>
      </c>
      <c r="K58" s="21">
        <f t="shared" si="115"/>
        <v>0</v>
      </c>
      <c r="L58" s="21">
        <f t="shared" si="115"/>
        <v>0</v>
      </c>
      <c r="M58" s="21">
        <f t="shared" si="115"/>
        <v>0</v>
      </c>
      <c r="N58" s="29">
        <f t="shared" si="115"/>
        <v>0</v>
      </c>
      <c r="O58" s="29">
        <f t="shared" si="115"/>
        <v>0</v>
      </c>
      <c r="P58" s="160">
        <f t="shared" si="115"/>
        <v>0</v>
      </c>
      <c r="Q58" s="21">
        <f t="shared" si="115"/>
        <v>0</v>
      </c>
      <c r="R58" s="21">
        <f t="shared" si="115"/>
        <v>0</v>
      </c>
      <c r="S58" s="21">
        <f t="shared" si="115"/>
        <v>0</v>
      </c>
      <c r="T58" s="21">
        <f t="shared" si="115"/>
        <v>0</v>
      </c>
      <c r="U58" s="21">
        <f t="shared" si="115"/>
        <v>0</v>
      </c>
      <c r="V58" s="21">
        <f t="shared" si="115"/>
        <v>0</v>
      </c>
      <c r="W58" s="21">
        <f t="shared" si="115"/>
        <v>0</v>
      </c>
      <c r="X58" s="21">
        <f t="shared" si="115"/>
        <v>0</v>
      </c>
      <c r="Y58" s="21">
        <f t="shared" si="115"/>
        <v>0</v>
      </c>
      <c r="Z58" s="21">
        <f t="shared" si="115"/>
        <v>0</v>
      </c>
      <c r="AA58" s="21">
        <f t="shared" si="115"/>
        <v>0</v>
      </c>
      <c r="AB58" s="21">
        <f t="shared" si="115"/>
        <v>0</v>
      </c>
      <c r="AC58" s="21">
        <f t="shared" si="115"/>
        <v>0</v>
      </c>
      <c r="AD58" s="21">
        <f t="shared" si="115"/>
        <v>0</v>
      </c>
      <c r="AE58" s="21">
        <f t="shared" si="115"/>
        <v>0</v>
      </c>
      <c r="AF58" s="21">
        <f t="shared" si="115"/>
        <v>0</v>
      </c>
      <c r="AG58" s="21">
        <f t="shared" si="115"/>
        <v>0</v>
      </c>
      <c r="AH58" s="21">
        <f t="shared" si="115"/>
        <v>0</v>
      </c>
      <c r="AI58" s="21">
        <f t="shared" si="115"/>
        <v>0</v>
      </c>
      <c r="AJ58" s="21">
        <f t="shared" si="115"/>
        <v>0</v>
      </c>
      <c r="AK58" s="21">
        <f t="shared" si="115"/>
        <v>0</v>
      </c>
      <c r="AL58" s="21">
        <f t="shared" si="115"/>
        <v>0</v>
      </c>
      <c r="AM58" s="21">
        <f t="shared" si="115"/>
        <v>0</v>
      </c>
      <c r="AN58" s="21">
        <f t="shared" si="115"/>
        <v>0</v>
      </c>
      <c r="AO58" s="21">
        <f t="shared" si="115"/>
        <v>0</v>
      </c>
      <c r="AP58" s="21">
        <f t="shared" si="115"/>
        <v>0</v>
      </c>
      <c r="AQ58" s="21">
        <f t="shared" si="115"/>
        <v>0</v>
      </c>
      <c r="AR58" s="21">
        <f t="shared" si="115"/>
        <v>0</v>
      </c>
      <c r="AS58" s="21">
        <f t="shared" si="115"/>
        <v>0</v>
      </c>
      <c r="AT58" s="21">
        <f t="shared" si="115"/>
        <v>0</v>
      </c>
      <c r="AU58" s="21">
        <f t="shared" si="115"/>
        <v>0</v>
      </c>
      <c r="AV58" s="21">
        <f t="shared" si="115"/>
        <v>0</v>
      </c>
      <c r="AW58" s="21">
        <f t="shared" si="115"/>
        <v>0</v>
      </c>
      <c r="AX58" s="21">
        <f t="shared" si="115"/>
        <v>0</v>
      </c>
      <c r="AY58" s="21">
        <f t="shared" si="115"/>
        <v>0</v>
      </c>
      <c r="AZ58" s="21">
        <f t="shared" si="115"/>
        <v>0</v>
      </c>
      <c r="BA58" s="21">
        <f t="shared" si="115"/>
        <v>0</v>
      </c>
      <c r="BB58" s="21"/>
      <c r="BC58" s="21">
        <f t="shared" ref="BC58:BQ58" si="116">SUMIFS(BC$102:BC$1048576,$A$102:$A$1048576,$E58)</f>
        <v>0</v>
      </c>
      <c r="BD58" s="21">
        <f t="shared" si="116"/>
        <v>0</v>
      </c>
      <c r="BE58" s="21">
        <f t="shared" si="116"/>
        <v>0</v>
      </c>
      <c r="BF58" s="21">
        <f t="shared" si="116"/>
        <v>0</v>
      </c>
      <c r="BG58" s="21">
        <f t="shared" si="116"/>
        <v>0</v>
      </c>
      <c r="BH58" s="21">
        <f t="shared" si="116"/>
        <v>0</v>
      </c>
      <c r="BI58" s="21">
        <f t="shared" si="116"/>
        <v>0</v>
      </c>
      <c r="BJ58" s="21">
        <f t="shared" si="116"/>
        <v>0</v>
      </c>
      <c r="BK58" s="21">
        <f t="shared" si="116"/>
        <v>0</v>
      </c>
      <c r="BL58" s="21">
        <f t="shared" si="116"/>
        <v>0</v>
      </c>
      <c r="BM58" s="21">
        <f t="shared" si="116"/>
        <v>0</v>
      </c>
      <c r="BN58" s="21">
        <f t="shared" si="116"/>
        <v>0</v>
      </c>
      <c r="BO58" s="21">
        <f t="shared" si="116"/>
        <v>0</v>
      </c>
      <c r="BP58" s="21">
        <f t="shared" si="116"/>
        <v>0</v>
      </c>
      <c r="BQ58" s="21">
        <f t="shared" si="116"/>
        <v>0</v>
      </c>
      <c r="BR58" s="21" t="e">
        <f>SUMIFS(#REF!,$A$102:$A$1048576,$E58)</f>
        <v>#REF!</v>
      </c>
      <c r="BS58" s="21">
        <f>SUMIFS(BS$102:BS$1048576,$A$102:$A$1048576,$E58)</f>
        <v>0</v>
      </c>
      <c r="BT58" s="21"/>
      <c r="BU58" s="21"/>
      <c r="BV58" s="145"/>
    </row>
    <row r="59" spans="1:74" ht="11.25" hidden="1" x14ac:dyDescent="0.2">
      <c r="A59" s="123"/>
      <c r="B59" s="123"/>
      <c r="C59" s="124"/>
      <c r="D59" s="125"/>
      <c r="E59" s="18">
        <v>8</v>
      </c>
      <c r="F59" s="16" t="s">
        <v>25</v>
      </c>
      <c r="G59" s="14" t="s">
        <v>109</v>
      </c>
      <c r="H59" s="14">
        <f t="shared" ref="H59:BA59" si="117">COUNTIFS(H$102:H$1048576,"&gt;-1000000",$A$102:$A$1048576,$E59)</f>
        <v>0</v>
      </c>
      <c r="I59" s="14">
        <f t="shared" si="117"/>
        <v>0</v>
      </c>
      <c r="J59" s="14">
        <f t="shared" si="117"/>
        <v>0</v>
      </c>
      <c r="K59" s="14">
        <f t="shared" si="117"/>
        <v>0</v>
      </c>
      <c r="L59" s="14">
        <f t="shared" si="117"/>
        <v>0</v>
      </c>
      <c r="M59" s="14">
        <f t="shared" si="117"/>
        <v>0</v>
      </c>
      <c r="N59" s="29">
        <f t="shared" si="117"/>
        <v>0</v>
      </c>
      <c r="O59" s="29">
        <f t="shared" si="117"/>
        <v>0</v>
      </c>
      <c r="P59" s="160">
        <f t="shared" si="117"/>
        <v>0</v>
      </c>
      <c r="Q59" s="14">
        <f t="shared" si="117"/>
        <v>0</v>
      </c>
      <c r="R59" s="14">
        <f t="shared" si="117"/>
        <v>0</v>
      </c>
      <c r="S59" s="14">
        <f t="shared" si="117"/>
        <v>0</v>
      </c>
      <c r="T59" s="14">
        <f t="shared" si="117"/>
        <v>0</v>
      </c>
      <c r="U59" s="14">
        <f t="shared" si="117"/>
        <v>0</v>
      </c>
      <c r="V59" s="14">
        <f t="shared" si="117"/>
        <v>0</v>
      </c>
      <c r="W59" s="14">
        <f t="shared" si="117"/>
        <v>0</v>
      </c>
      <c r="X59" s="14">
        <f t="shared" si="117"/>
        <v>0</v>
      </c>
      <c r="Y59" s="14">
        <f t="shared" si="117"/>
        <v>0</v>
      </c>
      <c r="Z59" s="14">
        <f t="shared" si="117"/>
        <v>0</v>
      </c>
      <c r="AA59" s="14">
        <f t="shared" si="117"/>
        <v>0</v>
      </c>
      <c r="AB59" s="14">
        <f t="shared" si="117"/>
        <v>0</v>
      </c>
      <c r="AC59" s="14">
        <f t="shared" si="117"/>
        <v>0</v>
      </c>
      <c r="AD59" s="14">
        <f t="shared" si="117"/>
        <v>0</v>
      </c>
      <c r="AE59" s="14">
        <f t="shared" si="117"/>
        <v>0</v>
      </c>
      <c r="AF59" s="14">
        <f t="shared" si="117"/>
        <v>0</v>
      </c>
      <c r="AG59" s="14">
        <f t="shared" si="117"/>
        <v>0</v>
      </c>
      <c r="AH59" s="14">
        <f t="shared" si="117"/>
        <v>0</v>
      </c>
      <c r="AI59" s="14">
        <f t="shared" si="117"/>
        <v>0</v>
      </c>
      <c r="AJ59" s="14">
        <f t="shared" si="117"/>
        <v>0</v>
      </c>
      <c r="AK59" s="14">
        <f t="shared" si="117"/>
        <v>0</v>
      </c>
      <c r="AL59" s="14">
        <f t="shared" si="117"/>
        <v>0</v>
      </c>
      <c r="AM59" s="14">
        <f t="shared" si="117"/>
        <v>0</v>
      </c>
      <c r="AN59" s="14">
        <f t="shared" si="117"/>
        <v>0</v>
      </c>
      <c r="AO59" s="14">
        <f t="shared" si="117"/>
        <v>0</v>
      </c>
      <c r="AP59" s="14">
        <f t="shared" si="117"/>
        <v>0</v>
      </c>
      <c r="AQ59" s="14">
        <f t="shared" si="117"/>
        <v>0</v>
      </c>
      <c r="AR59" s="14">
        <f t="shared" si="117"/>
        <v>0</v>
      </c>
      <c r="AS59" s="14">
        <f t="shared" si="117"/>
        <v>0</v>
      </c>
      <c r="AT59" s="14">
        <f t="shared" si="117"/>
        <v>0</v>
      </c>
      <c r="AU59" s="14">
        <f t="shared" si="117"/>
        <v>0</v>
      </c>
      <c r="AV59" s="14">
        <f t="shared" si="117"/>
        <v>0</v>
      </c>
      <c r="AW59" s="14">
        <f t="shared" si="117"/>
        <v>0</v>
      </c>
      <c r="AX59" s="14">
        <f t="shared" si="117"/>
        <v>0</v>
      </c>
      <c r="AY59" s="14">
        <f t="shared" si="117"/>
        <v>0</v>
      </c>
      <c r="AZ59" s="14">
        <f t="shared" si="117"/>
        <v>0</v>
      </c>
      <c r="BA59" s="14">
        <f t="shared" si="117"/>
        <v>0</v>
      </c>
      <c r="BB59" s="14"/>
      <c r="BC59" s="14">
        <f t="shared" ref="BC59:BQ59" si="118">COUNTIFS(BC$102:BC$1048576,"&gt;-1000000",$A$102:$A$1048576,$E59)</f>
        <v>0</v>
      </c>
      <c r="BD59" s="14">
        <f t="shared" si="118"/>
        <v>0</v>
      </c>
      <c r="BE59" s="14">
        <f t="shared" si="118"/>
        <v>0</v>
      </c>
      <c r="BF59" s="14">
        <f t="shared" si="118"/>
        <v>0</v>
      </c>
      <c r="BG59" s="14">
        <f t="shared" si="118"/>
        <v>0</v>
      </c>
      <c r="BH59" s="14">
        <f t="shared" si="118"/>
        <v>0</v>
      </c>
      <c r="BI59" s="14">
        <f t="shared" si="118"/>
        <v>0</v>
      </c>
      <c r="BJ59" s="14">
        <f t="shared" si="118"/>
        <v>0</v>
      </c>
      <c r="BK59" s="14">
        <f t="shared" si="118"/>
        <v>0</v>
      </c>
      <c r="BL59" s="14">
        <f t="shared" si="118"/>
        <v>0</v>
      </c>
      <c r="BM59" s="14">
        <f t="shared" si="118"/>
        <v>0</v>
      </c>
      <c r="BN59" s="14">
        <f t="shared" si="118"/>
        <v>0</v>
      </c>
      <c r="BO59" s="14">
        <f t="shared" si="118"/>
        <v>0</v>
      </c>
      <c r="BP59" s="14">
        <f t="shared" si="118"/>
        <v>0</v>
      </c>
      <c r="BQ59" s="14">
        <f t="shared" si="118"/>
        <v>0</v>
      </c>
      <c r="BR59" s="14" t="e">
        <f>COUNTIFS(#REF!,"&gt;-1000000",$A$102:$A$1048576,$E59)</f>
        <v>#REF!</v>
      </c>
      <c r="BS59" s="14">
        <f>COUNTIFS(BS$102:BS$1048576,"&gt;-1000000",$A$102:$A$1048576,$E59)</f>
        <v>0</v>
      </c>
      <c r="BT59" s="14"/>
      <c r="BU59" s="14"/>
      <c r="BV59" s="146"/>
    </row>
    <row r="60" spans="1:74" ht="11.25" hidden="1" x14ac:dyDescent="0.2">
      <c r="A60" s="123"/>
      <c r="B60" s="123"/>
      <c r="C60" s="124"/>
      <c r="D60" s="125"/>
      <c r="E60" s="18">
        <v>8</v>
      </c>
      <c r="F60" s="16" t="s">
        <v>24</v>
      </c>
      <c r="G60" s="14" t="s">
        <v>109</v>
      </c>
      <c r="H60" s="14">
        <f t="shared" ref="H60:BA60" si="119">SUMIFS($AM$102:$AM$1048576,H$102:H$1048576,"&gt;-1000000",$A$102:$A$1048576,$E60)</f>
        <v>0</v>
      </c>
      <c r="I60" s="14">
        <f t="shared" si="119"/>
        <v>0</v>
      </c>
      <c r="J60" s="14">
        <f t="shared" si="119"/>
        <v>0</v>
      </c>
      <c r="K60" s="14">
        <f t="shared" si="119"/>
        <v>0</v>
      </c>
      <c r="L60" s="14">
        <f t="shared" si="119"/>
        <v>0</v>
      </c>
      <c r="M60" s="14">
        <f t="shared" si="119"/>
        <v>0</v>
      </c>
      <c r="N60" s="29">
        <f t="shared" si="119"/>
        <v>0</v>
      </c>
      <c r="O60" s="29">
        <f t="shared" si="119"/>
        <v>0</v>
      </c>
      <c r="P60" s="160">
        <f t="shared" si="119"/>
        <v>0</v>
      </c>
      <c r="Q60" s="14">
        <f t="shared" si="119"/>
        <v>0</v>
      </c>
      <c r="R60" s="14">
        <f t="shared" si="119"/>
        <v>0</v>
      </c>
      <c r="S60" s="14">
        <f t="shared" si="119"/>
        <v>0</v>
      </c>
      <c r="T60" s="14">
        <f t="shared" si="119"/>
        <v>0</v>
      </c>
      <c r="U60" s="14">
        <f t="shared" si="119"/>
        <v>0</v>
      </c>
      <c r="V60" s="14">
        <f t="shared" si="119"/>
        <v>0</v>
      </c>
      <c r="W60" s="14">
        <f t="shared" si="119"/>
        <v>0</v>
      </c>
      <c r="X60" s="14">
        <f t="shared" si="119"/>
        <v>0</v>
      </c>
      <c r="Y60" s="14">
        <f t="shared" si="119"/>
        <v>0</v>
      </c>
      <c r="Z60" s="14">
        <f t="shared" si="119"/>
        <v>0</v>
      </c>
      <c r="AA60" s="14">
        <f t="shared" si="119"/>
        <v>0</v>
      </c>
      <c r="AB60" s="14">
        <f t="shared" si="119"/>
        <v>0</v>
      </c>
      <c r="AC60" s="14">
        <f t="shared" si="119"/>
        <v>0</v>
      </c>
      <c r="AD60" s="14">
        <f t="shared" si="119"/>
        <v>0</v>
      </c>
      <c r="AE60" s="14">
        <f t="shared" si="119"/>
        <v>0</v>
      </c>
      <c r="AF60" s="14">
        <f t="shared" si="119"/>
        <v>0</v>
      </c>
      <c r="AG60" s="14">
        <f t="shared" si="119"/>
        <v>0</v>
      </c>
      <c r="AH60" s="14">
        <f t="shared" si="119"/>
        <v>0</v>
      </c>
      <c r="AI60" s="14">
        <f t="shared" si="119"/>
        <v>0</v>
      </c>
      <c r="AJ60" s="14">
        <f t="shared" si="119"/>
        <v>0</v>
      </c>
      <c r="AK60" s="14">
        <f t="shared" si="119"/>
        <v>0</v>
      </c>
      <c r="AL60" s="14">
        <f t="shared" si="119"/>
        <v>0</v>
      </c>
      <c r="AM60" s="14">
        <f t="shared" si="119"/>
        <v>0</v>
      </c>
      <c r="AN60" s="14">
        <f t="shared" si="119"/>
        <v>0</v>
      </c>
      <c r="AO60" s="14">
        <f t="shared" si="119"/>
        <v>0</v>
      </c>
      <c r="AP60" s="14">
        <f t="shared" si="119"/>
        <v>0</v>
      </c>
      <c r="AQ60" s="14">
        <f t="shared" si="119"/>
        <v>0</v>
      </c>
      <c r="AR60" s="14">
        <f t="shared" si="119"/>
        <v>0</v>
      </c>
      <c r="AS60" s="14">
        <f t="shared" si="119"/>
        <v>0</v>
      </c>
      <c r="AT60" s="14">
        <f t="shared" si="119"/>
        <v>0</v>
      </c>
      <c r="AU60" s="14">
        <f t="shared" si="119"/>
        <v>0</v>
      </c>
      <c r="AV60" s="14">
        <f t="shared" si="119"/>
        <v>0</v>
      </c>
      <c r="AW60" s="14">
        <f t="shared" si="119"/>
        <v>0</v>
      </c>
      <c r="AX60" s="14">
        <f t="shared" si="119"/>
        <v>0</v>
      </c>
      <c r="AY60" s="14">
        <f t="shared" si="119"/>
        <v>0</v>
      </c>
      <c r="AZ60" s="14">
        <f t="shared" si="119"/>
        <v>0</v>
      </c>
      <c r="BA60" s="14">
        <f t="shared" si="119"/>
        <v>0</v>
      </c>
      <c r="BB60" s="14"/>
      <c r="BC60" s="14">
        <f t="shared" ref="BC60:BQ60" si="120">SUMIFS($AM$102:$AM$1048576,BC$102:BC$1048576,"&gt;-1000000",$A$102:$A$1048576,$E60)</f>
        <v>0</v>
      </c>
      <c r="BD60" s="14">
        <f t="shared" si="120"/>
        <v>0</v>
      </c>
      <c r="BE60" s="14">
        <f t="shared" si="120"/>
        <v>0</v>
      </c>
      <c r="BF60" s="14">
        <f t="shared" si="120"/>
        <v>0</v>
      </c>
      <c r="BG60" s="14">
        <f t="shared" si="120"/>
        <v>0</v>
      </c>
      <c r="BH60" s="14">
        <f t="shared" si="120"/>
        <v>0</v>
      </c>
      <c r="BI60" s="14">
        <f t="shared" si="120"/>
        <v>0</v>
      </c>
      <c r="BJ60" s="14">
        <f t="shared" si="120"/>
        <v>0</v>
      </c>
      <c r="BK60" s="14">
        <f t="shared" si="120"/>
        <v>0</v>
      </c>
      <c r="BL60" s="14">
        <f t="shared" si="120"/>
        <v>0</v>
      </c>
      <c r="BM60" s="14">
        <f t="shared" si="120"/>
        <v>0</v>
      </c>
      <c r="BN60" s="14">
        <f t="shared" si="120"/>
        <v>0</v>
      </c>
      <c r="BO60" s="14">
        <f t="shared" si="120"/>
        <v>0</v>
      </c>
      <c r="BP60" s="14">
        <f t="shared" si="120"/>
        <v>0</v>
      </c>
      <c r="BQ60" s="14">
        <f t="shared" si="120"/>
        <v>0</v>
      </c>
      <c r="BR60" s="14" t="e">
        <f>SUMIFS($AM$102:$AM$1048576,#REF!,"&gt;-1000000",$A$102:$A$1048576,$E60)</f>
        <v>#REF!</v>
      </c>
      <c r="BS60" s="14">
        <f>SUMIFS($AM$102:$AM$1048576,BS$102:BS$1048576,"&gt;-1000000",$A$102:$A$1048576,$E60)</f>
        <v>0</v>
      </c>
      <c r="BT60" s="14"/>
      <c r="BU60" s="14"/>
      <c r="BV60" s="146"/>
    </row>
    <row r="61" spans="1:74" ht="11.25" hidden="1" x14ac:dyDescent="0.2">
      <c r="A61" s="123"/>
      <c r="B61" s="123"/>
      <c r="C61" s="124"/>
      <c r="D61" s="125"/>
      <c r="E61" s="18">
        <v>8</v>
      </c>
      <c r="F61" s="16" t="s">
        <v>31</v>
      </c>
      <c r="G61" s="14" t="s">
        <v>109</v>
      </c>
      <c r="H61" s="14">
        <f t="shared" ref="H61:BA61" si="121">SUMIFS($AP$102:$AP$1048576,H$102:H$1048576,"&gt;-1000000",$A$102:$A$1048576,$E61)</f>
        <v>0</v>
      </c>
      <c r="I61" s="14">
        <f t="shared" si="121"/>
        <v>0</v>
      </c>
      <c r="J61" s="14">
        <f t="shared" si="121"/>
        <v>0</v>
      </c>
      <c r="K61" s="14">
        <f t="shared" si="121"/>
        <v>0</v>
      </c>
      <c r="L61" s="14">
        <f t="shared" si="121"/>
        <v>0</v>
      </c>
      <c r="M61" s="14">
        <f t="shared" si="121"/>
        <v>0</v>
      </c>
      <c r="N61" s="29">
        <f t="shared" si="121"/>
        <v>0</v>
      </c>
      <c r="O61" s="29">
        <f t="shared" si="121"/>
        <v>0</v>
      </c>
      <c r="P61" s="160">
        <f t="shared" si="121"/>
        <v>0</v>
      </c>
      <c r="Q61" s="14">
        <f t="shared" si="121"/>
        <v>0</v>
      </c>
      <c r="R61" s="14">
        <f t="shared" si="121"/>
        <v>0</v>
      </c>
      <c r="S61" s="14">
        <f t="shared" si="121"/>
        <v>0</v>
      </c>
      <c r="T61" s="14">
        <f t="shared" si="121"/>
        <v>0</v>
      </c>
      <c r="U61" s="14">
        <f t="shared" si="121"/>
        <v>0</v>
      </c>
      <c r="V61" s="14">
        <f t="shared" si="121"/>
        <v>0</v>
      </c>
      <c r="W61" s="14">
        <f t="shared" si="121"/>
        <v>0</v>
      </c>
      <c r="X61" s="14">
        <f t="shared" si="121"/>
        <v>0</v>
      </c>
      <c r="Y61" s="14">
        <f t="shared" si="121"/>
        <v>0</v>
      </c>
      <c r="Z61" s="14">
        <f t="shared" si="121"/>
        <v>0</v>
      </c>
      <c r="AA61" s="14">
        <f t="shared" si="121"/>
        <v>0</v>
      </c>
      <c r="AB61" s="14">
        <f t="shared" si="121"/>
        <v>0</v>
      </c>
      <c r="AC61" s="14">
        <f t="shared" si="121"/>
        <v>0</v>
      </c>
      <c r="AD61" s="14">
        <f t="shared" si="121"/>
        <v>0</v>
      </c>
      <c r="AE61" s="14">
        <f t="shared" si="121"/>
        <v>0</v>
      </c>
      <c r="AF61" s="14">
        <f t="shared" si="121"/>
        <v>0</v>
      </c>
      <c r="AG61" s="14">
        <f t="shared" si="121"/>
        <v>0</v>
      </c>
      <c r="AH61" s="14">
        <f t="shared" si="121"/>
        <v>0</v>
      </c>
      <c r="AI61" s="14">
        <f t="shared" si="121"/>
        <v>0</v>
      </c>
      <c r="AJ61" s="14">
        <f t="shared" si="121"/>
        <v>0</v>
      </c>
      <c r="AK61" s="14">
        <f t="shared" si="121"/>
        <v>0</v>
      </c>
      <c r="AL61" s="14">
        <f t="shared" si="121"/>
        <v>0</v>
      </c>
      <c r="AM61" s="14">
        <f t="shared" si="121"/>
        <v>0</v>
      </c>
      <c r="AN61" s="14">
        <f t="shared" si="121"/>
        <v>0</v>
      </c>
      <c r="AO61" s="14">
        <f t="shared" si="121"/>
        <v>0</v>
      </c>
      <c r="AP61" s="14">
        <f t="shared" si="121"/>
        <v>0</v>
      </c>
      <c r="AQ61" s="14">
        <f t="shared" si="121"/>
        <v>0</v>
      </c>
      <c r="AR61" s="14">
        <f t="shared" si="121"/>
        <v>0</v>
      </c>
      <c r="AS61" s="14">
        <f t="shared" si="121"/>
        <v>0</v>
      </c>
      <c r="AT61" s="14">
        <f t="shared" si="121"/>
        <v>0</v>
      </c>
      <c r="AU61" s="14">
        <f t="shared" si="121"/>
        <v>0</v>
      </c>
      <c r="AV61" s="14">
        <f t="shared" si="121"/>
        <v>0</v>
      </c>
      <c r="AW61" s="14">
        <f t="shared" si="121"/>
        <v>0</v>
      </c>
      <c r="AX61" s="14">
        <f t="shared" si="121"/>
        <v>0</v>
      </c>
      <c r="AY61" s="14">
        <f t="shared" si="121"/>
        <v>0</v>
      </c>
      <c r="AZ61" s="14">
        <f t="shared" si="121"/>
        <v>0</v>
      </c>
      <c r="BA61" s="14">
        <f t="shared" si="121"/>
        <v>0</v>
      </c>
      <c r="BB61" s="14"/>
      <c r="BC61" s="14">
        <f t="shared" ref="BC61:BQ61" si="122">SUMIFS($AP$102:$AP$1048576,BC$102:BC$1048576,"&gt;-1000000",$A$102:$A$1048576,$E61)</f>
        <v>0</v>
      </c>
      <c r="BD61" s="14">
        <f t="shared" si="122"/>
        <v>0</v>
      </c>
      <c r="BE61" s="14">
        <f t="shared" si="122"/>
        <v>0</v>
      </c>
      <c r="BF61" s="14">
        <f t="shared" si="122"/>
        <v>0</v>
      </c>
      <c r="BG61" s="14">
        <f t="shared" si="122"/>
        <v>0</v>
      </c>
      <c r="BH61" s="14">
        <f t="shared" si="122"/>
        <v>0</v>
      </c>
      <c r="BI61" s="14">
        <f t="shared" si="122"/>
        <v>0</v>
      </c>
      <c r="BJ61" s="14">
        <f t="shared" si="122"/>
        <v>0</v>
      </c>
      <c r="BK61" s="14">
        <f t="shared" si="122"/>
        <v>0</v>
      </c>
      <c r="BL61" s="14">
        <f t="shared" si="122"/>
        <v>0</v>
      </c>
      <c r="BM61" s="14">
        <f t="shared" si="122"/>
        <v>0</v>
      </c>
      <c r="BN61" s="14">
        <f t="shared" si="122"/>
        <v>0</v>
      </c>
      <c r="BO61" s="14">
        <f t="shared" si="122"/>
        <v>0</v>
      </c>
      <c r="BP61" s="14">
        <f t="shared" si="122"/>
        <v>0</v>
      </c>
      <c r="BQ61" s="14">
        <f t="shared" si="122"/>
        <v>0</v>
      </c>
      <c r="BR61" s="14" t="e">
        <f>SUMIFS($AP$102:$AP$1048576,#REF!,"&gt;-1000000",$A$102:$A$1048576,$E61)</f>
        <v>#REF!</v>
      </c>
      <c r="BS61" s="14">
        <f>SUMIFS($AP$102:$AP$1048576,BS$102:BS$1048576,"&gt;-1000000",$A$102:$A$1048576,$E61)</f>
        <v>0</v>
      </c>
      <c r="BT61" s="14"/>
      <c r="BU61" s="14"/>
      <c r="BV61" s="146"/>
    </row>
    <row r="62" spans="1:74" ht="11.25" hidden="1" x14ac:dyDescent="0.2">
      <c r="A62" s="123"/>
      <c r="B62" s="123"/>
      <c r="C62" s="124"/>
      <c r="D62" s="125"/>
      <c r="E62" s="19">
        <v>8</v>
      </c>
      <c r="F62" s="17" t="s">
        <v>29</v>
      </c>
      <c r="G62" s="15" t="s">
        <v>109</v>
      </c>
      <c r="H62" s="126">
        <f t="shared" ref="H62:BA62" si="123">SUMIFS(H$102:H$1048576,$A$102:$A$1048576,$E62,$C$102:$C$1048576,"OK")</f>
        <v>0</v>
      </c>
      <c r="I62" s="126">
        <f t="shared" si="123"/>
        <v>0</v>
      </c>
      <c r="J62" s="126">
        <f t="shared" si="123"/>
        <v>0</v>
      </c>
      <c r="K62" s="126">
        <f t="shared" si="123"/>
        <v>0</v>
      </c>
      <c r="L62" s="126">
        <f t="shared" si="123"/>
        <v>0</v>
      </c>
      <c r="M62" s="126">
        <f t="shared" si="123"/>
        <v>0</v>
      </c>
      <c r="N62" s="29">
        <f t="shared" si="123"/>
        <v>0</v>
      </c>
      <c r="O62" s="29">
        <f t="shared" si="123"/>
        <v>0</v>
      </c>
      <c r="P62" s="161">
        <f t="shared" si="123"/>
        <v>0</v>
      </c>
      <c r="Q62" s="126">
        <f t="shared" si="123"/>
        <v>0</v>
      </c>
      <c r="R62" s="126">
        <f t="shared" si="123"/>
        <v>0</v>
      </c>
      <c r="S62" s="126">
        <f t="shared" si="123"/>
        <v>0</v>
      </c>
      <c r="T62" s="126">
        <f t="shared" si="123"/>
        <v>0</v>
      </c>
      <c r="U62" s="126">
        <f t="shared" si="123"/>
        <v>0</v>
      </c>
      <c r="V62" s="126">
        <f t="shared" si="123"/>
        <v>0</v>
      </c>
      <c r="W62" s="126">
        <f t="shared" si="123"/>
        <v>0</v>
      </c>
      <c r="X62" s="126">
        <f t="shared" si="123"/>
        <v>0</v>
      </c>
      <c r="Y62" s="126">
        <f t="shared" si="123"/>
        <v>0</v>
      </c>
      <c r="Z62" s="126">
        <f t="shared" si="123"/>
        <v>0</v>
      </c>
      <c r="AA62" s="126">
        <f t="shared" si="123"/>
        <v>0</v>
      </c>
      <c r="AB62" s="126">
        <f t="shared" si="123"/>
        <v>0</v>
      </c>
      <c r="AC62" s="126">
        <f t="shared" si="123"/>
        <v>0</v>
      </c>
      <c r="AD62" s="126">
        <f t="shared" si="123"/>
        <v>0</v>
      </c>
      <c r="AE62" s="126">
        <f t="shared" si="123"/>
        <v>0</v>
      </c>
      <c r="AF62" s="126">
        <f t="shared" si="123"/>
        <v>0</v>
      </c>
      <c r="AG62" s="126">
        <f t="shared" si="123"/>
        <v>0</v>
      </c>
      <c r="AH62" s="126">
        <f t="shared" si="123"/>
        <v>0</v>
      </c>
      <c r="AI62" s="126">
        <f t="shared" si="123"/>
        <v>0</v>
      </c>
      <c r="AJ62" s="126">
        <f t="shared" si="123"/>
        <v>0</v>
      </c>
      <c r="AK62" s="126">
        <f t="shared" si="123"/>
        <v>0</v>
      </c>
      <c r="AL62" s="126">
        <f t="shared" si="123"/>
        <v>0</v>
      </c>
      <c r="AM62" s="126">
        <f t="shared" si="123"/>
        <v>0</v>
      </c>
      <c r="AN62" s="126">
        <f t="shared" si="123"/>
        <v>0</v>
      </c>
      <c r="AO62" s="126">
        <f t="shared" si="123"/>
        <v>0</v>
      </c>
      <c r="AP62" s="126">
        <f t="shared" si="123"/>
        <v>0</v>
      </c>
      <c r="AQ62" s="126">
        <f t="shared" si="123"/>
        <v>0</v>
      </c>
      <c r="AR62" s="126">
        <f t="shared" si="123"/>
        <v>0</v>
      </c>
      <c r="AS62" s="126">
        <f t="shared" si="123"/>
        <v>0</v>
      </c>
      <c r="AT62" s="126">
        <f t="shared" si="123"/>
        <v>0</v>
      </c>
      <c r="AU62" s="126">
        <f t="shared" si="123"/>
        <v>0</v>
      </c>
      <c r="AV62" s="126">
        <f t="shared" si="123"/>
        <v>0</v>
      </c>
      <c r="AW62" s="126">
        <f t="shared" si="123"/>
        <v>0</v>
      </c>
      <c r="AX62" s="126">
        <f t="shared" si="123"/>
        <v>0</v>
      </c>
      <c r="AY62" s="126">
        <f t="shared" si="123"/>
        <v>0</v>
      </c>
      <c r="AZ62" s="126">
        <f t="shared" si="123"/>
        <v>0</v>
      </c>
      <c r="BA62" s="126">
        <f t="shared" si="123"/>
        <v>0</v>
      </c>
      <c r="BB62" s="126"/>
      <c r="BC62" s="126">
        <f t="shared" ref="BC62:BQ62" si="124">SUMIFS(BC$102:BC$1048576,$A$102:$A$1048576,$E62,$C$102:$C$1048576,"OK")</f>
        <v>0</v>
      </c>
      <c r="BD62" s="126">
        <f t="shared" si="124"/>
        <v>0</v>
      </c>
      <c r="BE62" s="126">
        <f t="shared" si="124"/>
        <v>0</v>
      </c>
      <c r="BF62" s="126">
        <f t="shared" si="124"/>
        <v>0</v>
      </c>
      <c r="BG62" s="126">
        <f t="shared" si="124"/>
        <v>0</v>
      </c>
      <c r="BH62" s="126">
        <f t="shared" si="124"/>
        <v>0</v>
      </c>
      <c r="BI62" s="126">
        <f t="shared" si="124"/>
        <v>0</v>
      </c>
      <c r="BJ62" s="126">
        <f t="shared" si="124"/>
        <v>0</v>
      </c>
      <c r="BK62" s="126">
        <f t="shared" si="124"/>
        <v>0</v>
      </c>
      <c r="BL62" s="126">
        <f t="shared" si="124"/>
        <v>0</v>
      </c>
      <c r="BM62" s="126">
        <f t="shared" si="124"/>
        <v>0</v>
      </c>
      <c r="BN62" s="126">
        <f t="shared" si="124"/>
        <v>0</v>
      </c>
      <c r="BO62" s="126">
        <f t="shared" si="124"/>
        <v>0</v>
      </c>
      <c r="BP62" s="126">
        <f t="shared" si="124"/>
        <v>0</v>
      </c>
      <c r="BQ62" s="126">
        <f t="shared" si="124"/>
        <v>0</v>
      </c>
      <c r="BR62" s="126" t="e">
        <f>SUMIFS(#REF!,$A$102:$A$1048576,$E62,$C$102:$C$1048576,"OK")</f>
        <v>#REF!</v>
      </c>
      <c r="BS62" s="126">
        <f>SUMIFS(BS$102:BS$1048576,$A$102:$A$1048576,$E62,$C$102:$C$1048576,"OK")</f>
        <v>0</v>
      </c>
      <c r="BT62" s="126"/>
      <c r="BU62" s="126"/>
      <c r="BV62" s="147"/>
    </row>
    <row r="63" spans="1:74" ht="11.25" hidden="1" x14ac:dyDescent="0.2">
      <c r="A63" s="123"/>
      <c r="B63" s="123"/>
      <c r="C63" s="124"/>
      <c r="D63" s="125"/>
      <c r="E63" s="19">
        <v>8</v>
      </c>
      <c r="F63" s="17" t="s">
        <v>23</v>
      </c>
      <c r="G63" s="15" t="s">
        <v>109</v>
      </c>
      <c r="H63" s="126">
        <f t="shared" ref="H63:BA63" si="125">COUNTIFS(H$102:H$1048576,"&gt;-1000000",$C$102:$C$1048576,"OK",$A$102:$A$1048576,$E63)</f>
        <v>0</v>
      </c>
      <c r="I63" s="126">
        <f t="shared" si="125"/>
        <v>0</v>
      </c>
      <c r="J63" s="126">
        <f t="shared" si="125"/>
        <v>0</v>
      </c>
      <c r="K63" s="126">
        <f t="shared" si="125"/>
        <v>0</v>
      </c>
      <c r="L63" s="126">
        <f t="shared" si="125"/>
        <v>0</v>
      </c>
      <c r="M63" s="126">
        <f t="shared" si="125"/>
        <v>0</v>
      </c>
      <c r="N63" s="29">
        <f t="shared" si="125"/>
        <v>0</v>
      </c>
      <c r="O63" s="29">
        <f t="shared" si="125"/>
        <v>0</v>
      </c>
      <c r="P63" s="161">
        <f t="shared" si="125"/>
        <v>0</v>
      </c>
      <c r="Q63" s="126">
        <f t="shared" si="125"/>
        <v>0</v>
      </c>
      <c r="R63" s="126">
        <f t="shared" si="125"/>
        <v>0</v>
      </c>
      <c r="S63" s="126">
        <f t="shared" si="125"/>
        <v>0</v>
      </c>
      <c r="T63" s="126">
        <f t="shared" si="125"/>
        <v>0</v>
      </c>
      <c r="U63" s="126">
        <f t="shared" si="125"/>
        <v>0</v>
      </c>
      <c r="V63" s="126">
        <f t="shared" si="125"/>
        <v>0</v>
      </c>
      <c r="W63" s="126">
        <f t="shared" si="125"/>
        <v>0</v>
      </c>
      <c r="X63" s="126">
        <f t="shared" si="125"/>
        <v>0</v>
      </c>
      <c r="Y63" s="126">
        <f t="shared" si="125"/>
        <v>0</v>
      </c>
      <c r="Z63" s="126">
        <f t="shared" si="125"/>
        <v>0</v>
      </c>
      <c r="AA63" s="126">
        <f t="shared" si="125"/>
        <v>0</v>
      </c>
      <c r="AB63" s="126">
        <f t="shared" si="125"/>
        <v>0</v>
      </c>
      <c r="AC63" s="126">
        <f t="shared" si="125"/>
        <v>0</v>
      </c>
      <c r="AD63" s="126">
        <f t="shared" si="125"/>
        <v>0</v>
      </c>
      <c r="AE63" s="126">
        <f t="shared" si="125"/>
        <v>0</v>
      </c>
      <c r="AF63" s="126">
        <f t="shared" si="125"/>
        <v>0</v>
      </c>
      <c r="AG63" s="126">
        <f t="shared" si="125"/>
        <v>0</v>
      </c>
      <c r="AH63" s="126">
        <f t="shared" si="125"/>
        <v>0</v>
      </c>
      <c r="AI63" s="126">
        <f t="shared" si="125"/>
        <v>0</v>
      </c>
      <c r="AJ63" s="126">
        <f t="shared" si="125"/>
        <v>0</v>
      </c>
      <c r="AK63" s="126">
        <f t="shared" si="125"/>
        <v>0</v>
      </c>
      <c r="AL63" s="126">
        <f t="shared" si="125"/>
        <v>0</v>
      </c>
      <c r="AM63" s="126">
        <f t="shared" si="125"/>
        <v>0</v>
      </c>
      <c r="AN63" s="126">
        <f t="shared" si="125"/>
        <v>0</v>
      </c>
      <c r="AO63" s="126">
        <f t="shared" si="125"/>
        <v>0</v>
      </c>
      <c r="AP63" s="126">
        <f t="shared" si="125"/>
        <v>0</v>
      </c>
      <c r="AQ63" s="126">
        <f t="shared" si="125"/>
        <v>0</v>
      </c>
      <c r="AR63" s="126">
        <f t="shared" si="125"/>
        <v>0</v>
      </c>
      <c r="AS63" s="126">
        <f t="shared" si="125"/>
        <v>0</v>
      </c>
      <c r="AT63" s="126">
        <f t="shared" si="125"/>
        <v>0</v>
      </c>
      <c r="AU63" s="126">
        <f t="shared" si="125"/>
        <v>0</v>
      </c>
      <c r="AV63" s="126">
        <f t="shared" si="125"/>
        <v>0</v>
      </c>
      <c r="AW63" s="126">
        <f t="shared" si="125"/>
        <v>0</v>
      </c>
      <c r="AX63" s="126">
        <f t="shared" si="125"/>
        <v>0</v>
      </c>
      <c r="AY63" s="126">
        <f t="shared" si="125"/>
        <v>0</v>
      </c>
      <c r="AZ63" s="126">
        <f t="shared" si="125"/>
        <v>0</v>
      </c>
      <c r="BA63" s="126">
        <f t="shared" si="125"/>
        <v>0</v>
      </c>
      <c r="BB63" s="126"/>
      <c r="BC63" s="126">
        <f t="shared" ref="BC63:BQ63" si="126">COUNTIFS(BC$102:BC$1048576,"&gt;-1000000",$C$102:$C$1048576,"OK",$A$102:$A$1048576,$E63)</f>
        <v>0</v>
      </c>
      <c r="BD63" s="126">
        <f t="shared" si="126"/>
        <v>0</v>
      </c>
      <c r="BE63" s="126">
        <f t="shared" si="126"/>
        <v>0</v>
      </c>
      <c r="BF63" s="126">
        <f t="shared" si="126"/>
        <v>0</v>
      </c>
      <c r="BG63" s="126">
        <f t="shared" si="126"/>
        <v>0</v>
      </c>
      <c r="BH63" s="126">
        <f t="shared" si="126"/>
        <v>0</v>
      </c>
      <c r="BI63" s="126">
        <f t="shared" si="126"/>
        <v>0</v>
      </c>
      <c r="BJ63" s="126">
        <f t="shared" si="126"/>
        <v>0</v>
      </c>
      <c r="BK63" s="126">
        <f t="shared" si="126"/>
        <v>0</v>
      </c>
      <c r="BL63" s="126">
        <f t="shared" si="126"/>
        <v>0</v>
      </c>
      <c r="BM63" s="126">
        <f t="shared" si="126"/>
        <v>0</v>
      </c>
      <c r="BN63" s="126">
        <f t="shared" si="126"/>
        <v>0</v>
      </c>
      <c r="BO63" s="126">
        <f t="shared" si="126"/>
        <v>0</v>
      </c>
      <c r="BP63" s="126">
        <f t="shared" si="126"/>
        <v>0</v>
      </c>
      <c r="BQ63" s="126">
        <f t="shared" si="126"/>
        <v>0</v>
      </c>
      <c r="BR63" s="126" t="e">
        <f>COUNTIFS(#REF!,"&gt;-1000000",$C$102:$C$1048576,"OK",$A$102:$A$1048576,$E63)</f>
        <v>#REF!</v>
      </c>
      <c r="BS63" s="126">
        <f>COUNTIFS(BS$102:BS$1048576,"&gt;-1000000",$C$102:$C$1048576,"OK",$A$102:$A$1048576,$E63)</f>
        <v>0</v>
      </c>
      <c r="BT63" s="126"/>
      <c r="BU63" s="126"/>
      <c r="BV63" s="147"/>
    </row>
    <row r="64" spans="1:74" ht="11.25" hidden="1" x14ac:dyDescent="0.2">
      <c r="A64" s="123"/>
      <c r="B64" s="123"/>
      <c r="C64" s="124"/>
      <c r="D64" s="125"/>
      <c r="E64" s="19">
        <v>8</v>
      </c>
      <c r="F64" s="17" t="s">
        <v>30</v>
      </c>
      <c r="G64" s="15" t="s">
        <v>109</v>
      </c>
      <c r="H64" s="126">
        <f t="shared" ref="H64:BA64" si="127">SUMIFS($AM$102:$AM$1048576,H$102:H$1048576,"&gt;-1000000",$C$102:$C$1048576,"OK",$A$102:$A$1048576,$E64)</f>
        <v>0</v>
      </c>
      <c r="I64" s="126">
        <f t="shared" si="127"/>
        <v>0</v>
      </c>
      <c r="J64" s="126">
        <f t="shared" si="127"/>
        <v>0</v>
      </c>
      <c r="K64" s="126">
        <f t="shared" si="127"/>
        <v>0</v>
      </c>
      <c r="L64" s="126">
        <f t="shared" si="127"/>
        <v>0</v>
      </c>
      <c r="M64" s="126">
        <f t="shared" si="127"/>
        <v>0</v>
      </c>
      <c r="N64" s="29">
        <f t="shared" si="127"/>
        <v>0</v>
      </c>
      <c r="O64" s="29">
        <f t="shared" si="127"/>
        <v>0</v>
      </c>
      <c r="P64" s="161">
        <f t="shared" si="127"/>
        <v>0</v>
      </c>
      <c r="Q64" s="126">
        <f t="shared" si="127"/>
        <v>0</v>
      </c>
      <c r="R64" s="126">
        <f t="shared" si="127"/>
        <v>0</v>
      </c>
      <c r="S64" s="126">
        <f t="shared" si="127"/>
        <v>0</v>
      </c>
      <c r="T64" s="126">
        <f t="shared" si="127"/>
        <v>0</v>
      </c>
      <c r="U64" s="126">
        <f t="shared" si="127"/>
        <v>0</v>
      </c>
      <c r="V64" s="126">
        <f t="shared" si="127"/>
        <v>0</v>
      </c>
      <c r="W64" s="126">
        <f t="shared" si="127"/>
        <v>0</v>
      </c>
      <c r="X64" s="126">
        <f t="shared" si="127"/>
        <v>0</v>
      </c>
      <c r="Y64" s="126">
        <f t="shared" si="127"/>
        <v>0</v>
      </c>
      <c r="Z64" s="126">
        <f t="shared" si="127"/>
        <v>0</v>
      </c>
      <c r="AA64" s="126">
        <f t="shared" si="127"/>
        <v>0</v>
      </c>
      <c r="AB64" s="126">
        <f t="shared" si="127"/>
        <v>0</v>
      </c>
      <c r="AC64" s="126">
        <f t="shared" si="127"/>
        <v>0</v>
      </c>
      <c r="AD64" s="126">
        <f t="shared" si="127"/>
        <v>0</v>
      </c>
      <c r="AE64" s="126">
        <f t="shared" si="127"/>
        <v>0</v>
      </c>
      <c r="AF64" s="126">
        <f t="shared" si="127"/>
        <v>0</v>
      </c>
      <c r="AG64" s="126">
        <f t="shared" si="127"/>
        <v>0</v>
      </c>
      <c r="AH64" s="126">
        <f t="shared" si="127"/>
        <v>0</v>
      </c>
      <c r="AI64" s="126">
        <f t="shared" si="127"/>
        <v>0</v>
      </c>
      <c r="AJ64" s="126">
        <f t="shared" si="127"/>
        <v>0</v>
      </c>
      <c r="AK64" s="126">
        <f t="shared" si="127"/>
        <v>0</v>
      </c>
      <c r="AL64" s="126">
        <f t="shared" si="127"/>
        <v>0</v>
      </c>
      <c r="AM64" s="126">
        <f t="shared" si="127"/>
        <v>0</v>
      </c>
      <c r="AN64" s="126">
        <f t="shared" si="127"/>
        <v>0</v>
      </c>
      <c r="AO64" s="126">
        <f t="shared" si="127"/>
        <v>0</v>
      </c>
      <c r="AP64" s="126">
        <f t="shared" si="127"/>
        <v>0</v>
      </c>
      <c r="AQ64" s="126">
        <f t="shared" si="127"/>
        <v>0</v>
      </c>
      <c r="AR64" s="126">
        <f t="shared" si="127"/>
        <v>0</v>
      </c>
      <c r="AS64" s="126">
        <f t="shared" si="127"/>
        <v>0</v>
      </c>
      <c r="AT64" s="126">
        <f t="shared" si="127"/>
        <v>0</v>
      </c>
      <c r="AU64" s="126">
        <f t="shared" si="127"/>
        <v>0</v>
      </c>
      <c r="AV64" s="126">
        <f t="shared" si="127"/>
        <v>0</v>
      </c>
      <c r="AW64" s="126">
        <f t="shared" si="127"/>
        <v>0</v>
      </c>
      <c r="AX64" s="126">
        <f t="shared" si="127"/>
        <v>0</v>
      </c>
      <c r="AY64" s="126">
        <f t="shared" si="127"/>
        <v>0</v>
      </c>
      <c r="AZ64" s="126">
        <f t="shared" si="127"/>
        <v>0</v>
      </c>
      <c r="BA64" s="126">
        <f t="shared" si="127"/>
        <v>0</v>
      </c>
      <c r="BB64" s="126"/>
      <c r="BC64" s="126">
        <f t="shared" ref="BC64:BQ64" si="128">SUMIFS($AM$102:$AM$1048576,BC$102:BC$1048576,"&gt;-1000000",$C$102:$C$1048576,"OK",$A$102:$A$1048576,$E64)</f>
        <v>0</v>
      </c>
      <c r="BD64" s="126">
        <f t="shared" si="128"/>
        <v>0</v>
      </c>
      <c r="BE64" s="126">
        <f t="shared" si="128"/>
        <v>0</v>
      </c>
      <c r="BF64" s="126">
        <f t="shared" si="128"/>
        <v>0</v>
      </c>
      <c r="BG64" s="126">
        <f t="shared" si="128"/>
        <v>0</v>
      </c>
      <c r="BH64" s="126">
        <f t="shared" si="128"/>
        <v>0</v>
      </c>
      <c r="BI64" s="126">
        <f t="shared" si="128"/>
        <v>0</v>
      </c>
      <c r="BJ64" s="126">
        <f t="shared" si="128"/>
        <v>0</v>
      </c>
      <c r="BK64" s="126">
        <f t="shared" si="128"/>
        <v>0</v>
      </c>
      <c r="BL64" s="126">
        <f t="shared" si="128"/>
        <v>0</v>
      </c>
      <c r="BM64" s="126">
        <f t="shared" si="128"/>
        <v>0</v>
      </c>
      <c r="BN64" s="126">
        <f t="shared" si="128"/>
        <v>0</v>
      </c>
      <c r="BO64" s="126">
        <f t="shared" si="128"/>
        <v>0</v>
      </c>
      <c r="BP64" s="126">
        <f t="shared" si="128"/>
        <v>0</v>
      </c>
      <c r="BQ64" s="126">
        <f t="shared" si="128"/>
        <v>0</v>
      </c>
      <c r="BR64" s="126" t="e">
        <f>SUMIFS($AM$102:$AM$1048576,#REF!,"&gt;-1000000",$C$102:$C$1048576,"OK",$A$102:$A$1048576,$E64)</f>
        <v>#REF!</v>
      </c>
      <c r="BS64" s="126">
        <f>SUMIFS($AM$102:$AM$1048576,BS$102:BS$1048576,"&gt;-1000000",$C$102:$C$1048576,"OK",$A$102:$A$1048576,$E64)</f>
        <v>0</v>
      </c>
      <c r="BT64" s="126"/>
      <c r="BU64" s="126"/>
      <c r="BV64" s="147"/>
    </row>
    <row r="65" spans="1:74" ht="11.25" hidden="1" x14ac:dyDescent="0.2">
      <c r="A65" s="123"/>
      <c r="B65" s="123"/>
      <c r="C65" s="124"/>
      <c r="D65" s="125"/>
      <c r="E65" s="19">
        <v>8</v>
      </c>
      <c r="F65" s="17" t="s">
        <v>32</v>
      </c>
      <c r="G65" s="15" t="s">
        <v>109</v>
      </c>
      <c r="H65" s="126">
        <f t="shared" ref="H65:BA65" si="129">SUMIFS($AP$102:$AP$1048576,H$102:H$1048576,"&gt;-1000000",$C$102:$C$1048576,"OK",$A$102:$A$1048576,$E65)</f>
        <v>0</v>
      </c>
      <c r="I65" s="126">
        <f t="shared" si="129"/>
        <v>0</v>
      </c>
      <c r="J65" s="126">
        <f t="shared" si="129"/>
        <v>0</v>
      </c>
      <c r="K65" s="126">
        <f t="shared" si="129"/>
        <v>0</v>
      </c>
      <c r="L65" s="126">
        <f t="shared" si="129"/>
        <v>0</v>
      </c>
      <c r="M65" s="126">
        <f t="shared" si="129"/>
        <v>0</v>
      </c>
      <c r="N65" s="29">
        <f t="shared" si="129"/>
        <v>0</v>
      </c>
      <c r="O65" s="29">
        <f t="shared" si="129"/>
        <v>0</v>
      </c>
      <c r="P65" s="161">
        <f t="shared" si="129"/>
        <v>0</v>
      </c>
      <c r="Q65" s="126">
        <f t="shared" si="129"/>
        <v>0</v>
      </c>
      <c r="R65" s="126">
        <f t="shared" si="129"/>
        <v>0</v>
      </c>
      <c r="S65" s="126">
        <f t="shared" si="129"/>
        <v>0</v>
      </c>
      <c r="T65" s="126">
        <f t="shared" si="129"/>
        <v>0</v>
      </c>
      <c r="U65" s="126">
        <f t="shared" si="129"/>
        <v>0</v>
      </c>
      <c r="V65" s="126">
        <f t="shared" si="129"/>
        <v>0</v>
      </c>
      <c r="W65" s="126">
        <f t="shared" si="129"/>
        <v>0</v>
      </c>
      <c r="X65" s="126">
        <f t="shared" si="129"/>
        <v>0</v>
      </c>
      <c r="Y65" s="126">
        <f t="shared" si="129"/>
        <v>0</v>
      </c>
      <c r="Z65" s="126">
        <f t="shared" si="129"/>
        <v>0</v>
      </c>
      <c r="AA65" s="126">
        <f t="shared" si="129"/>
        <v>0</v>
      </c>
      <c r="AB65" s="126">
        <f t="shared" si="129"/>
        <v>0</v>
      </c>
      <c r="AC65" s="126">
        <f t="shared" si="129"/>
        <v>0</v>
      </c>
      <c r="AD65" s="126">
        <f t="shared" si="129"/>
        <v>0</v>
      </c>
      <c r="AE65" s="126">
        <f t="shared" si="129"/>
        <v>0</v>
      </c>
      <c r="AF65" s="126">
        <f t="shared" si="129"/>
        <v>0</v>
      </c>
      <c r="AG65" s="126">
        <f t="shared" si="129"/>
        <v>0</v>
      </c>
      <c r="AH65" s="126">
        <f t="shared" si="129"/>
        <v>0</v>
      </c>
      <c r="AI65" s="126">
        <f t="shared" si="129"/>
        <v>0</v>
      </c>
      <c r="AJ65" s="126">
        <f t="shared" si="129"/>
        <v>0</v>
      </c>
      <c r="AK65" s="126">
        <f t="shared" si="129"/>
        <v>0</v>
      </c>
      <c r="AL65" s="126">
        <f t="shared" si="129"/>
        <v>0</v>
      </c>
      <c r="AM65" s="126">
        <f t="shared" si="129"/>
        <v>0</v>
      </c>
      <c r="AN65" s="126">
        <f t="shared" si="129"/>
        <v>0</v>
      </c>
      <c r="AO65" s="126">
        <f t="shared" si="129"/>
        <v>0</v>
      </c>
      <c r="AP65" s="126">
        <f t="shared" si="129"/>
        <v>0</v>
      </c>
      <c r="AQ65" s="126">
        <f t="shared" si="129"/>
        <v>0</v>
      </c>
      <c r="AR65" s="126">
        <f t="shared" si="129"/>
        <v>0</v>
      </c>
      <c r="AS65" s="126">
        <f t="shared" si="129"/>
        <v>0</v>
      </c>
      <c r="AT65" s="126">
        <f t="shared" si="129"/>
        <v>0</v>
      </c>
      <c r="AU65" s="126">
        <f t="shared" si="129"/>
        <v>0</v>
      </c>
      <c r="AV65" s="126">
        <f t="shared" si="129"/>
        <v>0</v>
      </c>
      <c r="AW65" s="126">
        <f t="shared" si="129"/>
        <v>0</v>
      </c>
      <c r="AX65" s="126">
        <f t="shared" si="129"/>
        <v>0</v>
      </c>
      <c r="AY65" s="126">
        <f t="shared" si="129"/>
        <v>0</v>
      </c>
      <c r="AZ65" s="126">
        <f t="shared" si="129"/>
        <v>0</v>
      </c>
      <c r="BA65" s="126">
        <f t="shared" si="129"/>
        <v>0</v>
      </c>
      <c r="BB65" s="126"/>
      <c r="BC65" s="126">
        <f t="shared" ref="BC65:BQ65" si="130">SUMIFS($AP$102:$AP$1048576,BC$102:BC$1048576,"&gt;-1000000",$C$102:$C$1048576,"OK",$A$102:$A$1048576,$E65)</f>
        <v>0</v>
      </c>
      <c r="BD65" s="126">
        <f t="shared" si="130"/>
        <v>0</v>
      </c>
      <c r="BE65" s="126">
        <f t="shared" si="130"/>
        <v>0</v>
      </c>
      <c r="BF65" s="126">
        <f t="shared" si="130"/>
        <v>0</v>
      </c>
      <c r="BG65" s="126">
        <f t="shared" si="130"/>
        <v>0</v>
      </c>
      <c r="BH65" s="126">
        <f t="shared" si="130"/>
        <v>0</v>
      </c>
      <c r="BI65" s="126">
        <f t="shared" si="130"/>
        <v>0</v>
      </c>
      <c r="BJ65" s="126">
        <f t="shared" si="130"/>
        <v>0</v>
      </c>
      <c r="BK65" s="126">
        <f t="shared" si="130"/>
        <v>0</v>
      </c>
      <c r="BL65" s="126">
        <f t="shared" si="130"/>
        <v>0</v>
      </c>
      <c r="BM65" s="126">
        <f t="shared" si="130"/>
        <v>0</v>
      </c>
      <c r="BN65" s="126">
        <f t="shared" si="130"/>
        <v>0</v>
      </c>
      <c r="BO65" s="126">
        <f t="shared" si="130"/>
        <v>0</v>
      </c>
      <c r="BP65" s="126">
        <f t="shared" si="130"/>
        <v>0</v>
      </c>
      <c r="BQ65" s="126">
        <f t="shared" si="130"/>
        <v>0</v>
      </c>
      <c r="BR65" s="126" t="e">
        <f>SUMIFS($AP$102:$AP$1048576,#REF!,"&gt;-1000000",$C$102:$C$1048576,"OK",$A$102:$A$1048576,$E65)</f>
        <v>#REF!</v>
      </c>
      <c r="BS65" s="126">
        <f>SUMIFS($AP$102:$AP$1048576,BS$102:BS$1048576,"&gt;-1000000",$C$102:$C$1048576,"OK",$A$102:$A$1048576,$E65)</f>
        <v>0</v>
      </c>
      <c r="BT65" s="126"/>
      <c r="BU65" s="126"/>
      <c r="BV65" s="147"/>
    </row>
    <row r="66" spans="1:74" ht="11.25" hidden="1" x14ac:dyDescent="0.2">
      <c r="A66" s="123"/>
      <c r="B66" s="123"/>
      <c r="C66" s="124"/>
      <c r="D66" s="125"/>
      <c r="E66" s="18">
        <v>9</v>
      </c>
      <c r="F66" s="16" t="s">
        <v>28</v>
      </c>
      <c r="G66" s="14" t="s">
        <v>109</v>
      </c>
      <c r="H66" s="21">
        <f t="shared" ref="H66:BA66" si="131">SUMIFS(H$102:H$1048576,$A$102:$A$1048576,$E66)</f>
        <v>0</v>
      </c>
      <c r="I66" s="21">
        <f t="shared" si="131"/>
        <v>0</v>
      </c>
      <c r="J66" s="21">
        <f t="shared" si="131"/>
        <v>0</v>
      </c>
      <c r="K66" s="21">
        <f t="shared" si="131"/>
        <v>0</v>
      </c>
      <c r="L66" s="21">
        <f t="shared" si="131"/>
        <v>0</v>
      </c>
      <c r="M66" s="21">
        <f t="shared" si="131"/>
        <v>0</v>
      </c>
      <c r="N66" s="29">
        <f t="shared" si="131"/>
        <v>0</v>
      </c>
      <c r="O66" s="29">
        <f t="shared" si="131"/>
        <v>0</v>
      </c>
      <c r="P66" s="160">
        <f t="shared" si="131"/>
        <v>0</v>
      </c>
      <c r="Q66" s="21">
        <f t="shared" si="131"/>
        <v>0</v>
      </c>
      <c r="R66" s="21">
        <f t="shared" si="131"/>
        <v>0</v>
      </c>
      <c r="S66" s="21">
        <f t="shared" si="131"/>
        <v>0</v>
      </c>
      <c r="T66" s="21">
        <f t="shared" si="131"/>
        <v>0</v>
      </c>
      <c r="U66" s="21">
        <f t="shared" si="131"/>
        <v>0</v>
      </c>
      <c r="V66" s="21">
        <f t="shared" si="131"/>
        <v>0</v>
      </c>
      <c r="W66" s="21">
        <f t="shared" si="131"/>
        <v>0</v>
      </c>
      <c r="X66" s="21">
        <f t="shared" si="131"/>
        <v>0</v>
      </c>
      <c r="Y66" s="21">
        <f t="shared" si="131"/>
        <v>0</v>
      </c>
      <c r="Z66" s="21">
        <f t="shared" si="131"/>
        <v>0</v>
      </c>
      <c r="AA66" s="21">
        <f t="shared" si="131"/>
        <v>0</v>
      </c>
      <c r="AB66" s="21">
        <f t="shared" si="131"/>
        <v>0</v>
      </c>
      <c r="AC66" s="21">
        <f t="shared" si="131"/>
        <v>0</v>
      </c>
      <c r="AD66" s="21">
        <f t="shared" si="131"/>
        <v>0</v>
      </c>
      <c r="AE66" s="21">
        <f t="shared" si="131"/>
        <v>0</v>
      </c>
      <c r="AF66" s="21">
        <f t="shared" si="131"/>
        <v>0</v>
      </c>
      <c r="AG66" s="21">
        <f t="shared" si="131"/>
        <v>0</v>
      </c>
      <c r="AH66" s="21">
        <f t="shared" si="131"/>
        <v>0</v>
      </c>
      <c r="AI66" s="21">
        <f t="shared" si="131"/>
        <v>0</v>
      </c>
      <c r="AJ66" s="21">
        <f t="shared" si="131"/>
        <v>0</v>
      </c>
      <c r="AK66" s="21">
        <f t="shared" si="131"/>
        <v>0</v>
      </c>
      <c r="AL66" s="21">
        <f t="shared" si="131"/>
        <v>0</v>
      </c>
      <c r="AM66" s="21">
        <f t="shared" si="131"/>
        <v>0</v>
      </c>
      <c r="AN66" s="21">
        <f t="shared" si="131"/>
        <v>0</v>
      </c>
      <c r="AO66" s="21">
        <f t="shared" si="131"/>
        <v>0</v>
      </c>
      <c r="AP66" s="21">
        <f t="shared" si="131"/>
        <v>0</v>
      </c>
      <c r="AQ66" s="21">
        <f t="shared" si="131"/>
        <v>0</v>
      </c>
      <c r="AR66" s="21">
        <f t="shared" si="131"/>
        <v>0</v>
      </c>
      <c r="AS66" s="21">
        <f t="shared" si="131"/>
        <v>0</v>
      </c>
      <c r="AT66" s="21">
        <f t="shared" si="131"/>
        <v>0</v>
      </c>
      <c r="AU66" s="21">
        <f t="shared" si="131"/>
        <v>0</v>
      </c>
      <c r="AV66" s="21">
        <f t="shared" si="131"/>
        <v>0</v>
      </c>
      <c r="AW66" s="21">
        <f t="shared" si="131"/>
        <v>0</v>
      </c>
      <c r="AX66" s="21">
        <f t="shared" si="131"/>
        <v>0</v>
      </c>
      <c r="AY66" s="21">
        <f t="shared" si="131"/>
        <v>0</v>
      </c>
      <c r="AZ66" s="21">
        <f t="shared" si="131"/>
        <v>0</v>
      </c>
      <c r="BA66" s="21">
        <f t="shared" si="131"/>
        <v>0</v>
      </c>
      <c r="BB66" s="21"/>
      <c r="BC66" s="21">
        <f t="shared" ref="BC66:BQ66" si="132">SUMIFS(BC$102:BC$1048576,$A$102:$A$1048576,$E66)</f>
        <v>0</v>
      </c>
      <c r="BD66" s="21">
        <f t="shared" si="132"/>
        <v>0</v>
      </c>
      <c r="BE66" s="21">
        <f t="shared" si="132"/>
        <v>0</v>
      </c>
      <c r="BF66" s="21">
        <f t="shared" si="132"/>
        <v>0</v>
      </c>
      <c r="BG66" s="21">
        <f t="shared" si="132"/>
        <v>0</v>
      </c>
      <c r="BH66" s="21">
        <f t="shared" si="132"/>
        <v>0</v>
      </c>
      <c r="BI66" s="21">
        <f t="shared" si="132"/>
        <v>0</v>
      </c>
      <c r="BJ66" s="21">
        <f t="shared" si="132"/>
        <v>0</v>
      </c>
      <c r="BK66" s="21">
        <f t="shared" si="132"/>
        <v>0</v>
      </c>
      <c r="BL66" s="21">
        <f t="shared" si="132"/>
        <v>0</v>
      </c>
      <c r="BM66" s="21">
        <f t="shared" si="132"/>
        <v>0</v>
      </c>
      <c r="BN66" s="21">
        <f t="shared" si="132"/>
        <v>0</v>
      </c>
      <c r="BO66" s="21">
        <f t="shared" si="132"/>
        <v>0</v>
      </c>
      <c r="BP66" s="21">
        <f t="shared" si="132"/>
        <v>0</v>
      </c>
      <c r="BQ66" s="21">
        <f t="shared" si="132"/>
        <v>0</v>
      </c>
      <c r="BR66" s="21" t="e">
        <f>SUMIFS(#REF!,$A$102:$A$1048576,$E66)</f>
        <v>#REF!</v>
      </c>
      <c r="BS66" s="21">
        <f>SUMIFS(BS$102:BS$1048576,$A$102:$A$1048576,$E66)</f>
        <v>0</v>
      </c>
      <c r="BT66" s="21"/>
      <c r="BU66" s="21"/>
      <c r="BV66" s="145"/>
    </row>
    <row r="67" spans="1:74" ht="11.25" hidden="1" x14ac:dyDescent="0.2">
      <c r="A67" s="123"/>
      <c r="B67" s="123"/>
      <c r="C67" s="124"/>
      <c r="D67" s="125"/>
      <c r="E67" s="18">
        <v>9</v>
      </c>
      <c r="F67" s="16" t="s">
        <v>25</v>
      </c>
      <c r="G67" s="14" t="s">
        <v>109</v>
      </c>
      <c r="H67" s="14">
        <f t="shared" ref="H67:BA67" si="133">COUNTIFS(H$102:H$1048576,"&gt;-1000000",$A$102:$A$1048576,$E67)</f>
        <v>0</v>
      </c>
      <c r="I67" s="14">
        <f t="shared" si="133"/>
        <v>0</v>
      </c>
      <c r="J67" s="14">
        <f t="shared" si="133"/>
        <v>0</v>
      </c>
      <c r="K67" s="14">
        <f t="shared" si="133"/>
        <v>0</v>
      </c>
      <c r="L67" s="14">
        <f t="shared" si="133"/>
        <v>0</v>
      </c>
      <c r="M67" s="14">
        <f t="shared" si="133"/>
        <v>0</v>
      </c>
      <c r="N67" s="29">
        <f t="shared" si="133"/>
        <v>0</v>
      </c>
      <c r="O67" s="29">
        <f t="shared" si="133"/>
        <v>0</v>
      </c>
      <c r="P67" s="160">
        <f t="shared" si="133"/>
        <v>0</v>
      </c>
      <c r="Q67" s="14">
        <f t="shared" si="133"/>
        <v>0</v>
      </c>
      <c r="R67" s="14">
        <f t="shared" si="133"/>
        <v>0</v>
      </c>
      <c r="S67" s="14">
        <f t="shared" si="133"/>
        <v>0</v>
      </c>
      <c r="T67" s="14">
        <f t="shared" si="133"/>
        <v>0</v>
      </c>
      <c r="U67" s="14">
        <f t="shared" si="133"/>
        <v>0</v>
      </c>
      <c r="V67" s="14">
        <f t="shared" si="133"/>
        <v>0</v>
      </c>
      <c r="W67" s="14">
        <f t="shared" si="133"/>
        <v>0</v>
      </c>
      <c r="X67" s="14">
        <f t="shared" si="133"/>
        <v>0</v>
      </c>
      <c r="Y67" s="14">
        <f t="shared" si="133"/>
        <v>0</v>
      </c>
      <c r="Z67" s="14">
        <f t="shared" si="133"/>
        <v>0</v>
      </c>
      <c r="AA67" s="14">
        <f t="shared" si="133"/>
        <v>0</v>
      </c>
      <c r="AB67" s="14">
        <f t="shared" si="133"/>
        <v>0</v>
      </c>
      <c r="AC67" s="14">
        <f t="shared" si="133"/>
        <v>0</v>
      </c>
      <c r="AD67" s="14">
        <f t="shared" si="133"/>
        <v>0</v>
      </c>
      <c r="AE67" s="14">
        <f t="shared" si="133"/>
        <v>0</v>
      </c>
      <c r="AF67" s="14">
        <f t="shared" si="133"/>
        <v>0</v>
      </c>
      <c r="AG67" s="14">
        <f t="shared" si="133"/>
        <v>0</v>
      </c>
      <c r="AH67" s="14">
        <f t="shared" si="133"/>
        <v>0</v>
      </c>
      <c r="AI67" s="14">
        <f t="shared" si="133"/>
        <v>0</v>
      </c>
      <c r="AJ67" s="14">
        <f t="shared" si="133"/>
        <v>0</v>
      </c>
      <c r="AK67" s="14">
        <f t="shared" si="133"/>
        <v>0</v>
      </c>
      <c r="AL67" s="14">
        <f t="shared" si="133"/>
        <v>0</v>
      </c>
      <c r="AM67" s="14">
        <f t="shared" si="133"/>
        <v>0</v>
      </c>
      <c r="AN67" s="14">
        <f t="shared" si="133"/>
        <v>0</v>
      </c>
      <c r="AO67" s="14">
        <f t="shared" si="133"/>
        <v>0</v>
      </c>
      <c r="AP67" s="14">
        <f t="shared" si="133"/>
        <v>0</v>
      </c>
      <c r="AQ67" s="14">
        <f t="shared" si="133"/>
        <v>0</v>
      </c>
      <c r="AR67" s="14">
        <f t="shared" si="133"/>
        <v>0</v>
      </c>
      <c r="AS67" s="14">
        <f t="shared" si="133"/>
        <v>0</v>
      </c>
      <c r="AT67" s="14">
        <f t="shared" si="133"/>
        <v>0</v>
      </c>
      <c r="AU67" s="14">
        <f t="shared" si="133"/>
        <v>0</v>
      </c>
      <c r="AV67" s="14">
        <f t="shared" si="133"/>
        <v>0</v>
      </c>
      <c r="AW67" s="14">
        <f t="shared" si="133"/>
        <v>0</v>
      </c>
      <c r="AX67" s="14">
        <f t="shared" si="133"/>
        <v>0</v>
      </c>
      <c r="AY67" s="14">
        <f t="shared" si="133"/>
        <v>0</v>
      </c>
      <c r="AZ67" s="14">
        <f t="shared" si="133"/>
        <v>0</v>
      </c>
      <c r="BA67" s="14">
        <f t="shared" si="133"/>
        <v>0</v>
      </c>
      <c r="BB67" s="14"/>
      <c r="BC67" s="14">
        <f t="shared" ref="BC67:BQ67" si="134">COUNTIFS(BC$102:BC$1048576,"&gt;-1000000",$A$102:$A$1048576,$E67)</f>
        <v>0</v>
      </c>
      <c r="BD67" s="14">
        <f t="shared" si="134"/>
        <v>0</v>
      </c>
      <c r="BE67" s="14">
        <f t="shared" si="134"/>
        <v>0</v>
      </c>
      <c r="BF67" s="14">
        <f t="shared" si="134"/>
        <v>0</v>
      </c>
      <c r="BG67" s="14">
        <f t="shared" si="134"/>
        <v>0</v>
      </c>
      <c r="BH67" s="14">
        <f t="shared" si="134"/>
        <v>0</v>
      </c>
      <c r="BI67" s="14">
        <f t="shared" si="134"/>
        <v>0</v>
      </c>
      <c r="BJ67" s="14">
        <f t="shared" si="134"/>
        <v>0</v>
      </c>
      <c r="BK67" s="14">
        <f t="shared" si="134"/>
        <v>0</v>
      </c>
      <c r="BL67" s="14">
        <f t="shared" si="134"/>
        <v>0</v>
      </c>
      <c r="BM67" s="14">
        <f t="shared" si="134"/>
        <v>0</v>
      </c>
      <c r="BN67" s="14">
        <f t="shared" si="134"/>
        <v>0</v>
      </c>
      <c r="BO67" s="14">
        <f t="shared" si="134"/>
        <v>0</v>
      </c>
      <c r="BP67" s="14">
        <f t="shared" si="134"/>
        <v>0</v>
      </c>
      <c r="BQ67" s="14">
        <f t="shared" si="134"/>
        <v>0</v>
      </c>
      <c r="BR67" s="14" t="e">
        <f>COUNTIFS(#REF!,"&gt;-1000000",$A$102:$A$1048576,$E67)</f>
        <v>#REF!</v>
      </c>
      <c r="BS67" s="14">
        <f>COUNTIFS(BS$102:BS$1048576,"&gt;-1000000",$A$102:$A$1048576,$E67)</f>
        <v>0</v>
      </c>
      <c r="BT67" s="14"/>
      <c r="BU67" s="14"/>
      <c r="BV67" s="146"/>
    </row>
    <row r="68" spans="1:74" ht="11.25" hidden="1" x14ac:dyDescent="0.2">
      <c r="A68" s="123"/>
      <c r="B68" s="123"/>
      <c r="C68" s="124"/>
      <c r="D68" s="125"/>
      <c r="E68" s="18">
        <v>9</v>
      </c>
      <c r="F68" s="16" t="s">
        <v>24</v>
      </c>
      <c r="G68" s="14" t="s">
        <v>109</v>
      </c>
      <c r="H68" s="14">
        <f t="shared" ref="H68:BA68" si="135">SUMIFS($AM$102:$AM$1048576,H$102:H$1048576,"&gt;-1000000",$A$102:$A$1048576,$E68)</f>
        <v>0</v>
      </c>
      <c r="I68" s="14">
        <f t="shared" si="135"/>
        <v>0</v>
      </c>
      <c r="J68" s="14">
        <f t="shared" si="135"/>
        <v>0</v>
      </c>
      <c r="K68" s="14">
        <f t="shared" si="135"/>
        <v>0</v>
      </c>
      <c r="L68" s="14">
        <f t="shared" si="135"/>
        <v>0</v>
      </c>
      <c r="M68" s="14">
        <f t="shared" si="135"/>
        <v>0</v>
      </c>
      <c r="N68" s="29">
        <f t="shared" si="135"/>
        <v>0</v>
      </c>
      <c r="O68" s="29">
        <f t="shared" si="135"/>
        <v>0</v>
      </c>
      <c r="P68" s="160">
        <f t="shared" si="135"/>
        <v>0</v>
      </c>
      <c r="Q68" s="14">
        <f t="shared" si="135"/>
        <v>0</v>
      </c>
      <c r="R68" s="14">
        <f t="shared" si="135"/>
        <v>0</v>
      </c>
      <c r="S68" s="14">
        <f t="shared" si="135"/>
        <v>0</v>
      </c>
      <c r="T68" s="14">
        <f t="shared" si="135"/>
        <v>0</v>
      </c>
      <c r="U68" s="14">
        <f t="shared" si="135"/>
        <v>0</v>
      </c>
      <c r="V68" s="14">
        <f t="shared" si="135"/>
        <v>0</v>
      </c>
      <c r="W68" s="14">
        <f t="shared" si="135"/>
        <v>0</v>
      </c>
      <c r="X68" s="14">
        <f t="shared" si="135"/>
        <v>0</v>
      </c>
      <c r="Y68" s="14">
        <f t="shared" si="135"/>
        <v>0</v>
      </c>
      <c r="Z68" s="14">
        <f t="shared" si="135"/>
        <v>0</v>
      </c>
      <c r="AA68" s="14">
        <f t="shared" si="135"/>
        <v>0</v>
      </c>
      <c r="AB68" s="14">
        <f t="shared" si="135"/>
        <v>0</v>
      </c>
      <c r="AC68" s="14">
        <f t="shared" si="135"/>
        <v>0</v>
      </c>
      <c r="AD68" s="14">
        <f t="shared" si="135"/>
        <v>0</v>
      </c>
      <c r="AE68" s="14">
        <f t="shared" si="135"/>
        <v>0</v>
      </c>
      <c r="AF68" s="14">
        <f t="shared" si="135"/>
        <v>0</v>
      </c>
      <c r="AG68" s="14">
        <f t="shared" si="135"/>
        <v>0</v>
      </c>
      <c r="AH68" s="14">
        <f t="shared" si="135"/>
        <v>0</v>
      </c>
      <c r="AI68" s="14">
        <f t="shared" si="135"/>
        <v>0</v>
      </c>
      <c r="AJ68" s="14">
        <f t="shared" si="135"/>
        <v>0</v>
      </c>
      <c r="AK68" s="14">
        <f t="shared" si="135"/>
        <v>0</v>
      </c>
      <c r="AL68" s="14">
        <f t="shared" si="135"/>
        <v>0</v>
      </c>
      <c r="AM68" s="14">
        <f t="shared" si="135"/>
        <v>0</v>
      </c>
      <c r="AN68" s="14">
        <f t="shared" si="135"/>
        <v>0</v>
      </c>
      <c r="AO68" s="14">
        <f t="shared" si="135"/>
        <v>0</v>
      </c>
      <c r="AP68" s="14">
        <f t="shared" si="135"/>
        <v>0</v>
      </c>
      <c r="AQ68" s="14">
        <f t="shared" si="135"/>
        <v>0</v>
      </c>
      <c r="AR68" s="14">
        <f t="shared" si="135"/>
        <v>0</v>
      </c>
      <c r="AS68" s="14">
        <f t="shared" si="135"/>
        <v>0</v>
      </c>
      <c r="AT68" s="14">
        <f t="shared" si="135"/>
        <v>0</v>
      </c>
      <c r="AU68" s="14">
        <f t="shared" si="135"/>
        <v>0</v>
      </c>
      <c r="AV68" s="14">
        <f t="shared" si="135"/>
        <v>0</v>
      </c>
      <c r="AW68" s="14">
        <f t="shared" si="135"/>
        <v>0</v>
      </c>
      <c r="AX68" s="14">
        <f t="shared" si="135"/>
        <v>0</v>
      </c>
      <c r="AY68" s="14">
        <f t="shared" si="135"/>
        <v>0</v>
      </c>
      <c r="AZ68" s="14">
        <f t="shared" si="135"/>
        <v>0</v>
      </c>
      <c r="BA68" s="14">
        <f t="shared" si="135"/>
        <v>0</v>
      </c>
      <c r="BB68" s="14"/>
      <c r="BC68" s="14">
        <f t="shared" ref="BC68:BQ68" si="136">SUMIFS($AM$102:$AM$1048576,BC$102:BC$1048576,"&gt;-1000000",$A$102:$A$1048576,$E68)</f>
        <v>0</v>
      </c>
      <c r="BD68" s="14">
        <f t="shared" si="136"/>
        <v>0</v>
      </c>
      <c r="BE68" s="14">
        <f t="shared" si="136"/>
        <v>0</v>
      </c>
      <c r="BF68" s="14">
        <f t="shared" si="136"/>
        <v>0</v>
      </c>
      <c r="BG68" s="14">
        <f t="shared" si="136"/>
        <v>0</v>
      </c>
      <c r="BH68" s="14">
        <f t="shared" si="136"/>
        <v>0</v>
      </c>
      <c r="BI68" s="14">
        <f t="shared" si="136"/>
        <v>0</v>
      </c>
      <c r="BJ68" s="14">
        <f t="shared" si="136"/>
        <v>0</v>
      </c>
      <c r="BK68" s="14">
        <f t="shared" si="136"/>
        <v>0</v>
      </c>
      <c r="BL68" s="14">
        <f t="shared" si="136"/>
        <v>0</v>
      </c>
      <c r="BM68" s="14">
        <f t="shared" si="136"/>
        <v>0</v>
      </c>
      <c r="BN68" s="14">
        <f t="shared" si="136"/>
        <v>0</v>
      </c>
      <c r="BO68" s="14">
        <f t="shared" si="136"/>
        <v>0</v>
      </c>
      <c r="BP68" s="14">
        <f t="shared" si="136"/>
        <v>0</v>
      </c>
      <c r="BQ68" s="14">
        <f t="shared" si="136"/>
        <v>0</v>
      </c>
      <c r="BR68" s="14" t="e">
        <f>SUMIFS($AM$102:$AM$1048576,#REF!,"&gt;-1000000",$A$102:$A$1048576,$E68)</f>
        <v>#REF!</v>
      </c>
      <c r="BS68" s="14">
        <f>SUMIFS($AM$102:$AM$1048576,BS$102:BS$1048576,"&gt;-1000000",$A$102:$A$1048576,$E68)</f>
        <v>0</v>
      </c>
      <c r="BT68" s="14"/>
      <c r="BU68" s="14"/>
      <c r="BV68" s="146"/>
    </row>
    <row r="69" spans="1:74" ht="11.25" hidden="1" x14ac:dyDescent="0.2">
      <c r="A69" s="123"/>
      <c r="B69" s="123"/>
      <c r="C69" s="124"/>
      <c r="D69" s="125"/>
      <c r="E69" s="18">
        <v>9</v>
      </c>
      <c r="F69" s="16" t="s">
        <v>31</v>
      </c>
      <c r="G69" s="14" t="s">
        <v>109</v>
      </c>
      <c r="H69" s="14">
        <f t="shared" ref="H69:BA69" si="137">SUMIFS($AP$102:$AP$1048576,H$102:H$1048576,"&gt;-1000000",$A$102:$A$1048576,$E69)</f>
        <v>0</v>
      </c>
      <c r="I69" s="14">
        <f t="shared" si="137"/>
        <v>0</v>
      </c>
      <c r="J69" s="14">
        <f t="shared" si="137"/>
        <v>0</v>
      </c>
      <c r="K69" s="14">
        <f t="shared" si="137"/>
        <v>0</v>
      </c>
      <c r="L69" s="14">
        <f t="shared" si="137"/>
        <v>0</v>
      </c>
      <c r="M69" s="14">
        <f t="shared" si="137"/>
        <v>0</v>
      </c>
      <c r="N69" s="29">
        <f t="shared" si="137"/>
        <v>0</v>
      </c>
      <c r="O69" s="29">
        <f t="shared" si="137"/>
        <v>0</v>
      </c>
      <c r="P69" s="160">
        <f t="shared" si="137"/>
        <v>0</v>
      </c>
      <c r="Q69" s="14">
        <f t="shared" si="137"/>
        <v>0</v>
      </c>
      <c r="R69" s="14">
        <f t="shared" si="137"/>
        <v>0</v>
      </c>
      <c r="S69" s="14">
        <f t="shared" si="137"/>
        <v>0</v>
      </c>
      <c r="T69" s="14">
        <f t="shared" si="137"/>
        <v>0</v>
      </c>
      <c r="U69" s="14">
        <f t="shared" si="137"/>
        <v>0</v>
      </c>
      <c r="V69" s="14">
        <f t="shared" si="137"/>
        <v>0</v>
      </c>
      <c r="W69" s="14">
        <f t="shared" si="137"/>
        <v>0</v>
      </c>
      <c r="X69" s="14">
        <f t="shared" si="137"/>
        <v>0</v>
      </c>
      <c r="Y69" s="14">
        <f t="shared" si="137"/>
        <v>0</v>
      </c>
      <c r="Z69" s="14">
        <f t="shared" si="137"/>
        <v>0</v>
      </c>
      <c r="AA69" s="14">
        <f t="shared" si="137"/>
        <v>0</v>
      </c>
      <c r="AB69" s="14">
        <f t="shared" si="137"/>
        <v>0</v>
      </c>
      <c r="AC69" s="14">
        <f t="shared" si="137"/>
        <v>0</v>
      </c>
      <c r="AD69" s="14">
        <f t="shared" si="137"/>
        <v>0</v>
      </c>
      <c r="AE69" s="14">
        <f t="shared" si="137"/>
        <v>0</v>
      </c>
      <c r="AF69" s="14">
        <f t="shared" si="137"/>
        <v>0</v>
      </c>
      <c r="AG69" s="14">
        <f t="shared" si="137"/>
        <v>0</v>
      </c>
      <c r="AH69" s="14">
        <f t="shared" si="137"/>
        <v>0</v>
      </c>
      <c r="AI69" s="14">
        <f t="shared" si="137"/>
        <v>0</v>
      </c>
      <c r="AJ69" s="14">
        <f t="shared" si="137"/>
        <v>0</v>
      </c>
      <c r="AK69" s="14">
        <f t="shared" si="137"/>
        <v>0</v>
      </c>
      <c r="AL69" s="14">
        <f t="shared" si="137"/>
        <v>0</v>
      </c>
      <c r="AM69" s="14">
        <f t="shared" si="137"/>
        <v>0</v>
      </c>
      <c r="AN69" s="14">
        <f t="shared" si="137"/>
        <v>0</v>
      </c>
      <c r="AO69" s="14">
        <f t="shared" si="137"/>
        <v>0</v>
      </c>
      <c r="AP69" s="14">
        <f t="shared" si="137"/>
        <v>0</v>
      </c>
      <c r="AQ69" s="14">
        <f t="shared" si="137"/>
        <v>0</v>
      </c>
      <c r="AR69" s="14">
        <f t="shared" si="137"/>
        <v>0</v>
      </c>
      <c r="AS69" s="14">
        <f t="shared" si="137"/>
        <v>0</v>
      </c>
      <c r="AT69" s="14">
        <f t="shared" si="137"/>
        <v>0</v>
      </c>
      <c r="AU69" s="14">
        <f t="shared" si="137"/>
        <v>0</v>
      </c>
      <c r="AV69" s="14">
        <f t="shared" si="137"/>
        <v>0</v>
      </c>
      <c r="AW69" s="14">
        <f t="shared" si="137"/>
        <v>0</v>
      </c>
      <c r="AX69" s="14">
        <f t="shared" si="137"/>
        <v>0</v>
      </c>
      <c r="AY69" s="14">
        <f t="shared" si="137"/>
        <v>0</v>
      </c>
      <c r="AZ69" s="14">
        <f t="shared" si="137"/>
        <v>0</v>
      </c>
      <c r="BA69" s="14">
        <f t="shared" si="137"/>
        <v>0</v>
      </c>
      <c r="BB69" s="14"/>
      <c r="BC69" s="14">
        <f t="shared" ref="BC69:BQ69" si="138">SUMIFS($AP$102:$AP$1048576,BC$102:BC$1048576,"&gt;-1000000",$A$102:$A$1048576,$E69)</f>
        <v>0</v>
      </c>
      <c r="BD69" s="14">
        <f t="shared" si="138"/>
        <v>0</v>
      </c>
      <c r="BE69" s="14">
        <f t="shared" si="138"/>
        <v>0</v>
      </c>
      <c r="BF69" s="14">
        <f t="shared" si="138"/>
        <v>0</v>
      </c>
      <c r="BG69" s="14">
        <f t="shared" si="138"/>
        <v>0</v>
      </c>
      <c r="BH69" s="14">
        <f t="shared" si="138"/>
        <v>0</v>
      </c>
      <c r="BI69" s="14">
        <f t="shared" si="138"/>
        <v>0</v>
      </c>
      <c r="BJ69" s="14">
        <f t="shared" si="138"/>
        <v>0</v>
      </c>
      <c r="BK69" s="14">
        <f t="shared" si="138"/>
        <v>0</v>
      </c>
      <c r="BL69" s="14">
        <f t="shared" si="138"/>
        <v>0</v>
      </c>
      <c r="BM69" s="14">
        <f t="shared" si="138"/>
        <v>0</v>
      </c>
      <c r="BN69" s="14">
        <f t="shared" si="138"/>
        <v>0</v>
      </c>
      <c r="BO69" s="14">
        <f t="shared" si="138"/>
        <v>0</v>
      </c>
      <c r="BP69" s="14">
        <f t="shared" si="138"/>
        <v>0</v>
      </c>
      <c r="BQ69" s="14">
        <f t="shared" si="138"/>
        <v>0</v>
      </c>
      <c r="BR69" s="14" t="e">
        <f>SUMIFS($AP$102:$AP$1048576,#REF!,"&gt;-1000000",$A$102:$A$1048576,$E69)</f>
        <v>#REF!</v>
      </c>
      <c r="BS69" s="14">
        <f>SUMIFS($AP$102:$AP$1048576,BS$102:BS$1048576,"&gt;-1000000",$A$102:$A$1048576,$E69)</f>
        <v>0</v>
      </c>
      <c r="BT69" s="14"/>
      <c r="BU69" s="14"/>
      <c r="BV69" s="146"/>
    </row>
    <row r="70" spans="1:74" ht="11.25" hidden="1" x14ac:dyDescent="0.2">
      <c r="A70" s="123"/>
      <c r="B70" s="123"/>
      <c r="C70" s="124"/>
      <c r="D70" s="125"/>
      <c r="E70" s="19">
        <v>9</v>
      </c>
      <c r="F70" s="17" t="s">
        <v>29</v>
      </c>
      <c r="G70" s="15" t="s">
        <v>109</v>
      </c>
      <c r="H70" s="126">
        <f t="shared" ref="H70:BA70" si="139">SUMIFS(H$102:H$1048576,$A$102:$A$1048576,$E70,$C$102:$C$1048576,"OK")</f>
        <v>0</v>
      </c>
      <c r="I70" s="126">
        <f t="shared" si="139"/>
        <v>0</v>
      </c>
      <c r="J70" s="126">
        <f t="shared" si="139"/>
        <v>0</v>
      </c>
      <c r="K70" s="126">
        <f t="shared" si="139"/>
        <v>0</v>
      </c>
      <c r="L70" s="126">
        <f t="shared" si="139"/>
        <v>0</v>
      </c>
      <c r="M70" s="126">
        <f t="shared" si="139"/>
        <v>0</v>
      </c>
      <c r="N70" s="29">
        <f t="shared" si="139"/>
        <v>0</v>
      </c>
      <c r="O70" s="29">
        <f t="shared" si="139"/>
        <v>0</v>
      </c>
      <c r="P70" s="161">
        <f t="shared" si="139"/>
        <v>0</v>
      </c>
      <c r="Q70" s="126">
        <f t="shared" si="139"/>
        <v>0</v>
      </c>
      <c r="R70" s="126">
        <f t="shared" si="139"/>
        <v>0</v>
      </c>
      <c r="S70" s="126">
        <f t="shared" si="139"/>
        <v>0</v>
      </c>
      <c r="T70" s="126">
        <f t="shared" si="139"/>
        <v>0</v>
      </c>
      <c r="U70" s="126">
        <f t="shared" si="139"/>
        <v>0</v>
      </c>
      <c r="V70" s="126">
        <f t="shared" si="139"/>
        <v>0</v>
      </c>
      <c r="W70" s="126">
        <f t="shared" si="139"/>
        <v>0</v>
      </c>
      <c r="X70" s="126">
        <f t="shared" si="139"/>
        <v>0</v>
      </c>
      <c r="Y70" s="126">
        <f t="shared" si="139"/>
        <v>0</v>
      </c>
      <c r="Z70" s="126">
        <f t="shared" si="139"/>
        <v>0</v>
      </c>
      <c r="AA70" s="126">
        <f t="shared" si="139"/>
        <v>0</v>
      </c>
      <c r="AB70" s="126">
        <f t="shared" si="139"/>
        <v>0</v>
      </c>
      <c r="AC70" s="126">
        <f t="shared" si="139"/>
        <v>0</v>
      </c>
      <c r="AD70" s="126">
        <f t="shared" si="139"/>
        <v>0</v>
      </c>
      <c r="AE70" s="126">
        <f t="shared" si="139"/>
        <v>0</v>
      </c>
      <c r="AF70" s="126">
        <f t="shared" si="139"/>
        <v>0</v>
      </c>
      <c r="AG70" s="126">
        <f t="shared" si="139"/>
        <v>0</v>
      </c>
      <c r="AH70" s="126">
        <f t="shared" si="139"/>
        <v>0</v>
      </c>
      <c r="AI70" s="126">
        <f t="shared" si="139"/>
        <v>0</v>
      </c>
      <c r="AJ70" s="126">
        <f t="shared" si="139"/>
        <v>0</v>
      </c>
      <c r="AK70" s="126">
        <f t="shared" si="139"/>
        <v>0</v>
      </c>
      <c r="AL70" s="126">
        <f t="shared" si="139"/>
        <v>0</v>
      </c>
      <c r="AM70" s="126">
        <f t="shared" si="139"/>
        <v>0</v>
      </c>
      <c r="AN70" s="126">
        <f t="shared" si="139"/>
        <v>0</v>
      </c>
      <c r="AO70" s="126">
        <f t="shared" si="139"/>
        <v>0</v>
      </c>
      <c r="AP70" s="126">
        <f t="shared" si="139"/>
        <v>0</v>
      </c>
      <c r="AQ70" s="126">
        <f t="shared" si="139"/>
        <v>0</v>
      </c>
      <c r="AR70" s="126">
        <f t="shared" si="139"/>
        <v>0</v>
      </c>
      <c r="AS70" s="126">
        <f t="shared" si="139"/>
        <v>0</v>
      </c>
      <c r="AT70" s="126">
        <f t="shared" si="139"/>
        <v>0</v>
      </c>
      <c r="AU70" s="126">
        <f t="shared" si="139"/>
        <v>0</v>
      </c>
      <c r="AV70" s="126">
        <f t="shared" si="139"/>
        <v>0</v>
      </c>
      <c r="AW70" s="126">
        <f t="shared" si="139"/>
        <v>0</v>
      </c>
      <c r="AX70" s="126">
        <f t="shared" si="139"/>
        <v>0</v>
      </c>
      <c r="AY70" s="126">
        <f t="shared" si="139"/>
        <v>0</v>
      </c>
      <c r="AZ70" s="126">
        <f t="shared" si="139"/>
        <v>0</v>
      </c>
      <c r="BA70" s="126">
        <f t="shared" si="139"/>
        <v>0</v>
      </c>
      <c r="BB70" s="126"/>
      <c r="BC70" s="126">
        <f t="shared" ref="BC70:BQ70" si="140">SUMIFS(BC$102:BC$1048576,$A$102:$A$1048576,$E70,$C$102:$C$1048576,"OK")</f>
        <v>0</v>
      </c>
      <c r="BD70" s="126">
        <f t="shared" si="140"/>
        <v>0</v>
      </c>
      <c r="BE70" s="126">
        <f t="shared" si="140"/>
        <v>0</v>
      </c>
      <c r="BF70" s="126">
        <f t="shared" si="140"/>
        <v>0</v>
      </c>
      <c r="BG70" s="126">
        <f t="shared" si="140"/>
        <v>0</v>
      </c>
      <c r="BH70" s="126">
        <f t="shared" si="140"/>
        <v>0</v>
      </c>
      <c r="BI70" s="126">
        <f t="shared" si="140"/>
        <v>0</v>
      </c>
      <c r="BJ70" s="126">
        <f t="shared" si="140"/>
        <v>0</v>
      </c>
      <c r="BK70" s="126">
        <f t="shared" si="140"/>
        <v>0</v>
      </c>
      <c r="BL70" s="126">
        <f t="shared" si="140"/>
        <v>0</v>
      </c>
      <c r="BM70" s="126">
        <f t="shared" si="140"/>
        <v>0</v>
      </c>
      <c r="BN70" s="126">
        <f t="shared" si="140"/>
        <v>0</v>
      </c>
      <c r="BO70" s="126">
        <f t="shared" si="140"/>
        <v>0</v>
      </c>
      <c r="BP70" s="126">
        <f t="shared" si="140"/>
        <v>0</v>
      </c>
      <c r="BQ70" s="126">
        <f t="shared" si="140"/>
        <v>0</v>
      </c>
      <c r="BR70" s="126" t="e">
        <f>SUMIFS(#REF!,$A$102:$A$1048576,$E70,$C$102:$C$1048576,"OK")</f>
        <v>#REF!</v>
      </c>
      <c r="BS70" s="126">
        <f>SUMIFS(BS$102:BS$1048576,$A$102:$A$1048576,$E70,$C$102:$C$1048576,"OK")</f>
        <v>0</v>
      </c>
      <c r="BT70" s="126"/>
      <c r="BU70" s="126"/>
      <c r="BV70" s="147"/>
    </row>
    <row r="71" spans="1:74" ht="11.25" hidden="1" x14ac:dyDescent="0.2">
      <c r="A71" s="123"/>
      <c r="B71" s="123"/>
      <c r="C71" s="124"/>
      <c r="D71" s="125"/>
      <c r="E71" s="19">
        <v>9</v>
      </c>
      <c r="F71" s="17" t="s">
        <v>23</v>
      </c>
      <c r="G71" s="15" t="s">
        <v>109</v>
      </c>
      <c r="H71" s="126">
        <f t="shared" ref="H71:BA71" si="141">COUNTIFS(H$102:H$1048576,"&gt;-1000000",$C$102:$C$1048576,"OK",$A$102:$A$1048576,$E71)</f>
        <v>0</v>
      </c>
      <c r="I71" s="126">
        <f t="shared" si="141"/>
        <v>0</v>
      </c>
      <c r="J71" s="126">
        <f t="shared" si="141"/>
        <v>0</v>
      </c>
      <c r="K71" s="126">
        <f t="shared" si="141"/>
        <v>0</v>
      </c>
      <c r="L71" s="126">
        <f t="shared" si="141"/>
        <v>0</v>
      </c>
      <c r="M71" s="126">
        <f t="shared" si="141"/>
        <v>0</v>
      </c>
      <c r="N71" s="29">
        <f t="shared" si="141"/>
        <v>0</v>
      </c>
      <c r="O71" s="29">
        <f t="shared" si="141"/>
        <v>0</v>
      </c>
      <c r="P71" s="161">
        <f t="shared" si="141"/>
        <v>0</v>
      </c>
      <c r="Q71" s="126">
        <f t="shared" si="141"/>
        <v>0</v>
      </c>
      <c r="R71" s="126">
        <f t="shared" si="141"/>
        <v>0</v>
      </c>
      <c r="S71" s="126">
        <f t="shared" si="141"/>
        <v>0</v>
      </c>
      <c r="T71" s="126">
        <f t="shared" si="141"/>
        <v>0</v>
      </c>
      <c r="U71" s="126">
        <f t="shared" si="141"/>
        <v>0</v>
      </c>
      <c r="V71" s="126">
        <f t="shared" si="141"/>
        <v>0</v>
      </c>
      <c r="W71" s="126">
        <f t="shared" si="141"/>
        <v>0</v>
      </c>
      <c r="X71" s="126">
        <f t="shared" si="141"/>
        <v>0</v>
      </c>
      <c r="Y71" s="126">
        <f t="shared" si="141"/>
        <v>0</v>
      </c>
      <c r="Z71" s="126">
        <f t="shared" si="141"/>
        <v>0</v>
      </c>
      <c r="AA71" s="126">
        <f t="shared" si="141"/>
        <v>0</v>
      </c>
      <c r="AB71" s="126">
        <f t="shared" si="141"/>
        <v>0</v>
      </c>
      <c r="AC71" s="126">
        <f t="shared" si="141"/>
        <v>0</v>
      </c>
      <c r="AD71" s="126">
        <f t="shared" si="141"/>
        <v>0</v>
      </c>
      <c r="AE71" s="126">
        <f t="shared" si="141"/>
        <v>0</v>
      </c>
      <c r="AF71" s="126">
        <f t="shared" si="141"/>
        <v>0</v>
      </c>
      <c r="AG71" s="126">
        <f t="shared" si="141"/>
        <v>0</v>
      </c>
      <c r="AH71" s="126">
        <f t="shared" si="141"/>
        <v>0</v>
      </c>
      <c r="AI71" s="126">
        <f t="shared" si="141"/>
        <v>0</v>
      </c>
      <c r="AJ71" s="126">
        <f t="shared" si="141"/>
        <v>0</v>
      </c>
      <c r="AK71" s="126">
        <f t="shared" si="141"/>
        <v>0</v>
      </c>
      <c r="AL71" s="126">
        <f t="shared" si="141"/>
        <v>0</v>
      </c>
      <c r="AM71" s="126">
        <f t="shared" si="141"/>
        <v>0</v>
      </c>
      <c r="AN71" s="126">
        <f t="shared" si="141"/>
        <v>0</v>
      </c>
      <c r="AO71" s="126">
        <f t="shared" si="141"/>
        <v>0</v>
      </c>
      <c r="AP71" s="126">
        <f t="shared" si="141"/>
        <v>0</v>
      </c>
      <c r="AQ71" s="126">
        <f t="shared" si="141"/>
        <v>0</v>
      </c>
      <c r="AR71" s="126">
        <f t="shared" si="141"/>
        <v>0</v>
      </c>
      <c r="AS71" s="126">
        <f t="shared" si="141"/>
        <v>0</v>
      </c>
      <c r="AT71" s="126">
        <f t="shared" si="141"/>
        <v>0</v>
      </c>
      <c r="AU71" s="126">
        <f t="shared" si="141"/>
        <v>0</v>
      </c>
      <c r="AV71" s="126">
        <f t="shared" si="141"/>
        <v>0</v>
      </c>
      <c r="AW71" s="126">
        <f t="shared" si="141"/>
        <v>0</v>
      </c>
      <c r="AX71" s="126">
        <f t="shared" si="141"/>
        <v>0</v>
      </c>
      <c r="AY71" s="126">
        <f t="shared" si="141"/>
        <v>0</v>
      </c>
      <c r="AZ71" s="126">
        <f t="shared" si="141"/>
        <v>0</v>
      </c>
      <c r="BA71" s="126">
        <f t="shared" si="141"/>
        <v>0</v>
      </c>
      <c r="BB71" s="126"/>
      <c r="BC71" s="126">
        <f t="shared" ref="BC71:BQ71" si="142">COUNTIFS(BC$102:BC$1048576,"&gt;-1000000",$C$102:$C$1048576,"OK",$A$102:$A$1048576,$E71)</f>
        <v>0</v>
      </c>
      <c r="BD71" s="126">
        <f t="shared" si="142"/>
        <v>0</v>
      </c>
      <c r="BE71" s="126">
        <f t="shared" si="142"/>
        <v>0</v>
      </c>
      <c r="BF71" s="126">
        <f t="shared" si="142"/>
        <v>0</v>
      </c>
      <c r="BG71" s="126">
        <f t="shared" si="142"/>
        <v>0</v>
      </c>
      <c r="BH71" s="126">
        <f t="shared" si="142"/>
        <v>0</v>
      </c>
      <c r="BI71" s="126">
        <f t="shared" si="142"/>
        <v>0</v>
      </c>
      <c r="BJ71" s="126">
        <f t="shared" si="142"/>
        <v>0</v>
      </c>
      <c r="BK71" s="126">
        <f t="shared" si="142"/>
        <v>0</v>
      </c>
      <c r="BL71" s="126">
        <f t="shared" si="142"/>
        <v>0</v>
      </c>
      <c r="BM71" s="126">
        <f t="shared" si="142"/>
        <v>0</v>
      </c>
      <c r="BN71" s="126">
        <f t="shared" si="142"/>
        <v>0</v>
      </c>
      <c r="BO71" s="126">
        <f t="shared" si="142"/>
        <v>0</v>
      </c>
      <c r="BP71" s="126">
        <f t="shared" si="142"/>
        <v>0</v>
      </c>
      <c r="BQ71" s="126">
        <f t="shared" si="142"/>
        <v>0</v>
      </c>
      <c r="BR71" s="126" t="e">
        <f>COUNTIFS(#REF!,"&gt;-1000000",$C$102:$C$1048576,"OK",$A$102:$A$1048576,$E71)</f>
        <v>#REF!</v>
      </c>
      <c r="BS71" s="126">
        <f>COUNTIFS(BS$102:BS$1048576,"&gt;-1000000",$C$102:$C$1048576,"OK",$A$102:$A$1048576,$E71)</f>
        <v>0</v>
      </c>
      <c r="BT71" s="126"/>
      <c r="BU71" s="126"/>
      <c r="BV71" s="147"/>
    </row>
    <row r="72" spans="1:74" ht="11.25" hidden="1" x14ac:dyDescent="0.2">
      <c r="A72" s="123"/>
      <c r="B72" s="123"/>
      <c r="C72" s="124"/>
      <c r="D72" s="125"/>
      <c r="E72" s="19">
        <v>9</v>
      </c>
      <c r="F72" s="17" t="s">
        <v>30</v>
      </c>
      <c r="G72" s="15" t="s">
        <v>109</v>
      </c>
      <c r="H72" s="126">
        <f t="shared" ref="H72:BA72" si="143">SUMIFS($AM$102:$AM$1048576,H$102:H$1048576,"&gt;-1000000",$C$102:$C$1048576,"OK",$A$102:$A$1048576,$E72)</f>
        <v>0</v>
      </c>
      <c r="I72" s="126">
        <f t="shared" si="143"/>
        <v>0</v>
      </c>
      <c r="J72" s="126">
        <f t="shared" si="143"/>
        <v>0</v>
      </c>
      <c r="K72" s="126">
        <f t="shared" si="143"/>
        <v>0</v>
      </c>
      <c r="L72" s="126">
        <f t="shared" si="143"/>
        <v>0</v>
      </c>
      <c r="M72" s="126">
        <f t="shared" si="143"/>
        <v>0</v>
      </c>
      <c r="N72" s="29">
        <f t="shared" si="143"/>
        <v>0</v>
      </c>
      <c r="O72" s="29">
        <f t="shared" si="143"/>
        <v>0</v>
      </c>
      <c r="P72" s="161">
        <f t="shared" si="143"/>
        <v>0</v>
      </c>
      <c r="Q72" s="126">
        <f t="shared" si="143"/>
        <v>0</v>
      </c>
      <c r="R72" s="126">
        <f t="shared" si="143"/>
        <v>0</v>
      </c>
      <c r="S72" s="126">
        <f t="shared" si="143"/>
        <v>0</v>
      </c>
      <c r="T72" s="126">
        <f t="shared" si="143"/>
        <v>0</v>
      </c>
      <c r="U72" s="126">
        <f t="shared" si="143"/>
        <v>0</v>
      </c>
      <c r="V72" s="126">
        <f t="shared" si="143"/>
        <v>0</v>
      </c>
      <c r="W72" s="126">
        <f t="shared" si="143"/>
        <v>0</v>
      </c>
      <c r="X72" s="126">
        <f t="shared" si="143"/>
        <v>0</v>
      </c>
      <c r="Y72" s="126">
        <f t="shared" si="143"/>
        <v>0</v>
      </c>
      <c r="Z72" s="126">
        <f t="shared" si="143"/>
        <v>0</v>
      </c>
      <c r="AA72" s="126">
        <f t="shared" si="143"/>
        <v>0</v>
      </c>
      <c r="AB72" s="126">
        <f t="shared" si="143"/>
        <v>0</v>
      </c>
      <c r="AC72" s="126">
        <f t="shared" si="143"/>
        <v>0</v>
      </c>
      <c r="AD72" s="126">
        <f t="shared" si="143"/>
        <v>0</v>
      </c>
      <c r="AE72" s="126">
        <f t="shared" si="143"/>
        <v>0</v>
      </c>
      <c r="AF72" s="126">
        <f t="shared" si="143"/>
        <v>0</v>
      </c>
      <c r="AG72" s="126">
        <f t="shared" si="143"/>
        <v>0</v>
      </c>
      <c r="AH72" s="126">
        <f t="shared" si="143"/>
        <v>0</v>
      </c>
      <c r="AI72" s="126">
        <f t="shared" si="143"/>
        <v>0</v>
      </c>
      <c r="AJ72" s="126">
        <f t="shared" si="143"/>
        <v>0</v>
      </c>
      <c r="AK72" s="126">
        <f t="shared" si="143"/>
        <v>0</v>
      </c>
      <c r="AL72" s="126">
        <f t="shared" si="143"/>
        <v>0</v>
      </c>
      <c r="AM72" s="126">
        <f t="shared" si="143"/>
        <v>0</v>
      </c>
      <c r="AN72" s="126">
        <f t="shared" si="143"/>
        <v>0</v>
      </c>
      <c r="AO72" s="126">
        <f t="shared" si="143"/>
        <v>0</v>
      </c>
      <c r="AP72" s="126">
        <f t="shared" si="143"/>
        <v>0</v>
      </c>
      <c r="AQ72" s="126">
        <f t="shared" si="143"/>
        <v>0</v>
      </c>
      <c r="AR72" s="126">
        <f t="shared" si="143"/>
        <v>0</v>
      </c>
      <c r="AS72" s="126">
        <f t="shared" si="143"/>
        <v>0</v>
      </c>
      <c r="AT72" s="126">
        <f t="shared" si="143"/>
        <v>0</v>
      </c>
      <c r="AU72" s="126">
        <f t="shared" si="143"/>
        <v>0</v>
      </c>
      <c r="AV72" s="126">
        <f t="shared" si="143"/>
        <v>0</v>
      </c>
      <c r="AW72" s="126">
        <f t="shared" si="143"/>
        <v>0</v>
      </c>
      <c r="AX72" s="126">
        <f t="shared" si="143"/>
        <v>0</v>
      </c>
      <c r="AY72" s="126">
        <f t="shared" si="143"/>
        <v>0</v>
      </c>
      <c r="AZ72" s="126">
        <f t="shared" si="143"/>
        <v>0</v>
      </c>
      <c r="BA72" s="126">
        <f t="shared" si="143"/>
        <v>0</v>
      </c>
      <c r="BB72" s="126"/>
      <c r="BC72" s="126">
        <f t="shared" ref="BC72:BQ72" si="144">SUMIFS($AM$102:$AM$1048576,BC$102:BC$1048576,"&gt;-1000000",$C$102:$C$1048576,"OK",$A$102:$A$1048576,$E72)</f>
        <v>0</v>
      </c>
      <c r="BD72" s="126">
        <f t="shared" si="144"/>
        <v>0</v>
      </c>
      <c r="BE72" s="126">
        <f t="shared" si="144"/>
        <v>0</v>
      </c>
      <c r="BF72" s="126">
        <f t="shared" si="144"/>
        <v>0</v>
      </c>
      <c r="BG72" s="126">
        <f t="shared" si="144"/>
        <v>0</v>
      </c>
      <c r="BH72" s="126">
        <f t="shared" si="144"/>
        <v>0</v>
      </c>
      <c r="BI72" s="126">
        <f t="shared" si="144"/>
        <v>0</v>
      </c>
      <c r="BJ72" s="126">
        <f t="shared" si="144"/>
        <v>0</v>
      </c>
      <c r="BK72" s="126">
        <f t="shared" si="144"/>
        <v>0</v>
      </c>
      <c r="BL72" s="126">
        <f t="shared" si="144"/>
        <v>0</v>
      </c>
      <c r="BM72" s="126">
        <f t="shared" si="144"/>
        <v>0</v>
      </c>
      <c r="BN72" s="126">
        <f t="shared" si="144"/>
        <v>0</v>
      </c>
      <c r="BO72" s="126">
        <f t="shared" si="144"/>
        <v>0</v>
      </c>
      <c r="BP72" s="126">
        <f t="shared" si="144"/>
        <v>0</v>
      </c>
      <c r="BQ72" s="126">
        <f t="shared" si="144"/>
        <v>0</v>
      </c>
      <c r="BR72" s="126" t="e">
        <f>SUMIFS($AM$102:$AM$1048576,#REF!,"&gt;-1000000",$C$102:$C$1048576,"OK",$A$102:$A$1048576,$E72)</f>
        <v>#REF!</v>
      </c>
      <c r="BS72" s="126">
        <f>SUMIFS($AM$102:$AM$1048576,BS$102:BS$1048576,"&gt;-1000000",$C$102:$C$1048576,"OK",$A$102:$A$1048576,$E72)</f>
        <v>0</v>
      </c>
      <c r="BT72" s="126"/>
      <c r="BU72" s="126"/>
      <c r="BV72" s="147"/>
    </row>
    <row r="73" spans="1:74" ht="11.25" hidden="1" x14ac:dyDescent="0.2">
      <c r="A73" s="123"/>
      <c r="B73" s="123"/>
      <c r="C73" s="124"/>
      <c r="D73" s="125"/>
      <c r="E73" s="19">
        <v>9</v>
      </c>
      <c r="F73" s="17" t="s">
        <v>32</v>
      </c>
      <c r="G73" s="15" t="s">
        <v>109</v>
      </c>
      <c r="H73" s="126">
        <f t="shared" ref="H73:BA73" si="145">SUMIFS($AP$102:$AP$1048576,H$102:H$1048576,"&gt;-1000000",$C$102:$C$1048576,"OK",$A$102:$A$1048576,$E73)</f>
        <v>0</v>
      </c>
      <c r="I73" s="126">
        <f t="shared" si="145"/>
        <v>0</v>
      </c>
      <c r="J73" s="126">
        <f t="shared" si="145"/>
        <v>0</v>
      </c>
      <c r="K73" s="126">
        <f t="shared" si="145"/>
        <v>0</v>
      </c>
      <c r="L73" s="126">
        <f t="shared" si="145"/>
        <v>0</v>
      </c>
      <c r="M73" s="126">
        <f t="shared" si="145"/>
        <v>0</v>
      </c>
      <c r="N73" s="29">
        <f t="shared" si="145"/>
        <v>0</v>
      </c>
      <c r="O73" s="29">
        <f t="shared" si="145"/>
        <v>0</v>
      </c>
      <c r="P73" s="161">
        <f t="shared" si="145"/>
        <v>0</v>
      </c>
      <c r="Q73" s="126">
        <f t="shared" si="145"/>
        <v>0</v>
      </c>
      <c r="R73" s="126">
        <f t="shared" si="145"/>
        <v>0</v>
      </c>
      <c r="S73" s="126">
        <f t="shared" si="145"/>
        <v>0</v>
      </c>
      <c r="T73" s="126">
        <f t="shared" si="145"/>
        <v>0</v>
      </c>
      <c r="U73" s="126">
        <f t="shared" si="145"/>
        <v>0</v>
      </c>
      <c r="V73" s="126">
        <f t="shared" si="145"/>
        <v>0</v>
      </c>
      <c r="W73" s="126">
        <f t="shared" si="145"/>
        <v>0</v>
      </c>
      <c r="X73" s="126">
        <f t="shared" si="145"/>
        <v>0</v>
      </c>
      <c r="Y73" s="126">
        <f t="shared" si="145"/>
        <v>0</v>
      </c>
      <c r="Z73" s="126">
        <f t="shared" si="145"/>
        <v>0</v>
      </c>
      <c r="AA73" s="126">
        <f t="shared" si="145"/>
        <v>0</v>
      </c>
      <c r="AB73" s="126">
        <f t="shared" si="145"/>
        <v>0</v>
      </c>
      <c r="AC73" s="126">
        <f t="shared" si="145"/>
        <v>0</v>
      </c>
      <c r="AD73" s="126">
        <f t="shared" si="145"/>
        <v>0</v>
      </c>
      <c r="AE73" s="126">
        <f t="shared" si="145"/>
        <v>0</v>
      </c>
      <c r="AF73" s="126">
        <f t="shared" si="145"/>
        <v>0</v>
      </c>
      <c r="AG73" s="126">
        <f t="shared" si="145"/>
        <v>0</v>
      </c>
      <c r="AH73" s="126">
        <f t="shared" si="145"/>
        <v>0</v>
      </c>
      <c r="AI73" s="126">
        <f t="shared" si="145"/>
        <v>0</v>
      </c>
      <c r="AJ73" s="126">
        <f t="shared" si="145"/>
        <v>0</v>
      </c>
      <c r="AK73" s="126">
        <f t="shared" si="145"/>
        <v>0</v>
      </c>
      <c r="AL73" s="126">
        <f t="shared" si="145"/>
        <v>0</v>
      </c>
      <c r="AM73" s="126">
        <f t="shared" si="145"/>
        <v>0</v>
      </c>
      <c r="AN73" s="126">
        <f t="shared" si="145"/>
        <v>0</v>
      </c>
      <c r="AO73" s="126">
        <f t="shared" si="145"/>
        <v>0</v>
      </c>
      <c r="AP73" s="126">
        <f t="shared" si="145"/>
        <v>0</v>
      </c>
      <c r="AQ73" s="126">
        <f t="shared" si="145"/>
        <v>0</v>
      </c>
      <c r="AR73" s="126">
        <f t="shared" si="145"/>
        <v>0</v>
      </c>
      <c r="AS73" s="126">
        <f t="shared" si="145"/>
        <v>0</v>
      </c>
      <c r="AT73" s="126">
        <f t="shared" si="145"/>
        <v>0</v>
      </c>
      <c r="AU73" s="126">
        <f t="shared" si="145"/>
        <v>0</v>
      </c>
      <c r="AV73" s="126">
        <f t="shared" si="145"/>
        <v>0</v>
      </c>
      <c r="AW73" s="126">
        <f t="shared" si="145"/>
        <v>0</v>
      </c>
      <c r="AX73" s="126">
        <f t="shared" si="145"/>
        <v>0</v>
      </c>
      <c r="AY73" s="126">
        <f t="shared" si="145"/>
        <v>0</v>
      </c>
      <c r="AZ73" s="126">
        <f t="shared" si="145"/>
        <v>0</v>
      </c>
      <c r="BA73" s="126">
        <f t="shared" si="145"/>
        <v>0</v>
      </c>
      <c r="BB73" s="126"/>
      <c r="BC73" s="126">
        <f t="shared" ref="BC73:BQ73" si="146">SUMIFS($AP$102:$AP$1048576,BC$102:BC$1048576,"&gt;-1000000",$C$102:$C$1048576,"OK",$A$102:$A$1048576,$E73)</f>
        <v>0</v>
      </c>
      <c r="BD73" s="126">
        <f t="shared" si="146"/>
        <v>0</v>
      </c>
      <c r="BE73" s="126">
        <f t="shared" si="146"/>
        <v>0</v>
      </c>
      <c r="BF73" s="126">
        <f t="shared" si="146"/>
        <v>0</v>
      </c>
      <c r="BG73" s="126">
        <f t="shared" si="146"/>
        <v>0</v>
      </c>
      <c r="BH73" s="126">
        <f t="shared" si="146"/>
        <v>0</v>
      </c>
      <c r="BI73" s="126">
        <f t="shared" si="146"/>
        <v>0</v>
      </c>
      <c r="BJ73" s="126">
        <f t="shared" si="146"/>
        <v>0</v>
      </c>
      <c r="BK73" s="126">
        <f t="shared" si="146"/>
        <v>0</v>
      </c>
      <c r="BL73" s="126">
        <f t="shared" si="146"/>
        <v>0</v>
      </c>
      <c r="BM73" s="126">
        <f t="shared" si="146"/>
        <v>0</v>
      </c>
      <c r="BN73" s="126">
        <f t="shared" si="146"/>
        <v>0</v>
      </c>
      <c r="BO73" s="126">
        <f t="shared" si="146"/>
        <v>0</v>
      </c>
      <c r="BP73" s="126">
        <f t="shared" si="146"/>
        <v>0</v>
      </c>
      <c r="BQ73" s="126">
        <f t="shared" si="146"/>
        <v>0</v>
      </c>
      <c r="BR73" s="126" t="e">
        <f>SUMIFS($AP$102:$AP$1048576,#REF!,"&gt;-1000000",$C$102:$C$1048576,"OK",$A$102:$A$1048576,$E73)</f>
        <v>#REF!</v>
      </c>
      <c r="BS73" s="126">
        <f>SUMIFS($AP$102:$AP$1048576,BS$102:BS$1048576,"&gt;-1000000",$C$102:$C$1048576,"OK",$A$102:$A$1048576,$E73)</f>
        <v>0</v>
      </c>
      <c r="BT73" s="126"/>
      <c r="BU73" s="126"/>
      <c r="BV73" s="147"/>
    </row>
    <row r="74" spans="1:74" ht="11.25" hidden="1" x14ac:dyDescent="0.2">
      <c r="A74" s="123"/>
      <c r="B74" s="123"/>
      <c r="C74" s="124"/>
      <c r="D74" s="125"/>
      <c r="E74" s="18">
        <v>10</v>
      </c>
      <c r="F74" s="16" t="s">
        <v>28</v>
      </c>
      <c r="G74" s="14" t="s">
        <v>109</v>
      </c>
      <c r="H74" s="21">
        <f t="shared" ref="H74:BA74" si="147">SUMIFS(H$102:H$1048576,$A$102:$A$1048576,$E74)</f>
        <v>0</v>
      </c>
      <c r="I74" s="21">
        <f t="shared" si="147"/>
        <v>0</v>
      </c>
      <c r="J74" s="21">
        <f t="shared" si="147"/>
        <v>0</v>
      </c>
      <c r="K74" s="21">
        <f t="shared" si="147"/>
        <v>0</v>
      </c>
      <c r="L74" s="21">
        <f t="shared" si="147"/>
        <v>0</v>
      </c>
      <c r="M74" s="21">
        <f t="shared" si="147"/>
        <v>0</v>
      </c>
      <c r="N74" s="29">
        <f t="shared" si="147"/>
        <v>0</v>
      </c>
      <c r="O74" s="29">
        <f t="shared" si="147"/>
        <v>0</v>
      </c>
      <c r="P74" s="160">
        <f t="shared" si="147"/>
        <v>0</v>
      </c>
      <c r="Q74" s="21">
        <f t="shared" si="147"/>
        <v>0</v>
      </c>
      <c r="R74" s="21">
        <f t="shared" si="147"/>
        <v>0</v>
      </c>
      <c r="S74" s="21">
        <f t="shared" si="147"/>
        <v>0</v>
      </c>
      <c r="T74" s="21">
        <f t="shared" si="147"/>
        <v>0</v>
      </c>
      <c r="U74" s="21">
        <f t="shared" si="147"/>
        <v>0</v>
      </c>
      <c r="V74" s="21">
        <f t="shared" si="147"/>
        <v>0</v>
      </c>
      <c r="W74" s="21">
        <f t="shared" si="147"/>
        <v>0</v>
      </c>
      <c r="X74" s="21">
        <f t="shared" si="147"/>
        <v>0</v>
      </c>
      <c r="Y74" s="21">
        <f t="shared" si="147"/>
        <v>0</v>
      </c>
      <c r="Z74" s="21">
        <f t="shared" si="147"/>
        <v>0</v>
      </c>
      <c r="AA74" s="21">
        <f t="shared" si="147"/>
        <v>0</v>
      </c>
      <c r="AB74" s="21">
        <f t="shared" si="147"/>
        <v>0</v>
      </c>
      <c r="AC74" s="21">
        <f t="shared" si="147"/>
        <v>0</v>
      </c>
      <c r="AD74" s="21">
        <f t="shared" si="147"/>
        <v>0</v>
      </c>
      <c r="AE74" s="21">
        <f t="shared" si="147"/>
        <v>0</v>
      </c>
      <c r="AF74" s="21">
        <f t="shared" si="147"/>
        <v>0</v>
      </c>
      <c r="AG74" s="21">
        <f t="shared" si="147"/>
        <v>0</v>
      </c>
      <c r="AH74" s="21">
        <f t="shared" si="147"/>
        <v>0</v>
      </c>
      <c r="AI74" s="21">
        <f t="shared" si="147"/>
        <v>0</v>
      </c>
      <c r="AJ74" s="21">
        <f t="shared" si="147"/>
        <v>0</v>
      </c>
      <c r="AK74" s="21">
        <f t="shared" si="147"/>
        <v>0</v>
      </c>
      <c r="AL74" s="21">
        <f t="shared" si="147"/>
        <v>0</v>
      </c>
      <c r="AM74" s="21">
        <f t="shared" si="147"/>
        <v>0</v>
      </c>
      <c r="AN74" s="21">
        <f t="shared" si="147"/>
        <v>0</v>
      </c>
      <c r="AO74" s="21">
        <f t="shared" si="147"/>
        <v>0</v>
      </c>
      <c r="AP74" s="21">
        <f t="shared" si="147"/>
        <v>0</v>
      </c>
      <c r="AQ74" s="21">
        <f t="shared" si="147"/>
        <v>0</v>
      </c>
      <c r="AR74" s="21">
        <f t="shared" si="147"/>
        <v>0</v>
      </c>
      <c r="AS74" s="21">
        <f t="shared" si="147"/>
        <v>0</v>
      </c>
      <c r="AT74" s="21">
        <f t="shared" si="147"/>
        <v>0</v>
      </c>
      <c r="AU74" s="21">
        <f t="shared" si="147"/>
        <v>0</v>
      </c>
      <c r="AV74" s="21">
        <f t="shared" si="147"/>
        <v>0</v>
      </c>
      <c r="AW74" s="21">
        <f t="shared" si="147"/>
        <v>0</v>
      </c>
      <c r="AX74" s="21">
        <f t="shared" si="147"/>
        <v>0</v>
      </c>
      <c r="AY74" s="21">
        <f t="shared" si="147"/>
        <v>0</v>
      </c>
      <c r="AZ74" s="21">
        <f t="shared" si="147"/>
        <v>0</v>
      </c>
      <c r="BA74" s="21">
        <f t="shared" si="147"/>
        <v>0</v>
      </c>
      <c r="BB74" s="21"/>
      <c r="BC74" s="21">
        <f t="shared" ref="BC74:BQ74" si="148">SUMIFS(BC$102:BC$1048576,$A$102:$A$1048576,$E74)</f>
        <v>0</v>
      </c>
      <c r="BD74" s="21">
        <f t="shared" si="148"/>
        <v>0</v>
      </c>
      <c r="BE74" s="21">
        <f t="shared" si="148"/>
        <v>0</v>
      </c>
      <c r="BF74" s="21">
        <f t="shared" si="148"/>
        <v>0</v>
      </c>
      <c r="BG74" s="21">
        <f t="shared" si="148"/>
        <v>0</v>
      </c>
      <c r="BH74" s="21">
        <f t="shared" si="148"/>
        <v>0</v>
      </c>
      <c r="BI74" s="21">
        <f t="shared" si="148"/>
        <v>0</v>
      </c>
      <c r="BJ74" s="21">
        <f t="shared" si="148"/>
        <v>0</v>
      </c>
      <c r="BK74" s="21">
        <f t="shared" si="148"/>
        <v>0</v>
      </c>
      <c r="BL74" s="21">
        <f t="shared" si="148"/>
        <v>0</v>
      </c>
      <c r="BM74" s="21">
        <f t="shared" si="148"/>
        <v>0</v>
      </c>
      <c r="BN74" s="21">
        <f t="shared" si="148"/>
        <v>0</v>
      </c>
      <c r="BO74" s="21">
        <f t="shared" si="148"/>
        <v>0</v>
      </c>
      <c r="BP74" s="21">
        <f t="shared" si="148"/>
        <v>0</v>
      </c>
      <c r="BQ74" s="21">
        <f t="shared" si="148"/>
        <v>0</v>
      </c>
      <c r="BR74" s="21" t="e">
        <f>SUMIFS(#REF!,$A$102:$A$1048576,$E74)</f>
        <v>#REF!</v>
      </c>
      <c r="BS74" s="21">
        <f>SUMIFS(BS$102:BS$1048576,$A$102:$A$1048576,$E74)</f>
        <v>0</v>
      </c>
      <c r="BT74" s="21"/>
      <c r="BU74" s="21"/>
      <c r="BV74" s="145"/>
    </row>
    <row r="75" spans="1:74" ht="11.25" hidden="1" x14ac:dyDescent="0.2">
      <c r="A75" s="123"/>
      <c r="B75" s="123"/>
      <c r="C75" s="124"/>
      <c r="D75" s="125"/>
      <c r="E75" s="18">
        <v>10</v>
      </c>
      <c r="F75" s="16" t="s">
        <v>25</v>
      </c>
      <c r="G75" s="14" t="s">
        <v>109</v>
      </c>
      <c r="H75" s="14">
        <f t="shared" ref="H75:BA75" si="149">COUNTIFS(H$102:H$1048576,"&gt;-1000000",$A$102:$A$1048576,$E75)</f>
        <v>0</v>
      </c>
      <c r="I75" s="14">
        <f t="shared" si="149"/>
        <v>0</v>
      </c>
      <c r="J75" s="14">
        <f t="shared" si="149"/>
        <v>0</v>
      </c>
      <c r="K75" s="14">
        <f t="shared" si="149"/>
        <v>0</v>
      </c>
      <c r="L75" s="14">
        <f t="shared" si="149"/>
        <v>0</v>
      </c>
      <c r="M75" s="14">
        <f t="shared" si="149"/>
        <v>0</v>
      </c>
      <c r="N75" s="29">
        <f t="shared" si="149"/>
        <v>0</v>
      </c>
      <c r="O75" s="29">
        <f t="shared" si="149"/>
        <v>0</v>
      </c>
      <c r="P75" s="160">
        <f t="shared" si="149"/>
        <v>0</v>
      </c>
      <c r="Q75" s="14">
        <f t="shared" si="149"/>
        <v>0</v>
      </c>
      <c r="R75" s="14">
        <f t="shared" si="149"/>
        <v>0</v>
      </c>
      <c r="S75" s="14">
        <f t="shared" si="149"/>
        <v>0</v>
      </c>
      <c r="T75" s="14">
        <f t="shared" si="149"/>
        <v>0</v>
      </c>
      <c r="U75" s="14">
        <f t="shared" si="149"/>
        <v>0</v>
      </c>
      <c r="V75" s="14">
        <f t="shared" si="149"/>
        <v>0</v>
      </c>
      <c r="W75" s="14">
        <f t="shared" si="149"/>
        <v>0</v>
      </c>
      <c r="X75" s="14">
        <f t="shared" si="149"/>
        <v>0</v>
      </c>
      <c r="Y75" s="14">
        <f t="shared" si="149"/>
        <v>0</v>
      </c>
      <c r="Z75" s="14">
        <f t="shared" si="149"/>
        <v>0</v>
      </c>
      <c r="AA75" s="14">
        <f t="shared" si="149"/>
        <v>0</v>
      </c>
      <c r="AB75" s="14">
        <f t="shared" si="149"/>
        <v>0</v>
      </c>
      <c r="AC75" s="14">
        <f t="shared" si="149"/>
        <v>0</v>
      </c>
      <c r="AD75" s="14">
        <f t="shared" si="149"/>
        <v>0</v>
      </c>
      <c r="AE75" s="14">
        <f t="shared" si="149"/>
        <v>0</v>
      </c>
      <c r="AF75" s="14">
        <f t="shared" si="149"/>
        <v>0</v>
      </c>
      <c r="AG75" s="14">
        <f t="shared" si="149"/>
        <v>0</v>
      </c>
      <c r="AH75" s="14">
        <f t="shared" si="149"/>
        <v>0</v>
      </c>
      <c r="AI75" s="14">
        <f t="shared" si="149"/>
        <v>0</v>
      </c>
      <c r="AJ75" s="14">
        <f t="shared" si="149"/>
        <v>0</v>
      </c>
      <c r="AK75" s="14">
        <f t="shared" si="149"/>
        <v>0</v>
      </c>
      <c r="AL75" s="14">
        <f t="shared" si="149"/>
        <v>0</v>
      </c>
      <c r="AM75" s="14">
        <f t="shared" si="149"/>
        <v>0</v>
      </c>
      <c r="AN75" s="14">
        <f t="shared" si="149"/>
        <v>0</v>
      </c>
      <c r="AO75" s="14">
        <f t="shared" si="149"/>
        <v>0</v>
      </c>
      <c r="AP75" s="14">
        <f t="shared" si="149"/>
        <v>0</v>
      </c>
      <c r="AQ75" s="14">
        <f t="shared" si="149"/>
        <v>0</v>
      </c>
      <c r="AR75" s="14">
        <f t="shared" si="149"/>
        <v>0</v>
      </c>
      <c r="AS75" s="14">
        <f t="shared" si="149"/>
        <v>0</v>
      </c>
      <c r="AT75" s="14">
        <f t="shared" si="149"/>
        <v>0</v>
      </c>
      <c r="AU75" s="14">
        <f t="shared" si="149"/>
        <v>0</v>
      </c>
      <c r="AV75" s="14">
        <f t="shared" si="149"/>
        <v>0</v>
      </c>
      <c r="AW75" s="14">
        <f t="shared" si="149"/>
        <v>0</v>
      </c>
      <c r="AX75" s="14">
        <f t="shared" si="149"/>
        <v>0</v>
      </c>
      <c r="AY75" s="14">
        <f t="shared" si="149"/>
        <v>0</v>
      </c>
      <c r="AZ75" s="14">
        <f t="shared" si="149"/>
        <v>0</v>
      </c>
      <c r="BA75" s="14">
        <f t="shared" si="149"/>
        <v>0</v>
      </c>
      <c r="BB75" s="14"/>
      <c r="BC75" s="14">
        <f t="shared" ref="BC75:BQ75" si="150">COUNTIFS(BC$102:BC$1048576,"&gt;-1000000",$A$102:$A$1048576,$E75)</f>
        <v>0</v>
      </c>
      <c r="BD75" s="14">
        <f t="shared" si="150"/>
        <v>0</v>
      </c>
      <c r="BE75" s="14">
        <f t="shared" si="150"/>
        <v>0</v>
      </c>
      <c r="BF75" s="14">
        <f t="shared" si="150"/>
        <v>0</v>
      </c>
      <c r="BG75" s="14">
        <f t="shared" si="150"/>
        <v>0</v>
      </c>
      <c r="BH75" s="14">
        <f t="shared" si="150"/>
        <v>0</v>
      </c>
      <c r="BI75" s="14">
        <f t="shared" si="150"/>
        <v>0</v>
      </c>
      <c r="BJ75" s="14">
        <f t="shared" si="150"/>
        <v>0</v>
      </c>
      <c r="BK75" s="14">
        <f t="shared" si="150"/>
        <v>0</v>
      </c>
      <c r="BL75" s="14">
        <f t="shared" si="150"/>
        <v>0</v>
      </c>
      <c r="BM75" s="14">
        <f t="shared" si="150"/>
        <v>0</v>
      </c>
      <c r="BN75" s="14">
        <f t="shared" si="150"/>
        <v>0</v>
      </c>
      <c r="BO75" s="14">
        <f t="shared" si="150"/>
        <v>0</v>
      </c>
      <c r="BP75" s="14">
        <f t="shared" si="150"/>
        <v>0</v>
      </c>
      <c r="BQ75" s="14">
        <f t="shared" si="150"/>
        <v>0</v>
      </c>
      <c r="BR75" s="14" t="e">
        <f>COUNTIFS(#REF!,"&gt;-1000000",$A$102:$A$1048576,$E75)</f>
        <v>#REF!</v>
      </c>
      <c r="BS75" s="14">
        <f>COUNTIFS(BS$102:BS$1048576,"&gt;-1000000",$A$102:$A$1048576,$E75)</f>
        <v>0</v>
      </c>
      <c r="BT75" s="14"/>
      <c r="BU75" s="14"/>
      <c r="BV75" s="146"/>
    </row>
    <row r="76" spans="1:74" ht="11.25" hidden="1" x14ac:dyDescent="0.2">
      <c r="A76" s="123"/>
      <c r="B76" s="123"/>
      <c r="C76" s="124"/>
      <c r="D76" s="125"/>
      <c r="E76" s="18">
        <v>10</v>
      </c>
      <c r="F76" s="16" t="s">
        <v>24</v>
      </c>
      <c r="G76" s="14" t="s">
        <v>109</v>
      </c>
      <c r="H76" s="14">
        <f t="shared" ref="H76:BA76" si="151">SUMIFS($AM$102:$AM$1048576,H$102:H$1048576,"&gt;-1000000",$A$102:$A$1048576,$E76)</f>
        <v>0</v>
      </c>
      <c r="I76" s="14">
        <f t="shared" si="151"/>
        <v>0</v>
      </c>
      <c r="J76" s="14">
        <f t="shared" si="151"/>
        <v>0</v>
      </c>
      <c r="K76" s="14">
        <f t="shared" si="151"/>
        <v>0</v>
      </c>
      <c r="L76" s="14">
        <f t="shared" si="151"/>
        <v>0</v>
      </c>
      <c r="M76" s="14">
        <f t="shared" si="151"/>
        <v>0</v>
      </c>
      <c r="N76" s="29">
        <f t="shared" si="151"/>
        <v>0</v>
      </c>
      <c r="O76" s="29">
        <f t="shared" si="151"/>
        <v>0</v>
      </c>
      <c r="P76" s="160">
        <f t="shared" si="151"/>
        <v>0</v>
      </c>
      <c r="Q76" s="14">
        <f t="shared" si="151"/>
        <v>0</v>
      </c>
      <c r="R76" s="14">
        <f t="shared" si="151"/>
        <v>0</v>
      </c>
      <c r="S76" s="14">
        <f t="shared" si="151"/>
        <v>0</v>
      </c>
      <c r="T76" s="14">
        <f t="shared" si="151"/>
        <v>0</v>
      </c>
      <c r="U76" s="14">
        <f t="shared" si="151"/>
        <v>0</v>
      </c>
      <c r="V76" s="14">
        <f t="shared" si="151"/>
        <v>0</v>
      </c>
      <c r="W76" s="14">
        <f t="shared" si="151"/>
        <v>0</v>
      </c>
      <c r="X76" s="14">
        <f t="shared" si="151"/>
        <v>0</v>
      </c>
      <c r="Y76" s="14">
        <f t="shared" si="151"/>
        <v>0</v>
      </c>
      <c r="Z76" s="14">
        <f t="shared" si="151"/>
        <v>0</v>
      </c>
      <c r="AA76" s="14">
        <f t="shared" si="151"/>
        <v>0</v>
      </c>
      <c r="AB76" s="14">
        <f t="shared" si="151"/>
        <v>0</v>
      </c>
      <c r="AC76" s="14">
        <f t="shared" si="151"/>
        <v>0</v>
      </c>
      <c r="AD76" s="14">
        <f t="shared" si="151"/>
        <v>0</v>
      </c>
      <c r="AE76" s="14">
        <f t="shared" si="151"/>
        <v>0</v>
      </c>
      <c r="AF76" s="14">
        <f t="shared" si="151"/>
        <v>0</v>
      </c>
      <c r="AG76" s="14">
        <f t="shared" si="151"/>
        <v>0</v>
      </c>
      <c r="AH76" s="14">
        <f t="shared" si="151"/>
        <v>0</v>
      </c>
      <c r="AI76" s="14">
        <f t="shared" si="151"/>
        <v>0</v>
      </c>
      <c r="AJ76" s="14">
        <f t="shared" si="151"/>
        <v>0</v>
      </c>
      <c r="AK76" s="14">
        <f t="shared" si="151"/>
        <v>0</v>
      </c>
      <c r="AL76" s="14">
        <f t="shared" si="151"/>
        <v>0</v>
      </c>
      <c r="AM76" s="14">
        <f t="shared" si="151"/>
        <v>0</v>
      </c>
      <c r="AN76" s="14">
        <f t="shared" si="151"/>
        <v>0</v>
      </c>
      <c r="AO76" s="14">
        <f t="shared" si="151"/>
        <v>0</v>
      </c>
      <c r="AP76" s="14">
        <f t="shared" si="151"/>
        <v>0</v>
      </c>
      <c r="AQ76" s="14">
        <f t="shared" si="151"/>
        <v>0</v>
      </c>
      <c r="AR76" s="14">
        <f t="shared" si="151"/>
        <v>0</v>
      </c>
      <c r="AS76" s="14">
        <f t="shared" si="151"/>
        <v>0</v>
      </c>
      <c r="AT76" s="14">
        <f t="shared" si="151"/>
        <v>0</v>
      </c>
      <c r="AU76" s="14">
        <f t="shared" si="151"/>
        <v>0</v>
      </c>
      <c r="AV76" s="14">
        <f t="shared" si="151"/>
        <v>0</v>
      </c>
      <c r="AW76" s="14">
        <f t="shared" si="151"/>
        <v>0</v>
      </c>
      <c r="AX76" s="14">
        <f t="shared" si="151"/>
        <v>0</v>
      </c>
      <c r="AY76" s="14">
        <f t="shared" si="151"/>
        <v>0</v>
      </c>
      <c r="AZ76" s="14">
        <f t="shared" si="151"/>
        <v>0</v>
      </c>
      <c r="BA76" s="14">
        <f t="shared" si="151"/>
        <v>0</v>
      </c>
      <c r="BB76" s="14"/>
      <c r="BC76" s="14">
        <f t="shared" ref="BC76:BQ76" si="152">SUMIFS($AM$102:$AM$1048576,BC$102:BC$1048576,"&gt;-1000000",$A$102:$A$1048576,$E76)</f>
        <v>0</v>
      </c>
      <c r="BD76" s="14">
        <f t="shared" si="152"/>
        <v>0</v>
      </c>
      <c r="BE76" s="14">
        <f t="shared" si="152"/>
        <v>0</v>
      </c>
      <c r="BF76" s="14">
        <f t="shared" si="152"/>
        <v>0</v>
      </c>
      <c r="BG76" s="14">
        <f t="shared" si="152"/>
        <v>0</v>
      </c>
      <c r="BH76" s="14">
        <f t="shared" si="152"/>
        <v>0</v>
      </c>
      <c r="BI76" s="14">
        <f t="shared" si="152"/>
        <v>0</v>
      </c>
      <c r="BJ76" s="14">
        <f t="shared" si="152"/>
        <v>0</v>
      </c>
      <c r="BK76" s="14">
        <f t="shared" si="152"/>
        <v>0</v>
      </c>
      <c r="BL76" s="14">
        <f t="shared" si="152"/>
        <v>0</v>
      </c>
      <c r="BM76" s="14">
        <f t="shared" si="152"/>
        <v>0</v>
      </c>
      <c r="BN76" s="14">
        <f t="shared" si="152"/>
        <v>0</v>
      </c>
      <c r="BO76" s="14">
        <f t="shared" si="152"/>
        <v>0</v>
      </c>
      <c r="BP76" s="14">
        <f t="shared" si="152"/>
        <v>0</v>
      </c>
      <c r="BQ76" s="14">
        <f t="shared" si="152"/>
        <v>0</v>
      </c>
      <c r="BR76" s="14" t="e">
        <f>SUMIFS($AM$102:$AM$1048576,#REF!,"&gt;-1000000",$A$102:$A$1048576,$E76)</f>
        <v>#REF!</v>
      </c>
      <c r="BS76" s="14">
        <f>SUMIFS($AM$102:$AM$1048576,BS$102:BS$1048576,"&gt;-1000000",$A$102:$A$1048576,$E76)</f>
        <v>0</v>
      </c>
      <c r="BT76" s="14"/>
      <c r="BU76" s="14"/>
      <c r="BV76" s="146"/>
    </row>
    <row r="77" spans="1:74" ht="11.25" hidden="1" x14ac:dyDescent="0.2">
      <c r="A77" s="123"/>
      <c r="B77" s="123"/>
      <c r="C77" s="124"/>
      <c r="D77" s="125"/>
      <c r="E77" s="18">
        <v>10</v>
      </c>
      <c r="F77" s="16" t="s">
        <v>31</v>
      </c>
      <c r="G77" s="14" t="s">
        <v>109</v>
      </c>
      <c r="H77" s="14">
        <f t="shared" ref="H77:BA77" si="153">SUMIFS($AP$102:$AP$1048576,H$102:H$1048576,"&gt;-1000000",$A$102:$A$1048576,$E77)</f>
        <v>0</v>
      </c>
      <c r="I77" s="14">
        <f t="shared" si="153"/>
        <v>0</v>
      </c>
      <c r="J77" s="14">
        <f t="shared" si="153"/>
        <v>0</v>
      </c>
      <c r="K77" s="14">
        <f t="shared" si="153"/>
        <v>0</v>
      </c>
      <c r="L77" s="14">
        <f t="shared" si="153"/>
        <v>0</v>
      </c>
      <c r="M77" s="14">
        <f t="shared" si="153"/>
        <v>0</v>
      </c>
      <c r="N77" s="29">
        <f t="shared" si="153"/>
        <v>0</v>
      </c>
      <c r="O77" s="29">
        <f t="shared" si="153"/>
        <v>0</v>
      </c>
      <c r="P77" s="160">
        <f t="shared" si="153"/>
        <v>0</v>
      </c>
      <c r="Q77" s="14">
        <f t="shared" si="153"/>
        <v>0</v>
      </c>
      <c r="R77" s="14">
        <f t="shared" si="153"/>
        <v>0</v>
      </c>
      <c r="S77" s="14">
        <f t="shared" si="153"/>
        <v>0</v>
      </c>
      <c r="T77" s="14">
        <f t="shared" si="153"/>
        <v>0</v>
      </c>
      <c r="U77" s="14">
        <f t="shared" si="153"/>
        <v>0</v>
      </c>
      <c r="V77" s="14">
        <f t="shared" si="153"/>
        <v>0</v>
      </c>
      <c r="W77" s="14">
        <f t="shared" si="153"/>
        <v>0</v>
      </c>
      <c r="X77" s="14">
        <f t="shared" si="153"/>
        <v>0</v>
      </c>
      <c r="Y77" s="14">
        <f t="shared" si="153"/>
        <v>0</v>
      </c>
      <c r="Z77" s="14">
        <f t="shared" si="153"/>
        <v>0</v>
      </c>
      <c r="AA77" s="14">
        <f t="shared" si="153"/>
        <v>0</v>
      </c>
      <c r="AB77" s="14">
        <f t="shared" si="153"/>
        <v>0</v>
      </c>
      <c r="AC77" s="14">
        <f t="shared" si="153"/>
        <v>0</v>
      </c>
      <c r="AD77" s="14">
        <f t="shared" si="153"/>
        <v>0</v>
      </c>
      <c r="AE77" s="14">
        <f t="shared" si="153"/>
        <v>0</v>
      </c>
      <c r="AF77" s="14">
        <f t="shared" si="153"/>
        <v>0</v>
      </c>
      <c r="AG77" s="14">
        <f t="shared" si="153"/>
        <v>0</v>
      </c>
      <c r="AH77" s="14">
        <f t="shared" si="153"/>
        <v>0</v>
      </c>
      <c r="AI77" s="14">
        <f t="shared" si="153"/>
        <v>0</v>
      </c>
      <c r="AJ77" s="14">
        <f t="shared" si="153"/>
        <v>0</v>
      </c>
      <c r="AK77" s="14">
        <f t="shared" si="153"/>
        <v>0</v>
      </c>
      <c r="AL77" s="14">
        <f t="shared" si="153"/>
        <v>0</v>
      </c>
      <c r="AM77" s="14">
        <f t="shared" si="153"/>
        <v>0</v>
      </c>
      <c r="AN77" s="14">
        <f t="shared" si="153"/>
        <v>0</v>
      </c>
      <c r="AO77" s="14">
        <f t="shared" si="153"/>
        <v>0</v>
      </c>
      <c r="AP77" s="14">
        <f t="shared" si="153"/>
        <v>0</v>
      </c>
      <c r="AQ77" s="14">
        <f t="shared" si="153"/>
        <v>0</v>
      </c>
      <c r="AR77" s="14">
        <f t="shared" si="153"/>
        <v>0</v>
      </c>
      <c r="AS77" s="14">
        <f t="shared" si="153"/>
        <v>0</v>
      </c>
      <c r="AT77" s="14">
        <f t="shared" si="153"/>
        <v>0</v>
      </c>
      <c r="AU77" s="14">
        <f t="shared" si="153"/>
        <v>0</v>
      </c>
      <c r="AV77" s="14">
        <f t="shared" si="153"/>
        <v>0</v>
      </c>
      <c r="AW77" s="14">
        <f t="shared" si="153"/>
        <v>0</v>
      </c>
      <c r="AX77" s="14">
        <f t="shared" si="153"/>
        <v>0</v>
      </c>
      <c r="AY77" s="14">
        <f t="shared" si="153"/>
        <v>0</v>
      </c>
      <c r="AZ77" s="14">
        <f t="shared" si="153"/>
        <v>0</v>
      </c>
      <c r="BA77" s="14">
        <f t="shared" si="153"/>
        <v>0</v>
      </c>
      <c r="BB77" s="14"/>
      <c r="BC77" s="14">
        <f t="shared" ref="BC77:BQ77" si="154">SUMIFS($AP$102:$AP$1048576,BC$102:BC$1048576,"&gt;-1000000",$A$102:$A$1048576,$E77)</f>
        <v>0</v>
      </c>
      <c r="BD77" s="14">
        <f t="shared" si="154"/>
        <v>0</v>
      </c>
      <c r="BE77" s="14">
        <f t="shared" si="154"/>
        <v>0</v>
      </c>
      <c r="BF77" s="14">
        <f t="shared" si="154"/>
        <v>0</v>
      </c>
      <c r="BG77" s="14">
        <f t="shared" si="154"/>
        <v>0</v>
      </c>
      <c r="BH77" s="14">
        <f t="shared" si="154"/>
        <v>0</v>
      </c>
      <c r="BI77" s="14">
        <f t="shared" si="154"/>
        <v>0</v>
      </c>
      <c r="BJ77" s="14">
        <f t="shared" si="154"/>
        <v>0</v>
      </c>
      <c r="BK77" s="14">
        <f t="shared" si="154"/>
        <v>0</v>
      </c>
      <c r="BL77" s="14">
        <f t="shared" si="154"/>
        <v>0</v>
      </c>
      <c r="BM77" s="14">
        <f t="shared" si="154"/>
        <v>0</v>
      </c>
      <c r="BN77" s="14">
        <f t="shared" si="154"/>
        <v>0</v>
      </c>
      <c r="BO77" s="14">
        <f t="shared" si="154"/>
        <v>0</v>
      </c>
      <c r="BP77" s="14">
        <f t="shared" si="154"/>
        <v>0</v>
      </c>
      <c r="BQ77" s="14">
        <f t="shared" si="154"/>
        <v>0</v>
      </c>
      <c r="BR77" s="14" t="e">
        <f>SUMIFS($AP$102:$AP$1048576,#REF!,"&gt;-1000000",$A$102:$A$1048576,$E77)</f>
        <v>#REF!</v>
      </c>
      <c r="BS77" s="14">
        <f>SUMIFS($AP$102:$AP$1048576,BS$102:BS$1048576,"&gt;-1000000",$A$102:$A$1048576,$E77)</f>
        <v>0</v>
      </c>
      <c r="BT77" s="14"/>
      <c r="BU77" s="14"/>
      <c r="BV77" s="146"/>
    </row>
    <row r="78" spans="1:74" ht="11.25" hidden="1" x14ac:dyDescent="0.2">
      <c r="A78" s="123"/>
      <c r="B78" s="123"/>
      <c r="C78" s="124"/>
      <c r="D78" s="125"/>
      <c r="E78" s="19">
        <v>10</v>
      </c>
      <c r="F78" s="17" t="s">
        <v>29</v>
      </c>
      <c r="G78" s="15" t="s">
        <v>109</v>
      </c>
      <c r="H78" s="126">
        <f t="shared" ref="H78:BA78" si="155">SUMIFS(H$102:H$1048576,$A$102:$A$1048576,$E78,$C$102:$C$1048576,"OK")</f>
        <v>0</v>
      </c>
      <c r="I78" s="126">
        <f t="shared" si="155"/>
        <v>0</v>
      </c>
      <c r="J78" s="126">
        <f t="shared" si="155"/>
        <v>0</v>
      </c>
      <c r="K78" s="126">
        <f t="shared" si="155"/>
        <v>0</v>
      </c>
      <c r="L78" s="126">
        <f t="shared" si="155"/>
        <v>0</v>
      </c>
      <c r="M78" s="126">
        <f t="shared" si="155"/>
        <v>0</v>
      </c>
      <c r="N78" s="29">
        <f t="shared" si="155"/>
        <v>0</v>
      </c>
      <c r="O78" s="29">
        <f t="shared" si="155"/>
        <v>0</v>
      </c>
      <c r="P78" s="161">
        <f t="shared" si="155"/>
        <v>0</v>
      </c>
      <c r="Q78" s="126">
        <f t="shared" si="155"/>
        <v>0</v>
      </c>
      <c r="R78" s="126">
        <f t="shared" si="155"/>
        <v>0</v>
      </c>
      <c r="S78" s="126">
        <f t="shared" si="155"/>
        <v>0</v>
      </c>
      <c r="T78" s="126">
        <f t="shared" si="155"/>
        <v>0</v>
      </c>
      <c r="U78" s="126">
        <f t="shared" si="155"/>
        <v>0</v>
      </c>
      <c r="V78" s="126">
        <f t="shared" si="155"/>
        <v>0</v>
      </c>
      <c r="W78" s="126">
        <f t="shared" si="155"/>
        <v>0</v>
      </c>
      <c r="X78" s="126">
        <f t="shared" si="155"/>
        <v>0</v>
      </c>
      <c r="Y78" s="126">
        <f t="shared" si="155"/>
        <v>0</v>
      </c>
      <c r="Z78" s="126">
        <f t="shared" si="155"/>
        <v>0</v>
      </c>
      <c r="AA78" s="126">
        <f t="shared" si="155"/>
        <v>0</v>
      </c>
      <c r="AB78" s="126">
        <f t="shared" si="155"/>
        <v>0</v>
      </c>
      <c r="AC78" s="126">
        <f t="shared" si="155"/>
        <v>0</v>
      </c>
      <c r="AD78" s="126">
        <f t="shared" si="155"/>
        <v>0</v>
      </c>
      <c r="AE78" s="126">
        <f t="shared" si="155"/>
        <v>0</v>
      </c>
      <c r="AF78" s="126">
        <f t="shared" si="155"/>
        <v>0</v>
      </c>
      <c r="AG78" s="126">
        <f t="shared" si="155"/>
        <v>0</v>
      </c>
      <c r="AH78" s="126">
        <f t="shared" si="155"/>
        <v>0</v>
      </c>
      <c r="AI78" s="126">
        <f t="shared" si="155"/>
        <v>0</v>
      </c>
      <c r="AJ78" s="126">
        <f t="shared" si="155"/>
        <v>0</v>
      </c>
      <c r="AK78" s="126">
        <f t="shared" si="155"/>
        <v>0</v>
      </c>
      <c r="AL78" s="126">
        <f t="shared" si="155"/>
        <v>0</v>
      </c>
      <c r="AM78" s="126">
        <f t="shared" si="155"/>
        <v>0</v>
      </c>
      <c r="AN78" s="126">
        <f t="shared" si="155"/>
        <v>0</v>
      </c>
      <c r="AO78" s="126">
        <f t="shared" si="155"/>
        <v>0</v>
      </c>
      <c r="AP78" s="126">
        <f t="shared" si="155"/>
        <v>0</v>
      </c>
      <c r="AQ78" s="126">
        <f t="shared" si="155"/>
        <v>0</v>
      </c>
      <c r="AR78" s="126">
        <f t="shared" si="155"/>
        <v>0</v>
      </c>
      <c r="AS78" s="126">
        <f t="shared" si="155"/>
        <v>0</v>
      </c>
      <c r="AT78" s="126">
        <f t="shared" si="155"/>
        <v>0</v>
      </c>
      <c r="AU78" s="126">
        <f t="shared" si="155"/>
        <v>0</v>
      </c>
      <c r="AV78" s="126">
        <f t="shared" si="155"/>
        <v>0</v>
      </c>
      <c r="AW78" s="126">
        <f t="shared" si="155"/>
        <v>0</v>
      </c>
      <c r="AX78" s="126">
        <f t="shared" si="155"/>
        <v>0</v>
      </c>
      <c r="AY78" s="126">
        <f t="shared" si="155"/>
        <v>0</v>
      </c>
      <c r="AZ78" s="126">
        <f t="shared" si="155"/>
        <v>0</v>
      </c>
      <c r="BA78" s="126">
        <f t="shared" si="155"/>
        <v>0</v>
      </c>
      <c r="BB78" s="126"/>
      <c r="BC78" s="126">
        <f t="shared" ref="BC78:BQ78" si="156">SUMIFS(BC$102:BC$1048576,$A$102:$A$1048576,$E78,$C$102:$C$1048576,"OK")</f>
        <v>0</v>
      </c>
      <c r="BD78" s="126">
        <f t="shared" si="156"/>
        <v>0</v>
      </c>
      <c r="BE78" s="126">
        <f t="shared" si="156"/>
        <v>0</v>
      </c>
      <c r="BF78" s="126">
        <f t="shared" si="156"/>
        <v>0</v>
      </c>
      <c r="BG78" s="126">
        <f t="shared" si="156"/>
        <v>0</v>
      </c>
      <c r="BH78" s="126">
        <f t="shared" si="156"/>
        <v>0</v>
      </c>
      <c r="BI78" s="126">
        <f t="shared" si="156"/>
        <v>0</v>
      </c>
      <c r="BJ78" s="126">
        <f t="shared" si="156"/>
        <v>0</v>
      </c>
      <c r="BK78" s="126">
        <f t="shared" si="156"/>
        <v>0</v>
      </c>
      <c r="BL78" s="126">
        <f t="shared" si="156"/>
        <v>0</v>
      </c>
      <c r="BM78" s="126">
        <f t="shared" si="156"/>
        <v>0</v>
      </c>
      <c r="BN78" s="126">
        <f t="shared" si="156"/>
        <v>0</v>
      </c>
      <c r="BO78" s="126">
        <f t="shared" si="156"/>
        <v>0</v>
      </c>
      <c r="BP78" s="126">
        <f t="shared" si="156"/>
        <v>0</v>
      </c>
      <c r="BQ78" s="126">
        <f t="shared" si="156"/>
        <v>0</v>
      </c>
      <c r="BR78" s="126" t="e">
        <f>SUMIFS(#REF!,$A$102:$A$1048576,$E78,$C$102:$C$1048576,"OK")</f>
        <v>#REF!</v>
      </c>
      <c r="BS78" s="126">
        <f>SUMIFS(BS$102:BS$1048576,$A$102:$A$1048576,$E78,$C$102:$C$1048576,"OK")</f>
        <v>0</v>
      </c>
      <c r="BT78" s="126"/>
      <c r="BU78" s="126"/>
      <c r="BV78" s="147"/>
    </row>
    <row r="79" spans="1:74" ht="11.25" hidden="1" x14ac:dyDescent="0.2">
      <c r="A79" s="123"/>
      <c r="B79" s="123"/>
      <c r="C79" s="124"/>
      <c r="D79" s="125"/>
      <c r="E79" s="19">
        <v>10</v>
      </c>
      <c r="F79" s="17" t="s">
        <v>23</v>
      </c>
      <c r="G79" s="15" t="s">
        <v>109</v>
      </c>
      <c r="H79" s="126">
        <f t="shared" ref="H79:BA79" si="157">COUNTIFS(H$102:H$1048576,"&gt;-1000000",$C$102:$C$1048576,"OK",$A$102:$A$1048576,$E79)</f>
        <v>0</v>
      </c>
      <c r="I79" s="126">
        <f t="shared" si="157"/>
        <v>0</v>
      </c>
      <c r="J79" s="126">
        <f t="shared" si="157"/>
        <v>0</v>
      </c>
      <c r="K79" s="126">
        <f t="shared" si="157"/>
        <v>0</v>
      </c>
      <c r="L79" s="126">
        <f t="shared" si="157"/>
        <v>0</v>
      </c>
      <c r="M79" s="126">
        <f t="shared" si="157"/>
        <v>0</v>
      </c>
      <c r="N79" s="29">
        <f t="shared" si="157"/>
        <v>0</v>
      </c>
      <c r="O79" s="29">
        <f t="shared" si="157"/>
        <v>0</v>
      </c>
      <c r="P79" s="161">
        <f t="shared" si="157"/>
        <v>0</v>
      </c>
      <c r="Q79" s="126">
        <f t="shared" si="157"/>
        <v>0</v>
      </c>
      <c r="R79" s="126">
        <f t="shared" si="157"/>
        <v>0</v>
      </c>
      <c r="S79" s="126">
        <f t="shared" si="157"/>
        <v>0</v>
      </c>
      <c r="T79" s="126">
        <f t="shared" si="157"/>
        <v>0</v>
      </c>
      <c r="U79" s="126">
        <f t="shared" si="157"/>
        <v>0</v>
      </c>
      <c r="V79" s="126">
        <f t="shared" si="157"/>
        <v>0</v>
      </c>
      <c r="W79" s="126">
        <f t="shared" si="157"/>
        <v>0</v>
      </c>
      <c r="X79" s="126">
        <f t="shared" si="157"/>
        <v>0</v>
      </c>
      <c r="Y79" s="126">
        <f t="shared" si="157"/>
        <v>0</v>
      </c>
      <c r="Z79" s="126">
        <f t="shared" si="157"/>
        <v>0</v>
      </c>
      <c r="AA79" s="126">
        <f t="shared" si="157"/>
        <v>0</v>
      </c>
      <c r="AB79" s="126">
        <f t="shared" si="157"/>
        <v>0</v>
      </c>
      <c r="AC79" s="126">
        <f t="shared" si="157"/>
        <v>0</v>
      </c>
      <c r="AD79" s="126">
        <f t="shared" si="157"/>
        <v>0</v>
      </c>
      <c r="AE79" s="126">
        <f t="shared" si="157"/>
        <v>0</v>
      </c>
      <c r="AF79" s="126">
        <f t="shared" si="157"/>
        <v>0</v>
      </c>
      <c r="AG79" s="126">
        <f t="shared" si="157"/>
        <v>0</v>
      </c>
      <c r="AH79" s="126">
        <f t="shared" si="157"/>
        <v>0</v>
      </c>
      <c r="AI79" s="126">
        <f t="shared" si="157"/>
        <v>0</v>
      </c>
      <c r="AJ79" s="126">
        <f t="shared" si="157"/>
        <v>0</v>
      </c>
      <c r="AK79" s="126">
        <f t="shared" si="157"/>
        <v>0</v>
      </c>
      <c r="AL79" s="126">
        <f t="shared" si="157"/>
        <v>0</v>
      </c>
      <c r="AM79" s="126">
        <f t="shared" si="157"/>
        <v>0</v>
      </c>
      <c r="AN79" s="126">
        <f t="shared" si="157"/>
        <v>0</v>
      </c>
      <c r="AO79" s="126">
        <f t="shared" si="157"/>
        <v>0</v>
      </c>
      <c r="AP79" s="126">
        <f t="shared" si="157"/>
        <v>0</v>
      </c>
      <c r="AQ79" s="126">
        <f t="shared" si="157"/>
        <v>0</v>
      </c>
      <c r="AR79" s="126">
        <f t="shared" si="157"/>
        <v>0</v>
      </c>
      <c r="AS79" s="126">
        <f t="shared" si="157"/>
        <v>0</v>
      </c>
      <c r="AT79" s="126">
        <f t="shared" si="157"/>
        <v>0</v>
      </c>
      <c r="AU79" s="126">
        <f t="shared" si="157"/>
        <v>0</v>
      </c>
      <c r="AV79" s="126">
        <f t="shared" si="157"/>
        <v>0</v>
      </c>
      <c r="AW79" s="126">
        <f t="shared" si="157"/>
        <v>0</v>
      </c>
      <c r="AX79" s="126">
        <f t="shared" si="157"/>
        <v>0</v>
      </c>
      <c r="AY79" s="126">
        <f t="shared" si="157"/>
        <v>0</v>
      </c>
      <c r="AZ79" s="126">
        <f t="shared" si="157"/>
        <v>0</v>
      </c>
      <c r="BA79" s="126">
        <f t="shared" si="157"/>
        <v>0</v>
      </c>
      <c r="BB79" s="126"/>
      <c r="BC79" s="126">
        <f t="shared" ref="BC79:BQ79" si="158">COUNTIFS(BC$102:BC$1048576,"&gt;-1000000",$C$102:$C$1048576,"OK",$A$102:$A$1048576,$E79)</f>
        <v>0</v>
      </c>
      <c r="BD79" s="126">
        <f t="shared" si="158"/>
        <v>0</v>
      </c>
      <c r="BE79" s="126">
        <f t="shared" si="158"/>
        <v>0</v>
      </c>
      <c r="BF79" s="126">
        <f t="shared" si="158"/>
        <v>0</v>
      </c>
      <c r="BG79" s="126">
        <f t="shared" si="158"/>
        <v>0</v>
      </c>
      <c r="BH79" s="126">
        <f t="shared" si="158"/>
        <v>0</v>
      </c>
      <c r="BI79" s="126">
        <f t="shared" si="158"/>
        <v>0</v>
      </c>
      <c r="BJ79" s="126">
        <f t="shared" si="158"/>
        <v>0</v>
      </c>
      <c r="BK79" s="126">
        <f t="shared" si="158"/>
        <v>0</v>
      </c>
      <c r="BL79" s="126">
        <f t="shared" si="158"/>
        <v>0</v>
      </c>
      <c r="BM79" s="126">
        <f t="shared" si="158"/>
        <v>0</v>
      </c>
      <c r="BN79" s="126">
        <f t="shared" si="158"/>
        <v>0</v>
      </c>
      <c r="BO79" s="126">
        <f t="shared" si="158"/>
        <v>0</v>
      </c>
      <c r="BP79" s="126">
        <f t="shared" si="158"/>
        <v>0</v>
      </c>
      <c r="BQ79" s="126">
        <f t="shared" si="158"/>
        <v>0</v>
      </c>
      <c r="BR79" s="126" t="e">
        <f>COUNTIFS(#REF!,"&gt;-1000000",$C$102:$C$1048576,"OK",$A$102:$A$1048576,$E79)</f>
        <v>#REF!</v>
      </c>
      <c r="BS79" s="126">
        <f>COUNTIFS(BS$102:BS$1048576,"&gt;-1000000",$C$102:$C$1048576,"OK",$A$102:$A$1048576,$E79)</f>
        <v>0</v>
      </c>
      <c r="BT79" s="126"/>
      <c r="BU79" s="126"/>
      <c r="BV79" s="147"/>
    </row>
    <row r="80" spans="1:74" ht="11.25" hidden="1" x14ac:dyDescent="0.2">
      <c r="A80" s="123"/>
      <c r="B80" s="123"/>
      <c r="C80" s="124"/>
      <c r="D80" s="125"/>
      <c r="E80" s="19">
        <v>10</v>
      </c>
      <c r="F80" s="17" t="s">
        <v>30</v>
      </c>
      <c r="G80" s="15" t="s">
        <v>109</v>
      </c>
      <c r="H80" s="126">
        <f t="shared" ref="H80:BA80" si="159">SUMIFS($AM$102:$AM$1048576,H$102:H$1048576,"&gt;-1000000",$C$102:$C$1048576,"OK",$A$102:$A$1048576,$E80)</f>
        <v>0</v>
      </c>
      <c r="I80" s="126">
        <f t="shared" si="159"/>
        <v>0</v>
      </c>
      <c r="J80" s="126">
        <f t="shared" si="159"/>
        <v>0</v>
      </c>
      <c r="K80" s="126">
        <f t="shared" si="159"/>
        <v>0</v>
      </c>
      <c r="L80" s="126">
        <f t="shared" si="159"/>
        <v>0</v>
      </c>
      <c r="M80" s="126">
        <f t="shared" si="159"/>
        <v>0</v>
      </c>
      <c r="N80" s="29">
        <f t="shared" si="159"/>
        <v>0</v>
      </c>
      <c r="O80" s="29">
        <f t="shared" si="159"/>
        <v>0</v>
      </c>
      <c r="P80" s="161">
        <f t="shared" si="159"/>
        <v>0</v>
      </c>
      <c r="Q80" s="126">
        <f t="shared" si="159"/>
        <v>0</v>
      </c>
      <c r="R80" s="126">
        <f t="shared" si="159"/>
        <v>0</v>
      </c>
      <c r="S80" s="126">
        <f t="shared" si="159"/>
        <v>0</v>
      </c>
      <c r="T80" s="126">
        <f t="shared" si="159"/>
        <v>0</v>
      </c>
      <c r="U80" s="126">
        <f t="shared" si="159"/>
        <v>0</v>
      </c>
      <c r="V80" s="126">
        <f t="shared" si="159"/>
        <v>0</v>
      </c>
      <c r="W80" s="126">
        <f t="shared" si="159"/>
        <v>0</v>
      </c>
      <c r="X80" s="126">
        <f t="shared" si="159"/>
        <v>0</v>
      </c>
      <c r="Y80" s="126">
        <f t="shared" si="159"/>
        <v>0</v>
      </c>
      <c r="Z80" s="126">
        <f t="shared" si="159"/>
        <v>0</v>
      </c>
      <c r="AA80" s="126">
        <f t="shared" si="159"/>
        <v>0</v>
      </c>
      <c r="AB80" s="126">
        <f t="shared" si="159"/>
        <v>0</v>
      </c>
      <c r="AC80" s="126">
        <f t="shared" si="159"/>
        <v>0</v>
      </c>
      <c r="AD80" s="126">
        <f t="shared" si="159"/>
        <v>0</v>
      </c>
      <c r="AE80" s="126">
        <f t="shared" si="159"/>
        <v>0</v>
      </c>
      <c r="AF80" s="126">
        <f t="shared" si="159"/>
        <v>0</v>
      </c>
      <c r="AG80" s="126">
        <f t="shared" si="159"/>
        <v>0</v>
      </c>
      <c r="AH80" s="126">
        <f t="shared" si="159"/>
        <v>0</v>
      </c>
      <c r="AI80" s="126">
        <f t="shared" si="159"/>
        <v>0</v>
      </c>
      <c r="AJ80" s="126">
        <f t="shared" si="159"/>
        <v>0</v>
      </c>
      <c r="AK80" s="126">
        <f t="shared" si="159"/>
        <v>0</v>
      </c>
      <c r="AL80" s="126">
        <f t="shared" si="159"/>
        <v>0</v>
      </c>
      <c r="AM80" s="126">
        <f t="shared" si="159"/>
        <v>0</v>
      </c>
      <c r="AN80" s="126">
        <f t="shared" si="159"/>
        <v>0</v>
      </c>
      <c r="AO80" s="126">
        <f t="shared" si="159"/>
        <v>0</v>
      </c>
      <c r="AP80" s="126">
        <f t="shared" si="159"/>
        <v>0</v>
      </c>
      <c r="AQ80" s="126">
        <f t="shared" si="159"/>
        <v>0</v>
      </c>
      <c r="AR80" s="126">
        <f t="shared" si="159"/>
        <v>0</v>
      </c>
      <c r="AS80" s="126">
        <f t="shared" si="159"/>
        <v>0</v>
      </c>
      <c r="AT80" s="126">
        <f t="shared" si="159"/>
        <v>0</v>
      </c>
      <c r="AU80" s="126">
        <f t="shared" si="159"/>
        <v>0</v>
      </c>
      <c r="AV80" s="126">
        <f t="shared" si="159"/>
        <v>0</v>
      </c>
      <c r="AW80" s="126">
        <f t="shared" si="159"/>
        <v>0</v>
      </c>
      <c r="AX80" s="126">
        <f t="shared" si="159"/>
        <v>0</v>
      </c>
      <c r="AY80" s="126">
        <f t="shared" si="159"/>
        <v>0</v>
      </c>
      <c r="AZ80" s="126">
        <f t="shared" si="159"/>
        <v>0</v>
      </c>
      <c r="BA80" s="126">
        <f t="shared" si="159"/>
        <v>0</v>
      </c>
      <c r="BB80" s="126"/>
      <c r="BC80" s="126">
        <f t="shared" ref="BC80:BQ80" si="160">SUMIFS($AM$102:$AM$1048576,BC$102:BC$1048576,"&gt;-1000000",$C$102:$C$1048576,"OK",$A$102:$A$1048576,$E80)</f>
        <v>0</v>
      </c>
      <c r="BD80" s="126">
        <f t="shared" si="160"/>
        <v>0</v>
      </c>
      <c r="BE80" s="126">
        <f t="shared" si="160"/>
        <v>0</v>
      </c>
      <c r="BF80" s="126">
        <f t="shared" si="160"/>
        <v>0</v>
      </c>
      <c r="BG80" s="126">
        <f t="shared" si="160"/>
        <v>0</v>
      </c>
      <c r="BH80" s="126">
        <f t="shared" si="160"/>
        <v>0</v>
      </c>
      <c r="BI80" s="126">
        <f t="shared" si="160"/>
        <v>0</v>
      </c>
      <c r="BJ80" s="126">
        <f t="shared" si="160"/>
        <v>0</v>
      </c>
      <c r="BK80" s="126">
        <f t="shared" si="160"/>
        <v>0</v>
      </c>
      <c r="BL80" s="126">
        <f t="shared" si="160"/>
        <v>0</v>
      </c>
      <c r="BM80" s="126">
        <f t="shared" si="160"/>
        <v>0</v>
      </c>
      <c r="BN80" s="126">
        <f t="shared" si="160"/>
        <v>0</v>
      </c>
      <c r="BO80" s="126">
        <f t="shared" si="160"/>
        <v>0</v>
      </c>
      <c r="BP80" s="126">
        <f t="shared" si="160"/>
        <v>0</v>
      </c>
      <c r="BQ80" s="126">
        <f t="shared" si="160"/>
        <v>0</v>
      </c>
      <c r="BR80" s="126" t="e">
        <f>SUMIFS($AM$102:$AM$1048576,#REF!,"&gt;-1000000",$C$102:$C$1048576,"OK",$A$102:$A$1048576,$E80)</f>
        <v>#REF!</v>
      </c>
      <c r="BS80" s="126">
        <f>SUMIFS($AM$102:$AM$1048576,BS$102:BS$1048576,"&gt;-1000000",$C$102:$C$1048576,"OK",$A$102:$A$1048576,$E80)</f>
        <v>0</v>
      </c>
      <c r="BT80" s="126"/>
      <c r="BU80" s="126"/>
      <c r="BV80" s="147"/>
    </row>
    <row r="81" spans="1:74" ht="11.25" hidden="1" x14ac:dyDescent="0.2">
      <c r="A81" s="123"/>
      <c r="B81" s="123"/>
      <c r="C81" s="124"/>
      <c r="D81" s="125"/>
      <c r="E81" s="19">
        <v>10</v>
      </c>
      <c r="F81" s="17" t="s">
        <v>32</v>
      </c>
      <c r="G81" s="15" t="s">
        <v>109</v>
      </c>
      <c r="H81" s="126">
        <f t="shared" ref="H81:BA81" si="161">SUMIFS($AP$102:$AP$1048576,H$102:H$1048576,"&gt;-1000000",$C$102:$C$1048576,"OK",$A$102:$A$1048576,$E81)</f>
        <v>0</v>
      </c>
      <c r="I81" s="126">
        <f t="shared" si="161"/>
        <v>0</v>
      </c>
      <c r="J81" s="126">
        <f t="shared" si="161"/>
        <v>0</v>
      </c>
      <c r="K81" s="126">
        <f t="shared" si="161"/>
        <v>0</v>
      </c>
      <c r="L81" s="126">
        <f t="shared" si="161"/>
        <v>0</v>
      </c>
      <c r="M81" s="126">
        <f t="shared" si="161"/>
        <v>0</v>
      </c>
      <c r="N81" s="29">
        <f t="shared" si="161"/>
        <v>0</v>
      </c>
      <c r="O81" s="29">
        <f t="shared" si="161"/>
        <v>0</v>
      </c>
      <c r="P81" s="161">
        <f t="shared" si="161"/>
        <v>0</v>
      </c>
      <c r="Q81" s="126">
        <f t="shared" si="161"/>
        <v>0</v>
      </c>
      <c r="R81" s="126">
        <f t="shared" si="161"/>
        <v>0</v>
      </c>
      <c r="S81" s="126">
        <f t="shared" si="161"/>
        <v>0</v>
      </c>
      <c r="T81" s="126">
        <f t="shared" si="161"/>
        <v>0</v>
      </c>
      <c r="U81" s="126">
        <f t="shared" si="161"/>
        <v>0</v>
      </c>
      <c r="V81" s="126">
        <f t="shared" si="161"/>
        <v>0</v>
      </c>
      <c r="W81" s="126">
        <f t="shared" si="161"/>
        <v>0</v>
      </c>
      <c r="X81" s="126">
        <f t="shared" si="161"/>
        <v>0</v>
      </c>
      <c r="Y81" s="126">
        <f t="shared" si="161"/>
        <v>0</v>
      </c>
      <c r="Z81" s="126">
        <f t="shared" si="161"/>
        <v>0</v>
      </c>
      <c r="AA81" s="126">
        <f t="shared" si="161"/>
        <v>0</v>
      </c>
      <c r="AB81" s="126">
        <f t="shared" si="161"/>
        <v>0</v>
      </c>
      <c r="AC81" s="126">
        <f t="shared" si="161"/>
        <v>0</v>
      </c>
      <c r="AD81" s="126">
        <f t="shared" si="161"/>
        <v>0</v>
      </c>
      <c r="AE81" s="126">
        <f t="shared" si="161"/>
        <v>0</v>
      </c>
      <c r="AF81" s="126">
        <f t="shared" si="161"/>
        <v>0</v>
      </c>
      <c r="AG81" s="126">
        <f t="shared" si="161"/>
        <v>0</v>
      </c>
      <c r="AH81" s="126">
        <f t="shared" si="161"/>
        <v>0</v>
      </c>
      <c r="AI81" s="126">
        <f t="shared" si="161"/>
        <v>0</v>
      </c>
      <c r="AJ81" s="126">
        <f t="shared" si="161"/>
        <v>0</v>
      </c>
      <c r="AK81" s="126">
        <f t="shared" si="161"/>
        <v>0</v>
      </c>
      <c r="AL81" s="126">
        <f t="shared" si="161"/>
        <v>0</v>
      </c>
      <c r="AM81" s="126">
        <f t="shared" si="161"/>
        <v>0</v>
      </c>
      <c r="AN81" s="126">
        <f t="shared" si="161"/>
        <v>0</v>
      </c>
      <c r="AO81" s="126">
        <f t="shared" si="161"/>
        <v>0</v>
      </c>
      <c r="AP81" s="126">
        <f t="shared" si="161"/>
        <v>0</v>
      </c>
      <c r="AQ81" s="126">
        <f t="shared" si="161"/>
        <v>0</v>
      </c>
      <c r="AR81" s="126">
        <f t="shared" si="161"/>
        <v>0</v>
      </c>
      <c r="AS81" s="126">
        <f t="shared" si="161"/>
        <v>0</v>
      </c>
      <c r="AT81" s="126">
        <f t="shared" si="161"/>
        <v>0</v>
      </c>
      <c r="AU81" s="126">
        <f t="shared" si="161"/>
        <v>0</v>
      </c>
      <c r="AV81" s="126">
        <f t="shared" si="161"/>
        <v>0</v>
      </c>
      <c r="AW81" s="126">
        <f t="shared" si="161"/>
        <v>0</v>
      </c>
      <c r="AX81" s="126">
        <f t="shared" si="161"/>
        <v>0</v>
      </c>
      <c r="AY81" s="126">
        <f t="shared" si="161"/>
        <v>0</v>
      </c>
      <c r="AZ81" s="126">
        <f t="shared" si="161"/>
        <v>0</v>
      </c>
      <c r="BA81" s="126">
        <f t="shared" si="161"/>
        <v>0</v>
      </c>
      <c r="BB81" s="126"/>
      <c r="BC81" s="126">
        <f t="shared" ref="BC81:BQ81" si="162">SUMIFS($AP$102:$AP$1048576,BC$102:BC$1048576,"&gt;-1000000",$C$102:$C$1048576,"OK",$A$102:$A$1048576,$E81)</f>
        <v>0</v>
      </c>
      <c r="BD81" s="126">
        <f t="shared" si="162"/>
        <v>0</v>
      </c>
      <c r="BE81" s="126">
        <f t="shared" si="162"/>
        <v>0</v>
      </c>
      <c r="BF81" s="126">
        <f t="shared" si="162"/>
        <v>0</v>
      </c>
      <c r="BG81" s="126">
        <f t="shared" si="162"/>
        <v>0</v>
      </c>
      <c r="BH81" s="126">
        <f t="shared" si="162"/>
        <v>0</v>
      </c>
      <c r="BI81" s="126">
        <f t="shared" si="162"/>
        <v>0</v>
      </c>
      <c r="BJ81" s="126">
        <f t="shared" si="162"/>
        <v>0</v>
      </c>
      <c r="BK81" s="126">
        <f t="shared" si="162"/>
        <v>0</v>
      </c>
      <c r="BL81" s="126">
        <f t="shared" si="162"/>
        <v>0</v>
      </c>
      <c r="BM81" s="126">
        <f t="shared" si="162"/>
        <v>0</v>
      </c>
      <c r="BN81" s="126">
        <f t="shared" si="162"/>
        <v>0</v>
      </c>
      <c r="BO81" s="126">
        <f t="shared" si="162"/>
        <v>0</v>
      </c>
      <c r="BP81" s="126">
        <f t="shared" si="162"/>
        <v>0</v>
      </c>
      <c r="BQ81" s="126">
        <f t="shared" si="162"/>
        <v>0</v>
      </c>
      <c r="BR81" s="126" t="e">
        <f>SUMIFS($AP$102:$AP$1048576,#REF!,"&gt;-1000000",$C$102:$C$1048576,"OK",$A$102:$A$1048576,$E81)</f>
        <v>#REF!</v>
      </c>
      <c r="BS81" s="126">
        <f>SUMIFS($AP$102:$AP$1048576,BS$102:BS$1048576,"&gt;-1000000",$C$102:$C$1048576,"OK",$A$102:$A$1048576,$E81)</f>
        <v>0</v>
      </c>
      <c r="BT81" s="126"/>
      <c r="BU81" s="126"/>
      <c r="BV81" s="147"/>
    </row>
    <row r="82" spans="1:74" ht="11.25" hidden="1" x14ac:dyDescent="0.2">
      <c r="A82" s="123"/>
      <c r="B82" s="123"/>
      <c r="C82" s="124"/>
      <c r="D82" s="125"/>
      <c r="E82" s="18">
        <v>11</v>
      </c>
      <c r="F82" s="16" t="s">
        <v>28</v>
      </c>
      <c r="G82" s="14" t="s">
        <v>109</v>
      </c>
      <c r="H82" s="21">
        <f t="shared" ref="H82:BA82" si="163">SUMIFS(H$102:H$1048576,$A$102:$A$1048576,$E82)</f>
        <v>0</v>
      </c>
      <c r="I82" s="21">
        <f t="shared" si="163"/>
        <v>0</v>
      </c>
      <c r="J82" s="21">
        <f t="shared" si="163"/>
        <v>0</v>
      </c>
      <c r="K82" s="21">
        <f t="shared" si="163"/>
        <v>0</v>
      </c>
      <c r="L82" s="21">
        <f t="shared" si="163"/>
        <v>0</v>
      </c>
      <c r="M82" s="21">
        <f t="shared" si="163"/>
        <v>0</v>
      </c>
      <c r="N82" s="29">
        <f t="shared" si="163"/>
        <v>0</v>
      </c>
      <c r="O82" s="29">
        <f t="shared" si="163"/>
        <v>0</v>
      </c>
      <c r="P82" s="160">
        <f t="shared" si="163"/>
        <v>0</v>
      </c>
      <c r="Q82" s="21">
        <f t="shared" si="163"/>
        <v>0</v>
      </c>
      <c r="R82" s="21">
        <f t="shared" si="163"/>
        <v>0</v>
      </c>
      <c r="S82" s="21">
        <f t="shared" si="163"/>
        <v>0</v>
      </c>
      <c r="T82" s="21">
        <f t="shared" si="163"/>
        <v>0</v>
      </c>
      <c r="U82" s="21">
        <f t="shared" si="163"/>
        <v>0</v>
      </c>
      <c r="V82" s="21">
        <f t="shared" si="163"/>
        <v>0</v>
      </c>
      <c r="W82" s="21">
        <f t="shared" si="163"/>
        <v>0</v>
      </c>
      <c r="X82" s="21">
        <f t="shared" si="163"/>
        <v>0</v>
      </c>
      <c r="Y82" s="21">
        <f t="shared" si="163"/>
        <v>0</v>
      </c>
      <c r="Z82" s="21">
        <f t="shared" si="163"/>
        <v>0</v>
      </c>
      <c r="AA82" s="21">
        <f t="shared" si="163"/>
        <v>0</v>
      </c>
      <c r="AB82" s="21">
        <f t="shared" si="163"/>
        <v>0</v>
      </c>
      <c r="AC82" s="21">
        <f t="shared" si="163"/>
        <v>0</v>
      </c>
      <c r="AD82" s="21">
        <f t="shared" si="163"/>
        <v>0</v>
      </c>
      <c r="AE82" s="21">
        <f t="shared" si="163"/>
        <v>0</v>
      </c>
      <c r="AF82" s="21">
        <f t="shared" si="163"/>
        <v>0</v>
      </c>
      <c r="AG82" s="21">
        <f t="shared" si="163"/>
        <v>0</v>
      </c>
      <c r="AH82" s="21">
        <f t="shared" si="163"/>
        <v>0</v>
      </c>
      <c r="AI82" s="21">
        <f t="shared" si="163"/>
        <v>0</v>
      </c>
      <c r="AJ82" s="21">
        <f t="shared" si="163"/>
        <v>0</v>
      </c>
      <c r="AK82" s="21">
        <f t="shared" si="163"/>
        <v>0</v>
      </c>
      <c r="AL82" s="21">
        <f t="shared" si="163"/>
        <v>0</v>
      </c>
      <c r="AM82" s="21">
        <f t="shared" si="163"/>
        <v>0</v>
      </c>
      <c r="AN82" s="21">
        <f t="shared" si="163"/>
        <v>0</v>
      </c>
      <c r="AO82" s="21">
        <f t="shared" si="163"/>
        <v>0</v>
      </c>
      <c r="AP82" s="21">
        <f t="shared" si="163"/>
        <v>0</v>
      </c>
      <c r="AQ82" s="21">
        <f t="shared" si="163"/>
        <v>0</v>
      </c>
      <c r="AR82" s="21">
        <f t="shared" si="163"/>
        <v>0</v>
      </c>
      <c r="AS82" s="21">
        <f t="shared" si="163"/>
        <v>0</v>
      </c>
      <c r="AT82" s="21">
        <f t="shared" si="163"/>
        <v>0</v>
      </c>
      <c r="AU82" s="21">
        <f t="shared" si="163"/>
        <v>0</v>
      </c>
      <c r="AV82" s="21">
        <f t="shared" si="163"/>
        <v>0</v>
      </c>
      <c r="AW82" s="21">
        <f t="shared" si="163"/>
        <v>0</v>
      </c>
      <c r="AX82" s="21">
        <f t="shared" si="163"/>
        <v>0</v>
      </c>
      <c r="AY82" s="21">
        <f t="shared" si="163"/>
        <v>0</v>
      </c>
      <c r="AZ82" s="21">
        <f t="shared" si="163"/>
        <v>0</v>
      </c>
      <c r="BA82" s="21">
        <f t="shared" si="163"/>
        <v>0</v>
      </c>
      <c r="BB82" s="21"/>
      <c r="BC82" s="21">
        <f t="shared" ref="BC82:BQ82" si="164">SUMIFS(BC$102:BC$1048576,$A$102:$A$1048576,$E82)</f>
        <v>0</v>
      </c>
      <c r="BD82" s="21">
        <f t="shared" si="164"/>
        <v>0</v>
      </c>
      <c r="BE82" s="21">
        <f t="shared" si="164"/>
        <v>0</v>
      </c>
      <c r="BF82" s="21">
        <f t="shared" si="164"/>
        <v>0</v>
      </c>
      <c r="BG82" s="21">
        <f t="shared" si="164"/>
        <v>0</v>
      </c>
      <c r="BH82" s="21">
        <f t="shared" si="164"/>
        <v>0</v>
      </c>
      <c r="BI82" s="21">
        <f t="shared" si="164"/>
        <v>0</v>
      </c>
      <c r="BJ82" s="21">
        <f t="shared" si="164"/>
        <v>0</v>
      </c>
      <c r="BK82" s="21">
        <f t="shared" si="164"/>
        <v>0</v>
      </c>
      <c r="BL82" s="21">
        <f t="shared" si="164"/>
        <v>0</v>
      </c>
      <c r="BM82" s="21">
        <f t="shared" si="164"/>
        <v>0</v>
      </c>
      <c r="BN82" s="21">
        <f t="shared" si="164"/>
        <v>0</v>
      </c>
      <c r="BO82" s="21">
        <f t="shared" si="164"/>
        <v>0</v>
      </c>
      <c r="BP82" s="21">
        <f t="shared" si="164"/>
        <v>0</v>
      </c>
      <c r="BQ82" s="21">
        <f t="shared" si="164"/>
        <v>0</v>
      </c>
      <c r="BR82" s="21" t="e">
        <f>SUMIFS(#REF!,$A$102:$A$1048576,$E82)</f>
        <v>#REF!</v>
      </c>
      <c r="BS82" s="21">
        <f>SUMIFS(BS$102:BS$1048576,$A$102:$A$1048576,$E82)</f>
        <v>0</v>
      </c>
      <c r="BT82" s="21"/>
      <c r="BU82" s="21"/>
      <c r="BV82" s="145"/>
    </row>
    <row r="83" spans="1:74" ht="11.25" hidden="1" x14ac:dyDescent="0.2">
      <c r="A83" s="123"/>
      <c r="B83" s="123"/>
      <c r="C83" s="124"/>
      <c r="D83" s="125"/>
      <c r="E83" s="18">
        <v>11</v>
      </c>
      <c r="F83" s="16" t="s">
        <v>25</v>
      </c>
      <c r="G83" s="14" t="s">
        <v>109</v>
      </c>
      <c r="H83" s="14">
        <f t="shared" ref="H83:BA83" si="165">COUNTIFS(H$102:H$1048576,"&gt;-1000000",$A$102:$A$1048576,$E83)</f>
        <v>0</v>
      </c>
      <c r="I83" s="14">
        <f t="shared" si="165"/>
        <v>0</v>
      </c>
      <c r="J83" s="14">
        <f t="shared" si="165"/>
        <v>0</v>
      </c>
      <c r="K83" s="14">
        <f t="shared" si="165"/>
        <v>0</v>
      </c>
      <c r="L83" s="14">
        <f t="shared" si="165"/>
        <v>0</v>
      </c>
      <c r="M83" s="14">
        <f t="shared" si="165"/>
        <v>0</v>
      </c>
      <c r="N83" s="29">
        <f t="shared" si="165"/>
        <v>0</v>
      </c>
      <c r="O83" s="29">
        <f t="shared" si="165"/>
        <v>0</v>
      </c>
      <c r="P83" s="160">
        <f t="shared" si="165"/>
        <v>0</v>
      </c>
      <c r="Q83" s="14">
        <f t="shared" si="165"/>
        <v>0</v>
      </c>
      <c r="R83" s="14">
        <f t="shared" si="165"/>
        <v>0</v>
      </c>
      <c r="S83" s="14">
        <f t="shared" si="165"/>
        <v>0</v>
      </c>
      <c r="T83" s="14">
        <f t="shared" si="165"/>
        <v>0</v>
      </c>
      <c r="U83" s="14">
        <f t="shared" si="165"/>
        <v>0</v>
      </c>
      <c r="V83" s="14">
        <f t="shared" si="165"/>
        <v>0</v>
      </c>
      <c r="W83" s="14">
        <f t="shared" si="165"/>
        <v>0</v>
      </c>
      <c r="X83" s="14">
        <f t="shared" si="165"/>
        <v>0</v>
      </c>
      <c r="Y83" s="14">
        <f t="shared" si="165"/>
        <v>0</v>
      </c>
      <c r="Z83" s="14">
        <f t="shared" si="165"/>
        <v>0</v>
      </c>
      <c r="AA83" s="14">
        <f t="shared" si="165"/>
        <v>0</v>
      </c>
      <c r="AB83" s="14">
        <f t="shared" si="165"/>
        <v>0</v>
      </c>
      <c r="AC83" s="14">
        <f t="shared" si="165"/>
        <v>0</v>
      </c>
      <c r="AD83" s="14">
        <f t="shared" si="165"/>
        <v>0</v>
      </c>
      <c r="AE83" s="14">
        <f t="shared" si="165"/>
        <v>0</v>
      </c>
      <c r="AF83" s="14">
        <f t="shared" si="165"/>
        <v>0</v>
      </c>
      <c r="AG83" s="14">
        <f t="shared" si="165"/>
        <v>0</v>
      </c>
      <c r="AH83" s="14">
        <f t="shared" si="165"/>
        <v>0</v>
      </c>
      <c r="AI83" s="14">
        <f t="shared" si="165"/>
        <v>0</v>
      </c>
      <c r="AJ83" s="14">
        <f t="shared" si="165"/>
        <v>0</v>
      </c>
      <c r="AK83" s="14">
        <f t="shared" si="165"/>
        <v>0</v>
      </c>
      <c r="AL83" s="14">
        <f t="shared" si="165"/>
        <v>0</v>
      </c>
      <c r="AM83" s="14">
        <f t="shared" si="165"/>
        <v>0</v>
      </c>
      <c r="AN83" s="14">
        <f t="shared" si="165"/>
        <v>0</v>
      </c>
      <c r="AO83" s="14">
        <f t="shared" si="165"/>
        <v>0</v>
      </c>
      <c r="AP83" s="14">
        <f t="shared" si="165"/>
        <v>0</v>
      </c>
      <c r="AQ83" s="14">
        <f t="shared" si="165"/>
        <v>0</v>
      </c>
      <c r="AR83" s="14">
        <f t="shared" si="165"/>
        <v>0</v>
      </c>
      <c r="AS83" s="14">
        <f t="shared" si="165"/>
        <v>0</v>
      </c>
      <c r="AT83" s="14">
        <f t="shared" si="165"/>
        <v>0</v>
      </c>
      <c r="AU83" s="14">
        <f t="shared" si="165"/>
        <v>0</v>
      </c>
      <c r="AV83" s="14">
        <f t="shared" si="165"/>
        <v>0</v>
      </c>
      <c r="AW83" s="14">
        <f t="shared" si="165"/>
        <v>0</v>
      </c>
      <c r="AX83" s="14">
        <f t="shared" si="165"/>
        <v>0</v>
      </c>
      <c r="AY83" s="14">
        <f t="shared" si="165"/>
        <v>0</v>
      </c>
      <c r="AZ83" s="14">
        <f t="shared" si="165"/>
        <v>0</v>
      </c>
      <c r="BA83" s="14">
        <f t="shared" si="165"/>
        <v>0</v>
      </c>
      <c r="BB83" s="14"/>
      <c r="BC83" s="14">
        <f t="shared" ref="BC83:BQ83" si="166">COUNTIFS(BC$102:BC$1048576,"&gt;-1000000",$A$102:$A$1048576,$E83)</f>
        <v>0</v>
      </c>
      <c r="BD83" s="14">
        <f t="shared" si="166"/>
        <v>0</v>
      </c>
      <c r="BE83" s="14">
        <f t="shared" si="166"/>
        <v>0</v>
      </c>
      <c r="BF83" s="14">
        <f t="shared" si="166"/>
        <v>0</v>
      </c>
      <c r="BG83" s="14">
        <f t="shared" si="166"/>
        <v>0</v>
      </c>
      <c r="BH83" s="14">
        <f t="shared" si="166"/>
        <v>0</v>
      </c>
      <c r="BI83" s="14">
        <f t="shared" si="166"/>
        <v>0</v>
      </c>
      <c r="BJ83" s="14">
        <f t="shared" si="166"/>
        <v>0</v>
      </c>
      <c r="BK83" s="14">
        <f t="shared" si="166"/>
        <v>0</v>
      </c>
      <c r="BL83" s="14">
        <f t="shared" si="166"/>
        <v>0</v>
      </c>
      <c r="BM83" s="14">
        <f t="shared" si="166"/>
        <v>0</v>
      </c>
      <c r="BN83" s="14">
        <f t="shared" si="166"/>
        <v>0</v>
      </c>
      <c r="BO83" s="14">
        <f t="shared" si="166"/>
        <v>0</v>
      </c>
      <c r="BP83" s="14">
        <f t="shared" si="166"/>
        <v>0</v>
      </c>
      <c r="BQ83" s="14">
        <f t="shared" si="166"/>
        <v>0</v>
      </c>
      <c r="BR83" s="14" t="e">
        <f>COUNTIFS(#REF!,"&gt;-1000000",$A$102:$A$1048576,$E83)</f>
        <v>#REF!</v>
      </c>
      <c r="BS83" s="14">
        <f>COUNTIFS(BS$102:BS$1048576,"&gt;-1000000",$A$102:$A$1048576,$E83)</f>
        <v>0</v>
      </c>
      <c r="BT83" s="14"/>
      <c r="BU83" s="14"/>
      <c r="BV83" s="146"/>
    </row>
    <row r="84" spans="1:74" ht="11.25" hidden="1" x14ac:dyDescent="0.2">
      <c r="A84" s="123"/>
      <c r="B84" s="123"/>
      <c r="C84" s="124"/>
      <c r="D84" s="125"/>
      <c r="E84" s="18">
        <v>11</v>
      </c>
      <c r="F84" s="16" t="s">
        <v>24</v>
      </c>
      <c r="G84" s="14" t="s">
        <v>109</v>
      </c>
      <c r="H84" s="14">
        <f t="shared" ref="H84:BA84" si="167">SUMIFS($AM$102:$AM$1048576,H$102:H$1048576,"&gt;-1000000",$A$102:$A$1048576,$E84)</f>
        <v>0</v>
      </c>
      <c r="I84" s="14">
        <f t="shared" si="167"/>
        <v>0</v>
      </c>
      <c r="J84" s="14">
        <f t="shared" si="167"/>
        <v>0</v>
      </c>
      <c r="K84" s="14">
        <f t="shared" si="167"/>
        <v>0</v>
      </c>
      <c r="L84" s="14">
        <f t="shared" si="167"/>
        <v>0</v>
      </c>
      <c r="M84" s="14">
        <f t="shared" si="167"/>
        <v>0</v>
      </c>
      <c r="N84" s="29">
        <f t="shared" si="167"/>
        <v>0</v>
      </c>
      <c r="O84" s="29">
        <f t="shared" si="167"/>
        <v>0</v>
      </c>
      <c r="P84" s="160">
        <f t="shared" si="167"/>
        <v>0</v>
      </c>
      <c r="Q84" s="14">
        <f t="shared" si="167"/>
        <v>0</v>
      </c>
      <c r="R84" s="14">
        <f t="shared" si="167"/>
        <v>0</v>
      </c>
      <c r="S84" s="14">
        <f t="shared" si="167"/>
        <v>0</v>
      </c>
      <c r="T84" s="14">
        <f t="shared" si="167"/>
        <v>0</v>
      </c>
      <c r="U84" s="14">
        <f t="shared" si="167"/>
        <v>0</v>
      </c>
      <c r="V84" s="14">
        <f t="shared" si="167"/>
        <v>0</v>
      </c>
      <c r="W84" s="14">
        <f t="shared" si="167"/>
        <v>0</v>
      </c>
      <c r="X84" s="14">
        <f t="shared" si="167"/>
        <v>0</v>
      </c>
      <c r="Y84" s="14">
        <f t="shared" si="167"/>
        <v>0</v>
      </c>
      <c r="Z84" s="14">
        <f t="shared" si="167"/>
        <v>0</v>
      </c>
      <c r="AA84" s="14">
        <f t="shared" si="167"/>
        <v>0</v>
      </c>
      <c r="AB84" s="14">
        <f t="shared" si="167"/>
        <v>0</v>
      </c>
      <c r="AC84" s="14">
        <f t="shared" si="167"/>
        <v>0</v>
      </c>
      <c r="AD84" s="14">
        <f t="shared" si="167"/>
        <v>0</v>
      </c>
      <c r="AE84" s="14">
        <f t="shared" si="167"/>
        <v>0</v>
      </c>
      <c r="AF84" s="14">
        <f t="shared" si="167"/>
        <v>0</v>
      </c>
      <c r="AG84" s="14">
        <f t="shared" si="167"/>
        <v>0</v>
      </c>
      <c r="AH84" s="14">
        <f t="shared" si="167"/>
        <v>0</v>
      </c>
      <c r="AI84" s="14">
        <f t="shared" si="167"/>
        <v>0</v>
      </c>
      <c r="AJ84" s="14">
        <f t="shared" si="167"/>
        <v>0</v>
      </c>
      <c r="AK84" s="14">
        <f t="shared" si="167"/>
        <v>0</v>
      </c>
      <c r="AL84" s="14">
        <f t="shared" si="167"/>
        <v>0</v>
      </c>
      <c r="AM84" s="14">
        <f t="shared" si="167"/>
        <v>0</v>
      </c>
      <c r="AN84" s="14">
        <f t="shared" si="167"/>
        <v>0</v>
      </c>
      <c r="AO84" s="14">
        <f t="shared" si="167"/>
        <v>0</v>
      </c>
      <c r="AP84" s="14">
        <f t="shared" si="167"/>
        <v>0</v>
      </c>
      <c r="AQ84" s="14">
        <f t="shared" si="167"/>
        <v>0</v>
      </c>
      <c r="AR84" s="14">
        <f t="shared" si="167"/>
        <v>0</v>
      </c>
      <c r="AS84" s="14">
        <f t="shared" si="167"/>
        <v>0</v>
      </c>
      <c r="AT84" s="14">
        <f t="shared" si="167"/>
        <v>0</v>
      </c>
      <c r="AU84" s="14">
        <f t="shared" si="167"/>
        <v>0</v>
      </c>
      <c r="AV84" s="14">
        <f t="shared" si="167"/>
        <v>0</v>
      </c>
      <c r="AW84" s="14">
        <f t="shared" si="167"/>
        <v>0</v>
      </c>
      <c r="AX84" s="14">
        <f t="shared" si="167"/>
        <v>0</v>
      </c>
      <c r="AY84" s="14">
        <f t="shared" si="167"/>
        <v>0</v>
      </c>
      <c r="AZ84" s="14">
        <f t="shared" si="167"/>
        <v>0</v>
      </c>
      <c r="BA84" s="14">
        <f t="shared" si="167"/>
        <v>0</v>
      </c>
      <c r="BB84" s="14"/>
      <c r="BC84" s="14">
        <f t="shared" ref="BC84:BQ84" si="168">SUMIFS($AM$102:$AM$1048576,BC$102:BC$1048576,"&gt;-1000000",$A$102:$A$1048576,$E84)</f>
        <v>0</v>
      </c>
      <c r="BD84" s="14">
        <f t="shared" si="168"/>
        <v>0</v>
      </c>
      <c r="BE84" s="14">
        <f t="shared" si="168"/>
        <v>0</v>
      </c>
      <c r="BF84" s="14">
        <f t="shared" si="168"/>
        <v>0</v>
      </c>
      <c r="BG84" s="14">
        <f t="shared" si="168"/>
        <v>0</v>
      </c>
      <c r="BH84" s="14">
        <f t="shared" si="168"/>
        <v>0</v>
      </c>
      <c r="BI84" s="14">
        <f t="shared" si="168"/>
        <v>0</v>
      </c>
      <c r="BJ84" s="14">
        <f t="shared" si="168"/>
        <v>0</v>
      </c>
      <c r="BK84" s="14">
        <f t="shared" si="168"/>
        <v>0</v>
      </c>
      <c r="BL84" s="14">
        <f t="shared" si="168"/>
        <v>0</v>
      </c>
      <c r="BM84" s="14">
        <f t="shared" si="168"/>
        <v>0</v>
      </c>
      <c r="BN84" s="14">
        <f t="shared" si="168"/>
        <v>0</v>
      </c>
      <c r="BO84" s="14">
        <f t="shared" si="168"/>
        <v>0</v>
      </c>
      <c r="BP84" s="14">
        <f t="shared" si="168"/>
        <v>0</v>
      </c>
      <c r="BQ84" s="14">
        <f t="shared" si="168"/>
        <v>0</v>
      </c>
      <c r="BR84" s="14" t="e">
        <f>SUMIFS($AM$102:$AM$1048576,#REF!,"&gt;-1000000",$A$102:$A$1048576,$E84)</f>
        <v>#REF!</v>
      </c>
      <c r="BS84" s="14">
        <f>SUMIFS($AM$102:$AM$1048576,BS$102:BS$1048576,"&gt;-1000000",$A$102:$A$1048576,$E84)</f>
        <v>0</v>
      </c>
      <c r="BT84" s="14"/>
      <c r="BU84" s="14"/>
      <c r="BV84" s="146"/>
    </row>
    <row r="85" spans="1:74" ht="11.25" hidden="1" x14ac:dyDescent="0.2">
      <c r="A85" s="123"/>
      <c r="B85" s="123"/>
      <c r="C85" s="124"/>
      <c r="D85" s="125"/>
      <c r="E85" s="18">
        <v>11</v>
      </c>
      <c r="F85" s="16" t="s">
        <v>31</v>
      </c>
      <c r="G85" s="14" t="s">
        <v>109</v>
      </c>
      <c r="H85" s="14">
        <f t="shared" ref="H85:BA85" si="169">SUMIFS($AP$102:$AP$1048576,H$102:H$1048576,"&gt;-1000000",$A$102:$A$1048576,$E85)</f>
        <v>0</v>
      </c>
      <c r="I85" s="14">
        <f t="shared" si="169"/>
        <v>0</v>
      </c>
      <c r="J85" s="14">
        <f t="shared" si="169"/>
        <v>0</v>
      </c>
      <c r="K85" s="14">
        <f t="shared" si="169"/>
        <v>0</v>
      </c>
      <c r="L85" s="14">
        <f t="shared" si="169"/>
        <v>0</v>
      </c>
      <c r="M85" s="14">
        <f t="shared" si="169"/>
        <v>0</v>
      </c>
      <c r="N85" s="29">
        <f t="shared" si="169"/>
        <v>0</v>
      </c>
      <c r="O85" s="29">
        <f t="shared" si="169"/>
        <v>0</v>
      </c>
      <c r="P85" s="160">
        <f t="shared" si="169"/>
        <v>0</v>
      </c>
      <c r="Q85" s="14">
        <f t="shared" si="169"/>
        <v>0</v>
      </c>
      <c r="R85" s="14">
        <f t="shared" si="169"/>
        <v>0</v>
      </c>
      <c r="S85" s="14">
        <f t="shared" si="169"/>
        <v>0</v>
      </c>
      <c r="T85" s="14">
        <f t="shared" si="169"/>
        <v>0</v>
      </c>
      <c r="U85" s="14">
        <f t="shared" si="169"/>
        <v>0</v>
      </c>
      <c r="V85" s="14">
        <f t="shared" si="169"/>
        <v>0</v>
      </c>
      <c r="W85" s="14">
        <f t="shared" si="169"/>
        <v>0</v>
      </c>
      <c r="X85" s="14">
        <f t="shared" si="169"/>
        <v>0</v>
      </c>
      <c r="Y85" s="14">
        <f t="shared" si="169"/>
        <v>0</v>
      </c>
      <c r="Z85" s="14">
        <f t="shared" si="169"/>
        <v>0</v>
      </c>
      <c r="AA85" s="14">
        <f t="shared" si="169"/>
        <v>0</v>
      </c>
      <c r="AB85" s="14">
        <f t="shared" si="169"/>
        <v>0</v>
      </c>
      <c r="AC85" s="14">
        <f t="shared" si="169"/>
        <v>0</v>
      </c>
      <c r="AD85" s="14">
        <f t="shared" si="169"/>
        <v>0</v>
      </c>
      <c r="AE85" s="14">
        <f t="shared" si="169"/>
        <v>0</v>
      </c>
      <c r="AF85" s="14">
        <f t="shared" si="169"/>
        <v>0</v>
      </c>
      <c r="AG85" s="14">
        <f t="shared" si="169"/>
        <v>0</v>
      </c>
      <c r="AH85" s="14">
        <f t="shared" si="169"/>
        <v>0</v>
      </c>
      <c r="AI85" s="14">
        <f t="shared" si="169"/>
        <v>0</v>
      </c>
      <c r="AJ85" s="14">
        <f t="shared" si="169"/>
        <v>0</v>
      </c>
      <c r="AK85" s="14">
        <f t="shared" si="169"/>
        <v>0</v>
      </c>
      <c r="AL85" s="14">
        <f t="shared" si="169"/>
        <v>0</v>
      </c>
      <c r="AM85" s="14">
        <f t="shared" si="169"/>
        <v>0</v>
      </c>
      <c r="AN85" s="14">
        <f t="shared" si="169"/>
        <v>0</v>
      </c>
      <c r="AO85" s="14">
        <f t="shared" si="169"/>
        <v>0</v>
      </c>
      <c r="AP85" s="14">
        <f t="shared" si="169"/>
        <v>0</v>
      </c>
      <c r="AQ85" s="14">
        <f t="shared" si="169"/>
        <v>0</v>
      </c>
      <c r="AR85" s="14">
        <f t="shared" si="169"/>
        <v>0</v>
      </c>
      <c r="AS85" s="14">
        <f t="shared" si="169"/>
        <v>0</v>
      </c>
      <c r="AT85" s="14">
        <f t="shared" si="169"/>
        <v>0</v>
      </c>
      <c r="AU85" s="14">
        <f t="shared" si="169"/>
        <v>0</v>
      </c>
      <c r="AV85" s="14">
        <f t="shared" si="169"/>
        <v>0</v>
      </c>
      <c r="AW85" s="14">
        <f t="shared" si="169"/>
        <v>0</v>
      </c>
      <c r="AX85" s="14">
        <f t="shared" si="169"/>
        <v>0</v>
      </c>
      <c r="AY85" s="14">
        <f t="shared" si="169"/>
        <v>0</v>
      </c>
      <c r="AZ85" s="14">
        <f t="shared" si="169"/>
        <v>0</v>
      </c>
      <c r="BA85" s="14">
        <f t="shared" si="169"/>
        <v>0</v>
      </c>
      <c r="BB85" s="14"/>
      <c r="BC85" s="14">
        <f t="shared" ref="BC85:BQ85" si="170">SUMIFS($AP$102:$AP$1048576,BC$102:BC$1048576,"&gt;-1000000",$A$102:$A$1048576,$E85)</f>
        <v>0</v>
      </c>
      <c r="BD85" s="14">
        <f t="shared" si="170"/>
        <v>0</v>
      </c>
      <c r="BE85" s="14">
        <f t="shared" si="170"/>
        <v>0</v>
      </c>
      <c r="BF85" s="14">
        <f t="shared" si="170"/>
        <v>0</v>
      </c>
      <c r="BG85" s="14">
        <f t="shared" si="170"/>
        <v>0</v>
      </c>
      <c r="BH85" s="14">
        <f t="shared" si="170"/>
        <v>0</v>
      </c>
      <c r="BI85" s="14">
        <f t="shared" si="170"/>
        <v>0</v>
      </c>
      <c r="BJ85" s="14">
        <f t="shared" si="170"/>
        <v>0</v>
      </c>
      <c r="BK85" s="14">
        <f t="shared" si="170"/>
        <v>0</v>
      </c>
      <c r="BL85" s="14">
        <f t="shared" si="170"/>
        <v>0</v>
      </c>
      <c r="BM85" s="14">
        <f t="shared" si="170"/>
        <v>0</v>
      </c>
      <c r="BN85" s="14">
        <f t="shared" si="170"/>
        <v>0</v>
      </c>
      <c r="BO85" s="14">
        <f t="shared" si="170"/>
        <v>0</v>
      </c>
      <c r="BP85" s="14">
        <f t="shared" si="170"/>
        <v>0</v>
      </c>
      <c r="BQ85" s="14">
        <f t="shared" si="170"/>
        <v>0</v>
      </c>
      <c r="BR85" s="14" t="e">
        <f>SUMIFS($AP$102:$AP$1048576,#REF!,"&gt;-1000000",$A$102:$A$1048576,$E85)</f>
        <v>#REF!</v>
      </c>
      <c r="BS85" s="14">
        <f>SUMIFS($AP$102:$AP$1048576,BS$102:BS$1048576,"&gt;-1000000",$A$102:$A$1048576,$E85)</f>
        <v>0</v>
      </c>
      <c r="BT85" s="14"/>
      <c r="BU85" s="14"/>
      <c r="BV85" s="146"/>
    </row>
    <row r="86" spans="1:74" ht="11.25" hidden="1" x14ac:dyDescent="0.2">
      <c r="A86" s="123"/>
      <c r="B86" s="123"/>
      <c r="C86" s="124"/>
      <c r="D86" s="125"/>
      <c r="E86" s="19">
        <v>11</v>
      </c>
      <c r="F86" s="17" t="s">
        <v>29</v>
      </c>
      <c r="G86" s="15" t="s">
        <v>109</v>
      </c>
      <c r="H86" s="126">
        <f t="shared" ref="H86:BA86" si="171">SUMIFS(H$102:H$1048576,$A$102:$A$1048576,$E86,$C$102:$C$1048576,"OK")</f>
        <v>0</v>
      </c>
      <c r="I86" s="126">
        <f t="shared" si="171"/>
        <v>0</v>
      </c>
      <c r="J86" s="126">
        <f t="shared" si="171"/>
        <v>0</v>
      </c>
      <c r="K86" s="126">
        <f t="shared" si="171"/>
        <v>0</v>
      </c>
      <c r="L86" s="126">
        <f t="shared" si="171"/>
        <v>0</v>
      </c>
      <c r="M86" s="126">
        <f t="shared" si="171"/>
        <v>0</v>
      </c>
      <c r="N86" s="29">
        <f t="shared" si="171"/>
        <v>0</v>
      </c>
      <c r="O86" s="29">
        <f t="shared" si="171"/>
        <v>0</v>
      </c>
      <c r="P86" s="161">
        <f t="shared" si="171"/>
        <v>0</v>
      </c>
      <c r="Q86" s="126">
        <f t="shared" si="171"/>
        <v>0</v>
      </c>
      <c r="R86" s="126">
        <f t="shared" si="171"/>
        <v>0</v>
      </c>
      <c r="S86" s="126">
        <f t="shared" si="171"/>
        <v>0</v>
      </c>
      <c r="T86" s="126">
        <f t="shared" si="171"/>
        <v>0</v>
      </c>
      <c r="U86" s="126">
        <f t="shared" si="171"/>
        <v>0</v>
      </c>
      <c r="V86" s="126">
        <f t="shared" si="171"/>
        <v>0</v>
      </c>
      <c r="W86" s="126">
        <f t="shared" si="171"/>
        <v>0</v>
      </c>
      <c r="X86" s="126">
        <f t="shared" si="171"/>
        <v>0</v>
      </c>
      <c r="Y86" s="126">
        <f t="shared" si="171"/>
        <v>0</v>
      </c>
      <c r="Z86" s="126">
        <f t="shared" si="171"/>
        <v>0</v>
      </c>
      <c r="AA86" s="126">
        <f t="shared" si="171"/>
        <v>0</v>
      </c>
      <c r="AB86" s="126">
        <f t="shared" si="171"/>
        <v>0</v>
      </c>
      <c r="AC86" s="126">
        <f t="shared" si="171"/>
        <v>0</v>
      </c>
      <c r="AD86" s="126">
        <f t="shared" si="171"/>
        <v>0</v>
      </c>
      <c r="AE86" s="126">
        <f t="shared" si="171"/>
        <v>0</v>
      </c>
      <c r="AF86" s="126">
        <f t="shared" si="171"/>
        <v>0</v>
      </c>
      <c r="AG86" s="126">
        <f t="shared" si="171"/>
        <v>0</v>
      </c>
      <c r="AH86" s="126">
        <f t="shared" si="171"/>
        <v>0</v>
      </c>
      <c r="AI86" s="126">
        <f t="shared" si="171"/>
        <v>0</v>
      </c>
      <c r="AJ86" s="126">
        <f t="shared" si="171"/>
        <v>0</v>
      </c>
      <c r="AK86" s="126">
        <f t="shared" si="171"/>
        <v>0</v>
      </c>
      <c r="AL86" s="126">
        <f t="shared" si="171"/>
        <v>0</v>
      </c>
      <c r="AM86" s="126">
        <f t="shared" si="171"/>
        <v>0</v>
      </c>
      <c r="AN86" s="126">
        <f t="shared" si="171"/>
        <v>0</v>
      </c>
      <c r="AO86" s="126">
        <f t="shared" si="171"/>
        <v>0</v>
      </c>
      <c r="AP86" s="126">
        <f t="shared" si="171"/>
        <v>0</v>
      </c>
      <c r="AQ86" s="126">
        <f t="shared" si="171"/>
        <v>0</v>
      </c>
      <c r="AR86" s="126">
        <f t="shared" si="171"/>
        <v>0</v>
      </c>
      <c r="AS86" s="126">
        <f t="shared" si="171"/>
        <v>0</v>
      </c>
      <c r="AT86" s="126">
        <f t="shared" si="171"/>
        <v>0</v>
      </c>
      <c r="AU86" s="126">
        <f t="shared" si="171"/>
        <v>0</v>
      </c>
      <c r="AV86" s="126">
        <f t="shared" si="171"/>
        <v>0</v>
      </c>
      <c r="AW86" s="126">
        <f t="shared" si="171"/>
        <v>0</v>
      </c>
      <c r="AX86" s="126">
        <f t="shared" si="171"/>
        <v>0</v>
      </c>
      <c r="AY86" s="126">
        <f t="shared" si="171"/>
        <v>0</v>
      </c>
      <c r="AZ86" s="126">
        <f t="shared" si="171"/>
        <v>0</v>
      </c>
      <c r="BA86" s="126">
        <f t="shared" si="171"/>
        <v>0</v>
      </c>
      <c r="BB86" s="126"/>
      <c r="BC86" s="126">
        <f t="shared" ref="BC86:BQ86" si="172">SUMIFS(BC$102:BC$1048576,$A$102:$A$1048576,$E86,$C$102:$C$1048576,"OK")</f>
        <v>0</v>
      </c>
      <c r="BD86" s="126">
        <f t="shared" si="172"/>
        <v>0</v>
      </c>
      <c r="BE86" s="126">
        <f t="shared" si="172"/>
        <v>0</v>
      </c>
      <c r="BF86" s="126">
        <f t="shared" si="172"/>
        <v>0</v>
      </c>
      <c r="BG86" s="126">
        <f t="shared" si="172"/>
        <v>0</v>
      </c>
      <c r="BH86" s="126">
        <f t="shared" si="172"/>
        <v>0</v>
      </c>
      <c r="BI86" s="126">
        <f t="shared" si="172"/>
        <v>0</v>
      </c>
      <c r="BJ86" s="126">
        <f t="shared" si="172"/>
        <v>0</v>
      </c>
      <c r="BK86" s="126">
        <f t="shared" si="172"/>
        <v>0</v>
      </c>
      <c r="BL86" s="126">
        <f t="shared" si="172"/>
        <v>0</v>
      </c>
      <c r="BM86" s="126">
        <f t="shared" si="172"/>
        <v>0</v>
      </c>
      <c r="BN86" s="126">
        <f t="shared" si="172"/>
        <v>0</v>
      </c>
      <c r="BO86" s="126">
        <f t="shared" si="172"/>
        <v>0</v>
      </c>
      <c r="BP86" s="126">
        <f t="shared" si="172"/>
        <v>0</v>
      </c>
      <c r="BQ86" s="126">
        <f t="shared" si="172"/>
        <v>0</v>
      </c>
      <c r="BR86" s="126" t="e">
        <f>SUMIFS(#REF!,$A$102:$A$1048576,$E86,$C$102:$C$1048576,"OK")</f>
        <v>#REF!</v>
      </c>
      <c r="BS86" s="126">
        <f>SUMIFS(BS$102:BS$1048576,$A$102:$A$1048576,$E86,$C$102:$C$1048576,"OK")</f>
        <v>0</v>
      </c>
      <c r="BT86" s="126"/>
      <c r="BU86" s="126"/>
      <c r="BV86" s="147"/>
    </row>
    <row r="87" spans="1:74" ht="11.25" hidden="1" x14ac:dyDescent="0.2">
      <c r="A87" s="123"/>
      <c r="B87" s="123"/>
      <c r="C87" s="124"/>
      <c r="D87" s="125"/>
      <c r="E87" s="19">
        <v>11</v>
      </c>
      <c r="F87" s="17" t="s">
        <v>23</v>
      </c>
      <c r="G87" s="15" t="s">
        <v>109</v>
      </c>
      <c r="H87" s="126">
        <f t="shared" ref="H87:BA87" si="173">COUNTIFS(H$102:H$1048576,"&gt;-1000000",$C$102:$C$1048576,"OK",$A$102:$A$1048576,$E87)</f>
        <v>0</v>
      </c>
      <c r="I87" s="126">
        <f t="shared" si="173"/>
        <v>0</v>
      </c>
      <c r="J87" s="126">
        <f t="shared" si="173"/>
        <v>0</v>
      </c>
      <c r="K87" s="126">
        <f t="shared" si="173"/>
        <v>0</v>
      </c>
      <c r="L87" s="126">
        <f t="shared" si="173"/>
        <v>0</v>
      </c>
      <c r="M87" s="126">
        <f t="shared" si="173"/>
        <v>0</v>
      </c>
      <c r="N87" s="29">
        <f t="shared" si="173"/>
        <v>0</v>
      </c>
      <c r="O87" s="29">
        <f t="shared" si="173"/>
        <v>0</v>
      </c>
      <c r="P87" s="161">
        <f t="shared" si="173"/>
        <v>0</v>
      </c>
      <c r="Q87" s="126">
        <f t="shared" si="173"/>
        <v>0</v>
      </c>
      <c r="R87" s="126">
        <f t="shared" si="173"/>
        <v>0</v>
      </c>
      <c r="S87" s="126">
        <f t="shared" si="173"/>
        <v>0</v>
      </c>
      <c r="T87" s="126">
        <f t="shared" si="173"/>
        <v>0</v>
      </c>
      <c r="U87" s="126">
        <f t="shared" si="173"/>
        <v>0</v>
      </c>
      <c r="V87" s="126">
        <f t="shared" si="173"/>
        <v>0</v>
      </c>
      <c r="W87" s="126">
        <f t="shared" si="173"/>
        <v>0</v>
      </c>
      <c r="X87" s="126">
        <f t="shared" si="173"/>
        <v>0</v>
      </c>
      <c r="Y87" s="126">
        <f t="shared" si="173"/>
        <v>0</v>
      </c>
      <c r="Z87" s="126">
        <f t="shared" si="173"/>
        <v>0</v>
      </c>
      <c r="AA87" s="126">
        <f t="shared" si="173"/>
        <v>0</v>
      </c>
      <c r="AB87" s="126">
        <f t="shared" si="173"/>
        <v>0</v>
      </c>
      <c r="AC87" s="126">
        <f t="shared" si="173"/>
        <v>0</v>
      </c>
      <c r="AD87" s="126">
        <f t="shared" si="173"/>
        <v>0</v>
      </c>
      <c r="AE87" s="126">
        <f t="shared" si="173"/>
        <v>0</v>
      </c>
      <c r="AF87" s="126">
        <f t="shared" si="173"/>
        <v>0</v>
      </c>
      <c r="AG87" s="126">
        <f t="shared" si="173"/>
        <v>0</v>
      </c>
      <c r="AH87" s="126">
        <f t="shared" si="173"/>
        <v>0</v>
      </c>
      <c r="AI87" s="126">
        <f t="shared" si="173"/>
        <v>0</v>
      </c>
      <c r="AJ87" s="126">
        <f t="shared" si="173"/>
        <v>0</v>
      </c>
      <c r="AK87" s="126">
        <f t="shared" si="173"/>
        <v>0</v>
      </c>
      <c r="AL87" s="126">
        <f t="shared" si="173"/>
        <v>0</v>
      </c>
      <c r="AM87" s="126">
        <f t="shared" si="173"/>
        <v>0</v>
      </c>
      <c r="AN87" s="126">
        <f t="shared" si="173"/>
        <v>0</v>
      </c>
      <c r="AO87" s="126">
        <f t="shared" si="173"/>
        <v>0</v>
      </c>
      <c r="AP87" s="126">
        <f t="shared" si="173"/>
        <v>0</v>
      </c>
      <c r="AQ87" s="126">
        <f t="shared" si="173"/>
        <v>0</v>
      </c>
      <c r="AR87" s="126">
        <f t="shared" si="173"/>
        <v>0</v>
      </c>
      <c r="AS87" s="126">
        <f t="shared" si="173"/>
        <v>0</v>
      </c>
      <c r="AT87" s="126">
        <f t="shared" si="173"/>
        <v>0</v>
      </c>
      <c r="AU87" s="126">
        <f t="shared" si="173"/>
        <v>0</v>
      </c>
      <c r="AV87" s="126">
        <f t="shared" si="173"/>
        <v>0</v>
      </c>
      <c r="AW87" s="126">
        <f t="shared" si="173"/>
        <v>0</v>
      </c>
      <c r="AX87" s="126">
        <f t="shared" si="173"/>
        <v>0</v>
      </c>
      <c r="AY87" s="126">
        <f t="shared" si="173"/>
        <v>0</v>
      </c>
      <c r="AZ87" s="126">
        <f t="shared" si="173"/>
        <v>0</v>
      </c>
      <c r="BA87" s="126">
        <f t="shared" si="173"/>
        <v>0</v>
      </c>
      <c r="BB87" s="126"/>
      <c r="BC87" s="126">
        <f t="shared" ref="BC87:BQ87" si="174">COUNTIFS(BC$102:BC$1048576,"&gt;-1000000",$C$102:$C$1048576,"OK",$A$102:$A$1048576,$E87)</f>
        <v>0</v>
      </c>
      <c r="BD87" s="126">
        <f t="shared" si="174"/>
        <v>0</v>
      </c>
      <c r="BE87" s="126">
        <f t="shared" si="174"/>
        <v>0</v>
      </c>
      <c r="BF87" s="126">
        <f t="shared" si="174"/>
        <v>0</v>
      </c>
      <c r="BG87" s="126">
        <f t="shared" si="174"/>
        <v>0</v>
      </c>
      <c r="BH87" s="126">
        <f t="shared" si="174"/>
        <v>0</v>
      </c>
      <c r="BI87" s="126">
        <f t="shared" si="174"/>
        <v>0</v>
      </c>
      <c r="BJ87" s="126">
        <f t="shared" si="174"/>
        <v>0</v>
      </c>
      <c r="BK87" s="126">
        <f t="shared" si="174"/>
        <v>0</v>
      </c>
      <c r="BL87" s="126">
        <f t="shared" si="174"/>
        <v>0</v>
      </c>
      <c r="BM87" s="126">
        <f t="shared" si="174"/>
        <v>0</v>
      </c>
      <c r="BN87" s="126">
        <f t="shared" si="174"/>
        <v>0</v>
      </c>
      <c r="BO87" s="126">
        <f t="shared" si="174"/>
        <v>0</v>
      </c>
      <c r="BP87" s="126">
        <f t="shared" si="174"/>
        <v>0</v>
      </c>
      <c r="BQ87" s="126">
        <f t="shared" si="174"/>
        <v>0</v>
      </c>
      <c r="BR87" s="126" t="e">
        <f>COUNTIFS(#REF!,"&gt;-1000000",$C$102:$C$1048576,"OK",$A$102:$A$1048576,$E87)</f>
        <v>#REF!</v>
      </c>
      <c r="BS87" s="126">
        <f>COUNTIFS(BS$102:BS$1048576,"&gt;-1000000",$C$102:$C$1048576,"OK",$A$102:$A$1048576,$E87)</f>
        <v>0</v>
      </c>
      <c r="BT87" s="126"/>
      <c r="BU87" s="126"/>
      <c r="BV87" s="147"/>
    </row>
    <row r="88" spans="1:74" ht="11.25" hidden="1" x14ac:dyDescent="0.2">
      <c r="A88" s="123"/>
      <c r="B88" s="123"/>
      <c r="C88" s="124"/>
      <c r="D88" s="125"/>
      <c r="E88" s="19">
        <v>11</v>
      </c>
      <c r="F88" s="17" t="s">
        <v>30</v>
      </c>
      <c r="G88" s="15" t="s">
        <v>109</v>
      </c>
      <c r="H88" s="126">
        <f t="shared" ref="H88:BA88" si="175">SUMIFS($AM$102:$AM$1048576,H$102:H$1048576,"&gt;-1000000",$C$102:$C$1048576,"OK",$A$102:$A$1048576,$E88)</f>
        <v>0</v>
      </c>
      <c r="I88" s="126">
        <f t="shared" si="175"/>
        <v>0</v>
      </c>
      <c r="J88" s="126">
        <f t="shared" si="175"/>
        <v>0</v>
      </c>
      <c r="K88" s="126">
        <f t="shared" si="175"/>
        <v>0</v>
      </c>
      <c r="L88" s="126">
        <f t="shared" si="175"/>
        <v>0</v>
      </c>
      <c r="M88" s="126">
        <f t="shared" si="175"/>
        <v>0</v>
      </c>
      <c r="N88" s="29">
        <f t="shared" si="175"/>
        <v>0</v>
      </c>
      <c r="O88" s="29">
        <f t="shared" si="175"/>
        <v>0</v>
      </c>
      <c r="P88" s="161">
        <f t="shared" si="175"/>
        <v>0</v>
      </c>
      <c r="Q88" s="126">
        <f t="shared" si="175"/>
        <v>0</v>
      </c>
      <c r="R88" s="126">
        <f t="shared" si="175"/>
        <v>0</v>
      </c>
      <c r="S88" s="126">
        <f t="shared" si="175"/>
        <v>0</v>
      </c>
      <c r="T88" s="126">
        <f t="shared" si="175"/>
        <v>0</v>
      </c>
      <c r="U88" s="126">
        <f t="shared" si="175"/>
        <v>0</v>
      </c>
      <c r="V88" s="126">
        <f t="shared" si="175"/>
        <v>0</v>
      </c>
      <c r="W88" s="126">
        <f t="shared" si="175"/>
        <v>0</v>
      </c>
      <c r="X88" s="126">
        <f t="shared" si="175"/>
        <v>0</v>
      </c>
      <c r="Y88" s="126">
        <f t="shared" si="175"/>
        <v>0</v>
      </c>
      <c r="Z88" s="126">
        <f t="shared" si="175"/>
        <v>0</v>
      </c>
      <c r="AA88" s="126">
        <f t="shared" si="175"/>
        <v>0</v>
      </c>
      <c r="AB88" s="126">
        <f t="shared" si="175"/>
        <v>0</v>
      </c>
      <c r="AC88" s="126">
        <f t="shared" si="175"/>
        <v>0</v>
      </c>
      <c r="AD88" s="126">
        <f t="shared" si="175"/>
        <v>0</v>
      </c>
      <c r="AE88" s="126">
        <f t="shared" si="175"/>
        <v>0</v>
      </c>
      <c r="AF88" s="126">
        <f t="shared" si="175"/>
        <v>0</v>
      </c>
      <c r="AG88" s="126">
        <f t="shared" si="175"/>
        <v>0</v>
      </c>
      <c r="AH88" s="126">
        <f t="shared" si="175"/>
        <v>0</v>
      </c>
      <c r="AI88" s="126">
        <f t="shared" si="175"/>
        <v>0</v>
      </c>
      <c r="AJ88" s="126">
        <f t="shared" si="175"/>
        <v>0</v>
      </c>
      <c r="AK88" s="126">
        <f t="shared" si="175"/>
        <v>0</v>
      </c>
      <c r="AL88" s="126">
        <f t="shared" si="175"/>
        <v>0</v>
      </c>
      <c r="AM88" s="126">
        <f t="shared" si="175"/>
        <v>0</v>
      </c>
      <c r="AN88" s="126">
        <f t="shared" si="175"/>
        <v>0</v>
      </c>
      <c r="AO88" s="126">
        <f t="shared" si="175"/>
        <v>0</v>
      </c>
      <c r="AP88" s="126">
        <f t="shared" si="175"/>
        <v>0</v>
      </c>
      <c r="AQ88" s="126">
        <f t="shared" si="175"/>
        <v>0</v>
      </c>
      <c r="AR88" s="126">
        <f t="shared" si="175"/>
        <v>0</v>
      </c>
      <c r="AS88" s="126">
        <f t="shared" si="175"/>
        <v>0</v>
      </c>
      <c r="AT88" s="126">
        <f t="shared" si="175"/>
        <v>0</v>
      </c>
      <c r="AU88" s="126">
        <f t="shared" si="175"/>
        <v>0</v>
      </c>
      <c r="AV88" s="126">
        <f t="shared" si="175"/>
        <v>0</v>
      </c>
      <c r="AW88" s="126">
        <f t="shared" si="175"/>
        <v>0</v>
      </c>
      <c r="AX88" s="126">
        <f t="shared" si="175"/>
        <v>0</v>
      </c>
      <c r="AY88" s="126">
        <f t="shared" si="175"/>
        <v>0</v>
      </c>
      <c r="AZ88" s="126">
        <f t="shared" si="175"/>
        <v>0</v>
      </c>
      <c r="BA88" s="126">
        <f t="shared" si="175"/>
        <v>0</v>
      </c>
      <c r="BB88" s="126"/>
      <c r="BC88" s="126">
        <f t="shared" ref="BC88:BQ88" si="176">SUMIFS($AM$102:$AM$1048576,BC$102:BC$1048576,"&gt;-1000000",$C$102:$C$1048576,"OK",$A$102:$A$1048576,$E88)</f>
        <v>0</v>
      </c>
      <c r="BD88" s="126">
        <f t="shared" si="176"/>
        <v>0</v>
      </c>
      <c r="BE88" s="126">
        <f t="shared" si="176"/>
        <v>0</v>
      </c>
      <c r="BF88" s="126">
        <f t="shared" si="176"/>
        <v>0</v>
      </c>
      <c r="BG88" s="126">
        <f t="shared" si="176"/>
        <v>0</v>
      </c>
      <c r="BH88" s="126">
        <f t="shared" si="176"/>
        <v>0</v>
      </c>
      <c r="BI88" s="126">
        <f t="shared" si="176"/>
        <v>0</v>
      </c>
      <c r="BJ88" s="126">
        <f t="shared" si="176"/>
        <v>0</v>
      </c>
      <c r="BK88" s="126">
        <f t="shared" si="176"/>
        <v>0</v>
      </c>
      <c r="BL88" s="126">
        <f t="shared" si="176"/>
        <v>0</v>
      </c>
      <c r="BM88" s="126">
        <f t="shared" si="176"/>
        <v>0</v>
      </c>
      <c r="BN88" s="126">
        <f t="shared" si="176"/>
        <v>0</v>
      </c>
      <c r="BO88" s="126">
        <f t="shared" si="176"/>
        <v>0</v>
      </c>
      <c r="BP88" s="126">
        <f t="shared" si="176"/>
        <v>0</v>
      </c>
      <c r="BQ88" s="126">
        <f t="shared" si="176"/>
        <v>0</v>
      </c>
      <c r="BR88" s="126" t="e">
        <f>SUMIFS($AM$102:$AM$1048576,#REF!,"&gt;-1000000",$C$102:$C$1048576,"OK",$A$102:$A$1048576,$E88)</f>
        <v>#REF!</v>
      </c>
      <c r="BS88" s="126">
        <f>SUMIFS($AM$102:$AM$1048576,BS$102:BS$1048576,"&gt;-1000000",$C$102:$C$1048576,"OK",$A$102:$A$1048576,$E88)</f>
        <v>0</v>
      </c>
      <c r="BT88" s="126"/>
      <c r="BU88" s="126"/>
      <c r="BV88" s="147"/>
    </row>
    <row r="89" spans="1:74" ht="11.25" hidden="1" x14ac:dyDescent="0.2">
      <c r="A89" s="123"/>
      <c r="B89" s="123"/>
      <c r="C89" s="124"/>
      <c r="D89" s="125"/>
      <c r="E89" s="19">
        <v>11</v>
      </c>
      <c r="F89" s="17" t="s">
        <v>32</v>
      </c>
      <c r="G89" s="15" t="s">
        <v>109</v>
      </c>
      <c r="H89" s="126">
        <f t="shared" ref="H89:BA89" si="177">SUMIFS($AP$102:$AP$1048576,H$102:H$1048576,"&gt;-1000000",$C$102:$C$1048576,"OK",$A$102:$A$1048576,$E89)</f>
        <v>0</v>
      </c>
      <c r="I89" s="126">
        <f t="shared" si="177"/>
        <v>0</v>
      </c>
      <c r="J89" s="126">
        <f t="shared" si="177"/>
        <v>0</v>
      </c>
      <c r="K89" s="126">
        <f t="shared" si="177"/>
        <v>0</v>
      </c>
      <c r="L89" s="126">
        <f t="shared" si="177"/>
        <v>0</v>
      </c>
      <c r="M89" s="126">
        <f t="shared" si="177"/>
        <v>0</v>
      </c>
      <c r="N89" s="29">
        <f t="shared" si="177"/>
        <v>0</v>
      </c>
      <c r="O89" s="29">
        <f t="shared" si="177"/>
        <v>0</v>
      </c>
      <c r="P89" s="161">
        <f t="shared" si="177"/>
        <v>0</v>
      </c>
      <c r="Q89" s="126">
        <f t="shared" si="177"/>
        <v>0</v>
      </c>
      <c r="R89" s="126">
        <f t="shared" si="177"/>
        <v>0</v>
      </c>
      <c r="S89" s="126">
        <f t="shared" si="177"/>
        <v>0</v>
      </c>
      <c r="T89" s="126">
        <f t="shared" si="177"/>
        <v>0</v>
      </c>
      <c r="U89" s="126">
        <f t="shared" si="177"/>
        <v>0</v>
      </c>
      <c r="V89" s="126">
        <f t="shared" si="177"/>
        <v>0</v>
      </c>
      <c r="W89" s="126">
        <f t="shared" si="177"/>
        <v>0</v>
      </c>
      <c r="X89" s="126">
        <f t="shared" si="177"/>
        <v>0</v>
      </c>
      <c r="Y89" s="126">
        <f t="shared" si="177"/>
        <v>0</v>
      </c>
      <c r="Z89" s="126">
        <f t="shared" si="177"/>
        <v>0</v>
      </c>
      <c r="AA89" s="126">
        <f t="shared" si="177"/>
        <v>0</v>
      </c>
      <c r="AB89" s="126">
        <f t="shared" si="177"/>
        <v>0</v>
      </c>
      <c r="AC89" s="126">
        <f t="shared" si="177"/>
        <v>0</v>
      </c>
      <c r="AD89" s="126">
        <f t="shared" si="177"/>
        <v>0</v>
      </c>
      <c r="AE89" s="126">
        <f t="shared" si="177"/>
        <v>0</v>
      </c>
      <c r="AF89" s="126">
        <f t="shared" si="177"/>
        <v>0</v>
      </c>
      <c r="AG89" s="126">
        <f t="shared" si="177"/>
        <v>0</v>
      </c>
      <c r="AH89" s="126">
        <f t="shared" si="177"/>
        <v>0</v>
      </c>
      <c r="AI89" s="126">
        <f t="shared" si="177"/>
        <v>0</v>
      </c>
      <c r="AJ89" s="126">
        <f t="shared" si="177"/>
        <v>0</v>
      </c>
      <c r="AK89" s="126">
        <f t="shared" si="177"/>
        <v>0</v>
      </c>
      <c r="AL89" s="126">
        <f t="shared" si="177"/>
        <v>0</v>
      </c>
      <c r="AM89" s="126">
        <f t="shared" si="177"/>
        <v>0</v>
      </c>
      <c r="AN89" s="126">
        <f t="shared" si="177"/>
        <v>0</v>
      </c>
      <c r="AO89" s="126">
        <f t="shared" si="177"/>
        <v>0</v>
      </c>
      <c r="AP89" s="126">
        <f t="shared" si="177"/>
        <v>0</v>
      </c>
      <c r="AQ89" s="126">
        <f t="shared" si="177"/>
        <v>0</v>
      </c>
      <c r="AR89" s="126">
        <f t="shared" si="177"/>
        <v>0</v>
      </c>
      <c r="AS89" s="126">
        <f t="shared" si="177"/>
        <v>0</v>
      </c>
      <c r="AT89" s="126">
        <f t="shared" si="177"/>
        <v>0</v>
      </c>
      <c r="AU89" s="126">
        <f t="shared" si="177"/>
        <v>0</v>
      </c>
      <c r="AV89" s="126">
        <f t="shared" si="177"/>
        <v>0</v>
      </c>
      <c r="AW89" s="126">
        <f t="shared" si="177"/>
        <v>0</v>
      </c>
      <c r="AX89" s="126">
        <f t="shared" si="177"/>
        <v>0</v>
      </c>
      <c r="AY89" s="126">
        <f t="shared" si="177"/>
        <v>0</v>
      </c>
      <c r="AZ89" s="126">
        <f t="shared" si="177"/>
        <v>0</v>
      </c>
      <c r="BA89" s="126">
        <f t="shared" si="177"/>
        <v>0</v>
      </c>
      <c r="BB89" s="126"/>
      <c r="BC89" s="126">
        <f t="shared" ref="BC89:BQ89" si="178">SUMIFS($AP$102:$AP$1048576,BC$102:BC$1048576,"&gt;-1000000",$C$102:$C$1048576,"OK",$A$102:$A$1048576,$E89)</f>
        <v>0</v>
      </c>
      <c r="BD89" s="126">
        <f t="shared" si="178"/>
        <v>0</v>
      </c>
      <c r="BE89" s="126">
        <f t="shared" si="178"/>
        <v>0</v>
      </c>
      <c r="BF89" s="126">
        <f t="shared" si="178"/>
        <v>0</v>
      </c>
      <c r="BG89" s="126">
        <f t="shared" si="178"/>
        <v>0</v>
      </c>
      <c r="BH89" s="126">
        <f t="shared" si="178"/>
        <v>0</v>
      </c>
      <c r="BI89" s="126">
        <f t="shared" si="178"/>
        <v>0</v>
      </c>
      <c r="BJ89" s="126">
        <f t="shared" si="178"/>
        <v>0</v>
      </c>
      <c r="BK89" s="126">
        <f t="shared" si="178"/>
        <v>0</v>
      </c>
      <c r="BL89" s="126">
        <f t="shared" si="178"/>
        <v>0</v>
      </c>
      <c r="BM89" s="126">
        <f t="shared" si="178"/>
        <v>0</v>
      </c>
      <c r="BN89" s="126">
        <f t="shared" si="178"/>
        <v>0</v>
      </c>
      <c r="BO89" s="126">
        <f t="shared" si="178"/>
        <v>0</v>
      </c>
      <c r="BP89" s="126">
        <f t="shared" si="178"/>
        <v>0</v>
      </c>
      <c r="BQ89" s="126">
        <f t="shared" si="178"/>
        <v>0</v>
      </c>
      <c r="BR89" s="126" t="e">
        <f>SUMIFS($AP$102:$AP$1048576,#REF!,"&gt;-1000000",$C$102:$C$1048576,"OK",$A$102:$A$1048576,$E89)</f>
        <v>#REF!</v>
      </c>
      <c r="BS89" s="126">
        <f>SUMIFS($AP$102:$AP$1048576,BS$102:BS$1048576,"&gt;-1000000",$C$102:$C$1048576,"OK",$A$102:$A$1048576,$E89)</f>
        <v>0</v>
      </c>
      <c r="BT89" s="126"/>
      <c r="BU89" s="126"/>
      <c r="BV89" s="147"/>
    </row>
    <row r="90" spans="1:74" ht="11.25" hidden="1" x14ac:dyDescent="0.2">
      <c r="A90" s="123"/>
      <c r="B90" s="123"/>
      <c r="C90" s="124"/>
      <c r="D90" s="125"/>
      <c r="E90" s="18">
        <v>12</v>
      </c>
      <c r="F90" s="16" t="s">
        <v>28</v>
      </c>
      <c r="G90" s="14" t="s">
        <v>109</v>
      </c>
      <c r="H90" s="21">
        <f t="shared" ref="H90:BA90" si="179">SUMIFS(H$102:H$1048576,$A$102:$A$1048576,$E90)</f>
        <v>0</v>
      </c>
      <c r="I90" s="21">
        <f t="shared" si="179"/>
        <v>0</v>
      </c>
      <c r="J90" s="21">
        <f t="shared" si="179"/>
        <v>0</v>
      </c>
      <c r="K90" s="21">
        <f t="shared" si="179"/>
        <v>0</v>
      </c>
      <c r="L90" s="21">
        <f t="shared" si="179"/>
        <v>0</v>
      </c>
      <c r="M90" s="21">
        <f t="shared" si="179"/>
        <v>0</v>
      </c>
      <c r="N90" s="29">
        <f t="shared" si="179"/>
        <v>0</v>
      </c>
      <c r="O90" s="29">
        <f t="shared" si="179"/>
        <v>0</v>
      </c>
      <c r="P90" s="160">
        <f t="shared" si="179"/>
        <v>0</v>
      </c>
      <c r="Q90" s="21">
        <f t="shared" si="179"/>
        <v>0</v>
      </c>
      <c r="R90" s="21">
        <f t="shared" si="179"/>
        <v>0</v>
      </c>
      <c r="S90" s="21">
        <f t="shared" si="179"/>
        <v>0</v>
      </c>
      <c r="T90" s="21">
        <f t="shared" si="179"/>
        <v>0</v>
      </c>
      <c r="U90" s="21">
        <f t="shared" si="179"/>
        <v>0</v>
      </c>
      <c r="V90" s="21">
        <f t="shared" si="179"/>
        <v>0</v>
      </c>
      <c r="W90" s="21">
        <f t="shared" si="179"/>
        <v>0</v>
      </c>
      <c r="X90" s="21">
        <f t="shared" si="179"/>
        <v>0</v>
      </c>
      <c r="Y90" s="21">
        <f t="shared" si="179"/>
        <v>0</v>
      </c>
      <c r="Z90" s="21">
        <f t="shared" si="179"/>
        <v>0</v>
      </c>
      <c r="AA90" s="21">
        <f t="shared" si="179"/>
        <v>0</v>
      </c>
      <c r="AB90" s="21">
        <f t="shared" si="179"/>
        <v>0</v>
      </c>
      <c r="AC90" s="21">
        <f t="shared" si="179"/>
        <v>0</v>
      </c>
      <c r="AD90" s="21">
        <f t="shared" si="179"/>
        <v>0</v>
      </c>
      <c r="AE90" s="21">
        <f t="shared" si="179"/>
        <v>0</v>
      </c>
      <c r="AF90" s="21">
        <f t="shared" si="179"/>
        <v>0</v>
      </c>
      <c r="AG90" s="21">
        <f t="shared" si="179"/>
        <v>0</v>
      </c>
      <c r="AH90" s="21">
        <f t="shared" si="179"/>
        <v>0</v>
      </c>
      <c r="AI90" s="21">
        <f t="shared" si="179"/>
        <v>0</v>
      </c>
      <c r="AJ90" s="21">
        <f t="shared" si="179"/>
        <v>0</v>
      </c>
      <c r="AK90" s="21">
        <f t="shared" si="179"/>
        <v>0</v>
      </c>
      <c r="AL90" s="21">
        <f t="shared" si="179"/>
        <v>0</v>
      </c>
      <c r="AM90" s="21">
        <f t="shared" si="179"/>
        <v>0</v>
      </c>
      <c r="AN90" s="21">
        <f t="shared" si="179"/>
        <v>0</v>
      </c>
      <c r="AO90" s="21">
        <f t="shared" si="179"/>
        <v>0</v>
      </c>
      <c r="AP90" s="21">
        <f t="shared" si="179"/>
        <v>0</v>
      </c>
      <c r="AQ90" s="21">
        <f t="shared" si="179"/>
        <v>0</v>
      </c>
      <c r="AR90" s="21">
        <f t="shared" si="179"/>
        <v>0</v>
      </c>
      <c r="AS90" s="21">
        <f t="shared" si="179"/>
        <v>0</v>
      </c>
      <c r="AT90" s="21">
        <f t="shared" si="179"/>
        <v>0</v>
      </c>
      <c r="AU90" s="21">
        <f t="shared" si="179"/>
        <v>0</v>
      </c>
      <c r="AV90" s="21">
        <f t="shared" si="179"/>
        <v>0</v>
      </c>
      <c r="AW90" s="21">
        <f t="shared" si="179"/>
        <v>0</v>
      </c>
      <c r="AX90" s="21">
        <f t="shared" si="179"/>
        <v>0</v>
      </c>
      <c r="AY90" s="21">
        <f t="shared" si="179"/>
        <v>0</v>
      </c>
      <c r="AZ90" s="21">
        <f t="shared" si="179"/>
        <v>0</v>
      </c>
      <c r="BA90" s="21">
        <f t="shared" si="179"/>
        <v>0</v>
      </c>
      <c r="BB90" s="21"/>
      <c r="BC90" s="21">
        <f t="shared" ref="BC90:BQ90" si="180">SUMIFS(BC$102:BC$1048576,$A$102:$A$1048576,$E90)</f>
        <v>0</v>
      </c>
      <c r="BD90" s="21">
        <f t="shared" si="180"/>
        <v>0</v>
      </c>
      <c r="BE90" s="21">
        <f t="shared" si="180"/>
        <v>0</v>
      </c>
      <c r="BF90" s="21">
        <f t="shared" si="180"/>
        <v>0</v>
      </c>
      <c r="BG90" s="21">
        <f t="shared" si="180"/>
        <v>0</v>
      </c>
      <c r="BH90" s="21">
        <f t="shared" si="180"/>
        <v>0</v>
      </c>
      <c r="BI90" s="21">
        <f t="shared" si="180"/>
        <v>0</v>
      </c>
      <c r="BJ90" s="21">
        <f t="shared" si="180"/>
        <v>0</v>
      </c>
      <c r="BK90" s="21">
        <f t="shared" si="180"/>
        <v>0</v>
      </c>
      <c r="BL90" s="21">
        <f t="shared" si="180"/>
        <v>0</v>
      </c>
      <c r="BM90" s="21">
        <f t="shared" si="180"/>
        <v>0</v>
      </c>
      <c r="BN90" s="21">
        <f t="shared" si="180"/>
        <v>0</v>
      </c>
      <c r="BO90" s="21">
        <f t="shared" si="180"/>
        <v>0</v>
      </c>
      <c r="BP90" s="21">
        <f t="shared" si="180"/>
        <v>0</v>
      </c>
      <c r="BQ90" s="21">
        <f t="shared" si="180"/>
        <v>0</v>
      </c>
      <c r="BR90" s="21" t="e">
        <f>SUMIFS(#REF!,$A$102:$A$1048576,$E90)</f>
        <v>#REF!</v>
      </c>
      <c r="BS90" s="21">
        <f>SUMIFS(BS$102:BS$1048576,$A$102:$A$1048576,$E90)</f>
        <v>0</v>
      </c>
      <c r="BT90" s="21"/>
      <c r="BU90" s="21"/>
      <c r="BV90" s="145"/>
    </row>
    <row r="91" spans="1:74" ht="11.25" hidden="1" x14ac:dyDescent="0.2">
      <c r="A91" s="123"/>
      <c r="B91" s="123"/>
      <c r="C91" s="124"/>
      <c r="D91" s="125"/>
      <c r="E91" s="18">
        <v>12</v>
      </c>
      <c r="F91" s="16" t="s">
        <v>25</v>
      </c>
      <c r="G91" s="14" t="s">
        <v>109</v>
      </c>
      <c r="H91" s="14">
        <f t="shared" ref="H91:BA91" si="181">COUNTIFS(H$102:H$1048576,"&gt;-1000000",$A$102:$A$1048576,$E91)</f>
        <v>0</v>
      </c>
      <c r="I91" s="14">
        <f t="shared" si="181"/>
        <v>0</v>
      </c>
      <c r="J91" s="14">
        <f t="shared" si="181"/>
        <v>0</v>
      </c>
      <c r="K91" s="14">
        <f t="shared" si="181"/>
        <v>0</v>
      </c>
      <c r="L91" s="14">
        <f t="shared" si="181"/>
        <v>0</v>
      </c>
      <c r="M91" s="14">
        <f t="shared" si="181"/>
        <v>0</v>
      </c>
      <c r="N91" s="29">
        <f t="shared" si="181"/>
        <v>0</v>
      </c>
      <c r="O91" s="29">
        <f t="shared" si="181"/>
        <v>0</v>
      </c>
      <c r="P91" s="160">
        <f t="shared" si="181"/>
        <v>0</v>
      </c>
      <c r="Q91" s="14">
        <f t="shared" si="181"/>
        <v>0</v>
      </c>
      <c r="R91" s="14">
        <f t="shared" si="181"/>
        <v>0</v>
      </c>
      <c r="S91" s="14">
        <f t="shared" si="181"/>
        <v>0</v>
      </c>
      <c r="T91" s="14">
        <f t="shared" si="181"/>
        <v>0</v>
      </c>
      <c r="U91" s="14">
        <f t="shared" si="181"/>
        <v>0</v>
      </c>
      <c r="V91" s="14">
        <f t="shared" si="181"/>
        <v>0</v>
      </c>
      <c r="W91" s="14">
        <f t="shared" si="181"/>
        <v>0</v>
      </c>
      <c r="X91" s="14">
        <f t="shared" si="181"/>
        <v>0</v>
      </c>
      <c r="Y91" s="14">
        <f t="shared" si="181"/>
        <v>0</v>
      </c>
      <c r="Z91" s="14">
        <f t="shared" si="181"/>
        <v>0</v>
      </c>
      <c r="AA91" s="14">
        <f t="shared" si="181"/>
        <v>0</v>
      </c>
      <c r="AB91" s="14">
        <f t="shared" si="181"/>
        <v>0</v>
      </c>
      <c r="AC91" s="14">
        <f t="shared" si="181"/>
        <v>0</v>
      </c>
      <c r="AD91" s="14">
        <f t="shared" si="181"/>
        <v>0</v>
      </c>
      <c r="AE91" s="14">
        <f t="shared" si="181"/>
        <v>0</v>
      </c>
      <c r="AF91" s="14">
        <f t="shared" si="181"/>
        <v>0</v>
      </c>
      <c r="AG91" s="14">
        <f t="shared" si="181"/>
        <v>0</v>
      </c>
      <c r="AH91" s="14">
        <f t="shared" si="181"/>
        <v>0</v>
      </c>
      <c r="AI91" s="14">
        <f t="shared" si="181"/>
        <v>0</v>
      </c>
      <c r="AJ91" s="14">
        <f t="shared" si="181"/>
        <v>0</v>
      </c>
      <c r="AK91" s="14">
        <f t="shared" si="181"/>
        <v>0</v>
      </c>
      <c r="AL91" s="14">
        <f t="shared" si="181"/>
        <v>0</v>
      </c>
      <c r="AM91" s="14">
        <f t="shared" si="181"/>
        <v>0</v>
      </c>
      <c r="AN91" s="14">
        <f t="shared" si="181"/>
        <v>0</v>
      </c>
      <c r="AO91" s="14">
        <f t="shared" si="181"/>
        <v>0</v>
      </c>
      <c r="AP91" s="14">
        <f t="shared" si="181"/>
        <v>0</v>
      </c>
      <c r="AQ91" s="14">
        <f t="shared" si="181"/>
        <v>0</v>
      </c>
      <c r="AR91" s="14">
        <f t="shared" si="181"/>
        <v>0</v>
      </c>
      <c r="AS91" s="14">
        <f t="shared" si="181"/>
        <v>0</v>
      </c>
      <c r="AT91" s="14">
        <f t="shared" si="181"/>
        <v>0</v>
      </c>
      <c r="AU91" s="14">
        <f t="shared" si="181"/>
        <v>0</v>
      </c>
      <c r="AV91" s="14">
        <f t="shared" si="181"/>
        <v>0</v>
      </c>
      <c r="AW91" s="14">
        <f t="shared" si="181"/>
        <v>0</v>
      </c>
      <c r="AX91" s="14">
        <f t="shared" si="181"/>
        <v>0</v>
      </c>
      <c r="AY91" s="14">
        <f t="shared" si="181"/>
        <v>0</v>
      </c>
      <c r="AZ91" s="14">
        <f t="shared" si="181"/>
        <v>0</v>
      </c>
      <c r="BA91" s="14">
        <f t="shared" si="181"/>
        <v>0</v>
      </c>
      <c r="BB91" s="14"/>
      <c r="BC91" s="14">
        <f t="shared" ref="BC91:BQ91" si="182">COUNTIFS(BC$102:BC$1048576,"&gt;-1000000",$A$102:$A$1048576,$E91)</f>
        <v>0</v>
      </c>
      <c r="BD91" s="14">
        <f t="shared" si="182"/>
        <v>0</v>
      </c>
      <c r="BE91" s="14">
        <f t="shared" si="182"/>
        <v>0</v>
      </c>
      <c r="BF91" s="14">
        <f t="shared" si="182"/>
        <v>0</v>
      </c>
      <c r="BG91" s="14">
        <f t="shared" si="182"/>
        <v>0</v>
      </c>
      <c r="BH91" s="14">
        <f t="shared" si="182"/>
        <v>0</v>
      </c>
      <c r="BI91" s="14">
        <f t="shared" si="182"/>
        <v>0</v>
      </c>
      <c r="BJ91" s="14">
        <f t="shared" si="182"/>
        <v>0</v>
      </c>
      <c r="BK91" s="14">
        <f t="shared" si="182"/>
        <v>0</v>
      </c>
      <c r="BL91" s="14">
        <f t="shared" si="182"/>
        <v>0</v>
      </c>
      <c r="BM91" s="14">
        <f t="shared" si="182"/>
        <v>0</v>
      </c>
      <c r="BN91" s="14">
        <f t="shared" si="182"/>
        <v>0</v>
      </c>
      <c r="BO91" s="14">
        <f t="shared" si="182"/>
        <v>0</v>
      </c>
      <c r="BP91" s="14">
        <f t="shared" si="182"/>
        <v>0</v>
      </c>
      <c r="BQ91" s="14">
        <f t="shared" si="182"/>
        <v>0</v>
      </c>
      <c r="BR91" s="14" t="e">
        <f>COUNTIFS(#REF!,"&gt;-1000000",$A$102:$A$1048576,$E91)</f>
        <v>#REF!</v>
      </c>
      <c r="BS91" s="14">
        <f>COUNTIFS(BS$102:BS$1048576,"&gt;-1000000",$A$102:$A$1048576,$E91)</f>
        <v>0</v>
      </c>
      <c r="BT91" s="14"/>
      <c r="BU91" s="14"/>
      <c r="BV91" s="146"/>
    </row>
    <row r="92" spans="1:74" ht="11.25" hidden="1" x14ac:dyDescent="0.2">
      <c r="A92" s="123"/>
      <c r="B92" s="123"/>
      <c r="C92" s="124"/>
      <c r="D92" s="125"/>
      <c r="E92" s="18">
        <v>12</v>
      </c>
      <c r="F92" s="16" t="s">
        <v>24</v>
      </c>
      <c r="G92" s="14" t="s">
        <v>109</v>
      </c>
      <c r="H92" s="14">
        <f t="shared" ref="H92:BA92" si="183">SUMIFS($AM$102:$AM$1048576,H$102:H$1048576,"&gt;-1000000",$A$102:$A$1048576,$E92)</f>
        <v>0</v>
      </c>
      <c r="I92" s="14">
        <f t="shared" si="183"/>
        <v>0</v>
      </c>
      <c r="J92" s="14">
        <f t="shared" si="183"/>
        <v>0</v>
      </c>
      <c r="K92" s="14">
        <f t="shared" si="183"/>
        <v>0</v>
      </c>
      <c r="L92" s="14">
        <f t="shared" si="183"/>
        <v>0</v>
      </c>
      <c r="M92" s="14">
        <f t="shared" si="183"/>
        <v>0</v>
      </c>
      <c r="N92" s="29">
        <f t="shared" si="183"/>
        <v>0</v>
      </c>
      <c r="O92" s="29">
        <f t="shared" si="183"/>
        <v>0</v>
      </c>
      <c r="P92" s="160">
        <f t="shared" si="183"/>
        <v>0</v>
      </c>
      <c r="Q92" s="14">
        <f t="shared" si="183"/>
        <v>0</v>
      </c>
      <c r="R92" s="14">
        <f t="shared" si="183"/>
        <v>0</v>
      </c>
      <c r="S92" s="14">
        <f t="shared" si="183"/>
        <v>0</v>
      </c>
      <c r="T92" s="14">
        <f t="shared" si="183"/>
        <v>0</v>
      </c>
      <c r="U92" s="14">
        <f t="shared" si="183"/>
        <v>0</v>
      </c>
      <c r="V92" s="14">
        <f t="shared" si="183"/>
        <v>0</v>
      </c>
      <c r="W92" s="14">
        <f t="shared" si="183"/>
        <v>0</v>
      </c>
      <c r="X92" s="14">
        <f t="shared" si="183"/>
        <v>0</v>
      </c>
      <c r="Y92" s="14">
        <f t="shared" si="183"/>
        <v>0</v>
      </c>
      <c r="Z92" s="14">
        <f t="shared" si="183"/>
        <v>0</v>
      </c>
      <c r="AA92" s="14">
        <f t="shared" si="183"/>
        <v>0</v>
      </c>
      <c r="AB92" s="14">
        <f t="shared" si="183"/>
        <v>0</v>
      </c>
      <c r="AC92" s="14">
        <f t="shared" si="183"/>
        <v>0</v>
      </c>
      <c r="AD92" s="14">
        <f t="shared" si="183"/>
        <v>0</v>
      </c>
      <c r="AE92" s="14">
        <f t="shared" si="183"/>
        <v>0</v>
      </c>
      <c r="AF92" s="14">
        <f t="shared" si="183"/>
        <v>0</v>
      </c>
      <c r="AG92" s="14">
        <f t="shared" si="183"/>
        <v>0</v>
      </c>
      <c r="AH92" s="14">
        <f t="shared" si="183"/>
        <v>0</v>
      </c>
      <c r="AI92" s="14">
        <f t="shared" si="183"/>
        <v>0</v>
      </c>
      <c r="AJ92" s="14">
        <f t="shared" si="183"/>
        <v>0</v>
      </c>
      <c r="AK92" s="14">
        <f t="shared" si="183"/>
        <v>0</v>
      </c>
      <c r="AL92" s="14">
        <f t="shared" si="183"/>
        <v>0</v>
      </c>
      <c r="AM92" s="14">
        <f t="shared" si="183"/>
        <v>0</v>
      </c>
      <c r="AN92" s="14">
        <f t="shared" si="183"/>
        <v>0</v>
      </c>
      <c r="AO92" s="14">
        <f t="shared" si="183"/>
        <v>0</v>
      </c>
      <c r="AP92" s="14">
        <f t="shared" si="183"/>
        <v>0</v>
      </c>
      <c r="AQ92" s="14">
        <f t="shared" si="183"/>
        <v>0</v>
      </c>
      <c r="AR92" s="14">
        <f t="shared" si="183"/>
        <v>0</v>
      </c>
      <c r="AS92" s="14">
        <f t="shared" si="183"/>
        <v>0</v>
      </c>
      <c r="AT92" s="14">
        <f t="shared" si="183"/>
        <v>0</v>
      </c>
      <c r="AU92" s="14">
        <f t="shared" si="183"/>
        <v>0</v>
      </c>
      <c r="AV92" s="14">
        <f t="shared" si="183"/>
        <v>0</v>
      </c>
      <c r="AW92" s="14">
        <f t="shared" si="183"/>
        <v>0</v>
      </c>
      <c r="AX92" s="14">
        <f t="shared" si="183"/>
        <v>0</v>
      </c>
      <c r="AY92" s="14">
        <f t="shared" si="183"/>
        <v>0</v>
      </c>
      <c r="AZ92" s="14">
        <f t="shared" si="183"/>
        <v>0</v>
      </c>
      <c r="BA92" s="14">
        <f t="shared" si="183"/>
        <v>0</v>
      </c>
      <c r="BB92" s="14"/>
      <c r="BC92" s="14">
        <f t="shared" ref="BC92:BQ92" si="184">SUMIFS($AM$102:$AM$1048576,BC$102:BC$1048576,"&gt;-1000000",$A$102:$A$1048576,$E92)</f>
        <v>0</v>
      </c>
      <c r="BD92" s="14">
        <f t="shared" si="184"/>
        <v>0</v>
      </c>
      <c r="BE92" s="14">
        <f t="shared" si="184"/>
        <v>0</v>
      </c>
      <c r="BF92" s="14">
        <f t="shared" si="184"/>
        <v>0</v>
      </c>
      <c r="BG92" s="14">
        <f t="shared" si="184"/>
        <v>0</v>
      </c>
      <c r="BH92" s="14">
        <f t="shared" si="184"/>
        <v>0</v>
      </c>
      <c r="BI92" s="14">
        <f t="shared" si="184"/>
        <v>0</v>
      </c>
      <c r="BJ92" s="14">
        <f t="shared" si="184"/>
        <v>0</v>
      </c>
      <c r="BK92" s="14">
        <f t="shared" si="184"/>
        <v>0</v>
      </c>
      <c r="BL92" s="14">
        <f t="shared" si="184"/>
        <v>0</v>
      </c>
      <c r="BM92" s="14">
        <f t="shared" si="184"/>
        <v>0</v>
      </c>
      <c r="BN92" s="14">
        <f t="shared" si="184"/>
        <v>0</v>
      </c>
      <c r="BO92" s="14">
        <f t="shared" si="184"/>
        <v>0</v>
      </c>
      <c r="BP92" s="14">
        <f t="shared" si="184"/>
        <v>0</v>
      </c>
      <c r="BQ92" s="14">
        <f t="shared" si="184"/>
        <v>0</v>
      </c>
      <c r="BR92" s="14" t="e">
        <f>SUMIFS($AM$102:$AM$1048576,#REF!,"&gt;-1000000",$A$102:$A$1048576,$E92)</f>
        <v>#REF!</v>
      </c>
      <c r="BS92" s="14">
        <f>SUMIFS($AM$102:$AM$1048576,BS$102:BS$1048576,"&gt;-1000000",$A$102:$A$1048576,$E92)</f>
        <v>0</v>
      </c>
      <c r="BT92" s="14"/>
      <c r="BU92" s="14"/>
      <c r="BV92" s="146"/>
    </row>
    <row r="93" spans="1:74" ht="11.25" hidden="1" x14ac:dyDescent="0.2">
      <c r="A93" s="123"/>
      <c r="B93" s="123"/>
      <c r="C93" s="124"/>
      <c r="D93" s="125"/>
      <c r="E93" s="18">
        <v>12</v>
      </c>
      <c r="F93" s="16" t="s">
        <v>31</v>
      </c>
      <c r="G93" s="14" t="s">
        <v>109</v>
      </c>
      <c r="H93" s="14">
        <f t="shared" ref="H93:BA93" si="185">SUMIFS($AP$102:$AP$1048576,H$102:H$1048576,"&gt;-1000000",$A$102:$A$1048576,$E93)</f>
        <v>0</v>
      </c>
      <c r="I93" s="14">
        <f t="shared" si="185"/>
        <v>0</v>
      </c>
      <c r="J93" s="14">
        <f t="shared" si="185"/>
        <v>0</v>
      </c>
      <c r="K93" s="14">
        <f t="shared" si="185"/>
        <v>0</v>
      </c>
      <c r="L93" s="14">
        <f t="shared" si="185"/>
        <v>0</v>
      </c>
      <c r="M93" s="14">
        <f t="shared" si="185"/>
        <v>0</v>
      </c>
      <c r="N93" s="29">
        <f t="shared" si="185"/>
        <v>0</v>
      </c>
      <c r="O93" s="29">
        <f t="shared" si="185"/>
        <v>0</v>
      </c>
      <c r="P93" s="160">
        <f t="shared" si="185"/>
        <v>0</v>
      </c>
      <c r="Q93" s="14">
        <f t="shared" si="185"/>
        <v>0</v>
      </c>
      <c r="R93" s="14">
        <f t="shared" si="185"/>
        <v>0</v>
      </c>
      <c r="S93" s="14">
        <f t="shared" si="185"/>
        <v>0</v>
      </c>
      <c r="T93" s="14">
        <f t="shared" si="185"/>
        <v>0</v>
      </c>
      <c r="U93" s="14">
        <f t="shared" si="185"/>
        <v>0</v>
      </c>
      <c r="V93" s="14">
        <f t="shared" si="185"/>
        <v>0</v>
      </c>
      <c r="W93" s="14">
        <f t="shared" si="185"/>
        <v>0</v>
      </c>
      <c r="X93" s="14">
        <f t="shared" si="185"/>
        <v>0</v>
      </c>
      <c r="Y93" s="14">
        <f t="shared" si="185"/>
        <v>0</v>
      </c>
      <c r="Z93" s="14">
        <f t="shared" si="185"/>
        <v>0</v>
      </c>
      <c r="AA93" s="14">
        <f t="shared" si="185"/>
        <v>0</v>
      </c>
      <c r="AB93" s="14">
        <f t="shared" si="185"/>
        <v>0</v>
      </c>
      <c r="AC93" s="14">
        <f t="shared" si="185"/>
        <v>0</v>
      </c>
      <c r="AD93" s="14">
        <f t="shared" si="185"/>
        <v>0</v>
      </c>
      <c r="AE93" s="14">
        <f t="shared" si="185"/>
        <v>0</v>
      </c>
      <c r="AF93" s="14">
        <f t="shared" si="185"/>
        <v>0</v>
      </c>
      <c r="AG93" s="14">
        <f t="shared" si="185"/>
        <v>0</v>
      </c>
      <c r="AH93" s="14">
        <f t="shared" si="185"/>
        <v>0</v>
      </c>
      <c r="AI93" s="14">
        <f t="shared" si="185"/>
        <v>0</v>
      </c>
      <c r="AJ93" s="14">
        <f t="shared" si="185"/>
        <v>0</v>
      </c>
      <c r="AK93" s="14">
        <f t="shared" si="185"/>
        <v>0</v>
      </c>
      <c r="AL93" s="14">
        <f t="shared" si="185"/>
        <v>0</v>
      </c>
      <c r="AM93" s="14">
        <f t="shared" si="185"/>
        <v>0</v>
      </c>
      <c r="AN93" s="14">
        <f t="shared" si="185"/>
        <v>0</v>
      </c>
      <c r="AO93" s="14">
        <f t="shared" si="185"/>
        <v>0</v>
      </c>
      <c r="AP93" s="14">
        <f t="shared" si="185"/>
        <v>0</v>
      </c>
      <c r="AQ93" s="14">
        <f t="shared" si="185"/>
        <v>0</v>
      </c>
      <c r="AR93" s="14">
        <f t="shared" si="185"/>
        <v>0</v>
      </c>
      <c r="AS93" s="14">
        <f t="shared" si="185"/>
        <v>0</v>
      </c>
      <c r="AT93" s="14">
        <f t="shared" si="185"/>
        <v>0</v>
      </c>
      <c r="AU93" s="14">
        <f t="shared" si="185"/>
        <v>0</v>
      </c>
      <c r="AV93" s="14">
        <f t="shared" si="185"/>
        <v>0</v>
      </c>
      <c r="AW93" s="14">
        <f t="shared" si="185"/>
        <v>0</v>
      </c>
      <c r="AX93" s="14">
        <f t="shared" si="185"/>
        <v>0</v>
      </c>
      <c r="AY93" s="14">
        <f t="shared" si="185"/>
        <v>0</v>
      </c>
      <c r="AZ93" s="14">
        <f t="shared" si="185"/>
        <v>0</v>
      </c>
      <c r="BA93" s="14">
        <f t="shared" si="185"/>
        <v>0</v>
      </c>
      <c r="BB93" s="14"/>
      <c r="BC93" s="14">
        <f t="shared" ref="BC93:BQ93" si="186">SUMIFS($AP$102:$AP$1048576,BC$102:BC$1048576,"&gt;-1000000",$A$102:$A$1048576,$E93)</f>
        <v>0</v>
      </c>
      <c r="BD93" s="14">
        <f t="shared" si="186"/>
        <v>0</v>
      </c>
      <c r="BE93" s="14">
        <f t="shared" si="186"/>
        <v>0</v>
      </c>
      <c r="BF93" s="14">
        <f t="shared" si="186"/>
        <v>0</v>
      </c>
      <c r="BG93" s="14">
        <f t="shared" si="186"/>
        <v>0</v>
      </c>
      <c r="BH93" s="14">
        <f t="shared" si="186"/>
        <v>0</v>
      </c>
      <c r="BI93" s="14">
        <f t="shared" si="186"/>
        <v>0</v>
      </c>
      <c r="BJ93" s="14">
        <f t="shared" si="186"/>
        <v>0</v>
      </c>
      <c r="BK93" s="14">
        <f t="shared" si="186"/>
        <v>0</v>
      </c>
      <c r="BL93" s="14">
        <f t="shared" si="186"/>
        <v>0</v>
      </c>
      <c r="BM93" s="14">
        <f t="shared" si="186"/>
        <v>0</v>
      </c>
      <c r="BN93" s="14">
        <f t="shared" si="186"/>
        <v>0</v>
      </c>
      <c r="BO93" s="14">
        <f t="shared" si="186"/>
        <v>0</v>
      </c>
      <c r="BP93" s="14">
        <f t="shared" si="186"/>
        <v>0</v>
      </c>
      <c r="BQ93" s="14">
        <f t="shared" si="186"/>
        <v>0</v>
      </c>
      <c r="BR93" s="14" t="e">
        <f>SUMIFS($AP$102:$AP$1048576,#REF!,"&gt;-1000000",$A$102:$A$1048576,$E93)</f>
        <v>#REF!</v>
      </c>
      <c r="BS93" s="14">
        <f>SUMIFS($AP$102:$AP$1048576,BS$102:BS$1048576,"&gt;-1000000",$A$102:$A$1048576,$E93)</f>
        <v>0</v>
      </c>
      <c r="BT93" s="14"/>
      <c r="BU93" s="14"/>
      <c r="BV93" s="146"/>
    </row>
    <row r="94" spans="1:74" ht="11.25" hidden="1" x14ac:dyDescent="0.2">
      <c r="A94" s="123"/>
      <c r="B94" s="123"/>
      <c r="C94" s="124"/>
      <c r="D94" s="125"/>
      <c r="E94" s="19">
        <v>12</v>
      </c>
      <c r="F94" s="17" t="s">
        <v>29</v>
      </c>
      <c r="G94" s="15" t="s">
        <v>109</v>
      </c>
      <c r="H94" s="126">
        <f t="shared" ref="H94:BA94" si="187">SUMIFS(H$102:H$1048576,$A$102:$A$1048576,$E94,$C$102:$C$1048576,"OK")</f>
        <v>0</v>
      </c>
      <c r="I94" s="126">
        <f t="shared" si="187"/>
        <v>0</v>
      </c>
      <c r="J94" s="126">
        <f t="shared" si="187"/>
        <v>0</v>
      </c>
      <c r="K94" s="126">
        <f t="shared" si="187"/>
        <v>0</v>
      </c>
      <c r="L94" s="126">
        <f t="shared" si="187"/>
        <v>0</v>
      </c>
      <c r="M94" s="126">
        <f t="shared" si="187"/>
        <v>0</v>
      </c>
      <c r="N94" s="29">
        <f t="shared" si="187"/>
        <v>0</v>
      </c>
      <c r="O94" s="29">
        <f t="shared" si="187"/>
        <v>0</v>
      </c>
      <c r="P94" s="161">
        <f t="shared" si="187"/>
        <v>0</v>
      </c>
      <c r="Q94" s="126">
        <f t="shared" si="187"/>
        <v>0</v>
      </c>
      <c r="R94" s="126">
        <f t="shared" si="187"/>
        <v>0</v>
      </c>
      <c r="S94" s="126">
        <f t="shared" si="187"/>
        <v>0</v>
      </c>
      <c r="T94" s="126">
        <f t="shared" si="187"/>
        <v>0</v>
      </c>
      <c r="U94" s="126">
        <f t="shared" si="187"/>
        <v>0</v>
      </c>
      <c r="V94" s="126">
        <f t="shared" si="187"/>
        <v>0</v>
      </c>
      <c r="W94" s="126">
        <f t="shared" si="187"/>
        <v>0</v>
      </c>
      <c r="X94" s="126">
        <f t="shared" si="187"/>
        <v>0</v>
      </c>
      <c r="Y94" s="126">
        <f t="shared" si="187"/>
        <v>0</v>
      </c>
      <c r="Z94" s="126">
        <f t="shared" si="187"/>
        <v>0</v>
      </c>
      <c r="AA94" s="126">
        <f t="shared" si="187"/>
        <v>0</v>
      </c>
      <c r="AB94" s="126">
        <f t="shared" si="187"/>
        <v>0</v>
      </c>
      <c r="AC94" s="126">
        <f t="shared" si="187"/>
        <v>0</v>
      </c>
      <c r="AD94" s="126">
        <f t="shared" si="187"/>
        <v>0</v>
      </c>
      <c r="AE94" s="126">
        <f t="shared" si="187"/>
        <v>0</v>
      </c>
      <c r="AF94" s="126">
        <f t="shared" si="187"/>
        <v>0</v>
      </c>
      <c r="AG94" s="126">
        <f t="shared" si="187"/>
        <v>0</v>
      </c>
      <c r="AH94" s="126">
        <f t="shared" si="187"/>
        <v>0</v>
      </c>
      <c r="AI94" s="126">
        <f t="shared" si="187"/>
        <v>0</v>
      </c>
      <c r="AJ94" s="126">
        <f t="shared" si="187"/>
        <v>0</v>
      </c>
      <c r="AK94" s="126">
        <f t="shared" si="187"/>
        <v>0</v>
      </c>
      <c r="AL94" s="126">
        <f t="shared" si="187"/>
        <v>0</v>
      </c>
      <c r="AM94" s="126">
        <f t="shared" si="187"/>
        <v>0</v>
      </c>
      <c r="AN94" s="126">
        <f t="shared" si="187"/>
        <v>0</v>
      </c>
      <c r="AO94" s="126">
        <f t="shared" si="187"/>
        <v>0</v>
      </c>
      <c r="AP94" s="126">
        <f t="shared" si="187"/>
        <v>0</v>
      </c>
      <c r="AQ94" s="126">
        <f t="shared" si="187"/>
        <v>0</v>
      </c>
      <c r="AR94" s="126">
        <f t="shared" si="187"/>
        <v>0</v>
      </c>
      <c r="AS94" s="126">
        <f t="shared" si="187"/>
        <v>0</v>
      </c>
      <c r="AT94" s="126">
        <f t="shared" si="187"/>
        <v>0</v>
      </c>
      <c r="AU94" s="126">
        <f t="shared" si="187"/>
        <v>0</v>
      </c>
      <c r="AV94" s="126">
        <f t="shared" si="187"/>
        <v>0</v>
      </c>
      <c r="AW94" s="126">
        <f t="shared" si="187"/>
        <v>0</v>
      </c>
      <c r="AX94" s="126">
        <f t="shared" si="187"/>
        <v>0</v>
      </c>
      <c r="AY94" s="126">
        <f t="shared" si="187"/>
        <v>0</v>
      </c>
      <c r="AZ94" s="126">
        <f t="shared" si="187"/>
        <v>0</v>
      </c>
      <c r="BA94" s="126">
        <f t="shared" si="187"/>
        <v>0</v>
      </c>
      <c r="BB94" s="126"/>
      <c r="BC94" s="126">
        <f t="shared" ref="BC94:BQ94" si="188">SUMIFS(BC$102:BC$1048576,$A$102:$A$1048576,$E94,$C$102:$C$1048576,"OK")</f>
        <v>0</v>
      </c>
      <c r="BD94" s="126">
        <f t="shared" si="188"/>
        <v>0</v>
      </c>
      <c r="BE94" s="126">
        <f t="shared" si="188"/>
        <v>0</v>
      </c>
      <c r="BF94" s="126">
        <f t="shared" si="188"/>
        <v>0</v>
      </c>
      <c r="BG94" s="126">
        <f t="shared" si="188"/>
        <v>0</v>
      </c>
      <c r="BH94" s="126">
        <f t="shared" si="188"/>
        <v>0</v>
      </c>
      <c r="BI94" s="126">
        <f t="shared" si="188"/>
        <v>0</v>
      </c>
      <c r="BJ94" s="126">
        <f t="shared" si="188"/>
        <v>0</v>
      </c>
      <c r="BK94" s="126">
        <f t="shared" si="188"/>
        <v>0</v>
      </c>
      <c r="BL94" s="126">
        <f t="shared" si="188"/>
        <v>0</v>
      </c>
      <c r="BM94" s="126">
        <f t="shared" si="188"/>
        <v>0</v>
      </c>
      <c r="BN94" s="126">
        <f t="shared" si="188"/>
        <v>0</v>
      </c>
      <c r="BO94" s="126">
        <f t="shared" si="188"/>
        <v>0</v>
      </c>
      <c r="BP94" s="126">
        <f t="shared" si="188"/>
        <v>0</v>
      </c>
      <c r="BQ94" s="126">
        <f t="shared" si="188"/>
        <v>0</v>
      </c>
      <c r="BR94" s="126" t="e">
        <f>SUMIFS(#REF!,$A$102:$A$1048576,$E94,$C$102:$C$1048576,"OK")</f>
        <v>#REF!</v>
      </c>
      <c r="BS94" s="126">
        <f>SUMIFS(BS$102:BS$1048576,$A$102:$A$1048576,$E94,$C$102:$C$1048576,"OK")</f>
        <v>0</v>
      </c>
      <c r="BT94" s="126"/>
      <c r="BU94" s="126"/>
      <c r="BV94" s="147"/>
    </row>
    <row r="95" spans="1:74" ht="11.25" hidden="1" x14ac:dyDescent="0.2">
      <c r="A95" s="123"/>
      <c r="B95" s="123"/>
      <c r="C95" s="124"/>
      <c r="D95" s="125"/>
      <c r="E95" s="19">
        <v>12</v>
      </c>
      <c r="F95" s="17" t="s">
        <v>23</v>
      </c>
      <c r="G95" s="15" t="s">
        <v>109</v>
      </c>
      <c r="H95" s="126">
        <f t="shared" ref="H95:BA95" si="189">COUNTIFS(H$102:H$1048576,"&gt;-1000000",$C$102:$C$1048576,"OK",$A$102:$A$1048576,$E95)</f>
        <v>0</v>
      </c>
      <c r="I95" s="126">
        <f t="shared" si="189"/>
        <v>0</v>
      </c>
      <c r="J95" s="126">
        <f t="shared" si="189"/>
        <v>0</v>
      </c>
      <c r="K95" s="126">
        <f t="shared" si="189"/>
        <v>0</v>
      </c>
      <c r="L95" s="126">
        <f t="shared" si="189"/>
        <v>0</v>
      </c>
      <c r="M95" s="126">
        <f t="shared" si="189"/>
        <v>0</v>
      </c>
      <c r="N95" s="29">
        <f t="shared" si="189"/>
        <v>0</v>
      </c>
      <c r="O95" s="29">
        <f t="shared" si="189"/>
        <v>0</v>
      </c>
      <c r="P95" s="161">
        <f t="shared" si="189"/>
        <v>0</v>
      </c>
      <c r="Q95" s="126">
        <f t="shared" si="189"/>
        <v>0</v>
      </c>
      <c r="R95" s="126">
        <f t="shared" si="189"/>
        <v>0</v>
      </c>
      <c r="S95" s="126">
        <f t="shared" si="189"/>
        <v>0</v>
      </c>
      <c r="T95" s="126">
        <f t="shared" si="189"/>
        <v>0</v>
      </c>
      <c r="U95" s="126">
        <f t="shared" si="189"/>
        <v>0</v>
      </c>
      <c r="V95" s="126">
        <f t="shared" si="189"/>
        <v>0</v>
      </c>
      <c r="W95" s="126">
        <f t="shared" si="189"/>
        <v>0</v>
      </c>
      <c r="X95" s="126">
        <f t="shared" si="189"/>
        <v>0</v>
      </c>
      <c r="Y95" s="126">
        <f t="shared" si="189"/>
        <v>0</v>
      </c>
      <c r="Z95" s="126">
        <f t="shared" si="189"/>
        <v>0</v>
      </c>
      <c r="AA95" s="126">
        <f t="shared" si="189"/>
        <v>0</v>
      </c>
      <c r="AB95" s="126">
        <f t="shared" si="189"/>
        <v>0</v>
      </c>
      <c r="AC95" s="126">
        <f t="shared" si="189"/>
        <v>0</v>
      </c>
      <c r="AD95" s="126">
        <f t="shared" si="189"/>
        <v>0</v>
      </c>
      <c r="AE95" s="126">
        <f t="shared" si="189"/>
        <v>0</v>
      </c>
      <c r="AF95" s="126">
        <f t="shared" si="189"/>
        <v>0</v>
      </c>
      <c r="AG95" s="126">
        <f t="shared" si="189"/>
        <v>0</v>
      </c>
      <c r="AH95" s="126">
        <f t="shared" si="189"/>
        <v>0</v>
      </c>
      <c r="AI95" s="126">
        <f t="shared" si="189"/>
        <v>0</v>
      </c>
      <c r="AJ95" s="126">
        <f t="shared" si="189"/>
        <v>0</v>
      </c>
      <c r="AK95" s="126">
        <f t="shared" si="189"/>
        <v>0</v>
      </c>
      <c r="AL95" s="126">
        <f t="shared" si="189"/>
        <v>0</v>
      </c>
      <c r="AM95" s="126">
        <f t="shared" si="189"/>
        <v>0</v>
      </c>
      <c r="AN95" s="126">
        <f t="shared" si="189"/>
        <v>0</v>
      </c>
      <c r="AO95" s="126">
        <f t="shared" si="189"/>
        <v>0</v>
      </c>
      <c r="AP95" s="126">
        <f t="shared" si="189"/>
        <v>0</v>
      </c>
      <c r="AQ95" s="126">
        <f t="shared" si="189"/>
        <v>0</v>
      </c>
      <c r="AR95" s="126">
        <f t="shared" si="189"/>
        <v>0</v>
      </c>
      <c r="AS95" s="126">
        <f t="shared" si="189"/>
        <v>0</v>
      </c>
      <c r="AT95" s="126">
        <f t="shared" si="189"/>
        <v>0</v>
      </c>
      <c r="AU95" s="126">
        <f t="shared" si="189"/>
        <v>0</v>
      </c>
      <c r="AV95" s="126">
        <f t="shared" si="189"/>
        <v>0</v>
      </c>
      <c r="AW95" s="126">
        <f t="shared" si="189"/>
        <v>0</v>
      </c>
      <c r="AX95" s="126">
        <f t="shared" si="189"/>
        <v>0</v>
      </c>
      <c r="AY95" s="126">
        <f t="shared" si="189"/>
        <v>0</v>
      </c>
      <c r="AZ95" s="126">
        <f t="shared" si="189"/>
        <v>0</v>
      </c>
      <c r="BA95" s="126">
        <f t="shared" si="189"/>
        <v>0</v>
      </c>
      <c r="BB95" s="126"/>
      <c r="BC95" s="126">
        <f t="shared" ref="BC95:BQ95" si="190">COUNTIFS(BC$102:BC$1048576,"&gt;-1000000",$C$102:$C$1048576,"OK",$A$102:$A$1048576,$E95)</f>
        <v>0</v>
      </c>
      <c r="BD95" s="126">
        <f t="shared" si="190"/>
        <v>0</v>
      </c>
      <c r="BE95" s="126">
        <f t="shared" si="190"/>
        <v>0</v>
      </c>
      <c r="BF95" s="126">
        <f t="shared" si="190"/>
        <v>0</v>
      </c>
      <c r="BG95" s="126">
        <f t="shared" si="190"/>
        <v>0</v>
      </c>
      <c r="BH95" s="126">
        <f t="shared" si="190"/>
        <v>0</v>
      </c>
      <c r="BI95" s="126">
        <f t="shared" si="190"/>
        <v>0</v>
      </c>
      <c r="BJ95" s="126">
        <f t="shared" si="190"/>
        <v>0</v>
      </c>
      <c r="BK95" s="126">
        <f t="shared" si="190"/>
        <v>0</v>
      </c>
      <c r="BL95" s="126">
        <f t="shared" si="190"/>
        <v>0</v>
      </c>
      <c r="BM95" s="126">
        <f t="shared" si="190"/>
        <v>0</v>
      </c>
      <c r="BN95" s="126">
        <f t="shared" si="190"/>
        <v>0</v>
      </c>
      <c r="BO95" s="126">
        <f t="shared" si="190"/>
        <v>0</v>
      </c>
      <c r="BP95" s="126">
        <f t="shared" si="190"/>
        <v>0</v>
      </c>
      <c r="BQ95" s="126">
        <f t="shared" si="190"/>
        <v>0</v>
      </c>
      <c r="BR95" s="126" t="e">
        <f>COUNTIFS(#REF!,"&gt;-1000000",$C$102:$C$1048576,"OK",$A$102:$A$1048576,$E95)</f>
        <v>#REF!</v>
      </c>
      <c r="BS95" s="126">
        <f>COUNTIFS(BS$102:BS$1048576,"&gt;-1000000",$C$102:$C$1048576,"OK",$A$102:$A$1048576,$E95)</f>
        <v>0</v>
      </c>
      <c r="BT95" s="126"/>
      <c r="BU95" s="126"/>
      <c r="BV95" s="147"/>
    </row>
    <row r="96" spans="1:74" ht="11.25" hidden="1" x14ac:dyDescent="0.2">
      <c r="A96" s="123"/>
      <c r="B96" s="123"/>
      <c r="C96" s="124"/>
      <c r="D96" s="125"/>
      <c r="E96" s="19">
        <v>12</v>
      </c>
      <c r="F96" s="17" t="s">
        <v>30</v>
      </c>
      <c r="G96" s="15" t="s">
        <v>109</v>
      </c>
      <c r="H96" s="126">
        <f t="shared" ref="H96:BA96" si="191">SUMIFS($AM$102:$AM$1048576,H$102:H$1048576,"&gt;-1000000",$C$102:$C$1048576,"OK",$A$102:$A$1048576,$E96)</f>
        <v>0</v>
      </c>
      <c r="I96" s="126">
        <f t="shared" si="191"/>
        <v>0</v>
      </c>
      <c r="J96" s="126">
        <f t="shared" si="191"/>
        <v>0</v>
      </c>
      <c r="K96" s="126">
        <f t="shared" si="191"/>
        <v>0</v>
      </c>
      <c r="L96" s="126">
        <f t="shared" si="191"/>
        <v>0</v>
      </c>
      <c r="M96" s="126">
        <f t="shared" si="191"/>
        <v>0</v>
      </c>
      <c r="N96" s="29">
        <f t="shared" si="191"/>
        <v>0</v>
      </c>
      <c r="O96" s="29">
        <f t="shared" si="191"/>
        <v>0</v>
      </c>
      <c r="P96" s="161">
        <f t="shared" si="191"/>
        <v>0</v>
      </c>
      <c r="Q96" s="126">
        <f t="shared" si="191"/>
        <v>0</v>
      </c>
      <c r="R96" s="126">
        <f t="shared" si="191"/>
        <v>0</v>
      </c>
      <c r="S96" s="126">
        <f t="shared" si="191"/>
        <v>0</v>
      </c>
      <c r="T96" s="126">
        <f t="shared" si="191"/>
        <v>0</v>
      </c>
      <c r="U96" s="126">
        <f t="shared" si="191"/>
        <v>0</v>
      </c>
      <c r="V96" s="126">
        <f t="shared" si="191"/>
        <v>0</v>
      </c>
      <c r="W96" s="126">
        <f t="shared" si="191"/>
        <v>0</v>
      </c>
      <c r="X96" s="126">
        <f t="shared" si="191"/>
        <v>0</v>
      </c>
      <c r="Y96" s="126">
        <f t="shared" si="191"/>
        <v>0</v>
      </c>
      <c r="Z96" s="126">
        <f t="shared" si="191"/>
        <v>0</v>
      </c>
      <c r="AA96" s="126">
        <f t="shared" si="191"/>
        <v>0</v>
      </c>
      <c r="AB96" s="126">
        <f t="shared" si="191"/>
        <v>0</v>
      </c>
      <c r="AC96" s="126">
        <f t="shared" si="191"/>
        <v>0</v>
      </c>
      <c r="AD96" s="126">
        <f t="shared" si="191"/>
        <v>0</v>
      </c>
      <c r="AE96" s="126">
        <f t="shared" si="191"/>
        <v>0</v>
      </c>
      <c r="AF96" s="126">
        <f t="shared" si="191"/>
        <v>0</v>
      </c>
      <c r="AG96" s="126">
        <f t="shared" si="191"/>
        <v>0</v>
      </c>
      <c r="AH96" s="126">
        <f t="shared" si="191"/>
        <v>0</v>
      </c>
      <c r="AI96" s="126">
        <f t="shared" si="191"/>
        <v>0</v>
      </c>
      <c r="AJ96" s="126">
        <f t="shared" si="191"/>
        <v>0</v>
      </c>
      <c r="AK96" s="126">
        <f t="shared" si="191"/>
        <v>0</v>
      </c>
      <c r="AL96" s="126">
        <f t="shared" si="191"/>
        <v>0</v>
      </c>
      <c r="AM96" s="126">
        <f t="shared" si="191"/>
        <v>0</v>
      </c>
      <c r="AN96" s="126">
        <f t="shared" si="191"/>
        <v>0</v>
      </c>
      <c r="AO96" s="126">
        <f t="shared" si="191"/>
        <v>0</v>
      </c>
      <c r="AP96" s="126">
        <f t="shared" si="191"/>
        <v>0</v>
      </c>
      <c r="AQ96" s="126">
        <f t="shared" si="191"/>
        <v>0</v>
      </c>
      <c r="AR96" s="126">
        <f t="shared" si="191"/>
        <v>0</v>
      </c>
      <c r="AS96" s="126">
        <f t="shared" si="191"/>
        <v>0</v>
      </c>
      <c r="AT96" s="126">
        <f t="shared" si="191"/>
        <v>0</v>
      </c>
      <c r="AU96" s="126">
        <f t="shared" si="191"/>
        <v>0</v>
      </c>
      <c r="AV96" s="126">
        <f t="shared" si="191"/>
        <v>0</v>
      </c>
      <c r="AW96" s="126">
        <f t="shared" si="191"/>
        <v>0</v>
      </c>
      <c r="AX96" s="126">
        <f t="shared" si="191"/>
        <v>0</v>
      </c>
      <c r="AY96" s="126">
        <f t="shared" si="191"/>
        <v>0</v>
      </c>
      <c r="AZ96" s="126">
        <f t="shared" si="191"/>
        <v>0</v>
      </c>
      <c r="BA96" s="126">
        <f t="shared" si="191"/>
        <v>0</v>
      </c>
      <c r="BB96" s="126"/>
      <c r="BC96" s="126">
        <f t="shared" ref="BC96:BQ96" si="192">SUMIFS($AM$102:$AM$1048576,BC$102:BC$1048576,"&gt;-1000000",$C$102:$C$1048576,"OK",$A$102:$A$1048576,$E96)</f>
        <v>0</v>
      </c>
      <c r="BD96" s="126">
        <f t="shared" si="192"/>
        <v>0</v>
      </c>
      <c r="BE96" s="126">
        <f t="shared" si="192"/>
        <v>0</v>
      </c>
      <c r="BF96" s="126">
        <f t="shared" si="192"/>
        <v>0</v>
      </c>
      <c r="BG96" s="126">
        <f t="shared" si="192"/>
        <v>0</v>
      </c>
      <c r="BH96" s="126">
        <f t="shared" si="192"/>
        <v>0</v>
      </c>
      <c r="BI96" s="126">
        <f t="shared" si="192"/>
        <v>0</v>
      </c>
      <c r="BJ96" s="126">
        <f t="shared" si="192"/>
        <v>0</v>
      </c>
      <c r="BK96" s="126">
        <f t="shared" si="192"/>
        <v>0</v>
      </c>
      <c r="BL96" s="126">
        <f t="shared" si="192"/>
        <v>0</v>
      </c>
      <c r="BM96" s="126">
        <f t="shared" si="192"/>
        <v>0</v>
      </c>
      <c r="BN96" s="126">
        <f t="shared" si="192"/>
        <v>0</v>
      </c>
      <c r="BO96" s="126">
        <f t="shared" si="192"/>
        <v>0</v>
      </c>
      <c r="BP96" s="126">
        <f t="shared" si="192"/>
        <v>0</v>
      </c>
      <c r="BQ96" s="126">
        <f t="shared" si="192"/>
        <v>0</v>
      </c>
      <c r="BR96" s="126" t="e">
        <f>SUMIFS($AM$102:$AM$1048576,#REF!,"&gt;-1000000",$C$102:$C$1048576,"OK",$A$102:$A$1048576,$E96)</f>
        <v>#REF!</v>
      </c>
      <c r="BS96" s="126">
        <f>SUMIFS($AM$102:$AM$1048576,BS$102:BS$1048576,"&gt;-1000000",$C$102:$C$1048576,"OK",$A$102:$A$1048576,$E96)</f>
        <v>0</v>
      </c>
      <c r="BT96" s="126"/>
      <c r="BU96" s="126"/>
      <c r="BV96" s="147"/>
    </row>
    <row r="97" spans="1:74" ht="11.25" hidden="1" x14ac:dyDescent="0.2">
      <c r="A97" s="123"/>
      <c r="B97" s="123"/>
      <c r="C97" s="124"/>
      <c r="D97" s="125"/>
      <c r="E97" s="19">
        <v>12</v>
      </c>
      <c r="F97" s="17" t="s">
        <v>32</v>
      </c>
      <c r="G97" s="15" t="s">
        <v>109</v>
      </c>
      <c r="H97" s="126">
        <f t="shared" ref="H97:BA97" si="193">SUMIFS($AP$102:$AP$1048576,H$102:H$1048576,"&gt;-1000000",$C$102:$C$1048576,"OK",$A$102:$A$1048576,$E97)</f>
        <v>0</v>
      </c>
      <c r="I97" s="126">
        <f t="shared" si="193"/>
        <v>0</v>
      </c>
      <c r="J97" s="126">
        <f t="shared" si="193"/>
        <v>0</v>
      </c>
      <c r="K97" s="126">
        <f t="shared" si="193"/>
        <v>0</v>
      </c>
      <c r="L97" s="126">
        <f t="shared" si="193"/>
        <v>0</v>
      </c>
      <c r="M97" s="126">
        <f t="shared" si="193"/>
        <v>0</v>
      </c>
      <c r="N97" s="29">
        <f t="shared" si="193"/>
        <v>0</v>
      </c>
      <c r="O97" s="29">
        <f t="shared" si="193"/>
        <v>0</v>
      </c>
      <c r="P97" s="161">
        <f t="shared" si="193"/>
        <v>0</v>
      </c>
      <c r="Q97" s="126">
        <f t="shared" si="193"/>
        <v>0</v>
      </c>
      <c r="R97" s="126">
        <f t="shared" si="193"/>
        <v>0</v>
      </c>
      <c r="S97" s="126">
        <f t="shared" si="193"/>
        <v>0</v>
      </c>
      <c r="T97" s="126">
        <f t="shared" si="193"/>
        <v>0</v>
      </c>
      <c r="U97" s="126">
        <f t="shared" si="193"/>
        <v>0</v>
      </c>
      <c r="V97" s="126">
        <f t="shared" si="193"/>
        <v>0</v>
      </c>
      <c r="W97" s="126">
        <f t="shared" si="193"/>
        <v>0</v>
      </c>
      <c r="X97" s="126">
        <f t="shared" si="193"/>
        <v>0</v>
      </c>
      <c r="Y97" s="126">
        <f t="shared" si="193"/>
        <v>0</v>
      </c>
      <c r="Z97" s="126">
        <f t="shared" si="193"/>
        <v>0</v>
      </c>
      <c r="AA97" s="126">
        <f t="shared" si="193"/>
        <v>0</v>
      </c>
      <c r="AB97" s="126">
        <f t="shared" si="193"/>
        <v>0</v>
      </c>
      <c r="AC97" s="126">
        <f t="shared" si="193"/>
        <v>0</v>
      </c>
      <c r="AD97" s="126">
        <f t="shared" si="193"/>
        <v>0</v>
      </c>
      <c r="AE97" s="126">
        <f t="shared" si="193"/>
        <v>0</v>
      </c>
      <c r="AF97" s="126">
        <f t="shared" si="193"/>
        <v>0</v>
      </c>
      <c r="AG97" s="126">
        <f t="shared" si="193"/>
        <v>0</v>
      </c>
      <c r="AH97" s="126">
        <f t="shared" si="193"/>
        <v>0</v>
      </c>
      <c r="AI97" s="126">
        <f t="shared" si="193"/>
        <v>0</v>
      </c>
      <c r="AJ97" s="126">
        <f t="shared" si="193"/>
        <v>0</v>
      </c>
      <c r="AK97" s="126">
        <f t="shared" si="193"/>
        <v>0</v>
      </c>
      <c r="AL97" s="126">
        <f t="shared" si="193"/>
        <v>0</v>
      </c>
      <c r="AM97" s="126">
        <f t="shared" si="193"/>
        <v>0</v>
      </c>
      <c r="AN97" s="126">
        <f t="shared" si="193"/>
        <v>0</v>
      </c>
      <c r="AO97" s="126">
        <f t="shared" si="193"/>
        <v>0</v>
      </c>
      <c r="AP97" s="126">
        <f t="shared" si="193"/>
        <v>0</v>
      </c>
      <c r="AQ97" s="126">
        <f t="shared" si="193"/>
        <v>0</v>
      </c>
      <c r="AR97" s="126">
        <f t="shared" si="193"/>
        <v>0</v>
      </c>
      <c r="AS97" s="126">
        <f t="shared" si="193"/>
        <v>0</v>
      </c>
      <c r="AT97" s="126">
        <f t="shared" si="193"/>
        <v>0</v>
      </c>
      <c r="AU97" s="126">
        <f t="shared" si="193"/>
        <v>0</v>
      </c>
      <c r="AV97" s="126">
        <f t="shared" si="193"/>
        <v>0</v>
      </c>
      <c r="AW97" s="126">
        <f t="shared" si="193"/>
        <v>0</v>
      </c>
      <c r="AX97" s="126">
        <f t="shared" si="193"/>
        <v>0</v>
      </c>
      <c r="AY97" s="126">
        <f t="shared" si="193"/>
        <v>0</v>
      </c>
      <c r="AZ97" s="126">
        <f t="shared" si="193"/>
        <v>0</v>
      </c>
      <c r="BA97" s="126">
        <f t="shared" si="193"/>
        <v>0</v>
      </c>
      <c r="BB97" s="126"/>
      <c r="BC97" s="126">
        <f t="shared" ref="BC97:BQ97" si="194">SUMIFS($AP$102:$AP$1048576,BC$102:BC$1048576,"&gt;-1000000",$C$102:$C$1048576,"OK",$A$102:$A$1048576,$E97)</f>
        <v>0</v>
      </c>
      <c r="BD97" s="126">
        <f t="shared" si="194"/>
        <v>0</v>
      </c>
      <c r="BE97" s="126">
        <f t="shared" si="194"/>
        <v>0</v>
      </c>
      <c r="BF97" s="126">
        <f t="shared" si="194"/>
        <v>0</v>
      </c>
      <c r="BG97" s="126">
        <f t="shared" si="194"/>
        <v>0</v>
      </c>
      <c r="BH97" s="126">
        <f t="shared" si="194"/>
        <v>0</v>
      </c>
      <c r="BI97" s="126">
        <f t="shared" si="194"/>
        <v>0</v>
      </c>
      <c r="BJ97" s="126">
        <f t="shared" si="194"/>
        <v>0</v>
      </c>
      <c r="BK97" s="126">
        <f t="shared" si="194"/>
        <v>0</v>
      </c>
      <c r="BL97" s="126">
        <f t="shared" si="194"/>
        <v>0</v>
      </c>
      <c r="BM97" s="126">
        <f t="shared" si="194"/>
        <v>0</v>
      </c>
      <c r="BN97" s="126">
        <f t="shared" si="194"/>
        <v>0</v>
      </c>
      <c r="BO97" s="126">
        <f t="shared" si="194"/>
        <v>0</v>
      </c>
      <c r="BP97" s="126">
        <f t="shared" si="194"/>
        <v>0</v>
      </c>
      <c r="BQ97" s="126">
        <f t="shared" si="194"/>
        <v>0</v>
      </c>
      <c r="BR97" s="126" t="e">
        <f>SUMIFS($AP$102:$AP$1048576,#REF!,"&gt;-1000000",$C$102:$C$1048576,"OK",$A$102:$A$1048576,$E97)</f>
        <v>#REF!</v>
      </c>
      <c r="BS97" s="126">
        <f>SUMIFS($AP$102:$AP$1048576,BS$102:BS$1048576,"&gt;-1000000",$C$102:$C$1048576,"OK",$A$102:$A$1048576,$E97)</f>
        <v>0</v>
      </c>
      <c r="BT97" s="126"/>
      <c r="BU97" s="126"/>
      <c r="BV97" s="147"/>
    </row>
    <row r="98" spans="1:74" ht="11.25" hidden="1" x14ac:dyDescent="0.2">
      <c r="A98" s="123"/>
      <c r="B98" s="123"/>
      <c r="C98" s="124"/>
      <c r="D98" s="125"/>
      <c r="E98" s="127"/>
      <c r="F98" s="1"/>
      <c r="G98" s="1"/>
      <c r="H98" s="1"/>
      <c r="I98" s="1"/>
      <c r="J98" s="1"/>
      <c r="K98" s="1"/>
      <c r="L98" s="1"/>
      <c r="M98" s="1"/>
      <c r="P98" s="15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 ht="11.25" x14ac:dyDescent="0.2">
      <c r="A99" s="123"/>
      <c r="B99" s="123"/>
      <c r="C99" s="124"/>
      <c r="D99" s="125"/>
      <c r="E99" s="127"/>
      <c r="F99" s="1"/>
      <c r="G99" s="1"/>
      <c r="H99" s="1">
        <v>0</v>
      </c>
      <c r="I99" s="1"/>
      <c r="J99" s="1"/>
      <c r="K99" s="1"/>
      <c r="L99" s="1"/>
      <c r="M99" s="1"/>
      <c r="P99" s="155"/>
      <c r="Q99" s="1"/>
      <c r="R99" s="1"/>
      <c r="S99" s="120" t="s">
        <v>146</v>
      </c>
      <c r="T99" s="107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 ht="11.25" x14ac:dyDescent="0.2">
      <c r="A100" s="128"/>
      <c r="B100" s="128"/>
      <c r="C100" s="129"/>
      <c r="D100" s="130"/>
      <c r="E100" s="182"/>
      <c r="F100" s="183"/>
      <c r="G100" s="184"/>
      <c r="H100" s="131"/>
      <c r="I100" s="131"/>
      <c r="J100" s="131"/>
      <c r="K100" s="131"/>
      <c r="L100" s="131"/>
      <c r="M100" s="131"/>
      <c r="P100" s="156"/>
      <c r="Q100" s="131"/>
      <c r="R100" s="131"/>
      <c r="S100" s="121" t="s">
        <v>147</v>
      </c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2"/>
      <c r="AL100" s="1">
        <f t="shared" ref="AL100:BQ100" si="195">SUBTOTAL(9,AL102:AL255)</f>
        <v>0</v>
      </c>
      <c r="AM100" s="149">
        <f>SUBTOTAL(9,AM102:AM10000)</f>
        <v>9278919.2400000002</v>
      </c>
      <c r="AN100" s="149">
        <f t="shared" si="195"/>
        <v>0</v>
      </c>
      <c r="AO100" s="149">
        <f t="shared" si="195"/>
        <v>0</v>
      </c>
      <c r="AP100" s="149">
        <f t="shared" si="195"/>
        <v>0</v>
      </c>
      <c r="AQ100" s="149">
        <f t="shared" si="195"/>
        <v>0</v>
      </c>
      <c r="AR100" s="149">
        <f t="shared" si="195"/>
        <v>0</v>
      </c>
      <c r="AS100" s="149">
        <f>SUBTOTAL(9,AS102:AS1000)</f>
        <v>241083.99</v>
      </c>
      <c r="AT100" s="149">
        <f t="shared" si="195"/>
        <v>0</v>
      </c>
      <c r="AU100" s="149">
        <f t="shared" si="195"/>
        <v>0</v>
      </c>
      <c r="AV100" s="149">
        <f t="shared" si="195"/>
        <v>0</v>
      </c>
      <c r="AW100" s="149">
        <f t="shared" si="195"/>
        <v>0</v>
      </c>
      <c r="AX100" s="149">
        <f t="shared" si="195"/>
        <v>0</v>
      </c>
      <c r="AY100" s="149">
        <f t="shared" si="195"/>
        <v>0</v>
      </c>
      <c r="AZ100" s="149">
        <f>SUBTOTAL(9,AZ102:AZ10000)</f>
        <v>113076.75</v>
      </c>
      <c r="BA100" s="149">
        <f t="shared" si="195"/>
        <v>0</v>
      </c>
      <c r="BB100" s="149">
        <f t="shared" si="195"/>
        <v>0</v>
      </c>
      <c r="BC100" s="149">
        <f t="shared" si="195"/>
        <v>0</v>
      </c>
      <c r="BD100" s="149">
        <f t="shared" si="195"/>
        <v>0</v>
      </c>
      <c r="BE100" s="149">
        <f t="shared" si="195"/>
        <v>0</v>
      </c>
      <c r="BF100" s="149">
        <f t="shared" si="195"/>
        <v>0</v>
      </c>
      <c r="BG100" s="149">
        <f t="shared" si="195"/>
        <v>0</v>
      </c>
      <c r="BH100" s="149">
        <f t="shared" si="195"/>
        <v>0</v>
      </c>
      <c r="BI100" s="149">
        <f t="shared" si="195"/>
        <v>0</v>
      </c>
      <c r="BJ100" s="149">
        <f t="shared" si="195"/>
        <v>0</v>
      </c>
      <c r="BK100" s="149">
        <f t="shared" si="195"/>
        <v>0</v>
      </c>
      <c r="BL100" s="149">
        <f t="shared" si="195"/>
        <v>0</v>
      </c>
      <c r="BM100" s="149">
        <f t="shared" si="195"/>
        <v>0</v>
      </c>
      <c r="BN100" s="149">
        <f t="shared" si="195"/>
        <v>0</v>
      </c>
      <c r="BO100" s="149">
        <f t="shared" si="195"/>
        <v>0</v>
      </c>
      <c r="BP100" s="149">
        <f t="shared" si="195"/>
        <v>0</v>
      </c>
      <c r="BQ100" s="149">
        <f t="shared" si="195"/>
        <v>0</v>
      </c>
      <c r="BR100" s="149"/>
      <c r="BS100" s="149">
        <f>SUBTOTAL(9,BS102:BS10000)</f>
        <v>3812401.4299999983</v>
      </c>
      <c r="BT100" s="149">
        <f>SUBTOTAL(9,BT102:BT255)</f>
        <v>0</v>
      </c>
      <c r="BU100" s="149"/>
      <c r="BV100" s="149"/>
    </row>
    <row r="101" spans="1:74" s="142" customFormat="1" ht="33.75" x14ac:dyDescent="0.2">
      <c r="A101" s="140" t="s">
        <v>108</v>
      </c>
      <c r="B101" s="140" t="s">
        <v>103</v>
      </c>
      <c r="C101" s="140" t="s">
        <v>20</v>
      </c>
      <c r="D101" s="140" t="s">
        <v>139</v>
      </c>
      <c r="E101" s="150" t="s">
        <v>42</v>
      </c>
      <c r="F101" s="150" t="s">
        <v>43</v>
      </c>
      <c r="G101" s="150" t="s">
        <v>44</v>
      </c>
      <c r="H101" s="150" t="s">
        <v>45</v>
      </c>
      <c r="I101" s="150" t="s">
        <v>46</v>
      </c>
      <c r="J101" s="150" t="s">
        <v>47</v>
      </c>
      <c r="K101" s="150" t="s">
        <v>48</v>
      </c>
      <c r="L101" s="150" t="s">
        <v>49</v>
      </c>
      <c r="M101" s="150" t="s">
        <v>50</v>
      </c>
      <c r="N101" s="151" t="s">
        <v>51</v>
      </c>
      <c r="O101" s="154" t="s">
        <v>52</v>
      </c>
      <c r="P101" s="157" t="s">
        <v>53</v>
      </c>
      <c r="Q101" s="150" t="s">
        <v>3</v>
      </c>
      <c r="R101" s="150" t="s">
        <v>54</v>
      </c>
      <c r="S101" s="150" t="s">
        <v>55</v>
      </c>
      <c r="T101" s="150" t="s">
        <v>56</v>
      </c>
      <c r="U101" s="150" t="s">
        <v>57</v>
      </c>
      <c r="V101" s="150" t="s">
        <v>58</v>
      </c>
      <c r="W101" s="150" t="s">
        <v>59</v>
      </c>
      <c r="X101" s="150" t="s">
        <v>60</v>
      </c>
      <c r="Y101" s="150" t="s">
        <v>61</v>
      </c>
      <c r="Z101" s="150" t="s">
        <v>62</v>
      </c>
      <c r="AA101" s="150" t="s">
        <v>63</v>
      </c>
      <c r="AB101" s="150" t="s">
        <v>64</v>
      </c>
      <c r="AC101" s="150" t="s">
        <v>65</v>
      </c>
      <c r="AD101" s="150" t="s">
        <v>66</v>
      </c>
      <c r="AE101" s="150" t="s">
        <v>67</v>
      </c>
      <c r="AF101" s="150" t="s">
        <v>68</v>
      </c>
      <c r="AG101" s="150" t="s">
        <v>69</v>
      </c>
      <c r="AH101" s="150" t="s">
        <v>70</v>
      </c>
      <c r="AI101" s="150" t="s">
        <v>71</v>
      </c>
      <c r="AJ101" s="150" t="s">
        <v>72</v>
      </c>
      <c r="AK101" s="150" t="s">
        <v>73</v>
      </c>
      <c r="AL101" s="150" t="s">
        <v>8</v>
      </c>
      <c r="AM101" s="9" t="s">
        <v>2</v>
      </c>
      <c r="AN101" s="9" t="s">
        <v>74</v>
      </c>
      <c r="AO101" s="9" t="s">
        <v>75</v>
      </c>
      <c r="AP101" s="9" t="s">
        <v>9</v>
      </c>
      <c r="AQ101" s="9" t="s">
        <v>76</v>
      </c>
      <c r="AR101" s="9" t="s">
        <v>77</v>
      </c>
      <c r="AS101" s="119" t="s">
        <v>78</v>
      </c>
      <c r="AT101" s="9" t="s">
        <v>79</v>
      </c>
      <c r="AU101" s="9" t="s">
        <v>80</v>
      </c>
      <c r="AV101" s="9" t="s">
        <v>81</v>
      </c>
      <c r="AW101" s="9" t="s">
        <v>82</v>
      </c>
      <c r="AX101" s="9" t="s">
        <v>83</v>
      </c>
      <c r="AY101" s="9" t="s">
        <v>84</v>
      </c>
      <c r="AZ101" s="9" t="s">
        <v>85</v>
      </c>
      <c r="BA101" s="9" t="s">
        <v>86</v>
      </c>
      <c r="BB101" s="9" t="s">
        <v>128</v>
      </c>
      <c r="BC101" s="9" t="s">
        <v>87</v>
      </c>
      <c r="BD101" s="9" t="s">
        <v>88</v>
      </c>
      <c r="BE101" s="9" t="s">
        <v>89</v>
      </c>
      <c r="BF101" s="9" t="s">
        <v>90</v>
      </c>
      <c r="BG101" s="9" t="s">
        <v>91</v>
      </c>
      <c r="BH101" s="9" t="s">
        <v>92</v>
      </c>
      <c r="BI101" s="9" t="s">
        <v>93</v>
      </c>
      <c r="BJ101" s="9" t="s">
        <v>94</v>
      </c>
      <c r="BK101" s="9" t="s">
        <v>95</v>
      </c>
      <c r="BL101" s="9" t="s">
        <v>96</v>
      </c>
      <c r="BM101" s="9" t="s">
        <v>97</v>
      </c>
      <c r="BN101" s="9" t="s">
        <v>98</v>
      </c>
      <c r="BO101" s="9" t="s">
        <v>99</v>
      </c>
      <c r="BP101" s="9" t="s">
        <v>100</v>
      </c>
      <c r="BQ101" s="9" t="s">
        <v>152</v>
      </c>
      <c r="BR101" s="9" t="s">
        <v>101</v>
      </c>
      <c r="BS101" s="9" t="s">
        <v>154</v>
      </c>
      <c r="BT101" s="143" t="s">
        <v>155</v>
      </c>
      <c r="BU101" s="143" t="s">
        <v>156</v>
      </c>
      <c r="BV101" s="143"/>
    </row>
    <row r="102" spans="1:74" ht="15" hidden="1" customHeight="1" x14ac:dyDescent="0.2">
      <c r="A102" s="133">
        <f t="shared" ref="A102:A159" si="196">IF(B102="","",VALUE(MONTH(B102)))</f>
        <v>1</v>
      </c>
      <c r="B102" s="141">
        <v>45292</v>
      </c>
      <c r="C102" s="10" t="s">
        <v>102</v>
      </c>
      <c r="D102" s="42" t="str">
        <f>IF(AR102="","NO","SI")</f>
        <v>NO</v>
      </c>
      <c r="E102" s="7">
        <v>329020</v>
      </c>
      <c r="F102" s="7" t="s">
        <v>160</v>
      </c>
      <c r="G102" s="7" t="s">
        <v>161</v>
      </c>
      <c r="H102" s="29">
        <v>45323</v>
      </c>
      <c r="I102" s="7">
        <v>35204140</v>
      </c>
      <c r="J102" s="7" t="s">
        <v>162</v>
      </c>
      <c r="K102" s="7" t="s">
        <v>163</v>
      </c>
      <c r="L102" s="7" t="s">
        <v>164</v>
      </c>
      <c r="M102" s="7"/>
      <c r="N102" s="29">
        <v>45155</v>
      </c>
      <c r="Q102" s="7" t="s">
        <v>157</v>
      </c>
      <c r="R102" s="7" t="s">
        <v>165</v>
      </c>
      <c r="S102" s="7" t="s">
        <v>126</v>
      </c>
      <c r="T102" s="7" t="s">
        <v>166</v>
      </c>
      <c r="U102" s="7" t="s">
        <v>167</v>
      </c>
      <c r="V102" s="7" t="s">
        <v>168</v>
      </c>
      <c r="W102" s="7">
        <v>108803</v>
      </c>
      <c r="X102" s="7" t="s">
        <v>169</v>
      </c>
      <c r="Y102" s="7" t="s">
        <v>170</v>
      </c>
      <c r="AA102" s="7" t="s">
        <v>171</v>
      </c>
      <c r="AB102" s="7" t="s">
        <v>172</v>
      </c>
      <c r="AC102" s="7">
        <v>1130</v>
      </c>
      <c r="AF102" s="7" t="s">
        <v>173</v>
      </c>
      <c r="AG102" s="7" t="s">
        <v>170</v>
      </c>
      <c r="AI102" s="7" t="s">
        <v>174</v>
      </c>
      <c r="AK102" s="7">
        <v>3</v>
      </c>
      <c r="AL102" s="7">
        <v>1</v>
      </c>
      <c r="AM102" s="7">
        <v>215827.54</v>
      </c>
      <c r="AN102" s="7">
        <v>43910.89</v>
      </c>
      <c r="AP102" s="7">
        <v>40634.57</v>
      </c>
      <c r="AQ102" s="7">
        <v>212551.22</v>
      </c>
      <c r="AS102" s="7">
        <v>4813.47</v>
      </c>
      <c r="AZ102" s="41">
        <v>2406.73</v>
      </c>
      <c r="BG102" s="7">
        <v>4813.47</v>
      </c>
      <c r="BO102" s="7">
        <v>2406.73</v>
      </c>
      <c r="BP102" s="7">
        <v>5000</v>
      </c>
      <c r="BR102" s="7">
        <v>19440.400000000001</v>
      </c>
      <c r="BS102" s="7">
        <v>24845.69</v>
      </c>
      <c r="BT102" s="7">
        <f>+BS102+AM102</f>
        <v>240673.23</v>
      </c>
      <c r="BU102" s="144">
        <f>+AS102/BT102</f>
        <v>2.0000022437061237E-2</v>
      </c>
    </row>
    <row r="103" spans="1:74" ht="15" hidden="1" customHeight="1" x14ac:dyDescent="0.2">
      <c r="A103" s="133">
        <f t="shared" si="196"/>
        <v>1</v>
      </c>
      <c r="B103" s="141">
        <v>45292</v>
      </c>
      <c r="C103" s="10" t="s">
        <v>153</v>
      </c>
      <c r="D103" s="42" t="str">
        <f t="shared" ref="D103:D166" si="197">IF(AR103="","NO","SI")</f>
        <v>NO</v>
      </c>
      <c r="E103" s="7">
        <v>310504</v>
      </c>
      <c r="F103" s="7" t="s">
        <v>175</v>
      </c>
      <c r="G103" s="7" t="s">
        <v>176</v>
      </c>
      <c r="H103" s="29">
        <v>45296</v>
      </c>
      <c r="I103" s="7">
        <v>41474760</v>
      </c>
      <c r="J103" s="7" t="s">
        <v>177</v>
      </c>
      <c r="K103" s="7" t="s">
        <v>178</v>
      </c>
      <c r="L103" s="7" t="s">
        <v>179</v>
      </c>
      <c r="M103" s="7"/>
      <c r="N103" s="29">
        <v>45253</v>
      </c>
      <c r="P103" s="29">
        <v>45291</v>
      </c>
      <c r="Q103" s="7" t="s">
        <v>157</v>
      </c>
      <c r="R103" s="7" t="s">
        <v>165</v>
      </c>
      <c r="S103" s="7" t="s">
        <v>126</v>
      </c>
      <c r="T103" s="7" t="s">
        <v>180</v>
      </c>
      <c r="U103" s="7" t="s">
        <v>167</v>
      </c>
      <c r="V103" s="7" t="s">
        <v>168</v>
      </c>
      <c r="W103" s="7">
        <v>108803</v>
      </c>
      <c r="X103" s="7" t="s">
        <v>169</v>
      </c>
      <c r="Y103" s="7" t="s">
        <v>170</v>
      </c>
      <c r="AA103" s="7" t="s">
        <v>171</v>
      </c>
      <c r="AB103" s="7" t="s">
        <v>172</v>
      </c>
      <c r="AC103" s="7">
        <v>1130</v>
      </c>
      <c r="AE103" s="31"/>
      <c r="AF103" s="31" t="s">
        <v>173</v>
      </c>
      <c r="AG103" s="7" t="s">
        <v>170</v>
      </c>
      <c r="AI103" s="7" t="s">
        <v>174</v>
      </c>
      <c r="AK103" s="7">
        <v>1</v>
      </c>
      <c r="AL103" s="7">
        <v>1</v>
      </c>
      <c r="AP103" s="7">
        <v>4433.33</v>
      </c>
      <c r="AQ103" s="7">
        <v>4433.33</v>
      </c>
      <c r="AS103" s="7"/>
      <c r="AZ103" s="41"/>
    </row>
    <row r="104" spans="1:74" ht="15" hidden="1" customHeight="1" x14ac:dyDescent="0.2">
      <c r="A104" s="133">
        <f t="shared" si="196"/>
        <v>1</v>
      </c>
      <c r="B104" s="141">
        <v>45292</v>
      </c>
      <c r="C104" s="10" t="s">
        <v>102</v>
      </c>
      <c r="D104" s="42" t="str">
        <f t="shared" si="197"/>
        <v>NO</v>
      </c>
      <c r="E104" s="7">
        <v>329022</v>
      </c>
      <c r="F104" s="7" t="s">
        <v>181</v>
      </c>
      <c r="G104" s="7" t="s">
        <v>182</v>
      </c>
      <c r="H104" s="29">
        <v>45323</v>
      </c>
      <c r="I104" s="7">
        <v>42039302</v>
      </c>
      <c r="J104" s="7" t="s">
        <v>183</v>
      </c>
      <c r="K104" s="7" t="s">
        <v>184</v>
      </c>
      <c r="L104" s="7" t="s">
        <v>179</v>
      </c>
      <c r="M104" s="7"/>
      <c r="N104" s="29">
        <v>45159</v>
      </c>
      <c r="Q104" s="7" t="s">
        <v>157</v>
      </c>
      <c r="R104" s="7" t="s">
        <v>165</v>
      </c>
      <c r="S104" s="7" t="s">
        <v>126</v>
      </c>
      <c r="T104" s="7" t="s">
        <v>166</v>
      </c>
      <c r="U104" s="7" t="s">
        <v>167</v>
      </c>
      <c r="V104" s="7" t="s">
        <v>168</v>
      </c>
      <c r="W104" s="7">
        <v>108803</v>
      </c>
      <c r="X104" s="7" t="s">
        <v>169</v>
      </c>
      <c r="Y104" s="7" t="s">
        <v>170</v>
      </c>
      <c r="AA104" s="7" t="s">
        <v>171</v>
      </c>
      <c r="AB104" s="7" t="s">
        <v>172</v>
      </c>
      <c r="AC104" s="7">
        <v>1130</v>
      </c>
      <c r="AE104" s="31"/>
      <c r="AF104" s="7" t="s">
        <v>173</v>
      </c>
      <c r="AG104" s="7" t="s">
        <v>170</v>
      </c>
      <c r="AI104" s="7" t="s">
        <v>174</v>
      </c>
      <c r="AK104" s="7">
        <v>4</v>
      </c>
      <c r="AL104" s="7">
        <v>1</v>
      </c>
      <c r="AM104" s="7">
        <v>165567.94</v>
      </c>
      <c r="AN104" s="7">
        <v>33472.949999999997</v>
      </c>
      <c r="AP104" s="7">
        <v>26756.94</v>
      </c>
      <c r="AQ104" s="7">
        <v>158851.93</v>
      </c>
      <c r="AS104" s="7">
        <v>3550.94</v>
      </c>
      <c r="AZ104" s="7">
        <v>1775.47</v>
      </c>
      <c r="BG104" s="7">
        <v>3550.94</v>
      </c>
      <c r="BO104" s="7">
        <v>1775.47</v>
      </c>
      <c r="BP104" s="7">
        <v>5000</v>
      </c>
      <c r="BR104" s="7">
        <v>15652.82</v>
      </c>
      <c r="BS104" s="7">
        <v>11979.17</v>
      </c>
      <c r="BT104" s="7">
        <f>+BS104+AM104</f>
        <v>177547.11000000002</v>
      </c>
      <c r="BU104" s="144">
        <f>+AS104/BT104</f>
        <v>1.99999876089225E-2</v>
      </c>
    </row>
    <row r="105" spans="1:74" ht="15" hidden="1" customHeight="1" x14ac:dyDescent="0.2">
      <c r="A105" s="133">
        <f t="shared" si="196"/>
        <v>1</v>
      </c>
      <c r="B105" s="141">
        <v>45292</v>
      </c>
      <c r="C105" s="10" t="s">
        <v>153</v>
      </c>
      <c r="D105" s="42" t="str">
        <f t="shared" si="197"/>
        <v>NO</v>
      </c>
      <c r="E105" s="7">
        <v>334136</v>
      </c>
      <c r="F105" s="7" t="s">
        <v>185</v>
      </c>
      <c r="G105" s="7" t="s">
        <v>186</v>
      </c>
      <c r="H105" s="29">
        <v>45296</v>
      </c>
      <c r="I105" s="7">
        <v>45751907</v>
      </c>
      <c r="J105" s="7" t="s">
        <v>187</v>
      </c>
      <c r="K105" s="7" t="s">
        <v>188</v>
      </c>
      <c r="L105" s="7" t="s">
        <v>179</v>
      </c>
      <c r="M105" s="7"/>
      <c r="N105" s="29">
        <v>45270</v>
      </c>
      <c r="P105" s="29">
        <v>45291</v>
      </c>
      <c r="Q105" s="7" t="s">
        <v>157</v>
      </c>
      <c r="R105" s="7" t="s">
        <v>165</v>
      </c>
      <c r="S105" s="7" t="s">
        <v>126</v>
      </c>
      <c r="T105" s="7" t="s">
        <v>166</v>
      </c>
      <c r="U105" s="7" t="s">
        <v>167</v>
      </c>
      <c r="V105" s="7" t="s">
        <v>168</v>
      </c>
      <c r="W105" s="7">
        <v>108803</v>
      </c>
      <c r="X105" s="7" t="s">
        <v>169</v>
      </c>
      <c r="Y105" s="7" t="s">
        <v>170</v>
      </c>
      <c r="AA105" s="7" t="s">
        <v>189</v>
      </c>
      <c r="AB105" s="7" t="s">
        <v>190</v>
      </c>
      <c r="AC105" s="7">
        <v>1584</v>
      </c>
      <c r="AE105" s="31"/>
      <c r="AF105" s="31" t="s">
        <v>173</v>
      </c>
      <c r="AG105" s="31" t="s">
        <v>170</v>
      </c>
      <c r="AI105" s="7" t="s">
        <v>174</v>
      </c>
      <c r="AK105" s="7">
        <v>2</v>
      </c>
      <c r="AL105" s="7">
        <v>1</v>
      </c>
      <c r="AP105" s="7">
        <v>5755.56</v>
      </c>
      <c r="AQ105" s="7">
        <v>5755.56</v>
      </c>
      <c r="AS105" s="7"/>
    </row>
    <row r="106" spans="1:74" ht="15" hidden="1" customHeight="1" x14ac:dyDescent="0.2">
      <c r="A106" s="133">
        <f t="shared" si="196"/>
        <v>1</v>
      </c>
      <c r="B106" s="141">
        <v>45292</v>
      </c>
      <c r="C106" s="10" t="s">
        <v>153</v>
      </c>
      <c r="D106" s="42" t="str">
        <f t="shared" si="197"/>
        <v>NO</v>
      </c>
      <c r="E106" s="7">
        <v>324683</v>
      </c>
      <c r="F106" s="7" t="s">
        <v>191</v>
      </c>
      <c r="G106" s="7" t="s">
        <v>192</v>
      </c>
      <c r="H106" s="29">
        <v>45296</v>
      </c>
      <c r="I106" s="7">
        <v>45541401</v>
      </c>
      <c r="J106" s="7" t="s">
        <v>193</v>
      </c>
      <c r="K106" s="7" t="s">
        <v>194</v>
      </c>
      <c r="L106" s="7" t="s">
        <v>179</v>
      </c>
      <c r="M106" s="7"/>
      <c r="N106" s="29">
        <v>45086</v>
      </c>
      <c r="P106" s="29">
        <v>45291</v>
      </c>
      <c r="Q106" s="7" t="s">
        <v>157</v>
      </c>
      <c r="R106" s="7" t="s">
        <v>165</v>
      </c>
      <c r="S106" s="7" t="s">
        <v>126</v>
      </c>
      <c r="T106" s="7" t="s">
        <v>166</v>
      </c>
      <c r="U106" s="7" t="s">
        <v>167</v>
      </c>
      <c r="V106" s="7" t="s">
        <v>168</v>
      </c>
      <c r="W106" s="7">
        <v>108803</v>
      </c>
      <c r="X106" s="7" t="s">
        <v>169</v>
      </c>
      <c r="Y106" s="7" t="s">
        <v>170</v>
      </c>
      <c r="AA106" s="7" t="s">
        <v>171</v>
      </c>
      <c r="AB106" s="7" t="s">
        <v>172</v>
      </c>
      <c r="AC106" s="7">
        <v>1130</v>
      </c>
      <c r="AF106" s="7" t="s">
        <v>173</v>
      </c>
      <c r="AG106" s="7" t="s">
        <v>170</v>
      </c>
      <c r="AI106" s="7" t="s">
        <v>174</v>
      </c>
      <c r="AK106" s="7">
        <v>1</v>
      </c>
      <c r="AL106" s="7">
        <v>1</v>
      </c>
      <c r="AP106" s="7">
        <v>1788.89</v>
      </c>
      <c r="AQ106" s="7">
        <v>1788.89</v>
      </c>
      <c r="AS106" s="7"/>
      <c r="AZ106" s="41"/>
    </row>
    <row r="107" spans="1:74" ht="15" hidden="1" customHeight="1" x14ac:dyDescent="0.2">
      <c r="A107" s="133">
        <f t="shared" si="196"/>
        <v>1</v>
      </c>
      <c r="B107" s="141">
        <v>45292</v>
      </c>
      <c r="C107" s="10" t="s">
        <v>153</v>
      </c>
      <c r="D107" s="42" t="str">
        <f t="shared" si="197"/>
        <v>NO</v>
      </c>
      <c r="E107" s="7">
        <v>335212</v>
      </c>
      <c r="F107" s="7" t="s">
        <v>195</v>
      </c>
      <c r="G107" s="7" t="s">
        <v>196</v>
      </c>
      <c r="H107" s="29">
        <v>45296</v>
      </c>
      <c r="I107" s="7">
        <v>46380464</v>
      </c>
      <c r="J107" s="7" t="s">
        <v>197</v>
      </c>
      <c r="K107" s="7" t="s">
        <v>198</v>
      </c>
      <c r="L107" s="7" t="s">
        <v>179</v>
      </c>
      <c r="M107" s="7"/>
      <c r="N107" s="29">
        <v>45262</v>
      </c>
      <c r="P107" s="29">
        <v>45291</v>
      </c>
      <c r="Q107" s="7" t="s">
        <v>157</v>
      </c>
      <c r="R107" s="7" t="s">
        <v>199</v>
      </c>
      <c r="S107" s="7" t="s">
        <v>126</v>
      </c>
      <c r="T107" s="7" t="s">
        <v>200</v>
      </c>
      <c r="U107" s="7" t="s">
        <v>167</v>
      </c>
      <c r="V107" s="7" t="s">
        <v>201</v>
      </c>
      <c r="W107" s="7">
        <v>108803</v>
      </c>
      <c r="X107" s="7" t="s">
        <v>169</v>
      </c>
      <c r="Y107" s="7" t="s">
        <v>170</v>
      </c>
      <c r="AA107" s="7" t="s">
        <v>189</v>
      </c>
      <c r="AB107" s="7" t="s">
        <v>190</v>
      </c>
      <c r="AC107" s="7">
        <v>1584</v>
      </c>
      <c r="AE107" s="31"/>
      <c r="AF107" s="31" t="s">
        <v>173</v>
      </c>
      <c r="AG107" s="7" t="s">
        <v>170</v>
      </c>
      <c r="AI107" s="7" t="s">
        <v>174</v>
      </c>
      <c r="AK107" s="7">
        <v>1</v>
      </c>
      <c r="AL107" s="7">
        <v>1</v>
      </c>
      <c r="AP107" s="7">
        <v>4112.5</v>
      </c>
      <c r="AQ107" s="7">
        <v>4112.5</v>
      </c>
      <c r="AS107" s="7"/>
      <c r="AW107" s="118"/>
    </row>
    <row r="108" spans="1:74" ht="15" hidden="1" customHeight="1" x14ac:dyDescent="0.2">
      <c r="A108" s="133">
        <f t="shared" si="196"/>
        <v>1</v>
      </c>
      <c r="B108" s="141">
        <v>45292</v>
      </c>
      <c r="C108" s="10" t="s">
        <v>102</v>
      </c>
      <c r="D108" s="42" t="str">
        <f t="shared" si="197"/>
        <v>NO</v>
      </c>
      <c r="E108" s="7">
        <v>339040</v>
      </c>
      <c r="F108" s="7" t="s">
        <v>202</v>
      </c>
      <c r="G108" s="7" t="s">
        <v>203</v>
      </c>
      <c r="H108" s="29">
        <v>45323</v>
      </c>
      <c r="I108" s="7">
        <v>36262228</v>
      </c>
      <c r="J108" s="7" t="s">
        <v>204</v>
      </c>
      <c r="K108" s="7" t="s">
        <v>205</v>
      </c>
      <c r="L108" s="7" t="s">
        <v>179</v>
      </c>
      <c r="M108" s="7"/>
      <c r="N108" s="29">
        <v>45308</v>
      </c>
      <c r="Q108" s="7" t="s">
        <v>157</v>
      </c>
      <c r="R108" s="7" t="s">
        <v>165</v>
      </c>
      <c r="S108" s="7" t="s">
        <v>126</v>
      </c>
      <c r="T108" s="7" t="s">
        <v>206</v>
      </c>
      <c r="U108" s="7" t="s">
        <v>167</v>
      </c>
      <c r="V108" s="7" t="s">
        <v>207</v>
      </c>
      <c r="W108" s="7">
        <v>108803</v>
      </c>
      <c r="X108" s="7" t="s">
        <v>169</v>
      </c>
      <c r="Y108" s="7" t="s">
        <v>170</v>
      </c>
      <c r="AA108" s="7" t="s">
        <v>208</v>
      </c>
      <c r="AB108" s="7" t="s">
        <v>209</v>
      </c>
      <c r="AC108" s="7">
        <v>1035</v>
      </c>
      <c r="AE108" s="31"/>
      <c r="AF108" s="31" t="s">
        <v>173</v>
      </c>
      <c r="AG108" s="7" t="s">
        <v>170</v>
      </c>
      <c r="AI108" s="7" t="s">
        <v>174</v>
      </c>
      <c r="AK108" s="7">
        <v>1</v>
      </c>
      <c r="AL108" s="7">
        <v>1</v>
      </c>
      <c r="AM108" s="7">
        <v>10648.22</v>
      </c>
      <c r="AN108" s="7">
        <v>2179.56</v>
      </c>
      <c r="AP108" s="7">
        <v>1663.79</v>
      </c>
      <c r="AQ108" s="7">
        <v>10132.450000000001</v>
      </c>
      <c r="AS108" s="7">
        <v>246.24</v>
      </c>
      <c r="AW108" s="118"/>
      <c r="AZ108" s="7">
        <v>123.12</v>
      </c>
      <c r="BG108" s="7">
        <v>246.24</v>
      </c>
      <c r="BO108" s="7">
        <v>123.12</v>
      </c>
      <c r="BR108" s="7">
        <v>738.72</v>
      </c>
      <c r="BS108" s="7">
        <v>1663.79</v>
      </c>
      <c r="BT108" s="7">
        <f t="shared" ref="BT108:BT109" si="198">+BS108+AM108</f>
        <v>12312.009999999998</v>
      </c>
      <c r="BU108" s="144">
        <f t="shared" ref="BU108:BU109" si="199">+AS108/BT108</f>
        <v>1.9999983755698707E-2</v>
      </c>
    </row>
    <row r="109" spans="1:74" ht="15" hidden="1" customHeight="1" x14ac:dyDescent="0.2">
      <c r="A109" s="133">
        <f t="shared" si="196"/>
        <v>1</v>
      </c>
      <c r="B109" s="141">
        <v>45292</v>
      </c>
      <c r="C109" s="10" t="s">
        <v>102</v>
      </c>
      <c r="D109" s="42" t="str">
        <f t="shared" si="197"/>
        <v>NO</v>
      </c>
      <c r="E109" s="7">
        <v>336904</v>
      </c>
      <c r="F109" s="7" t="s">
        <v>210</v>
      </c>
      <c r="G109" s="7" t="s">
        <v>211</v>
      </c>
      <c r="H109" s="29">
        <v>45323</v>
      </c>
      <c r="I109" s="7">
        <v>36066280</v>
      </c>
      <c r="J109" s="7" t="s">
        <v>212</v>
      </c>
      <c r="K109" s="7" t="s">
        <v>213</v>
      </c>
      <c r="L109" s="7" t="s">
        <v>179</v>
      </c>
      <c r="M109" s="7"/>
      <c r="N109" s="29">
        <v>45289</v>
      </c>
      <c r="Q109" s="7" t="s">
        <v>157</v>
      </c>
      <c r="R109" s="7" t="s">
        <v>214</v>
      </c>
      <c r="S109" s="7" t="s">
        <v>126</v>
      </c>
      <c r="T109" s="7" t="s">
        <v>200</v>
      </c>
      <c r="U109" s="7" t="s">
        <v>167</v>
      </c>
      <c r="V109" s="7" t="s">
        <v>215</v>
      </c>
      <c r="W109" s="7">
        <v>106609</v>
      </c>
      <c r="X109" s="7" t="s">
        <v>216</v>
      </c>
      <c r="Y109" s="7" t="s">
        <v>170</v>
      </c>
      <c r="AA109" s="7" t="s">
        <v>171</v>
      </c>
      <c r="AB109" s="7" t="s">
        <v>172</v>
      </c>
      <c r="AC109" s="7">
        <v>1130</v>
      </c>
      <c r="AE109" s="31"/>
      <c r="AF109" s="7" t="s">
        <v>173</v>
      </c>
      <c r="AG109" s="7" t="s">
        <v>170</v>
      </c>
      <c r="AI109" s="7" t="s">
        <v>174</v>
      </c>
      <c r="AK109" s="7">
        <v>2</v>
      </c>
      <c r="AL109" s="7">
        <v>1</v>
      </c>
      <c r="AM109" s="7">
        <v>51103.59</v>
      </c>
      <c r="AN109" s="7">
        <v>10460.27</v>
      </c>
      <c r="AP109" s="7">
        <v>7984.93</v>
      </c>
      <c r="AQ109" s="7">
        <v>48628.25</v>
      </c>
      <c r="AS109" s="7">
        <v>1181.77</v>
      </c>
      <c r="AZ109" s="41">
        <v>590.88</v>
      </c>
      <c r="BG109" s="7">
        <v>1181.77</v>
      </c>
      <c r="BO109" s="7">
        <v>590.88</v>
      </c>
      <c r="BR109" s="7">
        <v>3545.3</v>
      </c>
      <c r="BS109" s="7">
        <v>7984.93</v>
      </c>
      <c r="BT109" s="7">
        <f t="shared" si="198"/>
        <v>59088.52</v>
      </c>
      <c r="BU109" s="144">
        <f t="shared" si="199"/>
        <v>1.9999993230495536E-2</v>
      </c>
    </row>
    <row r="110" spans="1:74" ht="15" hidden="1" customHeight="1" x14ac:dyDescent="0.2">
      <c r="A110" s="133">
        <f t="shared" si="196"/>
        <v>1</v>
      </c>
      <c r="B110" s="141">
        <v>45292</v>
      </c>
      <c r="C110" s="10" t="s">
        <v>153</v>
      </c>
      <c r="D110" s="42" t="str">
        <f t="shared" si="197"/>
        <v>NO</v>
      </c>
      <c r="E110" s="7">
        <v>334577</v>
      </c>
      <c r="F110" s="7" t="s">
        <v>217</v>
      </c>
      <c r="G110" s="7" t="s">
        <v>218</v>
      </c>
      <c r="H110" s="29">
        <v>45296</v>
      </c>
      <c r="I110" s="7">
        <v>46696319</v>
      </c>
      <c r="J110" s="7" t="s">
        <v>219</v>
      </c>
      <c r="K110" s="7" t="s">
        <v>220</v>
      </c>
      <c r="L110" s="7" t="s">
        <v>179</v>
      </c>
      <c r="M110" s="7"/>
      <c r="N110" s="29">
        <v>45253</v>
      </c>
      <c r="P110" s="29">
        <v>45291</v>
      </c>
      <c r="Q110" s="7" t="s">
        <v>157</v>
      </c>
      <c r="R110" s="7" t="s">
        <v>165</v>
      </c>
      <c r="S110" s="7" t="s">
        <v>126</v>
      </c>
      <c r="T110" s="7" t="s">
        <v>166</v>
      </c>
      <c r="U110" s="7" t="s">
        <v>167</v>
      </c>
      <c r="V110" s="7" t="s">
        <v>168</v>
      </c>
      <c r="W110" s="7">
        <v>108803</v>
      </c>
      <c r="X110" s="7" t="s">
        <v>169</v>
      </c>
      <c r="Y110" s="7" t="s">
        <v>170</v>
      </c>
      <c r="AA110" s="7" t="s">
        <v>171</v>
      </c>
      <c r="AB110" s="7" t="s">
        <v>172</v>
      </c>
      <c r="AC110" s="7">
        <v>1130</v>
      </c>
      <c r="AF110" s="7" t="s">
        <v>173</v>
      </c>
      <c r="AG110" s="7" t="s">
        <v>170</v>
      </c>
      <c r="AI110" s="7" t="s">
        <v>174</v>
      </c>
      <c r="AK110" s="7">
        <v>2</v>
      </c>
      <c r="AL110" s="7">
        <v>1</v>
      </c>
      <c r="AP110" s="7">
        <v>6533.33</v>
      </c>
      <c r="AQ110" s="7">
        <v>6533.33</v>
      </c>
      <c r="AS110" s="7"/>
    </row>
    <row r="111" spans="1:74" ht="15" hidden="1" customHeight="1" x14ac:dyDescent="0.2">
      <c r="A111" s="133">
        <f t="shared" si="196"/>
        <v>1</v>
      </c>
      <c r="B111" s="141">
        <v>45292</v>
      </c>
      <c r="C111" s="10" t="s">
        <v>153</v>
      </c>
      <c r="D111" s="42" t="str">
        <f t="shared" si="197"/>
        <v>NO</v>
      </c>
      <c r="E111" s="7">
        <v>337301</v>
      </c>
      <c r="F111" s="7" t="s">
        <v>221</v>
      </c>
      <c r="G111" s="7" t="s">
        <v>222</v>
      </c>
      <c r="H111" s="29">
        <v>45296</v>
      </c>
      <c r="I111" s="7">
        <v>46174175</v>
      </c>
      <c r="J111" s="7" t="s">
        <v>223</v>
      </c>
      <c r="K111" s="7" t="s">
        <v>224</v>
      </c>
      <c r="L111" s="7" t="s">
        <v>179</v>
      </c>
      <c r="M111" s="7"/>
      <c r="N111" s="29">
        <v>45269</v>
      </c>
      <c r="P111" s="29">
        <v>45291</v>
      </c>
      <c r="Q111" s="7" t="s">
        <v>157</v>
      </c>
      <c r="R111" s="7" t="s">
        <v>165</v>
      </c>
      <c r="S111" s="7" t="s">
        <v>126</v>
      </c>
      <c r="T111" s="7" t="s">
        <v>166</v>
      </c>
      <c r="U111" s="7" t="s">
        <v>167</v>
      </c>
      <c r="V111" s="7" t="s">
        <v>168</v>
      </c>
      <c r="W111" s="7">
        <v>108803</v>
      </c>
      <c r="X111" s="7" t="s">
        <v>169</v>
      </c>
      <c r="Y111" s="7" t="s">
        <v>170</v>
      </c>
      <c r="AA111" s="7" t="s">
        <v>189</v>
      </c>
      <c r="AB111" s="7" t="s">
        <v>190</v>
      </c>
      <c r="AC111" s="7">
        <v>1584</v>
      </c>
      <c r="AE111" s="31"/>
      <c r="AF111" s="7" t="s">
        <v>170</v>
      </c>
      <c r="AG111" s="7" t="s">
        <v>170</v>
      </c>
      <c r="AI111" s="7" t="s">
        <v>174</v>
      </c>
      <c r="AK111" s="7">
        <v>1</v>
      </c>
      <c r="AL111" s="7">
        <v>1</v>
      </c>
      <c r="AP111" s="7">
        <v>700</v>
      </c>
      <c r="AQ111" s="7">
        <v>700</v>
      </c>
      <c r="AS111" s="7"/>
      <c r="AW111" s="118"/>
      <c r="AZ111" s="41"/>
    </row>
    <row r="112" spans="1:74" ht="15" hidden="1" customHeight="1" x14ac:dyDescent="0.2">
      <c r="A112" s="133">
        <f t="shared" si="196"/>
        <v>1</v>
      </c>
      <c r="B112" s="141">
        <v>45292</v>
      </c>
      <c r="C112" s="10" t="s">
        <v>102</v>
      </c>
      <c r="D112" s="42" t="str">
        <f t="shared" si="197"/>
        <v>NO</v>
      </c>
      <c r="E112" s="7">
        <v>299732</v>
      </c>
      <c r="F112" s="7" t="s">
        <v>225</v>
      </c>
      <c r="G112" s="7" t="s">
        <v>226</v>
      </c>
      <c r="H112" s="29">
        <v>45323</v>
      </c>
      <c r="I112" s="7">
        <v>40868166</v>
      </c>
      <c r="J112" s="7" t="s">
        <v>227</v>
      </c>
      <c r="K112" s="7" t="s">
        <v>228</v>
      </c>
      <c r="L112" s="7" t="s">
        <v>179</v>
      </c>
      <c r="M112" s="7"/>
      <c r="N112" s="29">
        <v>45303</v>
      </c>
      <c r="Q112" s="7" t="s">
        <v>157</v>
      </c>
      <c r="R112" s="7" t="s">
        <v>165</v>
      </c>
      <c r="S112" s="7" t="s">
        <v>126</v>
      </c>
      <c r="T112" s="7" t="s">
        <v>166</v>
      </c>
      <c r="U112" s="7" t="s">
        <v>167</v>
      </c>
      <c r="V112" s="7" t="s">
        <v>229</v>
      </c>
      <c r="W112" s="7">
        <v>108803</v>
      </c>
      <c r="X112" s="7" t="s">
        <v>169</v>
      </c>
      <c r="Y112" s="7" t="s">
        <v>170</v>
      </c>
      <c r="AA112" s="7" t="s">
        <v>208</v>
      </c>
      <c r="AB112" s="7" t="s">
        <v>209</v>
      </c>
      <c r="AC112" s="7">
        <v>1035</v>
      </c>
      <c r="AE112" s="31"/>
      <c r="AF112" s="31" t="s">
        <v>173</v>
      </c>
      <c r="AG112" s="31" t="s">
        <v>170</v>
      </c>
      <c r="AK112" s="7">
        <v>1</v>
      </c>
      <c r="AL112" s="7">
        <v>1</v>
      </c>
      <c r="AM112" s="7">
        <v>63443.29</v>
      </c>
      <c r="AN112" s="7">
        <v>12954.87</v>
      </c>
      <c r="AP112" s="7">
        <v>8873.4599999999991</v>
      </c>
      <c r="AQ112" s="7">
        <v>59361.88</v>
      </c>
      <c r="AS112" s="7">
        <v>1446.34</v>
      </c>
      <c r="AZ112" s="7">
        <v>723.17</v>
      </c>
      <c r="BG112" s="7">
        <v>1446.34</v>
      </c>
      <c r="BO112" s="7">
        <v>723.17</v>
      </c>
      <c r="BP112" s="7">
        <v>5000</v>
      </c>
      <c r="BR112" s="7">
        <v>9339.02</v>
      </c>
      <c r="BS112" s="7">
        <v>8873.4599999999991</v>
      </c>
      <c r="BT112" s="7">
        <f>+BS112+AM112</f>
        <v>72316.75</v>
      </c>
      <c r="BU112" s="144">
        <f>+AS112/BT112</f>
        <v>2.0000069140275245E-2</v>
      </c>
    </row>
    <row r="113" spans="1:73" ht="15" hidden="1" customHeight="1" x14ac:dyDescent="0.2">
      <c r="A113" s="133">
        <f t="shared" si="196"/>
        <v>1</v>
      </c>
      <c r="B113" s="141">
        <v>45292</v>
      </c>
      <c r="C113" s="10" t="s">
        <v>153</v>
      </c>
      <c r="D113" s="42" t="str">
        <f t="shared" si="197"/>
        <v>NO</v>
      </c>
      <c r="E113" s="7">
        <v>332656</v>
      </c>
      <c r="F113" s="7" t="s">
        <v>230</v>
      </c>
      <c r="G113" s="7" t="s">
        <v>231</v>
      </c>
      <c r="H113" s="29">
        <v>45296</v>
      </c>
      <c r="I113" s="7">
        <v>39917788</v>
      </c>
      <c r="J113" s="7" t="s">
        <v>232</v>
      </c>
      <c r="K113" s="7" t="s">
        <v>233</v>
      </c>
      <c r="L113" s="7" t="s">
        <v>179</v>
      </c>
      <c r="M113" s="7"/>
      <c r="N113" s="29">
        <v>45228</v>
      </c>
      <c r="P113" s="29">
        <v>45291</v>
      </c>
      <c r="Q113" s="7" t="s">
        <v>157</v>
      </c>
      <c r="R113" s="7" t="s">
        <v>165</v>
      </c>
      <c r="S113" s="7" t="s">
        <v>126</v>
      </c>
      <c r="T113" s="7" t="s">
        <v>166</v>
      </c>
      <c r="U113" s="7" t="s">
        <v>167</v>
      </c>
      <c r="V113" s="7" t="s">
        <v>168</v>
      </c>
      <c r="W113" s="7">
        <v>108803</v>
      </c>
      <c r="X113" s="7" t="s">
        <v>169</v>
      </c>
      <c r="Y113" s="7" t="s">
        <v>170</v>
      </c>
      <c r="AA113" s="7" t="s">
        <v>171</v>
      </c>
      <c r="AB113" s="7" t="s">
        <v>172</v>
      </c>
      <c r="AC113" s="7">
        <v>1130</v>
      </c>
      <c r="AE113" s="31"/>
      <c r="AF113" s="31" t="s">
        <v>173</v>
      </c>
      <c r="AG113" s="7" t="s">
        <v>170</v>
      </c>
      <c r="AI113" s="7" t="s">
        <v>174</v>
      </c>
      <c r="AK113" s="7">
        <v>2</v>
      </c>
      <c r="AL113" s="7">
        <v>1</v>
      </c>
      <c r="AP113" s="7">
        <v>6844.44</v>
      </c>
      <c r="AQ113" s="7">
        <v>6844.44</v>
      </c>
      <c r="AS113" s="7"/>
      <c r="AW113" s="118"/>
    </row>
    <row r="114" spans="1:73" ht="15" hidden="1" customHeight="1" x14ac:dyDescent="0.2">
      <c r="A114" s="133">
        <f t="shared" si="196"/>
        <v>1</v>
      </c>
      <c r="B114" s="141">
        <v>45292</v>
      </c>
      <c r="C114" s="10" t="s">
        <v>153</v>
      </c>
      <c r="D114" s="42" t="str">
        <f t="shared" si="197"/>
        <v>NO</v>
      </c>
      <c r="E114" s="7">
        <v>334648</v>
      </c>
      <c r="F114" s="7" t="s">
        <v>234</v>
      </c>
      <c r="G114" s="7" t="s">
        <v>235</v>
      </c>
      <c r="H114" s="29">
        <v>45296</v>
      </c>
      <c r="I114" s="7">
        <v>96229007</v>
      </c>
      <c r="J114" s="7" t="s">
        <v>236</v>
      </c>
      <c r="K114" s="7" t="s">
        <v>237</v>
      </c>
      <c r="L114" s="7" t="s">
        <v>179</v>
      </c>
      <c r="M114" s="7"/>
      <c r="N114" s="29">
        <v>45256</v>
      </c>
      <c r="P114" s="29">
        <v>45291</v>
      </c>
      <c r="Q114" s="7" t="s">
        <v>157</v>
      </c>
      <c r="R114" s="7" t="s">
        <v>238</v>
      </c>
      <c r="S114" s="7" t="s">
        <v>126</v>
      </c>
      <c r="T114" s="7" t="s">
        <v>239</v>
      </c>
      <c r="U114" s="7" t="s">
        <v>167</v>
      </c>
      <c r="V114" s="7" t="s">
        <v>240</v>
      </c>
      <c r="W114" s="7">
        <v>108803</v>
      </c>
      <c r="X114" s="7" t="s">
        <v>169</v>
      </c>
      <c r="Y114" s="7" t="s">
        <v>170</v>
      </c>
      <c r="AA114" s="7" t="s">
        <v>208</v>
      </c>
      <c r="AB114" s="7" t="s">
        <v>209</v>
      </c>
      <c r="AC114" s="7">
        <v>1035</v>
      </c>
      <c r="AE114" s="31"/>
      <c r="AF114" s="7" t="s">
        <v>173</v>
      </c>
      <c r="AG114" s="7" t="s">
        <v>170</v>
      </c>
      <c r="AI114" s="7" t="s">
        <v>174</v>
      </c>
      <c r="AK114" s="7">
        <v>2</v>
      </c>
      <c r="AL114" s="7">
        <v>1</v>
      </c>
      <c r="AP114" s="7">
        <v>9450</v>
      </c>
      <c r="AQ114" s="7">
        <v>9450</v>
      </c>
      <c r="AS114" s="7"/>
      <c r="AZ114" s="41"/>
    </row>
    <row r="115" spans="1:73" ht="15" hidden="1" customHeight="1" x14ac:dyDescent="0.2">
      <c r="A115" s="133">
        <f t="shared" si="196"/>
        <v>1</v>
      </c>
      <c r="B115" s="141">
        <v>45292</v>
      </c>
      <c r="C115" s="10" t="s">
        <v>102</v>
      </c>
      <c r="D115" s="42" t="str">
        <f t="shared" si="197"/>
        <v>NO</v>
      </c>
      <c r="E115" s="7">
        <v>289892</v>
      </c>
      <c r="F115" s="7" t="s">
        <v>241</v>
      </c>
      <c r="G115" s="7" t="s">
        <v>242</v>
      </c>
      <c r="H115" s="29">
        <v>45323</v>
      </c>
      <c r="I115" s="7">
        <v>96116024</v>
      </c>
      <c r="J115" s="7" t="s">
        <v>243</v>
      </c>
      <c r="K115" s="7" t="s">
        <v>244</v>
      </c>
      <c r="L115" s="7" t="s">
        <v>179</v>
      </c>
      <c r="M115" s="7"/>
      <c r="N115" s="29">
        <v>45106</v>
      </c>
      <c r="Q115" s="7" t="s">
        <v>157</v>
      </c>
      <c r="R115" s="7" t="s">
        <v>245</v>
      </c>
      <c r="S115" s="7" t="s">
        <v>126</v>
      </c>
      <c r="T115" s="7" t="s">
        <v>200</v>
      </c>
      <c r="U115" s="7" t="s">
        <v>167</v>
      </c>
      <c r="V115" s="7" t="s">
        <v>246</v>
      </c>
      <c r="W115" s="7">
        <v>108803</v>
      </c>
      <c r="X115" s="7" t="s">
        <v>169</v>
      </c>
      <c r="Y115" s="7" t="s">
        <v>170</v>
      </c>
      <c r="AA115" s="7" t="s">
        <v>189</v>
      </c>
      <c r="AB115" s="7" t="s">
        <v>190</v>
      </c>
      <c r="AC115" s="7">
        <v>1584</v>
      </c>
      <c r="AE115" s="31"/>
      <c r="AF115" s="31" t="s">
        <v>173</v>
      </c>
      <c r="AG115" s="31" t="s">
        <v>170</v>
      </c>
      <c r="AI115" s="7" t="s">
        <v>174</v>
      </c>
      <c r="AK115" s="7">
        <v>5</v>
      </c>
      <c r="AL115" s="7">
        <v>1</v>
      </c>
      <c r="AM115" s="7">
        <v>203500.2</v>
      </c>
      <c r="AN115" s="7">
        <v>41647.68</v>
      </c>
      <c r="AP115" s="7">
        <v>53987.839999999997</v>
      </c>
      <c r="AQ115" s="7">
        <v>215840.36</v>
      </c>
      <c r="AS115" s="7">
        <v>4701.76</v>
      </c>
      <c r="AZ115" s="41">
        <v>2350.88</v>
      </c>
      <c r="BG115" s="7">
        <v>4701.76</v>
      </c>
      <c r="BO115" s="7">
        <v>2350.88</v>
      </c>
      <c r="BP115" s="7">
        <v>5000</v>
      </c>
      <c r="BR115" s="7">
        <v>19105.28</v>
      </c>
      <c r="BS115" s="7">
        <v>31587.84</v>
      </c>
      <c r="BT115" s="7">
        <f t="shared" ref="BT115:BT116" si="200">+BS115+AM115</f>
        <v>235088.04</v>
      </c>
      <c r="BU115" s="144">
        <f t="shared" ref="BU115:BU116" si="201">+AS115/BT115</f>
        <v>1.9999996597019568E-2</v>
      </c>
    </row>
    <row r="116" spans="1:73" ht="15" hidden="1" customHeight="1" x14ac:dyDescent="0.2">
      <c r="A116" s="133">
        <f t="shared" si="196"/>
        <v>1</v>
      </c>
      <c r="B116" s="141">
        <v>45292</v>
      </c>
      <c r="C116" s="10" t="s">
        <v>102</v>
      </c>
      <c r="D116" s="42" t="str">
        <f t="shared" si="197"/>
        <v>NO</v>
      </c>
      <c r="E116" s="7">
        <v>145511</v>
      </c>
      <c r="F116" s="7" t="s">
        <v>247</v>
      </c>
      <c r="G116" s="7" t="s">
        <v>248</v>
      </c>
      <c r="H116" s="29">
        <v>45323</v>
      </c>
      <c r="I116" s="7">
        <v>26978446</v>
      </c>
      <c r="J116" s="7" t="s">
        <v>249</v>
      </c>
      <c r="K116" s="7" t="s">
        <v>250</v>
      </c>
      <c r="L116" s="7" t="s">
        <v>179</v>
      </c>
      <c r="M116" s="7"/>
      <c r="N116" s="29">
        <v>45007</v>
      </c>
      <c r="Q116" s="7" t="s">
        <v>157</v>
      </c>
      <c r="R116" s="7" t="s">
        <v>238</v>
      </c>
      <c r="S116" s="7" t="s">
        <v>126</v>
      </c>
      <c r="T116" s="7" t="s">
        <v>200</v>
      </c>
      <c r="U116" s="7" t="s">
        <v>167</v>
      </c>
      <c r="V116" s="7" t="s">
        <v>240</v>
      </c>
      <c r="W116" s="7">
        <v>108803</v>
      </c>
      <c r="X116" s="7" t="s">
        <v>169</v>
      </c>
      <c r="Y116" s="7" t="s">
        <v>170</v>
      </c>
      <c r="AA116" s="7" t="s">
        <v>189</v>
      </c>
      <c r="AB116" s="7" t="s">
        <v>190</v>
      </c>
      <c r="AC116" s="7">
        <v>1584</v>
      </c>
      <c r="AE116" s="31"/>
      <c r="AF116" s="7" t="s">
        <v>173</v>
      </c>
      <c r="AG116" s="7" t="s">
        <v>170</v>
      </c>
      <c r="AI116" s="7" t="s">
        <v>174</v>
      </c>
      <c r="AK116" s="7">
        <v>4</v>
      </c>
      <c r="AL116" s="7">
        <v>1</v>
      </c>
      <c r="AM116" s="7">
        <v>285377.62</v>
      </c>
      <c r="AN116" s="7">
        <v>58413.09</v>
      </c>
      <c r="AP116" s="7">
        <v>60860.55</v>
      </c>
      <c r="AQ116" s="7">
        <v>287825.08</v>
      </c>
      <c r="AS116" s="7">
        <v>6599.26</v>
      </c>
      <c r="AZ116" s="41">
        <v>3299.63</v>
      </c>
      <c r="BG116" s="7">
        <v>6599.26</v>
      </c>
      <c r="BO116" s="7">
        <v>3299.63</v>
      </c>
      <c r="BP116" s="7">
        <v>5000</v>
      </c>
      <c r="BR116" s="7">
        <v>24797.78</v>
      </c>
      <c r="BS116" s="7">
        <v>44585.55</v>
      </c>
      <c r="BT116" s="7">
        <f t="shared" si="200"/>
        <v>329963.17</v>
      </c>
      <c r="BU116" s="144">
        <f t="shared" si="201"/>
        <v>1.9999989695819689E-2</v>
      </c>
    </row>
    <row r="117" spans="1:73" ht="15" hidden="1" customHeight="1" x14ac:dyDescent="0.2">
      <c r="A117" s="133">
        <f t="shared" si="196"/>
        <v>1</v>
      </c>
      <c r="B117" s="141">
        <v>45292</v>
      </c>
      <c r="C117" s="10" t="s">
        <v>153</v>
      </c>
      <c r="D117" s="42" t="str">
        <f t="shared" si="197"/>
        <v>NO</v>
      </c>
      <c r="E117" s="7">
        <v>317837</v>
      </c>
      <c r="F117" s="7" t="s">
        <v>251</v>
      </c>
      <c r="G117" s="7" t="s">
        <v>159</v>
      </c>
      <c r="H117" s="29">
        <v>45296</v>
      </c>
      <c r="I117" s="7">
        <v>40458396</v>
      </c>
      <c r="J117" s="7" t="s">
        <v>252</v>
      </c>
      <c r="K117" s="7" t="s">
        <v>253</v>
      </c>
      <c r="L117" s="7" t="s">
        <v>179</v>
      </c>
      <c r="M117" s="7"/>
      <c r="N117" s="29">
        <v>45134</v>
      </c>
      <c r="P117" s="29">
        <v>45291</v>
      </c>
      <c r="Q117" s="7" t="s">
        <v>157</v>
      </c>
      <c r="R117" s="7" t="s">
        <v>214</v>
      </c>
      <c r="S117" s="7" t="s">
        <v>126</v>
      </c>
      <c r="T117" s="7" t="s">
        <v>239</v>
      </c>
      <c r="U117" s="7" t="s">
        <v>167</v>
      </c>
      <c r="V117" s="7" t="s">
        <v>254</v>
      </c>
      <c r="W117" s="7">
        <v>108803</v>
      </c>
      <c r="X117" s="7" t="s">
        <v>169</v>
      </c>
      <c r="Y117" s="7" t="s">
        <v>170</v>
      </c>
      <c r="AA117" s="7" t="s">
        <v>171</v>
      </c>
      <c r="AB117" s="7" t="s">
        <v>172</v>
      </c>
      <c r="AC117" s="7">
        <v>1130</v>
      </c>
      <c r="AE117" s="31"/>
      <c r="AF117" s="31" t="s">
        <v>173</v>
      </c>
      <c r="AG117" s="7" t="s">
        <v>170</v>
      </c>
      <c r="AI117" s="7" t="s">
        <v>174</v>
      </c>
      <c r="AK117" s="7">
        <v>1</v>
      </c>
      <c r="AL117" s="7">
        <v>1</v>
      </c>
      <c r="AP117" s="7">
        <v>875</v>
      </c>
      <c r="AQ117" s="7">
        <v>875</v>
      </c>
      <c r="AS117" s="7"/>
      <c r="AW117" s="118"/>
    </row>
    <row r="118" spans="1:73" ht="15" hidden="1" customHeight="1" x14ac:dyDescent="0.2">
      <c r="A118" s="133">
        <f t="shared" si="196"/>
        <v>1</v>
      </c>
      <c r="B118" s="141">
        <v>45292</v>
      </c>
      <c r="C118" s="10" t="s">
        <v>102</v>
      </c>
      <c r="D118" s="42" t="str">
        <f t="shared" si="197"/>
        <v>NO</v>
      </c>
      <c r="E118" s="7">
        <v>311836</v>
      </c>
      <c r="F118" s="7" t="s">
        <v>255</v>
      </c>
      <c r="G118" s="7" t="s">
        <v>256</v>
      </c>
      <c r="H118" s="29">
        <v>45323</v>
      </c>
      <c r="I118" s="7">
        <v>44709690</v>
      </c>
      <c r="J118" s="7" t="s">
        <v>257</v>
      </c>
      <c r="K118" s="7" t="s">
        <v>258</v>
      </c>
      <c r="L118" s="7" t="s">
        <v>164</v>
      </c>
      <c r="M118" s="7"/>
      <c r="N118" s="29">
        <v>44893</v>
      </c>
      <c r="Q118" s="7" t="s">
        <v>157</v>
      </c>
      <c r="R118" s="7" t="s">
        <v>165</v>
      </c>
      <c r="S118" s="7" t="s">
        <v>126</v>
      </c>
      <c r="T118" s="7" t="s">
        <v>166</v>
      </c>
      <c r="U118" s="7" t="s">
        <v>167</v>
      </c>
      <c r="V118" s="7" t="s">
        <v>168</v>
      </c>
      <c r="W118" s="7">
        <v>108803</v>
      </c>
      <c r="X118" s="7" t="s">
        <v>169</v>
      </c>
      <c r="Y118" s="7" t="s">
        <v>170</v>
      </c>
      <c r="AA118" s="7" t="s">
        <v>189</v>
      </c>
      <c r="AB118" s="7" t="s">
        <v>190</v>
      </c>
      <c r="AC118" s="7">
        <v>1584</v>
      </c>
      <c r="AE118" s="31"/>
      <c r="AF118" s="7" t="s">
        <v>170</v>
      </c>
      <c r="AG118" s="7" t="s">
        <v>170</v>
      </c>
      <c r="AI118" s="7" t="s">
        <v>174</v>
      </c>
      <c r="AK118" s="7">
        <v>2</v>
      </c>
      <c r="AL118" s="7">
        <v>1</v>
      </c>
      <c r="AM118" s="7">
        <v>163398.18</v>
      </c>
      <c r="AN118" s="7">
        <v>33358.47</v>
      </c>
      <c r="AP118" s="7">
        <v>38338.43</v>
      </c>
      <c r="AQ118" s="7">
        <v>168378.14</v>
      </c>
      <c r="AS118" s="7">
        <v>3720.51</v>
      </c>
      <c r="AZ118" s="7">
        <v>1860.26</v>
      </c>
      <c r="BG118" s="7">
        <v>3720.51</v>
      </c>
      <c r="BO118" s="7">
        <v>1860.26</v>
      </c>
      <c r="BP118" s="7">
        <v>5000</v>
      </c>
      <c r="BR118" s="7">
        <v>16161.54</v>
      </c>
      <c r="BS118" s="7">
        <v>22627.32</v>
      </c>
      <c r="BT118" s="7">
        <f t="shared" ref="BT118:BT120" si="202">+BS118+AM118</f>
        <v>186025.5</v>
      </c>
      <c r="BU118" s="144">
        <f t="shared" ref="BU118:BU120" si="203">+AS118/BT118</f>
        <v>0.02</v>
      </c>
    </row>
    <row r="119" spans="1:73" ht="15" hidden="1" customHeight="1" x14ac:dyDescent="0.2">
      <c r="A119" s="133">
        <f t="shared" si="196"/>
        <v>1</v>
      </c>
      <c r="B119" s="141">
        <v>45292</v>
      </c>
      <c r="C119" s="10" t="s">
        <v>102</v>
      </c>
      <c r="D119" s="42" t="str">
        <f t="shared" si="197"/>
        <v>NO</v>
      </c>
      <c r="E119" s="7">
        <v>311855</v>
      </c>
      <c r="F119" s="7" t="s">
        <v>259</v>
      </c>
      <c r="G119" s="7" t="s">
        <v>260</v>
      </c>
      <c r="H119" s="29">
        <v>45323</v>
      </c>
      <c r="I119" s="7">
        <v>23804102</v>
      </c>
      <c r="J119" s="7" t="s">
        <v>261</v>
      </c>
      <c r="K119" s="7" t="s">
        <v>262</v>
      </c>
      <c r="L119" s="7" t="s">
        <v>164</v>
      </c>
      <c r="M119" s="7"/>
      <c r="N119" s="29">
        <v>45281</v>
      </c>
      <c r="Q119" s="7" t="s">
        <v>157</v>
      </c>
      <c r="R119" s="7" t="s">
        <v>238</v>
      </c>
      <c r="S119" s="7" t="s">
        <v>126</v>
      </c>
      <c r="T119" s="7" t="s">
        <v>206</v>
      </c>
      <c r="U119" s="7" t="s">
        <v>167</v>
      </c>
      <c r="V119" s="7" t="s">
        <v>240</v>
      </c>
      <c r="W119" s="7">
        <v>108803</v>
      </c>
      <c r="X119" s="7" t="s">
        <v>169</v>
      </c>
      <c r="Y119" s="7" t="s">
        <v>170</v>
      </c>
      <c r="AA119" s="7" t="s">
        <v>208</v>
      </c>
      <c r="AB119" s="7" t="s">
        <v>209</v>
      </c>
      <c r="AC119" s="7">
        <v>1035</v>
      </c>
      <c r="AE119" s="31"/>
      <c r="AF119" s="31" t="s">
        <v>173</v>
      </c>
      <c r="AG119" s="7" t="s">
        <v>170</v>
      </c>
      <c r="AI119" s="7" t="s">
        <v>174</v>
      </c>
      <c r="AK119" s="7">
        <v>2</v>
      </c>
      <c r="AL119" s="7">
        <v>1</v>
      </c>
      <c r="AM119" s="7">
        <v>30437.07</v>
      </c>
      <c r="AN119" s="7">
        <v>6230.09</v>
      </c>
      <c r="AP119" s="7">
        <v>13505.79</v>
      </c>
      <c r="AQ119" s="7">
        <v>37712.769999999997</v>
      </c>
      <c r="AS119" s="7">
        <v>703.86</v>
      </c>
      <c r="AZ119" s="41">
        <v>351.93</v>
      </c>
      <c r="BG119" s="7">
        <v>703.86</v>
      </c>
      <c r="BO119" s="7">
        <v>351.93</v>
      </c>
      <c r="BR119" s="7">
        <v>2111.58</v>
      </c>
      <c r="BS119" s="7">
        <v>4755.79</v>
      </c>
      <c r="BT119" s="7">
        <f t="shared" si="202"/>
        <v>35192.86</v>
      </c>
      <c r="BU119" s="144">
        <f t="shared" si="203"/>
        <v>2.0000079561592891E-2</v>
      </c>
    </row>
    <row r="120" spans="1:73" ht="15" hidden="1" customHeight="1" x14ac:dyDescent="0.2">
      <c r="A120" s="133">
        <f t="shared" si="196"/>
        <v>1</v>
      </c>
      <c r="B120" s="141">
        <v>45292</v>
      </c>
      <c r="C120" s="10" t="s">
        <v>102</v>
      </c>
      <c r="D120" s="42" t="str">
        <f t="shared" si="197"/>
        <v>NO</v>
      </c>
      <c r="E120" s="7">
        <v>334129</v>
      </c>
      <c r="F120" s="7" t="s">
        <v>263</v>
      </c>
      <c r="G120" s="7" t="s">
        <v>264</v>
      </c>
      <c r="H120" s="29">
        <v>45323</v>
      </c>
      <c r="I120" s="7">
        <v>40080070</v>
      </c>
      <c r="J120" s="7" t="s">
        <v>265</v>
      </c>
      <c r="K120" s="7" t="s">
        <v>266</v>
      </c>
      <c r="L120" s="7" t="s">
        <v>179</v>
      </c>
      <c r="M120" s="7"/>
      <c r="N120" s="29">
        <v>45241</v>
      </c>
      <c r="Q120" s="7" t="s">
        <v>157</v>
      </c>
      <c r="R120" s="7" t="s">
        <v>165</v>
      </c>
      <c r="S120" s="7" t="s">
        <v>126</v>
      </c>
      <c r="T120" s="7" t="s">
        <v>239</v>
      </c>
      <c r="U120" s="7" t="s">
        <v>167</v>
      </c>
      <c r="V120" s="7" t="s">
        <v>168</v>
      </c>
      <c r="W120" s="7">
        <v>111605</v>
      </c>
      <c r="X120" s="7" t="s">
        <v>267</v>
      </c>
      <c r="Y120" s="7" t="s">
        <v>170</v>
      </c>
      <c r="AA120" s="7" t="s">
        <v>171</v>
      </c>
      <c r="AB120" s="7" t="s">
        <v>172</v>
      </c>
      <c r="AC120" s="7">
        <v>1130</v>
      </c>
      <c r="AE120" s="31"/>
      <c r="AF120" s="31" t="s">
        <v>173</v>
      </c>
      <c r="AG120" s="7" t="s">
        <v>170</v>
      </c>
      <c r="AI120" s="7" t="s">
        <v>174</v>
      </c>
      <c r="AK120" s="7">
        <v>3</v>
      </c>
      <c r="AL120" s="7">
        <v>1</v>
      </c>
      <c r="AM120" s="7">
        <v>67083.820000000007</v>
      </c>
      <c r="AN120" s="7">
        <v>13731.21</v>
      </c>
      <c r="AP120" s="7">
        <v>15284.63</v>
      </c>
      <c r="AQ120" s="7">
        <v>68637.240000000005</v>
      </c>
      <c r="AS120" s="7">
        <v>1551.31</v>
      </c>
      <c r="AZ120" s="7">
        <v>775.66</v>
      </c>
      <c r="BG120" s="7">
        <v>1551.31</v>
      </c>
      <c r="BO120" s="7">
        <v>775.66</v>
      </c>
      <c r="BR120" s="7">
        <v>4653.9399999999996</v>
      </c>
      <c r="BS120" s="7">
        <v>10481.85</v>
      </c>
      <c r="BT120" s="7">
        <f t="shared" si="202"/>
        <v>77565.670000000013</v>
      </c>
      <c r="BU120" s="144">
        <f t="shared" si="203"/>
        <v>1.9999956166175059E-2</v>
      </c>
    </row>
    <row r="121" spans="1:73" ht="15" hidden="1" customHeight="1" x14ac:dyDescent="0.2">
      <c r="A121" s="133">
        <f t="shared" si="196"/>
        <v>1</v>
      </c>
      <c r="B121" s="141">
        <v>45292</v>
      </c>
      <c r="C121" s="10" t="s">
        <v>153</v>
      </c>
      <c r="D121" s="42" t="str">
        <f t="shared" si="197"/>
        <v>NO</v>
      </c>
      <c r="E121" s="7">
        <v>334532</v>
      </c>
      <c r="F121" s="7" t="s">
        <v>268</v>
      </c>
      <c r="G121" s="7" t="s">
        <v>269</v>
      </c>
      <c r="H121" s="29">
        <v>45296</v>
      </c>
      <c r="I121" s="7">
        <v>42874080</v>
      </c>
      <c r="J121" s="7" t="s">
        <v>270</v>
      </c>
      <c r="K121" s="7" t="s">
        <v>271</v>
      </c>
      <c r="L121" s="7" t="s">
        <v>179</v>
      </c>
      <c r="M121" s="7"/>
      <c r="N121" s="29">
        <v>45253</v>
      </c>
      <c r="P121" s="29">
        <v>45291</v>
      </c>
      <c r="Q121" s="7" t="s">
        <v>157</v>
      </c>
      <c r="R121" s="7" t="s">
        <v>238</v>
      </c>
      <c r="S121" s="7" t="s">
        <v>126</v>
      </c>
      <c r="T121" s="7" t="s">
        <v>239</v>
      </c>
      <c r="U121" s="7" t="s">
        <v>167</v>
      </c>
      <c r="V121" s="7" t="s">
        <v>240</v>
      </c>
      <c r="W121" s="7">
        <v>108803</v>
      </c>
      <c r="X121" s="7" t="s">
        <v>169</v>
      </c>
      <c r="Y121" s="7" t="s">
        <v>170</v>
      </c>
      <c r="AA121" s="7" t="s">
        <v>171</v>
      </c>
      <c r="AB121" s="7" t="s">
        <v>172</v>
      </c>
      <c r="AC121" s="7">
        <v>1130</v>
      </c>
      <c r="AF121" s="7" t="s">
        <v>173</v>
      </c>
      <c r="AG121" s="7" t="s">
        <v>170</v>
      </c>
      <c r="AI121" s="7" t="s">
        <v>174</v>
      </c>
      <c r="AK121" s="7">
        <v>1</v>
      </c>
      <c r="AL121" s="7">
        <v>1</v>
      </c>
      <c r="AP121" s="7">
        <v>3937.5</v>
      </c>
      <c r="AQ121" s="7">
        <v>3937.5</v>
      </c>
      <c r="AS121" s="7"/>
    </row>
    <row r="122" spans="1:73" ht="15" hidden="1" customHeight="1" x14ac:dyDescent="0.2">
      <c r="A122" s="133">
        <f t="shared" si="196"/>
        <v>1</v>
      </c>
      <c r="B122" s="141">
        <v>45292</v>
      </c>
      <c r="C122" s="10" t="s">
        <v>102</v>
      </c>
      <c r="D122" s="42" t="str">
        <f t="shared" si="197"/>
        <v>NO</v>
      </c>
      <c r="E122" s="7">
        <v>334555</v>
      </c>
      <c r="F122" s="7" t="s">
        <v>272</v>
      </c>
      <c r="G122" s="7" t="s">
        <v>273</v>
      </c>
      <c r="H122" s="29">
        <v>45323</v>
      </c>
      <c r="I122" s="7">
        <v>39101514</v>
      </c>
      <c r="J122" s="7" t="s">
        <v>274</v>
      </c>
      <c r="K122" s="7" t="s">
        <v>275</v>
      </c>
      <c r="L122" s="7" t="s">
        <v>179</v>
      </c>
      <c r="M122" s="7"/>
      <c r="N122" s="29">
        <v>45253</v>
      </c>
      <c r="Q122" s="7" t="s">
        <v>157</v>
      </c>
      <c r="R122" s="7" t="s">
        <v>165</v>
      </c>
      <c r="S122" s="7" t="s">
        <v>126</v>
      </c>
      <c r="T122" s="7" t="s">
        <v>180</v>
      </c>
      <c r="U122" s="7" t="s">
        <v>167</v>
      </c>
      <c r="V122" s="7" t="s">
        <v>168</v>
      </c>
      <c r="W122" s="7">
        <v>108803</v>
      </c>
      <c r="X122" s="7" t="s">
        <v>169</v>
      </c>
      <c r="Y122" s="7" t="s">
        <v>170</v>
      </c>
      <c r="AA122" s="7" t="s">
        <v>171</v>
      </c>
      <c r="AB122" s="7" t="s">
        <v>172</v>
      </c>
      <c r="AC122" s="7">
        <v>1130</v>
      </c>
      <c r="AE122" s="31"/>
      <c r="AF122" s="31" t="s">
        <v>173</v>
      </c>
      <c r="AG122" s="31" t="s">
        <v>170</v>
      </c>
      <c r="AI122" s="7" t="s">
        <v>174</v>
      </c>
      <c r="AK122" s="7">
        <v>4</v>
      </c>
      <c r="AL122" s="7">
        <v>1</v>
      </c>
      <c r="AM122" s="7">
        <v>137323.57999999999</v>
      </c>
      <c r="AN122" s="7">
        <v>28102.7</v>
      </c>
      <c r="AP122" s="7">
        <v>25232.89</v>
      </c>
      <c r="AQ122" s="7">
        <v>134453.76999999999</v>
      </c>
      <c r="AS122" s="7">
        <v>3171.79</v>
      </c>
      <c r="AZ122" s="41">
        <v>1585.9</v>
      </c>
      <c r="BG122" s="7">
        <v>3171.79</v>
      </c>
      <c r="BO122" s="7">
        <v>1585.9</v>
      </c>
      <c r="BR122" s="7">
        <v>9515.3799999999992</v>
      </c>
      <c r="BS122" s="7">
        <v>21266.22</v>
      </c>
      <c r="BT122" s="7">
        <f>+BS122+AM122</f>
        <v>158589.79999999999</v>
      </c>
      <c r="BU122" s="144">
        <f>+AS122/BT122</f>
        <v>1.9999962166545392E-2</v>
      </c>
    </row>
    <row r="123" spans="1:73" ht="15" hidden="1" customHeight="1" x14ac:dyDescent="0.2">
      <c r="A123" s="133">
        <f t="shared" si="196"/>
        <v>1</v>
      </c>
      <c r="B123" s="141">
        <v>45292</v>
      </c>
      <c r="C123" s="10" t="s">
        <v>153</v>
      </c>
      <c r="D123" s="42" t="str">
        <f t="shared" si="197"/>
        <v>NO</v>
      </c>
      <c r="E123" s="7">
        <v>308931</v>
      </c>
      <c r="F123" s="7" t="s">
        <v>276</v>
      </c>
      <c r="G123" s="7" t="s">
        <v>277</v>
      </c>
      <c r="H123" s="29">
        <v>45296</v>
      </c>
      <c r="I123" s="7">
        <v>94598200</v>
      </c>
      <c r="J123" s="7" t="s">
        <v>278</v>
      </c>
      <c r="K123" s="7" t="s">
        <v>279</v>
      </c>
      <c r="L123" s="7" t="s">
        <v>164</v>
      </c>
      <c r="M123" s="7"/>
      <c r="N123" s="29">
        <v>45239</v>
      </c>
      <c r="P123" s="29">
        <v>45291</v>
      </c>
      <c r="Q123" s="7" t="s">
        <v>157</v>
      </c>
      <c r="R123" s="7" t="s">
        <v>214</v>
      </c>
      <c r="S123" s="7" t="s">
        <v>126</v>
      </c>
      <c r="T123" s="7" t="s">
        <v>239</v>
      </c>
      <c r="U123" s="7" t="s">
        <v>167</v>
      </c>
      <c r="V123" s="7" t="s">
        <v>215</v>
      </c>
      <c r="W123" s="7">
        <v>108803</v>
      </c>
      <c r="X123" s="7" t="s">
        <v>169</v>
      </c>
      <c r="Y123" s="7" t="s">
        <v>170</v>
      </c>
      <c r="AA123" s="7" t="s">
        <v>171</v>
      </c>
      <c r="AB123" s="7" t="s">
        <v>172</v>
      </c>
      <c r="AC123" s="7">
        <v>1130</v>
      </c>
      <c r="AE123" s="31"/>
      <c r="AF123" s="7" t="s">
        <v>173</v>
      </c>
      <c r="AG123" s="7" t="s">
        <v>170</v>
      </c>
      <c r="AI123" s="7" t="s">
        <v>174</v>
      </c>
      <c r="AK123" s="7">
        <v>1</v>
      </c>
      <c r="AL123" s="7">
        <v>1</v>
      </c>
      <c r="AP123" s="7">
        <v>7700</v>
      </c>
      <c r="AQ123" s="7">
        <v>7700</v>
      </c>
      <c r="AS123" s="7"/>
      <c r="AW123" s="118"/>
    </row>
    <row r="124" spans="1:73" ht="15" hidden="1" customHeight="1" x14ac:dyDescent="0.2">
      <c r="A124" s="133">
        <f t="shared" si="196"/>
        <v>1</v>
      </c>
      <c r="B124" s="141">
        <v>45292</v>
      </c>
      <c r="C124" s="10" t="s">
        <v>102</v>
      </c>
      <c r="D124" s="42" t="str">
        <f t="shared" si="197"/>
        <v>NO</v>
      </c>
      <c r="E124" s="7">
        <v>304895</v>
      </c>
      <c r="F124" s="7" t="s">
        <v>280</v>
      </c>
      <c r="G124" s="7" t="s">
        <v>281</v>
      </c>
      <c r="H124" s="29">
        <v>45323</v>
      </c>
      <c r="I124" s="7">
        <v>18573312</v>
      </c>
      <c r="J124" s="7" t="s">
        <v>282</v>
      </c>
      <c r="K124" s="7" t="s">
        <v>283</v>
      </c>
      <c r="L124" s="7" t="s">
        <v>164</v>
      </c>
      <c r="M124" s="7"/>
      <c r="N124" s="29">
        <v>44771</v>
      </c>
      <c r="O124" s="29">
        <v>45310</v>
      </c>
      <c r="P124" s="29">
        <v>45310</v>
      </c>
      <c r="Q124" s="7" t="s">
        <v>157</v>
      </c>
      <c r="R124" s="7" t="s">
        <v>165</v>
      </c>
      <c r="S124" s="7" t="s">
        <v>126</v>
      </c>
      <c r="T124" s="7" t="s">
        <v>200</v>
      </c>
      <c r="U124" s="7" t="s">
        <v>167</v>
      </c>
      <c r="V124" s="7" t="s">
        <v>207</v>
      </c>
      <c r="W124" s="7">
        <v>108803</v>
      </c>
      <c r="X124" s="7" t="s">
        <v>169</v>
      </c>
      <c r="Y124" s="7" t="s">
        <v>170</v>
      </c>
      <c r="AA124" s="7" t="s">
        <v>208</v>
      </c>
      <c r="AB124" s="7" t="s">
        <v>209</v>
      </c>
      <c r="AC124" s="7">
        <v>1035</v>
      </c>
      <c r="AF124" s="7" t="s">
        <v>173</v>
      </c>
      <c r="AG124" s="7" t="s">
        <v>170</v>
      </c>
      <c r="AI124" s="7" t="s">
        <v>174</v>
      </c>
      <c r="AK124" s="7">
        <v>2</v>
      </c>
      <c r="AL124" s="7">
        <v>1</v>
      </c>
      <c r="AM124" s="7">
        <v>116150.84</v>
      </c>
      <c r="AN124" s="7">
        <v>23769.24</v>
      </c>
      <c r="AP124" s="7">
        <v>29256.38</v>
      </c>
      <c r="AQ124" s="7">
        <v>121637.98</v>
      </c>
      <c r="AS124" s="7">
        <v>2682.39</v>
      </c>
      <c r="AW124" s="118"/>
      <c r="AZ124" s="7">
        <v>1341.2</v>
      </c>
      <c r="BG124" s="7">
        <v>2682.39</v>
      </c>
      <c r="BO124" s="7">
        <v>1341.2</v>
      </c>
      <c r="BP124" s="7">
        <v>5000</v>
      </c>
      <c r="BR124" s="7">
        <v>13047.18</v>
      </c>
      <c r="BS124" s="7">
        <v>17968.88</v>
      </c>
      <c r="BT124" s="7">
        <f t="shared" ref="BT124:BT127" si="204">+BS124+AM124</f>
        <v>134119.72</v>
      </c>
      <c r="BU124" s="144">
        <f t="shared" ref="BU124:BU127" si="205">+AS124/BT124</f>
        <v>1.9999967193489517E-2</v>
      </c>
    </row>
    <row r="125" spans="1:73" ht="15" hidden="1" customHeight="1" x14ac:dyDescent="0.2">
      <c r="A125" s="133">
        <f t="shared" si="196"/>
        <v>1</v>
      </c>
      <c r="B125" s="141">
        <v>45292</v>
      </c>
      <c r="C125" s="10" t="s">
        <v>102</v>
      </c>
      <c r="D125" s="42" t="str">
        <f t="shared" si="197"/>
        <v>NO</v>
      </c>
      <c r="E125" s="7">
        <v>235528</v>
      </c>
      <c r="F125" s="7" t="s">
        <v>284</v>
      </c>
      <c r="G125" s="7" t="s">
        <v>285</v>
      </c>
      <c r="H125" s="29">
        <v>45323</v>
      </c>
      <c r="I125" s="7">
        <v>41757894</v>
      </c>
      <c r="J125" s="7" t="s">
        <v>286</v>
      </c>
      <c r="K125" s="7" t="s">
        <v>287</v>
      </c>
      <c r="L125" s="7" t="s">
        <v>164</v>
      </c>
      <c r="M125" s="7"/>
      <c r="N125" s="29">
        <v>45291</v>
      </c>
      <c r="Q125" s="7" t="s">
        <v>157</v>
      </c>
      <c r="R125" s="7" t="s">
        <v>165</v>
      </c>
      <c r="S125" s="7" t="s">
        <v>126</v>
      </c>
      <c r="T125" s="7" t="s">
        <v>200</v>
      </c>
      <c r="U125" s="7" t="s">
        <v>167</v>
      </c>
      <c r="V125" s="7" t="s">
        <v>168</v>
      </c>
      <c r="W125" s="7">
        <v>108803</v>
      </c>
      <c r="X125" s="7" t="s">
        <v>169</v>
      </c>
      <c r="Y125" s="7" t="s">
        <v>170</v>
      </c>
      <c r="AA125" s="7" t="s">
        <v>189</v>
      </c>
      <c r="AB125" s="7" t="s">
        <v>190</v>
      </c>
      <c r="AC125" s="7">
        <v>1584</v>
      </c>
      <c r="AE125" s="31"/>
      <c r="AF125" s="31" t="s">
        <v>173</v>
      </c>
      <c r="AG125" s="31" t="s">
        <v>170</v>
      </c>
      <c r="AI125" s="7" t="s">
        <v>174</v>
      </c>
      <c r="AK125" s="7">
        <v>2</v>
      </c>
      <c r="AL125" s="7">
        <v>1</v>
      </c>
      <c r="AM125" s="7">
        <v>8518.58</v>
      </c>
      <c r="AN125" s="7">
        <v>1743.65</v>
      </c>
      <c r="AP125" s="7">
        <v>2731.03</v>
      </c>
      <c r="AQ125" s="7">
        <v>9505.9599999999991</v>
      </c>
      <c r="AS125" s="7">
        <v>196.99</v>
      </c>
      <c r="AZ125" s="7">
        <v>98.5</v>
      </c>
      <c r="BG125" s="7">
        <v>196.99</v>
      </c>
      <c r="BO125" s="7">
        <v>98.5</v>
      </c>
      <c r="BR125" s="7">
        <v>590.98</v>
      </c>
      <c r="BS125" s="7">
        <v>1331.03</v>
      </c>
      <c r="BT125" s="7">
        <f t="shared" si="204"/>
        <v>9849.61</v>
      </c>
      <c r="BU125" s="144">
        <f t="shared" si="205"/>
        <v>1.9999776640902533E-2</v>
      </c>
    </row>
    <row r="126" spans="1:73" ht="15" hidden="1" customHeight="1" x14ac:dyDescent="0.2">
      <c r="A126" s="133">
        <f t="shared" si="196"/>
        <v>1</v>
      </c>
      <c r="B126" s="141">
        <v>45292</v>
      </c>
      <c r="C126" s="10" t="s">
        <v>102</v>
      </c>
      <c r="D126" s="42" t="str">
        <f t="shared" si="197"/>
        <v>NO</v>
      </c>
      <c r="E126" s="7">
        <v>327586</v>
      </c>
      <c r="F126" s="7" t="s">
        <v>288</v>
      </c>
      <c r="G126" s="7" t="s">
        <v>289</v>
      </c>
      <c r="H126" s="29">
        <v>45323</v>
      </c>
      <c r="I126" s="7">
        <v>41585266</v>
      </c>
      <c r="J126" s="7" t="s">
        <v>290</v>
      </c>
      <c r="K126" s="7" t="s">
        <v>291</v>
      </c>
      <c r="L126" s="7" t="s">
        <v>164</v>
      </c>
      <c r="M126" s="7"/>
      <c r="N126" s="29">
        <v>45138</v>
      </c>
      <c r="Q126" s="7" t="s">
        <v>157</v>
      </c>
      <c r="R126" s="7" t="s">
        <v>165</v>
      </c>
      <c r="S126" s="7" t="s">
        <v>126</v>
      </c>
      <c r="T126" s="7" t="s">
        <v>166</v>
      </c>
      <c r="U126" s="7" t="s">
        <v>167</v>
      </c>
      <c r="V126" s="7" t="s">
        <v>168</v>
      </c>
      <c r="W126" s="7">
        <v>108803</v>
      </c>
      <c r="X126" s="7" t="s">
        <v>169</v>
      </c>
      <c r="Y126" s="7" t="s">
        <v>170</v>
      </c>
      <c r="AA126" s="7" t="s">
        <v>171</v>
      </c>
      <c r="AB126" s="7" t="s">
        <v>172</v>
      </c>
      <c r="AC126" s="7">
        <v>1130</v>
      </c>
      <c r="AE126" s="31"/>
      <c r="AF126" s="7" t="s">
        <v>173</v>
      </c>
      <c r="AG126" s="7" t="s">
        <v>170</v>
      </c>
      <c r="AI126" s="7" t="s">
        <v>174</v>
      </c>
      <c r="AK126" s="7">
        <v>2</v>
      </c>
      <c r="AL126" s="7">
        <v>1</v>
      </c>
      <c r="AM126" s="7">
        <v>26434.71</v>
      </c>
      <c r="AN126" s="7">
        <v>5397.86</v>
      </c>
      <c r="AP126" s="7">
        <v>8441.7199999999993</v>
      </c>
      <c r="AQ126" s="7">
        <v>29478.57</v>
      </c>
      <c r="AS126" s="7">
        <v>602.64</v>
      </c>
      <c r="AZ126" s="7">
        <v>301.32</v>
      </c>
      <c r="BG126" s="7">
        <v>602.64</v>
      </c>
      <c r="BO126" s="7">
        <v>301.32</v>
      </c>
      <c r="BR126" s="7">
        <v>1807.92</v>
      </c>
      <c r="BS126" s="7">
        <v>3697.28</v>
      </c>
      <c r="BT126" s="7">
        <f t="shared" si="204"/>
        <v>30131.989999999998</v>
      </c>
      <c r="BU126" s="144">
        <f t="shared" si="205"/>
        <v>2.0000006637464037E-2</v>
      </c>
    </row>
    <row r="127" spans="1:73" ht="15" hidden="1" customHeight="1" x14ac:dyDescent="0.2">
      <c r="A127" s="133">
        <f t="shared" si="196"/>
        <v>1</v>
      </c>
      <c r="B127" s="141">
        <v>45292</v>
      </c>
      <c r="C127" s="10" t="s">
        <v>102</v>
      </c>
      <c r="D127" s="42" t="str">
        <f t="shared" si="197"/>
        <v>NO</v>
      </c>
      <c r="E127" s="7">
        <v>333993</v>
      </c>
      <c r="F127" s="7" t="s">
        <v>292</v>
      </c>
      <c r="G127" s="7" t="s">
        <v>293</v>
      </c>
      <c r="H127" s="29">
        <v>45323</v>
      </c>
      <c r="I127" s="7">
        <v>32906978</v>
      </c>
      <c r="J127" s="7" t="s">
        <v>294</v>
      </c>
      <c r="K127" s="7" t="s">
        <v>295</v>
      </c>
      <c r="L127" s="7" t="s">
        <v>179</v>
      </c>
      <c r="M127" s="7"/>
      <c r="N127" s="29">
        <v>45238</v>
      </c>
      <c r="Q127" s="7" t="s">
        <v>157</v>
      </c>
      <c r="R127" s="7" t="s">
        <v>165</v>
      </c>
      <c r="S127" s="7" t="s">
        <v>126</v>
      </c>
      <c r="T127" s="7" t="s">
        <v>166</v>
      </c>
      <c r="U127" s="7" t="s">
        <v>167</v>
      </c>
      <c r="V127" s="7" t="s">
        <v>168</v>
      </c>
      <c r="W127" s="7">
        <v>108803</v>
      </c>
      <c r="X127" s="7" t="s">
        <v>169</v>
      </c>
      <c r="Y127" s="7" t="s">
        <v>170</v>
      </c>
      <c r="AA127" s="7" t="s">
        <v>189</v>
      </c>
      <c r="AB127" s="7" t="s">
        <v>190</v>
      </c>
      <c r="AC127" s="7">
        <v>1584</v>
      </c>
      <c r="AE127" s="31"/>
      <c r="AF127" s="31" t="s">
        <v>170</v>
      </c>
      <c r="AG127" s="31" t="s">
        <v>170</v>
      </c>
      <c r="AI127" s="7" t="s">
        <v>174</v>
      </c>
      <c r="AK127" s="7">
        <v>4</v>
      </c>
      <c r="AL127" s="7">
        <v>1</v>
      </c>
      <c r="AM127" s="7">
        <v>65678.429999999993</v>
      </c>
      <c r="AN127" s="7">
        <v>13251.04</v>
      </c>
      <c r="AP127" s="7">
        <v>8589.61</v>
      </c>
      <c r="AQ127" s="7">
        <v>61017</v>
      </c>
      <c r="AS127" s="7">
        <v>1390.48</v>
      </c>
      <c r="AZ127" s="7">
        <v>695.23</v>
      </c>
      <c r="BG127" s="7">
        <v>1390.48</v>
      </c>
      <c r="BO127" s="7">
        <v>695.23</v>
      </c>
      <c r="BR127" s="7">
        <v>4171.42</v>
      </c>
      <c r="BS127" s="7">
        <v>3845.17</v>
      </c>
      <c r="BT127" s="7">
        <f t="shared" si="204"/>
        <v>69523.599999999991</v>
      </c>
      <c r="BU127" s="144">
        <f t="shared" si="205"/>
        <v>2.0000115068839936E-2</v>
      </c>
    </row>
    <row r="128" spans="1:73" ht="15" hidden="1" customHeight="1" x14ac:dyDescent="0.2">
      <c r="A128" s="133">
        <f t="shared" si="196"/>
        <v>1</v>
      </c>
      <c r="B128" s="141">
        <v>45292</v>
      </c>
      <c r="C128" s="10" t="s">
        <v>153</v>
      </c>
      <c r="D128" s="42" t="str">
        <f t="shared" si="197"/>
        <v>NO</v>
      </c>
      <c r="E128" s="7">
        <v>333631</v>
      </c>
      <c r="F128" s="7" t="s">
        <v>296</v>
      </c>
      <c r="G128" s="7" t="s">
        <v>297</v>
      </c>
      <c r="H128" s="29">
        <v>45296</v>
      </c>
      <c r="I128" s="7">
        <v>44091389</v>
      </c>
      <c r="J128" s="7" t="s">
        <v>298</v>
      </c>
      <c r="K128" s="7" t="s">
        <v>299</v>
      </c>
      <c r="L128" s="7" t="s">
        <v>179</v>
      </c>
      <c r="M128" s="7"/>
      <c r="N128" s="29">
        <v>45253</v>
      </c>
      <c r="P128" s="29">
        <v>45291</v>
      </c>
      <c r="Q128" s="7" t="s">
        <v>157</v>
      </c>
      <c r="R128" s="7" t="s">
        <v>165</v>
      </c>
      <c r="S128" s="7" t="s">
        <v>126</v>
      </c>
      <c r="T128" s="7" t="s">
        <v>166</v>
      </c>
      <c r="U128" s="7" t="s">
        <v>167</v>
      </c>
      <c r="V128" s="7" t="s">
        <v>168</v>
      </c>
      <c r="W128" s="7">
        <v>108803</v>
      </c>
      <c r="X128" s="7" t="s">
        <v>169</v>
      </c>
      <c r="Y128" s="7" t="s">
        <v>170</v>
      </c>
      <c r="AA128" s="7" t="s">
        <v>171</v>
      </c>
      <c r="AB128" s="7" t="s">
        <v>172</v>
      </c>
      <c r="AC128" s="7">
        <v>1130</v>
      </c>
      <c r="AE128" s="31"/>
      <c r="AF128" s="7" t="s">
        <v>173</v>
      </c>
      <c r="AG128" s="7" t="s">
        <v>170</v>
      </c>
      <c r="AI128" s="7" t="s">
        <v>174</v>
      </c>
      <c r="AK128" s="7">
        <v>1</v>
      </c>
      <c r="AL128" s="7">
        <v>1</v>
      </c>
      <c r="AP128" s="7">
        <v>933.33</v>
      </c>
      <c r="AQ128" s="7">
        <v>933.33</v>
      </c>
      <c r="AS128" s="7"/>
    </row>
    <row r="129" spans="1:73" ht="15" hidden="1" customHeight="1" x14ac:dyDescent="0.2">
      <c r="A129" s="133">
        <f t="shared" si="196"/>
        <v>1</v>
      </c>
      <c r="B129" s="141">
        <v>45292</v>
      </c>
      <c r="C129" s="10" t="s">
        <v>102</v>
      </c>
      <c r="D129" s="42" t="str">
        <f t="shared" si="197"/>
        <v>NO</v>
      </c>
      <c r="E129" s="7">
        <v>318526</v>
      </c>
      <c r="F129" s="7" t="s">
        <v>300</v>
      </c>
      <c r="G129" s="7" t="s">
        <v>301</v>
      </c>
      <c r="H129" s="29">
        <v>45323</v>
      </c>
      <c r="I129" s="7">
        <v>36286453</v>
      </c>
      <c r="J129" s="7" t="s">
        <v>302</v>
      </c>
      <c r="K129" s="7" t="s">
        <v>303</v>
      </c>
      <c r="L129" s="7" t="s">
        <v>179</v>
      </c>
      <c r="M129" s="7"/>
      <c r="N129" s="29">
        <v>45279</v>
      </c>
      <c r="Q129" s="7" t="s">
        <v>157</v>
      </c>
      <c r="R129" s="7" t="s">
        <v>214</v>
      </c>
      <c r="S129" s="7" t="s">
        <v>126</v>
      </c>
      <c r="T129" s="7" t="s">
        <v>239</v>
      </c>
      <c r="U129" s="7" t="s">
        <v>167</v>
      </c>
      <c r="V129" s="7" t="s">
        <v>215</v>
      </c>
      <c r="W129" s="7">
        <v>108803</v>
      </c>
      <c r="X129" s="7" t="s">
        <v>169</v>
      </c>
      <c r="Y129" s="7" t="s">
        <v>170</v>
      </c>
      <c r="AA129" s="7" t="s">
        <v>171</v>
      </c>
      <c r="AB129" s="7" t="s">
        <v>172</v>
      </c>
      <c r="AC129" s="7">
        <v>1130</v>
      </c>
      <c r="AE129" s="31"/>
      <c r="AF129" s="31" t="s">
        <v>173</v>
      </c>
      <c r="AG129" s="7" t="s">
        <v>170</v>
      </c>
      <c r="AI129" s="7" t="s">
        <v>174</v>
      </c>
      <c r="AK129" s="7">
        <v>2</v>
      </c>
      <c r="AL129" s="7">
        <v>1</v>
      </c>
      <c r="AM129" s="7">
        <v>29482.85</v>
      </c>
      <c r="AN129" s="7">
        <v>6034.78</v>
      </c>
      <c r="AP129" s="7">
        <v>9156.7000000000007</v>
      </c>
      <c r="AQ129" s="7">
        <v>32604.77</v>
      </c>
      <c r="AS129" s="7">
        <v>681.79</v>
      </c>
      <c r="AZ129" s="41">
        <v>340.9</v>
      </c>
      <c r="BG129" s="7">
        <v>681.79</v>
      </c>
      <c r="BO129" s="7">
        <v>340.9</v>
      </c>
      <c r="BR129" s="7">
        <v>2045.38</v>
      </c>
      <c r="BS129" s="7">
        <v>4606.7</v>
      </c>
      <c r="BT129" s="7">
        <f t="shared" ref="BT129:BT130" si="206">+BS129+AM129</f>
        <v>34089.549999999996</v>
      </c>
      <c r="BU129" s="144">
        <f>+AS129/BT129</f>
        <v>1.9999970665497198E-2</v>
      </c>
    </row>
    <row r="130" spans="1:73" ht="15" hidden="1" customHeight="1" x14ac:dyDescent="0.2">
      <c r="A130" s="133">
        <f t="shared" si="196"/>
        <v>1</v>
      </c>
      <c r="B130" s="141">
        <v>45292</v>
      </c>
      <c r="C130" s="10" t="s">
        <v>102</v>
      </c>
      <c r="D130" s="42" t="str">
        <f t="shared" si="197"/>
        <v>SI</v>
      </c>
      <c r="E130" s="7">
        <v>301937</v>
      </c>
      <c r="F130" s="7" t="s">
        <v>304</v>
      </c>
      <c r="G130" s="7" t="s">
        <v>305</v>
      </c>
      <c r="H130" s="29">
        <v>45323</v>
      </c>
      <c r="I130" s="7">
        <v>39209574</v>
      </c>
      <c r="J130" s="7" t="s">
        <v>306</v>
      </c>
      <c r="K130" s="7" t="s">
        <v>307</v>
      </c>
      <c r="L130" s="7" t="s">
        <v>164</v>
      </c>
      <c r="M130" s="7"/>
      <c r="N130" s="29">
        <v>44716</v>
      </c>
      <c r="Q130" s="7" t="s">
        <v>157</v>
      </c>
      <c r="R130" s="7" t="s">
        <v>165</v>
      </c>
      <c r="S130" s="7" t="s">
        <v>126</v>
      </c>
      <c r="T130" s="7" t="s">
        <v>180</v>
      </c>
      <c r="U130" s="7" t="s">
        <v>167</v>
      </c>
      <c r="V130" s="7" t="s">
        <v>168</v>
      </c>
      <c r="W130" s="7">
        <v>108803</v>
      </c>
      <c r="X130" s="7" t="s">
        <v>169</v>
      </c>
      <c r="Y130" s="7" t="s">
        <v>170</v>
      </c>
      <c r="AA130" s="7" t="s">
        <v>171</v>
      </c>
      <c r="AB130" s="7" t="s">
        <v>172</v>
      </c>
      <c r="AC130" s="7">
        <v>1130</v>
      </c>
      <c r="AF130" s="31" t="s">
        <v>173</v>
      </c>
      <c r="AG130" s="7" t="s">
        <v>170</v>
      </c>
      <c r="AH130" s="31"/>
      <c r="AI130" s="7" t="s">
        <v>174</v>
      </c>
      <c r="AK130" s="7">
        <v>2</v>
      </c>
      <c r="AL130" s="7">
        <v>1</v>
      </c>
      <c r="AM130" s="7">
        <v>63009.77</v>
      </c>
      <c r="AN130" s="7">
        <v>13222.38</v>
      </c>
      <c r="AP130" s="7">
        <v>28403.34</v>
      </c>
      <c r="AQ130" s="7">
        <v>78190.73</v>
      </c>
      <c r="AR130" s="7">
        <v>1793.38</v>
      </c>
      <c r="AS130" s="7"/>
      <c r="AW130" s="61"/>
      <c r="AZ130" s="7">
        <v>717.35</v>
      </c>
      <c r="BG130" s="7">
        <v>1434.71</v>
      </c>
      <c r="BO130" s="7">
        <v>717.35</v>
      </c>
      <c r="BP130" s="7">
        <v>5000</v>
      </c>
      <c r="BR130" s="7">
        <v>9662.7900000000009</v>
      </c>
      <c r="BS130" s="7">
        <v>8725.57</v>
      </c>
      <c r="BT130" s="7">
        <f t="shared" si="206"/>
        <v>71735.34</v>
      </c>
    </row>
    <row r="131" spans="1:73" ht="15" hidden="1" customHeight="1" x14ac:dyDescent="0.2">
      <c r="A131" s="133">
        <f t="shared" si="196"/>
        <v>1</v>
      </c>
      <c r="B131" s="141">
        <v>45292</v>
      </c>
      <c r="C131" s="10" t="s">
        <v>153</v>
      </c>
      <c r="D131" s="42" t="str">
        <f t="shared" si="197"/>
        <v>NO</v>
      </c>
      <c r="E131" s="7">
        <v>321770</v>
      </c>
      <c r="F131" s="7" t="s">
        <v>308</v>
      </c>
      <c r="G131" s="7" t="s">
        <v>309</v>
      </c>
      <c r="H131" s="29">
        <v>45296</v>
      </c>
      <c r="I131" s="7">
        <v>42715394</v>
      </c>
      <c r="J131" s="7" t="s">
        <v>310</v>
      </c>
      <c r="K131" s="7" t="s">
        <v>311</v>
      </c>
      <c r="L131" s="7" t="s">
        <v>164</v>
      </c>
      <c r="M131" s="7"/>
      <c r="N131" s="29">
        <v>45262</v>
      </c>
      <c r="P131" s="29">
        <v>45291</v>
      </c>
      <c r="Q131" s="7" t="s">
        <v>157</v>
      </c>
      <c r="R131" s="7" t="s">
        <v>199</v>
      </c>
      <c r="S131" s="7" t="s">
        <v>126</v>
      </c>
      <c r="T131" s="7" t="s">
        <v>200</v>
      </c>
      <c r="U131" s="7" t="s">
        <v>167</v>
      </c>
      <c r="V131" s="7" t="s">
        <v>201</v>
      </c>
      <c r="W131" s="7">
        <v>108803</v>
      </c>
      <c r="X131" s="7" t="s">
        <v>169</v>
      </c>
      <c r="Y131" s="7" t="s">
        <v>170</v>
      </c>
      <c r="AA131" s="7" t="s">
        <v>189</v>
      </c>
      <c r="AB131" s="7" t="s">
        <v>190</v>
      </c>
      <c r="AC131" s="7">
        <v>1584</v>
      </c>
      <c r="AF131" s="31" t="s">
        <v>173</v>
      </c>
      <c r="AG131" s="7" t="s">
        <v>170</v>
      </c>
      <c r="AH131" s="31"/>
      <c r="AI131" s="7" t="s">
        <v>174</v>
      </c>
      <c r="AK131" s="7">
        <v>1</v>
      </c>
      <c r="AL131" s="7">
        <v>1</v>
      </c>
      <c r="AP131" s="7">
        <v>3325</v>
      </c>
      <c r="AQ131" s="7">
        <v>3325</v>
      </c>
      <c r="AS131" s="7"/>
      <c r="AW131" s="31"/>
      <c r="BA131" s="41"/>
    </row>
    <row r="132" spans="1:73" ht="15" hidden="1" customHeight="1" x14ac:dyDescent="0.2">
      <c r="A132" s="133">
        <f t="shared" si="196"/>
        <v>1</v>
      </c>
      <c r="B132" s="141">
        <v>45292</v>
      </c>
      <c r="C132" s="10" t="s">
        <v>153</v>
      </c>
      <c r="D132" s="42" t="str">
        <f t="shared" si="197"/>
        <v>NO</v>
      </c>
      <c r="E132" s="7">
        <v>334562</v>
      </c>
      <c r="F132" s="7" t="s">
        <v>312</v>
      </c>
      <c r="G132" s="7" t="s">
        <v>313</v>
      </c>
      <c r="H132" s="29">
        <v>45296</v>
      </c>
      <c r="I132" s="7">
        <v>94231658</v>
      </c>
      <c r="J132" s="7" t="s">
        <v>314</v>
      </c>
      <c r="K132" s="7" t="s">
        <v>315</v>
      </c>
      <c r="L132" s="7" t="s">
        <v>179</v>
      </c>
      <c r="M132" s="7"/>
      <c r="N132" s="29">
        <v>45259</v>
      </c>
      <c r="Q132" s="7" t="s">
        <v>157</v>
      </c>
      <c r="R132" s="7" t="s">
        <v>245</v>
      </c>
      <c r="S132" s="7" t="s">
        <v>126</v>
      </c>
      <c r="T132" s="7" t="s">
        <v>239</v>
      </c>
      <c r="U132" s="7" t="s">
        <v>167</v>
      </c>
      <c r="V132" s="7" t="s">
        <v>246</v>
      </c>
      <c r="W132" s="7">
        <v>108803</v>
      </c>
      <c r="X132" s="7" t="s">
        <v>169</v>
      </c>
      <c r="Y132" s="7" t="s">
        <v>170</v>
      </c>
      <c r="AA132" s="7" t="s">
        <v>171</v>
      </c>
      <c r="AB132" s="7" t="s">
        <v>172</v>
      </c>
      <c r="AC132" s="7">
        <v>1130</v>
      </c>
      <c r="AF132" s="31" t="s">
        <v>173</v>
      </c>
      <c r="AG132" s="7" t="s">
        <v>170</v>
      </c>
      <c r="AH132" s="31"/>
      <c r="AI132" s="7" t="s">
        <v>174</v>
      </c>
      <c r="AK132" s="7">
        <v>1</v>
      </c>
      <c r="AL132" s="7">
        <v>1</v>
      </c>
      <c r="AP132" s="7">
        <v>2187.5</v>
      </c>
      <c r="AQ132" s="7">
        <v>2187.5</v>
      </c>
      <c r="AS132" s="7"/>
      <c r="AX132" s="61"/>
    </row>
    <row r="133" spans="1:73" ht="15" hidden="1" customHeight="1" x14ac:dyDescent="0.2">
      <c r="A133" s="133">
        <f t="shared" si="196"/>
        <v>1</v>
      </c>
      <c r="B133" s="141">
        <v>45292</v>
      </c>
      <c r="C133" s="10" t="s">
        <v>102</v>
      </c>
      <c r="D133" s="42" t="str">
        <f t="shared" si="197"/>
        <v>NO</v>
      </c>
      <c r="E133" s="7">
        <v>335977</v>
      </c>
      <c r="F133" s="7" t="s">
        <v>316</v>
      </c>
      <c r="G133" s="7" t="s">
        <v>317</v>
      </c>
      <c r="H133" s="29">
        <v>45323</v>
      </c>
      <c r="I133" s="7">
        <v>43105562</v>
      </c>
      <c r="J133" s="7" t="s">
        <v>318</v>
      </c>
      <c r="K133" s="7" t="s">
        <v>319</v>
      </c>
      <c r="L133" s="7" t="s">
        <v>179</v>
      </c>
      <c r="M133" s="7"/>
      <c r="N133" s="29">
        <v>45278</v>
      </c>
      <c r="Q133" s="7" t="s">
        <v>157</v>
      </c>
      <c r="R133" s="7" t="s">
        <v>165</v>
      </c>
      <c r="S133" s="7" t="s">
        <v>126</v>
      </c>
      <c r="T133" s="7" t="s">
        <v>166</v>
      </c>
      <c r="U133" s="7" t="s">
        <v>167</v>
      </c>
      <c r="V133" s="7" t="s">
        <v>168</v>
      </c>
      <c r="W133" s="7">
        <v>108803</v>
      </c>
      <c r="X133" s="7" t="s">
        <v>169</v>
      </c>
      <c r="Y133" s="7" t="s">
        <v>170</v>
      </c>
      <c r="AA133" s="7" t="s">
        <v>189</v>
      </c>
      <c r="AB133" s="7" t="s">
        <v>190</v>
      </c>
      <c r="AC133" s="7">
        <v>1584</v>
      </c>
      <c r="AF133" s="31" t="s">
        <v>170</v>
      </c>
      <c r="AG133" s="7" t="s">
        <v>170</v>
      </c>
      <c r="AH133" s="31"/>
      <c r="AI133" s="7" t="s">
        <v>174</v>
      </c>
      <c r="AK133" s="7">
        <v>4</v>
      </c>
      <c r="AL133" s="7">
        <v>1</v>
      </c>
      <c r="AM133" s="7">
        <v>201157.93</v>
      </c>
      <c r="AN133" s="7">
        <v>40924.82</v>
      </c>
      <c r="AP133" s="7">
        <v>25907.99</v>
      </c>
      <c r="AQ133" s="7">
        <v>186141.1</v>
      </c>
      <c r="AS133" s="7">
        <v>4485.32</v>
      </c>
      <c r="AZ133" s="41">
        <v>2242.66</v>
      </c>
      <c r="BG133" s="7">
        <v>4485.32</v>
      </c>
      <c r="BO133" s="7">
        <v>2242.66</v>
      </c>
      <c r="BP133" s="7">
        <v>5000</v>
      </c>
      <c r="BS133" s="7">
        <v>23107.99</v>
      </c>
      <c r="BT133" s="7">
        <f>+BS133+AM133</f>
        <v>224265.91999999998</v>
      </c>
      <c r="BU133" s="144">
        <f>+AS133/BT133</f>
        <v>2.0000007134387605E-2</v>
      </c>
    </row>
    <row r="134" spans="1:73" ht="15" hidden="1" customHeight="1" x14ac:dyDescent="0.2">
      <c r="A134" s="133">
        <f t="shared" si="196"/>
        <v>1</v>
      </c>
      <c r="B134" s="141">
        <v>45292</v>
      </c>
      <c r="C134" s="10" t="s">
        <v>153</v>
      </c>
      <c r="D134" s="42" t="str">
        <f t="shared" si="197"/>
        <v>NO</v>
      </c>
      <c r="E134" s="7">
        <v>318104</v>
      </c>
      <c r="F134" s="7" t="s">
        <v>320</v>
      </c>
      <c r="G134" s="7" t="s">
        <v>321</v>
      </c>
      <c r="H134" s="29">
        <v>45296</v>
      </c>
      <c r="I134" s="7">
        <v>44789800</v>
      </c>
      <c r="J134" s="7" t="s">
        <v>322</v>
      </c>
      <c r="K134" s="7" t="s">
        <v>323</v>
      </c>
      <c r="L134" s="7" t="s">
        <v>164</v>
      </c>
      <c r="M134" s="7"/>
      <c r="N134" s="29">
        <v>45226</v>
      </c>
      <c r="P134" s="29">
        <v>45291</v>
      </c>
      <c r="Q134" s="7" t="s">
        <v>157</v>
      </c>
      <c r="R134" s="7" t="s">
        <v>165</v>
      </c>
      <c r="S134" s="7" t="s">
        <v>126</v>
      </c>
      <c r="T134" s="7" t="s">
        <v>180</v>
      </c>
      <c r="U134" s="7" t="s">
        <v>167</v>
      </c>
      <c r="V134" s="7" t="s">
        <v>324</v>
      </c>
      <c r="W134" s="7">
        <v>108803</v>
      </c>
      <c r="X134" s="7" t="s">
        <v>169</v>
      </c>
      <c r="Y134" s="7" t="s">
        <v>170</v>
      </c>
      <c r="AA134" s="7" t="s">
        <v>171</v>
      </c>
      <c r="AB134" s="7" t="s">
        <v>172</v>
      </c>
      <c r="AC134" s="7">
        <v>1130</v>
      </c>
      <c r="AF134" s="7" t="s">
        <v>173</v>
      </c>
      <c r="AG134" s="7" t="s">
        <v>170</v>
      </c>
      <c r="AI134" s="7" t="s">
        <v>174</v>
      </c>
      <c r="AK134" s="7">
        <v>1</v>
      </c>
      <c r="AL134" s="7">
        <v>1</v>
      </c>
      <c r="AP134" s="7">
        <v>1866.67</v>
      </c>
      <c r="AQ134" s="7">
        <v>1866.67</v>
      </c>
      <c r="AS134" s="7"/>
      <c r="AW134" s="61"/>
    </row>
    <row r="135" spans="1:73" ht="15" hidden="1" customHeight="1" x14ac:dyDescent="0.2">
      <c r="A135" s="133">
        <f t="shared" si="196"/>
        <v>1</v>
      </c>
      <c r="B135" s="141">
        <v>45292</v>
      </c>
      <c r="C135" s="10" t="s">
        <v>102</v>
      </c>
      <c r="D135" s="42" t="str">
        <f t="shared" si="197"/>
        <v>NO</v>
      </c>
      <c r="E135" s="7">
        <v>337360</v>
      </c>
      <c r="F135" s="7" t="s">
        <v>325</v>
      </c>
      <c r="G135" s="7" t="s">
        <v>326</v>
      </c>
      <c r="H135" s="29">
        <v>45323</v>
      </c>
      <c r="I135" s="7">
        <v>96247143</v>
      </c>
      <c r="J135" s="7" t="s">
        <v>327</v>
      </c>
      <c r="K135" s="7" t="s">
        <v>328</v>
      </c>
      <c r="L135" s="7" t="s">
        <v>179</v>
      </c>
      <c r="M135" s="7"/>
      <c r="N135" s="29">
        <v>45291</v>
      </c>
      <c r="Q135" s="7" t="s">
        <v>157</v>
      </c>
      <c r="R135" s="7" t="s">
        <v>165</v>
      </c>
      <c r="S135" s="7" t="s">
        <v>126</v>
      </c>
      <c r="T135" s="7" t="s">
        <v>200</v>
      </c>
      <c r="U135" s="7" t="s">
        <v>167</v>
      </c>
      <c r="V135" s="7" t="s">
        <v>168</v>
      </c>
      <c r="W135" s="7">
        <v>108803</v>
      </c>
      <c r="X135" s="7" t="s">
        <v>169</v>
      </c>
      <c r="Y135" s="7" t="s">
        <v>170</v>
      </c>
      <c r="AA135" s="7" t="s">
        <v>189</v>
      </c>
      <c r="AB135" s="7" t="s">
        <v>190</v>
      </c>
      <c r="AC135" s="7">
        <v>1584</v>
      </c>
      <c r="AF135" s="31" t="s">
        <v>173</v>
      </c>
      <c r="AG135" s="7" t="s">
        <v>170</v>
      </c>
      <c r="AH135" s="31"/>
      <c r="AI135" s="7" t="s">
        <v>174</v>
      </c>
      <c r="AK135" s="7">
        <v>2</v>
      </c>
      <c r="AL135" s="7">
        <v>1</v>
      </c>
      <c r="AM135" s="7">
        <v>8518.58</v>
      </c>
      <c r="AN135" s="7">
        <v>1743.65</v>
      </c>
      <c r="AP135" s="7">
        <v>2731.03</v>
      </c>
      <c r="AQ135" s="7">
        <v>9505.9599999999991</v>
      </c>
      <c r="AS135" s="7">
        <v>196.99</v>
      </c>
      <c r="AX135" s="118"/>
      <c r="AZ135" s="7">
        <v>98.5</v>
      </c>
      <c r="BG135" s="7">
        <v>196.99</v>
      </c>
      <c r="BO135" s="7">
        <v>98.5</v>
      </c>
      <c r="BS135" s="7">
        <v>1331.03</v>
      </c>
      <c r="BT135" s="7">
        <f t="shared" ref="BT135:BT137" si="207">+BS135+AM135</f>
        <v>9849.61</v>
      </c>
      <c r="BU135" s="144">
        <f t="shared" ref="BU135:BU137" si="208">+AS135/BT135</f>
        <v>1.9999776640902533E-2</v>
      </c>
    </row>
    <row r="136" spans="1:73" ht="15" hidden="1" customHeight="1" x14ac:dyDescent="0.2">
      <c r="A136" s="133">
        <f t="shared" si="196"/>
        <v>1</v>
      </c>
      <c r="B136" s="141">
        <v>45292</v>
      </c>
      <c r="C136" s="10" t="s">
        <v>102</v>
      </c>
      <c r="D136" s="42" t="str">
        <f t="shared" si="197"/>
        <v>NO</v>
      </c>
      <c r="E136" s="7">
        <v>333329</v>
      </c>
      <c r="F136" s="7" t="s">
        <v>329</v>
      </c>
      <c r="G136" s="7" t="s">
        <v>330</v>
      </c>
      <c r="H136" s="29">
        <v>45323</v>
      </c>
      <c r="I136" s="7">
        <v>44503771</v>
      </c>
      <c r="J136" s="7" t="s">
        <v>331</v>
      </c>
      <c r="K136" s="7" t="s">
        <v>332</v>
      </c>
      <c r="L136" s="7" t="s">
        <v>179</v>
      </c>
      <c r="M136" s="7"/>
      <c r="N136" s="29">
        <v>45295</v>
      </c>
      <c r="Q136" s="7" t="s">
        <v>157</v>
      </c>
      <c r="R136" s="7" t="s">
        <v>165</v>
      </c>
      <c r="S136" s="7" t="s">
        <v>126</v>
      </c>
      <c r="T136" s="7" t="s">
        <v>206</v>
      </c>
      <c r="U136" s="7" t="s">
        <v>167</v>
      </c>
      <c r="V136" s="7" t="s">
        <v>168</v>
      </c>
      <c r="W136" s="7">
        <v>108803</v>
      </c>
      <c r="X136" s="7" t="s">
        <v>169</v>
      </c>
      <c r="Y136" s="7" t="s">
        <v>170</v>
      </c>
      <c r="AA136" s="7" t="s">
        <v>208</v>
      </c>
      <c r="AB136" s="7" t="s">
        <v>209</v>
      </c>
      <c r="AC136" s="7">
        <v>1035</v>
      </c>
      <c r="AF136" s="31" t="s">
        <v>173</v>
      </c>
      <c r="AG136" s="7" t="s">
        <v>170</v>
      </c>
      <c r="AH136" s="31"/>
      <c r="AK136" s="7">
        <v>3</v>
      </c>
      <c r="AL136" s="7">
        <v>1</v>
      </c>
      <c r="AM136" s="7">
        <v>176125.45</v>
      </c>
      <c r="AN136" s="7">
        <v>36050.68</v>
      </c>
      <c r="AP136" s="7">
        <v>27519.599999999999</v>
      </c>
      <c r="AQ136" s="7">
        <v>167594.37</v>
      </c>
      <c r="AS136" s="7">
        <v>4072.9</v>
      </c>
      <c r="AZ136" s="7">
        <v>2036.45</v>
      </c>
      <c r="BG136" s="7">
        <v>4072.9</v>
      </c>
      <c r="BO136" s="7">
        <v>2036.45</v>
      </c>
      <c r="BP136" s="7">
        <v>5000</v>
      </c>
      <c r="BS136" s="7">
        <v>27519.599999999999</v>
      </c>
      <c r="BT136" s="7">
        <f t="shared" si="207"/>
        <v>203645.05000000002</v>
      </c>
      <c r="BU136" s="144">
        <f t="shared" si="208"/>
        <v>1.9999995089495178E-2</v>
      </c>
    </row>
    <row r="137" spans="1:73" ht="15" hidden="1" customHeight="1" x14ac:dyDescent="0.2">
      <c r="A137" s="133">
        <f t="shared" si="196"/>
        <v>1</v>
      </c>
      <c r="B137" s="141">
        <v>45292</v>
      </c>
      <c r="C137" s="10" t="s">
        <v>102</v>
      </c>
      <c r="D137" s="42" t="str">
        <f t="shared" si="197"/>
        <v>NO</v>
      </c>
      <c r="E137" s="7">
        <v>332636</v>
      </c>
      <c r="F137" s="7" t="s">
        <v>333</v>
      </c>
      <c r="G137" s="7" t="s">
        <v>334</v>
      </c>
      <c r="H137" s="29">
        <v>45323</v>
      </c>
      <c r="I137" s="7">
        <v>38126615</v>
      </c>
      <c r="J137" s="7" t="s">
        <v>335</v>
      </c>
      <c r="K137" s="7" t="s">
        <v>336</v>
      </c>
      <c r="L137" s="7" t="s">
        <v>179</v>
      </c>
      <c r="M137" s="7"/>
      <c r="N137" s="29">
        <v>45229</v>
      </c>
      <c r="Q137" s="7" t="s">
        <v>157</v>
      </c>
      <c r="R137" s="7" t="s">
        <v>245</v>
      </c>
      <c r="S137" s="7" t="s">
        <v>126</v>
      </c>
      <c r="T137" s="7" t="s">
        <v>200</v>
      </c>
      <c r="U137" s="7" t="s">
        <v>167</v>
      </c>
      <c r="V137" s="7" t="s">
        <v>337</v>
      </c>
      <c r="W137" s="7">
        <v>108803</v>
      </c>
      <c r="X137" s="7" t="s">
        <v>169</v>
      </c>
      <c r="Y137" s="7" t="s">
        <v>170</v>
      </c>
      <c r="AA137" s="7" t="s">
        <v>171</v>
      </c>
      <c r="AB137" s="7" t="s">
        <v>172</v>
      </c>
      <c r="AC137" s="7">
        <v>1130</v>
      </c>
      <c r="AF137" s="7" t="s">
        <v>173</v>
      </c>
      <c r="AG137" s="7" t="s">
        <v>170</v>
      </c>
      <c r="AI137" s="7" t="s">
        <v>174</v>
      </c>
      <c r="AK137" s="7">
        <v>3</v>
      </c>
      <c r="AL137" s="7">
        <v>1</v>
      </c>
      <c r="AM137" s="7">
        <v>61645.87</v>
      </c>
      <c r="AN137" s="7">
        <v>12397.18</v>
      </c>
      <c r="AP137" s="7">
        <v>13641.39</v>
      </c>
      <c r="AQ137" s="7">
        <v>62890.080000000002</v>
      </c>
      <c r="AS137" s="7">
        <v>1278.25</v>
      </c>
      <c r="AW137" s="61"/>
      <c r="AZ137" s="7">
        <v>639.12</v>
      </c>
      <c r="BG137" s="7">
        <v>1278.25</v>
      </c>
      <c r="BO137" s="7">
        <v>639.12</v>
      </c>
      <c r="BP137" s="7">
        <v>5000</v>
      </c>
      <c r="BS137" s="7">
        <v>2266.39</v>
      </c>
      <c r="BT137" s="7">
        <f t="shared" si="207"/>
        <v>63912.26</v>
      </c>
      <c r="BU137" s="144">
        <f t="shared" si="208"/>
        <v>2.0000075102961465E-2</v>
      </c>
    </row>
    <row r="138" spans="1:73" ht="15" hidden="1" customHeight="1" x14ac:dyDescent="0.2">
      <c r="A138" s="133">
        <f t="shared" si="196"/>
        <v>1</v>
      </c>
      <c r="B138" s="141">
        <v>45292</v>
      </c>
      <c r="C138" s="10" t="s">
        <v>153</v>
      </c>
      <c r="D138" s="42" t="str">
        <f t="shared" si="197"/>
        <v>NO</v>
      </c>
      <c r="E138" s="7">
        <v>334551</v>
      </c>
      <c r="F138" s="7" t="s">
        <v>338</v>
      </c>
      <c r="G138" s="7" t="s">
        <v>339</v>
      </c>
      <c r="H138" s="29">
        <v>45296</v>
      </c>
      <c r="I138" s="7">
        <v>29266658</v>
      </c>
      <c r="J138" s="7" t="s">
        <v>340</v>
      </c>
      <c r="K138" s="7" t="s">
        <v>341</v>
      </c>
      <c r="L138" s="7" t="s">
        <v>179</v>
      </c>
      <c r="M138" s="7"/>
      <c r="N138" s="29">
        <v>45279</v>
      </c>
      <c r="P138" s="29">
        <v>45291</v>
      </c>
      <c r="Q138" s="7" t="s">
        <v>157</v>
      </c>
      <c r="R138" s="7" t="s">
        <v>165</v>
      </c>
      <c r="S138" s="7" t="s">
        <v>126</v>
      </c>
      <c r="T138" s="7" t="s">
        <v>166</v>
      </c>
      <c r="U138" s="7" t="s">
        <v>167</v>
      </c>
      <c r="V138" s="7" t="s">
        <v>168</v>
      </c>
      <c r="W138" s="7">
        <v>108803</v>
      </c>
      <c r="X138" s="7" t="s">
        <v>169</v>
      </c>
      <c r="Y138" s="7" t="s">
        <v>170</v>
      </c>
      <c r="AA138" s="7" t="s">
        <v>208</v>
      </c>
      <c r="AB138" s="7" t="s">
        <v>209</v>
      </c>
      <c r="AC138" s="7">
        <v>1035</v>
      </c>
      <c r="AF138" s="31" t="s">
        <v>173</v>
      </c>
      <c r="AG138" s="7" t="s">
        <v>170</v>
      </c>
      <c r="AH138" s="31"/>
      <c r="AI138" s="7" t="s">
        <v>174</v>
      </c>
      <c r="AK138" s="7">
        <v>3</v>
      </c>
      <c r="AL138" s="7">
        <v>1</v>
      </c>
      <c r="AP138" s="7">
        <v>15944.44</v>
      </c>
      <c r="AQ138" s="7">
        <v>15944.44</v>
      </c>
      <c r="AS138" s="7"/>
      <c r="AV138" s="31"/>
    </row>
    <row r="139" spans="1:73" ht="15" hidden="1" customHeight="1" x14ac:dyDescent="0.2">
      <c r="A139" s="133">
        <f t="shared" si="196"/>
        <v>1</v>
      </c>
      <c r="B139" s="141">
        <v>45292</v>
      </c>
      <c r="C139" s="10" t="s">
        <v>102</v>
      </c>
      <c r="D139" s="42" t="str">
        <f t="shared" si="197"/>
        <v>NO</v>
      </c>
      <c r="E139" s="7">
        <v>337685</v>
      </c>
      <c r="F139" s="7" t="s">
        <v>342</v>
      </c>
      <c r="G139" s="7" t="s">
        <v>343</v>
      </c>
      <c r="H139" s="29">
        <v>45323</v>
      </c>
      <c r="I139" s="7">
        <v>95528161</v>
      </c>
      <c r="J139" s="7" t="s">
        <v>344</v>
      </c>
      <c r="K139" s="7" t="s">
        <v>345</v>
      </c>
      <c r="L139" s="7" t="s">
        <v>179</v>
      </c>
      <c r="M139" s="7"/>
      <c r="N139" s="29">
        <v>45298</v>
      </c>
      <c r="Q139" s="7" t="s">
        <v>157</v>
      </c>
      <c r="R139" s="7" t="s">
        <v>245</v>
      </c>
      <c r="S139" s="7" t="s">
        <v>126</v>
      </c>
      <c r="T139" s="7" t="s">
        <v>200</v>
      </c>
      <c r="U139" s="7" t="s">
        <v>167</v>
      </c>
      <c r="V139" s="7" t="s">
        <v>337</v>
      </c>
      <c r="W139" s="7">
        <v>108803</v>
      </c>
      <c r="X139" s="7" t="s">
        <v>169</v>
      </c>
      <c r="Y139" s="7" t="s">
        <v>170</v>
      </c>
      <c r="AA139" s="7" t="s">
        <v>189</v>
      </c>
      <c r="AB139" s="7" t="s">
        <v>190</v>
      </c>
      <c r="AC139" s="7">
        <v>1584</v>
      </c>
      <c r="AF139" s="31" t="s">
        <v>173</v>
      </c>
      <c r="AG139" s="7" t="s">
        <v>170</v>
      </c>
      <c r="AH139" s="31"/>
      <c r="AI139" s="7" t="s">
        <v>174</v>
      </c>
      <c r="AK139" s="7">
        <v>1</v>
      </c>
      <c r="AL139" s="7">
        <v>1</v>
      </c>
      <c r="AM139" s="7">
        <v>14504.91</v>
      </c>
      <c r="AN139" s="7">
        <v>2968.98</v>
      </c>
      <c r="AP139" s="7">
        <v>2266.39</v>
      </c>
      <c r="AQ139" s="7">
        <v>13802.32</v>
      </c>
      <c r="AS139" s="7">
        <v>335.43</v>
      </c>
      <c r="AX139" s="118"/>
      <c r="AZ139" s="7">
        <v>167.71</v>
      </c>
      <c r="BG139" s="7">
        <v>335.43</v>
      </c>
      <c r="BO139" s="7">
        <v>167.71</v>
      </c>
      <c r="BS139" s="7">
        <v>2266.39</v>
      </c>
      <c r="BT139" s="7">
        <f t="shared" ref="BT139:BT140" si="209">+BS139+AM139</f>
        <v>16771.3</v>
      </c>
      <c r="BU139" s="144">
        <f t="shared" ref="BU139:BU140" si="210">+AS139/BT139</f>
        <v>2.0000238502680175E-2</v>
      </c>
    </row>
    <row r="140" spans="1:73" ht="15" hidden="1" customHeight="1" x14ac:dyDescent="0.2">
      <c r="A140" s="133">
        <f t="shared" si="196"/>
        <v>1</v>
      </c>
      <c r="B140" s="141">
        <v>45292</v>
      </c>
      <c r="C140" s="10" t="s">
        <v>102</v>
      </c>
      <c r="D140" s="42" t="str">
        <f t="shared" si="197"/>
        <v>NO</v>
      </c>
      <c r="E140" s="7">
        <v>319632</v>
      </c>
      <c r="F140" s="7" t="s">
        <v>346</v>
      </c>
      <c r="G140" s="7" t="s">
        <v>347</v>
      </c>
      <c r="H140" s="29">
        <v>45323</v>
      </c>
      <c r="I140" s="7">
        <v>31101133</v>
      </c>
      <c r="J140" s="7" t="s">
        <v>348</v>
      </c>
      <c r="K140" s="7" t="s">
        <v>349</v>
      </c>
      <c r="L140" s="7" t="s">
        <v>179</v>
      </c>
      <c r="M140" s="7"/>
      <c r="N140" s="29">
        <v>45122</v>
      </c>
      <c r="Q140" s="7" t="s">
        <v>157</v>
      </c>
      <c r="R140" s="7" t="s">
        <v>165</v>
      </c>
      <c r="S140" s="7" t="s">
        <v>126</v>
      </c>
      <c r="T140" s="7" t="s">
        <v>166</v>
      </c>
      <c r="U140" s="7" t="s">
        <v>167</v>
      </c>
      <c r="V140" s="7" t="s">
        <v>168</v>
      </c>
      <c r="W140" s="7">
        <v>108803</v>
      </c>
      <c r="X140" s="7" t="s">
        <v>169</v>
      </c>
      <c r="Y140" s="7" t="s">
        <v>170</v>
      </c>
      <c r="AA140" s="7" t="s">
        <v>171</v>
      </c>
      <c r="AB140" s="7" t="s">
        <v>172</v>
      </c>
      <c r="AC140" s="7">
        <v>1130</v>
      </c>
      <c r="AF140" s="7" t="s">
        <v>173</v>
      </c>
      <c r="AG140" s="7" t="s">
        <v>170</v>
      </c>
      <c r="AI140" s="7" t="s">
        <v>174</v>
      </c>
      <c r="AK140" s="7">
        <v>4</v>
      </c>
      <c r="AL140" s="7">
        <v>1</v>
      </c>
      <c r="AM140" s="7">
        <v>207111.18</v>
      </c>
      <c r="AN140" s="7">
        <v>41932.46</v>
      </c>
      <c r="AP140" s="7">
        <v>47651.9</v>
      </c>
      <c r="AQ140" s="7">
        <v>212830.62</v>
      </c>
      <c r="AS140" s="7">
        <v>4482.37</v>
      </c>
      <c r="AZ140" s="7">
        <v>2241.1799999999998</v>
      </c>
      <c r="BG140" s="7">
        <v>4482.37</v>
      </c>
      <c r="BO140" s="7">
        <v>2241.1799999999998</v>
      </c>
      <c r="BP140" s="7">
        <v>5000</v>
      </c>
      <c r="BS140" s="7">
        <v>17007.47</v>
      </c>
      <c r="BT140" s="7">
        <f t="shared" si="209"/>
        <v>224118.65</v>
      </c>
      <c r="BU140" s="144">
        <f t="shared" si="210"/>
        <v>1.999998661423313E-2</v>
      </c>
    </row>
    <row r="141" spans="1:73" ht="15" hidden="1" customHeight="1" x14ac:dyDescent="0.2">
      <c r="A141" s="133">
        <f t="shared" si="196"/>
        <v>1</v>
      </c>
      <c r="B141" s="141">
        <v>45292</v>
      </c>
      <c r="C141" s="10" t="s">
        <v>153</v>
      </c>
      <c r="D141" s="42" t="str">
        <f t="shared" si="197"/>
        <v>NO</v>
      </c>
      <c r="E141" s="7">
        <v>314440</v>
      </c>
      <c r="F141" s="7" t="s">
        <v>350</v>
      </c>
      <c r="G141" s="7" t="s">
        <v>351</v>
      </c>
      <c r="H141" s="29">
        <v>45296</v>
      </c>
      <c r="I141" s="7">
        <v>39852062</v>
      </c>
      <c r="J141" s="7" t="s">
        <v>352</v>
      </c>
      <c r="K141" s="7" t="s">
        <v>353</v>
      </c>
      <c r="L141" s="7" t="s">
        <v>179</v>
      </c>
      <c r="M141" s="7"/>
      <c r="N141" s="29">
        <v>45199</v>
      </c>
      <c r="P141" s="29">
        <v>45291</v>
      </c>
      <c r="Q141" s="7" t="s">
        <v>157</v>
      </c>
      <c r="R141" s="7" t="s">
        <v>354</v>
      </c>
      <c r="S141" s="7" t="s">
        <v>126</v>
      </c>
      <c r="T141" s="7" t="s">
        <v>239</v>
      </c>
      <c r="U141" s="7" t="s">
        <v>167</v>
      </c>
      <c r="V141" s="7" t="s">
        <v>355</v>
      </c>
      <c r="W141" s="7">
        <v>108803</v>
      </c>
      <c r="X141" s="7" t="s">
        <v>169</v>
      </c>
      <c r="Y141" s="7" t="s">
        <v>170</v>
      </c>
      <c r="AA141" s="7" t="s">
        <v>171</v>
      </c>
      <c r="AB141" s="7" t="s">
        <v>172</v>
      </c>
      <c r="AC141" s="7">
        <v>1130</v>
      </c>
      <c r="AF141" s="31" t="s">
        <v>173</v>
      </c>
      <c r="AG141" s="7" t="s">
        <v>170</v>
      </c>
      <c r="AH141" s="31"/>
      <c r="AI141" s="7" t="s">
        <v>174</v>
      </c>
      <c r="AK141" s="7">
        <v>1</v>
      </c>
      <c r="AL141" s="7">
        <v>1</v>
      </c>
      <c r="AP141" s="7">
        <v>2275</v>
      </c>
      <c r="AQ141" s="7">
        <v>2275</v>
      </c>
      <c r="AS141" s="7"/>
      <c r="AX141" s="118"/>
    </row>
    <row r="142" spans="1:73" ht="15" hidden="1" customHeight="1" x14ac:dyDescent="0.2">
      <c r="A142" s="133">
        <f t="shared" si="196"/>
        <v>1</v>
      </c>
      <c r="B142" s="141">
        <v>45292</v>
      </c>
      <c r="C142" s="10" t="s">
        <v>102</v>
      </c>
      <c r="D142" s="42" t="str">
        <f t="shared" si="197"/>
        <v>NO</v>
      </c>
      <c r="E142" s="7">
        <v>315145</v>
      </c>
      <c r="F142" s="7" t="s">
        <v>356</v>
      </c>
      <c r="G142" s="7" t="s">
        <v>357</v>
      </c>
      <c r="H142" s="29">
        <v>45323</v>
      </c>
      <c r="I142" s="7">
        <v>95428617</v>
      </c>
      <c r="J142" s="7" t="s">
        <v>358</v>
      </c>
      <c r="K142" s="7" t="s">
        <v>359</v>
      </c>
      <c r="L142" s="7" t="s">
        <v>179</v>
      </c>
      <c r="M142" s="7"/>
      <c r="N142" s="29">
        <v>45244</v>
      </c>
      <c r="Q142" s="7" t="s">
        <v>157</v>
      </c>
      <c r="R142" s="7" t="s">
        <v>199</v>
      </c>
      <c r="S142" s="7" t="s">
        <v>126</v>
      </c>
      <c r="T142" s="7" t="s">
        <v>200</v>
      </c>
      <c r="U142" s="7" t="s">
        <v>167</v>
      </c>
      <c r="V142" s="7" t="s">
        <v>360</v>
      </c>
      <c r="W142" s="7">
        <v>108803</v>
      </c>
      <c r="X142" s="7" t="s">
        <v>169</v>
      </c>
      <c r="Y142" s="7" t="s">
        <v>170</v>
      </c>
      <c r="AA142" s="7" t="s">
        <v>189</v>
      </c>
      <c r="AB142" s="7" t="s">
        <v>190</v>
      </c>
      <c r="AC142" s="7">
        <v>1584</v>
      </c>
      <c r="AF142" s="31" t="s">
        <v>173</v>
      </c>
      <c r="AG142" s="7" t="s">
        <v>170</v>
      </c>
      <c r="AH142" s="31"/>
      <c r="AI142" s="7" t="s">
        <v>174</v>
      </c>
      <c r="AK142" s="7">
        <v>3</v>
      </c>
      <c r="AL142" s="7">
        <v>1</v>
      </c>
      <c r="AM142" s="7">
        <v>76009.05</v>
      </c>
      <c r="AN142" s="7">
        <v>15517.14</v>
      </c>
      <c r="AP142" s="7">
        <v>14711.31</v>
      </c>
      <c r="AQ142" s="7">
        <v>75203.22</v>
      </c>
      <c r="AS142" s="7">
        <v>1730.4</v>
      </c>
      <c r="AZ142" s="7">
        <v>865.21</v>
      </c>
      <c r="BG142" s="7">
        <v>1730.4</v>
      </c>
      <c r="BO142" s="7">
        <v>865.21</v>
      </c>
      <c r="BP142" s="7">
        <v>5000</v>
      </c>
      <c r="BS142" s="7">
        <v>10511.31</v>
      </c>
      <c r="BT142" s="7">
        <f t="shared" ref="BT142:BT143" si="211">+BS142+AM142</f>
        <v>86520.36</v>
      </c>
      <c r="BU142" s="144">
        <f t="shared" ref="BU142:BU143" si="212">+AS142/BT142</f>
        <v>1.9999916782593139E-2</v>
      </c>
    </row>
    <row r="143" spans="1:73" ht="15" hidden="1" customHeight="1" x14ac:dyDescent="0.2">
      <c r="A143" s="133">
        <f t="shared" si="196"/>
        <v>1</v>
      </c>
      <c r="B143" s="141">
        <v>45292</v>
      </c>
      <c r="C143" s="10" t="s">
        <v>102</v>
      </c>
      <c r="D143" s="42" t="str">
        <f t="shared" si="197"/>
        <v>NO</v>
      </c>
      <c r="E143" s="7">
        <v>337376</v>
      </c>
      <c r="F143" s="7" t="s">
        <v>361</v>
      </c>
      <c r="G143" s="7" t="s">
        <v>362</v>
      </c>
      <c r="H143" s="29">
        <v>45323</v>
      </c>
      <c r="I143" s="7">
        <v>44157646</v>
      </c>
      <c r="J143" s="7" t="s">
        <v>363</v>
      </c>
      <c r="K143" s="7" t="s">
        <v>364</v>
      </c>
      <c r="L143" s="7" t="s">
        <v>179</v>
      </c>
      <c r="M143" s="7"/>
      <c r="N143" s="29">
        <v>45291</v>
      </c>
      <c r="Q143" s="7" t="s">
        <v>157</v>
      </c>
      <c r="R143" s="7" t="s">
        <v>165</v>
      </c>
      <c r="S143" s="7" t="s">
        <v>126</v>
      </c>
      <c r="T143" s="7" t="s">
        <v>200</v>
      </c>
      <c r="U143" s="7" t="s">
        <v>167</v>
      </c>
      <c r="V143" s="7" t="s">
        <v>168</v>
      </c>
      <c r="W143" s="7">
        <v>126908</v>
      </c>
      <c r="X143" s="7" t="s">
        <v>365</v>
      </c>
      <c r="Y143" s="7" t="s">
        <v>170</v>
      </c>
      <c r="AA143" s="7" t="s">
        <v>189</v>
      </c>
      <c r="AB143" s="7" t="s">
        <v>190</v>
      </c>
      <c r="AC143" s="7">
        <v>1584</v>
      </c>
      <c r="AF143" s="31" t="s">
        <v>173</v>
      </c>
      <c r="AG143" s="7" t="s">
        <v>170</v>
      </c>
      <c r="AH143" s="31"/>
      <c r="AI143" s="7" t="s">
        <v>174</v>
      </c>
      <c r="AK143" s="7">
        <v>2</v>
      </c>
      <c r="AL143" s="7">
        <v>1</v>
      </c>
      <c r="AM143" s="7">
        <v>8518.58</v>
      </c>
      <c r="AN143" s="7">
        <v>1743.65</v>
      </c>
      <c r="AP143" s="7">
        <v>2731.03</v>
      </c>
      <c r="AQ143" s="7">
        <v>9505.9599999999991</v>
      </c>
      <c r="AS143" s="7">
        <v>196.99</v>
      </c>
      <c r="AW143" s="61"/>
      <c r="AX143" s="118"/>
      <c r="AZ143" s="41">
        <v>98.5</v>
      </c>
      <c r="BG143" s="7">
        <v>196.99</v>
      </c>
      <c r="BO143" s="7">
        <v>98.5</v>
      </c>
      <c r="BS143" s="7">
        <v>1331.03</v>
      </c>
      <c r="BT143" s="7">
        <f t="shared" si="211"/>
        <v>9849.61</v>
      </c>
      <c r="BU143" s="144">
        <f t="shared" si="212"/>
        <v>1.9999776640902533E-2</v>
      </c>
    </row>
    <row r="144" spans="1:73" ht="15" hidden="1" customHeight="1" x14ac:dyDescent="0.2">
      <c r="A144" s="133">
        <f t="shared" si="196"/>
        <v>1</v>
      </c>
      <c r="B144" s="141">
        <v>45292</v>
      </c>
      <c r="C144" s="10" t="s">
        <v>153</v>
      </c>
      <c r="D144" s="42" t="str">
        <f t="shared" si="197"/>
        <v>NO</v>
      </c>
      <c r="E144" s="7">
        <v>330317</v>
      </c>
      <c r="F144" s="7" t="s">
        <v>366</v>
      </c>
      <c r="G144" s="7" t="s">
        <v>367</v>
      </c>
      <c r="H144" s="29">
        <v>45296</v>
      </c>
      <c r="I144" s="7">
        <v>43916216</v>
      </c>
      <c r="J144" s="7" t="s">
        <v>368</v>
      </c>
      <c r="K144" s="7" t="s">
        <v>369</v>
      </c>
      <c r="L144" s="7" t="s">
        <v>179</v>
      </c>
      <c r="M144" s="7"/>
      <c r="N144" s="29">
        <v>45216</v>
      </c>
      <c r="P144" s="29">
        <v>45291</v>
      </c>
      <c r="Q144" s="7" t="s">
        <v>157</v>
      </c>
      <c r="R144" s="7" t="s">
        <v>245</v>
      </c>
      <c r="S144" s="7" t="s">
        <v>126</v>
      </c>
      <c r="T144" s="7" t="s">
        <v>206</v>
      </c>
      <c r="U144" s="7" t="s">
        <v>167</v>
      </c>
      <c r="V144" s="7" t="s">
        <v>246</v>
      </c>
      <c r="W144" s="7">
        <v>108803</v>
      </c>
      <c r="X144" s="7" t="s">
        <v>169</v>
      </c>
      <c r="Y144" s="7" t="s">
        <v>170</v>
      </c>
      <c r="AA144" s="7" t="s">
        <v>208</v>
      </c>
      <c r="AB144" s="7" t="s">
        <v>209</v>
      </c>
      <c r="AC144" s="7">
        <v>1035</v>
      </c>
      <c r="AF144" s="31" t="s">
        <v>173</v>
      </c>
      <c r="AG144" s="7" t="s">
        <v>170</v>
      </c>
      <c r="AH144" s="31"/>
      <c r="AI144" s="7" t="s">
        <v>174</v>
      </c>
      <c r="AK144" s="7">
        <v>1</v>
      </c>
      <c r="AL144" s="7">
        <v>1</v>
      </c>
      <c r="AP144" s="7">
        <v>1050</v>
      </c>
      <c r="AQ144" s="7">
        <v>1050</v>
      </c>
      <c r="AS144" s="7"/>
      <c r="AW144" s="61"/>
      <c r="AX144" s="118"/>
    </row>
    <row r="145" spans="1:73" ht="15" hidden="1" customHeight="1" x14ac:dyDescent="0.2">
      <c r="A145" s="133">
        <f t="shared" si="196"/>
        <v>1</v>
      </c>
      <c r="B145" s="141">
        <v>45292</v>
      </c>
      <c r="C145" s="10" t="s">
        <v>153</v>
      </c>
      <c r="D145" s="42" t="str">
        <f t="shared" si="197"/>
        <v>NO</v>
      </c>
      <c r="E145" s="7">
        <v>271494</v>
      </c>
      <c r="F145" s="7" t="s">
        <v>370</v>
      </c>
      <c r="G145" s="7" t="s">
        <v>371</v>
      </c>
      <c r="H145" s="29">
        <v>45296</v>
      </c>
      <c r="I145" s="7">
        <v>39514725</v>
      </c>
      <c r="J145" s="7" t="s">
        <v>372</v>
      </c>
      <c r="K145" s="7" t="s">
        <v>373</v>
      </c>
      <c r="L145" s="7" t="s">
        <v>164</v>
      </c>
      <c r="M145" s="7"/>
      <c r="N145" s="29">
        <v>45263</v>
      </c>
      <c r="P145" s="29">
        <v>45291</v>
      </c>
      <c r="Q145" s="7" t="s">
        <v>157</v>
      </c>
      <c r="R145" s="7" t="s">
        <v>165</v>
      </c>
      <c r="S145" s="7" t="s">
        <v>126</v>
      </c>
      <c r="T145" s="7" t="s">
        <v>166</v>
      </c>
      <c r="U145" s="7" t="s">
        <v>167</v>
      </c>
      <c r="V145" s="7" t="s">
        <v>168</v>
      </c>
      <c r="W145" s="7">
        <v>108803</v>
      </c>
      <c r="X145" s="7" t="s">
        <v>169</v>
      </c>
      <c r="Y145" s="7" t="s">
        <v>170</v>
      </c>
      <c r="AA145" s="7" t="s">
        <v>189</v>
      </c>
      <c r="AB145" s="7" t="s">
        <v>190</v>
      </c>
      <c r="AC145" s="7">
        <v>1584</v>
      </c>
      <c r="AF145" s="31" t="s">
        <v>173</v>
      </c>
      <c r="AG145" s="7" t="s">
        <v>170</v>
      </c>
      <c r="AH145" s="31"/>
      <c r="AI145" s="7" t="s">
        <v>174</v>
      </c>
      <c r="AK145" s="7">
        <v>1</v>
      </c>
      <c r="AL145" s="7">
        <v>1</v>
      </c>
      <c r="AP145" s="7">
        <v>933.33</v>
      </c>
      <c r="AQ145" s="7">
        <v>933.33</v>
      </c>
      <c r="AS145" s="7"/>
      <c r="AW145" s="61"/>
      <c r="AZ145" s="41"/>
    </row>
    <row r="146" spans="1:73" ht="15" hidden="1" customHeight="1" x14ac:dyDescent="0.2">
      <c r="A146" s="133">
        <f t="shared" si="196"/>
        <v>1</v>
      </c>
      <c r="B146" s="141">
        <v>45292</v>
      </c>
      <c r="C146" s="10" t="s">
        <v>102</v>
      </c>
      <c r="D146" s="42" t="str">
        <f t="shared" si="197"/>
        <v>NO</v>
      </c>
      <c r="E146" s="7">
        <v>333995</v>
      </c>
      <c r="F146" s="7" t="s">
        <v>374</v>
      </c>
      <c r="G146" s="7" t="s">
        <v>375</v>
      </c>
      <c r="H146" s="29">
        <v>45323</v>
      </c>
      <c r="I146" s="7">
        <v>40211482</v>
      </c>
      <c r="J146" s="7" t="s">
        <v>376</v>
      </c>
      <c r="K146" s="7" t="s">
        <v>377</v>
      </c>
      <c r="L146" s="7" t="s">
        <v>179</v>
      </c>
      <c r="M146" s="7"/>
      <c r="N146" s="29">
        <v>45238</v>
      </c>
      <c r="Q146" s="7" t="s">
        <v>157</v>
      </c>
      <c r="R146" s="7" t="s">
        <v>165</v>
      </c>
      <c r="S146" s="7" t="s">
        <v>126</v>
      </c>
      <c r="T146" s="7" t="s">
        <v>206</v>
      </c>
      <c r="U146" s="7" t="s">
        <v>167</v>
      </c>
      <c r="V146" s="7" t="s">
        <v>168</v>
      </c>
      <c r="W146" s="7">
        <v>108803</v>
      </c>
      <c r="X146" s="7" t="s">
        <v>169</v>
      </c>
      <c r="Y146" s="7" t="s">
        <v>170</v>
      </c>
      <c r="AA146" s="7" t="s">
        <v>171</v>
      </c>
      <c r="AB146" s="7" t="s">
        <v>172</v>
      </c>
      <c r="AC146" s="7">
        <v>1130</v>
      </c>
      <c r="AF146" s="7" t="s">
        <v>173</v>
      </c>
      <c r="AG146" s="7" t="s">
        <v>170</v>
      </c>
      <c r="AH146" s="31"/>
      <c r="AI146" s="7" t="s">
        <v>174</v>
      </c>
      <c r="AK146" s="7">
        <v>3</v>
      </c>
      <c r="AL146" s="7">
        <v>1</v>
      </c>
      <c r="AM146" s="7">
        <v>17037.150000000001</v>
      </c>
      <c r="AN146" s="7">
        <v>3487.28</v>
      </c>
      <c r="AP146" s="7">
        <v>8456.5</v>
      </c>
      <c r="AQ146" s="7">
        <v>22006.37</v>
      </c>
      <c r="AS146" s="7">
        <v>393.98</v>
      </c>
      <c r="AX146" s="118"/>
      <c r="AZ146" s="7">
        <v>196.99</v>
      </c>
      <c r="BG146" s="7">
        <v>393.98</v>
      </c>
      <c r="BO146" s="7">
        <v>196.99</v>
      </c>
      <c r="BS146" s="7">
        <v>2662.06</v>
      </c>
      <c r="BT146" s="7">
        <f t="shared" ref="BT146:BT148" si="213">+BS146+AM146</f>
        <v>19699.210000000003</v>
      </c>
      <c r="BU146" s="144">
        <f t="shared" ref="BU146:BU148" si="214">+AS146/BT146</f>
        <v>1.9999786793480547E-2</v>
      </c>
    </row>
    <row r="147" spans="1:73" ht="15" hidden="1" customHeight="1" x14ac:dyDescent="0.2">
      <c r="A147" s="133">
        <f t="shared" si="196"/>
        <v>1</v>
      </c>
      <c r="B147" s="141">
        <v>45292</v>
      </c>
      <c r="C147" s="10" t="s">
        <v>102</v>
      </c>
      <c r="D147" s="42" t="str">
        <f t="shared" si="197"/>
        <v>NO</v>
      </c>
      <c r="E147" s="7">
        <v>334649</v>
      </c>
      <c r="F147" s="7" t="s">
        <v>378</v>
      </c>
      <c r="G147" s="7" t="s">
        <v>379</v>
      </c>
      <c r="H147" s="29">
        <v>45323</v>
      </c>
      <c r="I147" s="7">
        <v>43804456</v>
      </c>
      <c r="J147" s="7" t="s">
        <v>380</v>
      </c>
      <c r="K147" s="7" t="s">
        <v>381</v>
      </c>
      <c r="L147" s="7" t="s">
        <v>179</v>
      </c>
      <c r="M147" s="7"/>
      <c r="N147" s="29">
        <v>45256</v>
      </c>
      <c r="Q147" s="7" t="s">
        <v>157</v>
      </c>
      <c r="R147" s="7" t="s">
        <v>238</v>
      </c>
      <c r="S147" s="7" t="s">
        <v>126</v>
      </c>
      <c r="T147" s="7" t="s">
        <v>206</v>
      </c>
      <c r="U147" s="7" t="s">
        <v>167</v>
      </c>
      <c r="V147" s="7" t="s">
        <v>240</v>
      </c>
      <c r="W147" s="7">
        <v>108803</v>
      </c>
      <c r="X147" s="7" t="s">
        <v>169</v>
      </c>
      <c r="Y147" s="7" t="s">
        <v>170</v>
      </c>
      <c r="AA147" s="7" t="s">
        <v>208</v>
      </c>
      <c r="AB147" s="7" t="s">
        <v>209</v>
      </c>
      <c r="AC147" s="7">
        <v>1035</v>
      </c>
      <c r="AF147" s="31" t="s">
        <v>173</v>
      </c>
      <c r="AG147" s="7" t="s">
        <v>170</v>
      </c>
      <c r="AH147" s="31"/>
      <c r="AI147" s="7" t="s">
        <v>174</v>
      </c>
      <c r="AK147" s="7">
        <v>2</v>
      </c>
      <c r="AL147" s="7">
        <v>1</v>
      </c>
      <c r="AM147" s="7">
        <v>87506.57</v>
      </c>
      <c r="AN147" s="7">
        <v>17911.5</v>
      </c>
      <c r="AP147" s="7">
        <v>26622.9</v>
      </c>
      <c r="AQ147" s="7">
        <v>96217.97</v>
      </c>
      <c r="AS147" s="7">
        <v>2023.59</v>
      </c>
      <c r="AV147" s="31"/>
      <c r="AW147" s="61"/>
      <c r="AZ147" s="7">
        <v>1011.79</v>
      </c>
      <c r="BG147" s="7">
        <v>2023.59</v>
      </c>
      <c r="BO147" s="7">
        <v>1011.79</v>
      </c>
      <c r="BP147" s="7">
        <v>5000</v>
      </c>
      <c r="BS147" s="7">
        <v>13672.9</v>
      </c>
      <c r="BT147" s="7">
        <f t="shared" si="213"/>
        <v>101179.47</v>
      </c>
      <c r="BU147" s="144">
        <f t="shared" si="214"/>
        <v>2.0000005930056759E-2</v>
      </c>
    </row>
    <row r="148" spans="1:73" ht="15" hidden="1" customHeight="1" x14ac:dyDescent="0.2">
      <c r="A148" s="133">
        <f t="shared" si="196"/>
        <v>1</v>
      </c>
      <c r="B148" s="141">
        <v>45292</v>
      </c>
      <c r="C148" s="10" t="s">
        <v>102</v>
      </c>
      <c r="D148" s="42" t="str">
        <f t="shared" si="197"/>
        <v>NO</v>
      </c>
      <c r="E148" s="7">
        <v>337455</v>
      </c>
      <c r="F148" s="7" t="s">
        <v>382</v>
      </c>
      <c r="G148" s="7" t="s">
        <v>383</v>
      </c>
      <c r="H148" s="29">
        <v>45323</v>
      </c>
      <c r="I148" s="7">
        <v>40011497</v>
      </c>
      <c r="J148" s="7" t="s">
        <v>384</v>
      </c>
      <c r="K148" s="7" t="s">
        <v>385</v>
      </c>
      <c r="L148" s="7" t="s">
        <v>164</v>
      </c>
      <c r="M148" s="7"/>
      <c r="N148" s="29">
        <v>45291</v>
      </c>
      <c r="Q148" s="7" t="s">
        <v>157</v>
      </c>
      <c r="R148" s="7" t="s">
        <v>165</v>
      </c>
      <c r="S148" s="7" t="s">
        <v>126</v>
      </c>
      <c r="T148" s="7" t="s">
        <v>200</v>
      </c>
      <c r="U148" s="7" t="s">
        <v>167</v>
      </c>
      <c r="V148" s="7" t="s">
        <v>168</v>
      </c>
      <c r="W148" s="7">
        <v>108803</v>
      </c>
      <c r="X148" s="7" t="s">
        <v>169</v>
      </c>
      <c r="Y148" s="7" t="s">
        <v>170</v>
      </c>
      <c r="AA148" s="7" t="s">
        <v>189</v>
      </c>
      <c r="AB148" s="7" t="s">
        <v>190</v>
      </c>
      <c r="AC148" s="7">
        <v>1584</v>
      </c>
      <c r="AF148" s="31" t="s">
        <v>173</v>
      </c>
      <c r="AG148" s="7" t="s">
        <v>170</v>
      </c>
      <c r="AH148" s="31"/>
      <c r="AI148" s="7" t="s">
        <v>174</v>
      </c>
      <c r="AK148" s="7">
        <v>2</v>
      </c>
      <c r="AL148" s="7">
        <v>1</v>
      </c>
      <c r="AM148" s="7">
        <v>8518.58</v>
      </c>
      <c r="AN148" s="7">
        <v>1743.65</v>
      </c>
      <c r="AP148" s="7">
        <v>2731.03</v>
      </c>
      <c r="AQ148" s="7">
        <v>9505.9599999999991</v>
      </c>
      <c r="AS148" s="7">
        <v>196.99</v>
      </c>
      <c r="AZ148" s="41">
        <v>98.5</v>
      </c>
      <c r="BG148" s="7">
        <v>196.99</v>
      </c>
      <c r="BO148" s="7">
        <v>98.5</v>
      </c>
      <c r="BS148" s="7">
        <v>1331.03</v>
      </c>
      <c r="BT148" s="7">
        <f t="shared" si="213"/>
        <v>9849.61</v>
      </c>
      <c r="BU148" s="144">
        <f t="shared" si="214"/>
        <v>1.9999776640902533E-2</v>
      </c>
    </row>
    <row r="149" spans="1:73" ht="15" hidden="1" customHeight="1" x14ac:dyDescent="0.2">
      <c r="A149" s="133">
        <f t="shared" si="196"/>
        <v>1</v>
      </c>
      <c r="B149" s="141">
        <v>45292</v>
      </c>
      <c r="C149" s="10" t="s">
        <v>153</v>
      </c>
      <c r="D149" s="42" t="str">
        <f t="shared" si="197"/>
        <v>NO</v>
      </c>
      <c r="E149" s="7">
        <v>334232</v>
      </c>
      <c r="F149" s="7" t="s">
        <v>386</v>
      </c>
      <c r="G149" s="7" t="s">
        <v>387</v>
      </c>
      <c r="H149" s="29">
        <v>45296</v>
      </c>
      <c r="I149" s="7">
        <v>39069099</v>
      </c>
      <c r="J149" s="7" t="s">
        <v>384</v>
      </c>
      <c r="K149" s="7" t="s">
        <v>349</v>
      </c>
      <c r="L149" s="7" t="s">
        <v>179</v>
      </c>
      <c r="M149" s="7"/>
      <c r="N149" s="29">
        <v>45246</v>
      </c>
      <c r="Q149" s="7" t="s">
        <v>157</v>
      </c>
      <c r="R149" s="7" t="s">
        <v>245</v>
      </c>
      <c r="S149" s="7" t="s">
        <v>126</v>
      </c>
      <c r="T149" s="7" t="s">
        <v>239</v>
      </c>
      <c r="U149" s="7" t="s">
        <v>167</v>
      </c>
      <c r="V149" s="7" t="s">
        <v>246</v>
      </c>
      <c r="W149" s="7">
        <v>108803</v>
      </c>
      <c r="X149" s="7" t="s">
        <v>169</v>
      </c>
      <c r="Y149" s="7" t="s">
        <v>170</v>
      </c>
      <c r="AA149" s="7" t="s">
        <v>171</v>
      </c>
      <c r="AB149" s="7" t="s">
        <v>172</v>
      </c>
      <c r="AC149" s="7">
        <v>1130</v>
      </c>
      <c r="AF149" s="31" t="s">
        <v>173</v>
      </c>
      <c r="AG149" s="7" t="s">
        <v>170</v>
      </c>
      <c r="AH149" s="31"/>
      <c r="AI149" s="7" t="s">
        <v>174</v>
      </c>
      <c r="AK149" s="7">
        <v>1</v>
      </c>
      <c r="AL149" s="7">
        <v>1</v>
      </c>
      <c r="AP149" s="7">
        <v>10762.5</v>
      </c>
      <c r="AQ149" s="7">
        <v>10762.5</v>
      </c>
      <c r="AS149" s="7"/>
      <c r="AX149" s="118"/>
    </row>
    <row r="150" spans="1:73" ht="15" hidden="1" customHeight="1" x14ac:dyDescent="0.2">
      <c r="A150" s="133">
        <f t="shared" si="196"/>
        <v>1</v>
      </c>
      <c r="B150" s="141">
        <v>45292</v>
      </c>
      <c r="C150" s="10" t="s">
        <v>153</v>
      </c>
      <c r="D150" s="42" t="str">
        <f t="shared" si="197"/>
        <v>NO</v>
      </c>
      <c r="E150" s="7">
        <v>328897</v>
      </c>
      <c r="F150" s="7" t="s">
        <v>388</v>
      </c>
      <c r="G150" s="7" t="s">
        <v>389</v>
      </c>
      <c r="H150" s="29">
        <v>45296</v>
      </c>
      <c r="I150" s="7">
        <v>47751492</v>
      </c>
      <c r="J150" s="7" t="s">
        <v>384</v>
      </c>
      <c r="K150" s="7" t="s">
        <v>390</v>
      </c>
      <c r="L150" s="7" t="s">
        <v>164</v>
      </c>
      <c r="M150" s="7"/>
      <c r="N150" s="29">
        <v>45274</v>
      </c>
      <c r="P150" s="29">
        <v>45291</v>
      </c>
      <c r="Q150" s="7" t="s">
        <v>157</v>
      </c>
      <c r="R150" s="7" t="s">
        <v>391</v>
      </c>
      <c r="S150" s="7" t="s">
        <v>126</v>
      </c>
      <c r="T150" s="7" t="s">
        <v>180</v>
      </c>
      <c r="U150" s="7" t="s">
        <v>167</v>
      </c>
      <c r="V150" s="7" t="s">
        <v>201</v>
      </c>
      <c r="W150" s="7">
        <v>108803</v>
      </c>
      <c r="X150" s="7" t="s">
        <v>169</v>
      </c>
      <c r="Y150" s="7" t="s">
        <v>170</v>
      </c>
      <c r="AA150" s="7" t="s">
        <v>171</v>
      </c>
      <c r="AB150" s="7" t="s">
        <v>172</v>
      </c>
      <c r="AC150" s="7">
        <v>1130</v>
      </c>
      <c r="AF150" s="31" t="s">
        <v>173</v>
      </c>
      <c r="AG150" s="7" t="s">
        <v>170</v>
      </c>
      <c r="AH150" s="31"/>
      <c r="AI150" s="7" t="s">
        <v>174</v>
      </c>
      <c r="AK150" s="7">
        <v>1</v>
      </c>
      <c r="AL150" s="7">
        <v>1</v>
      </c>
      <c r="AP150" s="7">
        <v>1322.22</v>
      </c>
      <c r="AQ150" s="7">
        <v>1322.22</v>
      </c>
      <c r="AS150" s="7"/>
    </row>
    <row r="151" spans="1:73" ht="15" hidden="1" customHeight="1" x14ac:dyDescent="0.2">
      <c r="A151" s="133">
        <f t="shared" si="196"/>
        <v>1</v>
      </c>
      <c r="B151" s="141">
        <v>45292</v>
      </c>
      <c r="C151" s="10" t="s">
        <v>102</v>
      </c>
      <c r="D151" s="42" t="str">
        <f t="shared" si="197"/>
        <v>NO</v>
      </c>
      <c r="E151" s="7">
        <v>336989</v>
      </c>
      <c r="F151" s="7" t="s">
        <v>392</v>
      </c>
      <c r="G151" s="7" t="s">
        <v>393</v>
      </c>
      <c r="H151" s="29">
        <v>45323</v>
      </c>
      <c r="I151" s="7">
        <v>35617376</v>
      </c>
      <c r="J151" s="7" t="s">
        <v>384</v>
      </c>
      <c r="K151" s="7" t="s">
        <v>394</v>
      </c>
      <c r="L151" s="7" t="s">
        <v>179</v>
      </c>
      <c r="M151" s="7"/>
      <c r="N151" s="29">
        <v>45293</v>
      </c>
      <c r="Q151" s="7" t="s">
        <v>157</v>
      </c>
      <c r="R151" s="7" t="s">
        <v>199</v>
      </c>
      <c r="S151" s="7" t="s">
        <v>126</v>
      </c>
      <c r="T151" s="7" t="s">
        <v>200</v>
      </c>
      <c r="U151" s="7" t="s">
        <v>167</v>
      </c>
      <c r="V151" s="7" t="s">
        <v>395</v>
      </c>
      <c r="W151" s="7">
        <v>121002</v>
      </c>
      <c r="X151" s="7" t="s">
        <v>396</v>
      </c>
      <c r="Y151" s="7" t="s">
        <v>170</v>
      </c>
      <c r="AA151" s="7" t="s">
        <v>189</v>
      </c>
      <c r="AB151" s="7" t="s">
        <v>190</v>
      </c>
      <c r="AC151" s="7">
        <v>1584</v>
      </c>
      <c r="AF151" s="31" t="s">
        <v>173</v>
      </c>
      <c r="AG151" s="7" t="s">
        <v>170</v>
      </c>
      <c r="AI151" s="7" t="s">
        <v>174</v>
      </c>
      <c r="AK151" s="7">
        <v>1</v>
      </c>
      <c r="AL151" s="7">
        <v>1</v>
      </c>
      <c r="AM151" s="7">
        <v>55914.7</v>
      </c>
      <c r="AN151" s="7">
        <v>11445.04</v>
      </c>
      <c r="AP151" s="7">
        <v>8736.67</v>
      </c>
      <c r="AQ151" s="7">
        <v>53206.33</v>
      </c>
      <c r="AS151" s="7">
        <v>1293.03</v>
      </c>
      <c r="AW151" s="61"/>
      <c r="AZ151" s="7">
        <v>646.51</v>
      </c>
      <c r="BG151" s="7">
        <v>1293.03</v>
      </c>
      <c r="BO151" s="7">
        <v>646.51</v>
      </c>
      <c r="BP151" s="7">
        <v>5000</v>
      </c>
      <c r="BS151" s="7">
        <v>8736.67</v>
      </c>
      <c r="BT151" s="7">
        <f>+BS151+AM151</f>
        <v>64651.369999999995</v>
      </c>
      <c r="BU151" s="144">
        <f>+AS151/BT151</f>
        <v>2.0000040215698445E-2</v>
      </c>
    </row>
    <row r="152" spans="1:73" ht="15" hidden="1" customHeight="1" x14ac:dyDescent="0.2">
      <c r="A152" s="133">
        <f t="shared" si="196"/>
        <v>1</v>
      </c>
      <c r="B152" s="141">
        <v>45292</v>
      </c>
      <c r="C152" s="10" t="s">
        <v>153</v>
      </c>
      <c r="D152" s="42" t="str">
        <f t="shared" si="197"/>
        <v>NO</v>
      </c>
      <c r="E152" s="7">
        <v>311656</v>
      </c>
      <c r="F152" s="7" t="s">
        <v>397</v>
      </c>
      <c r="G152" s="7" t="s">
        <v>398</v>
      </c>
      <c r="H152" s="29">
        <v>45296</v>
      </c>
      <c r="I152" s="7">
        <v>42321388</v>
      </c>
      <c r="J152" s="7" t="s">
        <v>399</v>
      </c>
      <c r="K152" s="7" t="s">
        <v>400</v>
      </c>
      <c r="L152" s="7" t="s">
        <v>179</v>
      </c>
      <c r="M152" s="7"/>
      <c r="N152" s="29">
        <v>45253</v>
      </c>
      <c r="P152" s="29">
        <v>45291</v>
      </c>
      <c r="Q152" s="7" t="s">
        <v>157</v>
      </c>
      <c r="R152" s="7" t="s">
        <v>165</v>
      </c>
      <c r="S152" s="7" t="s">
        <v>126</v>
      </c>
      <c r="T152" s="7" t="s">
        <v>180</v>
      </c>
      <c r="U152" s="7" t="s">
        <v>167</v>
      </c>
      <c r="V152" s="7" t="s">
        <v>168</v>
      </c>
      <c r="W152" s="7">
        <v>108803</v>
      </c>
      <c r="X152" s="7" t="s">
        <v>169</v>
      </c>
      <c r="Y152" s="7" t="s">
        <v>170</v>
      </c>
      <c r="AA152" s="7" t="s">
        <v>171</v>
      </c>
      <c r="AB152" s="7" t="s">
        <v>172</v>
      </c>
      <c r="AC152" s="7">
        <v>1130</v>
      </c>
      <c r="AF152" s="31" t="s">
        <v>173</v>
      </c>
      <c r="AG152" s="7" t="s">
        <v>170</v>
      </c>
      <c r="AH152" s="31"/>
      <c r="AI152" s="7" t="s">
        <v>174</v>
      </c>
      <c r="AK152" s="7">
        <v>1</v>
      </c>
      <c r="AL152" s="7">
        <v>1</v>
      </c>
      <c r="AP152" s="7">
        <v>5366.66</v>
      </c>
      <c r="AQ152" s="7">
        <v>5366.66</v>
      </c>
      <c r="AS152" s="7"/>
    </row>
    <row r="153" spans="1:73" ht="15" hidden="1" customHeight="1" x14ac:dyDescent="0.2">
      <c r="A153" s="133">
        <f t="shared" si="196"/>
        <v>1</v>
      </c>
      <c r="B153" s="141">
        <v>45292</v>
      </c>
      <c r="C153" s="10" t="s">
        <v>153</v>
      </c>
      <c r="D153" s="42" t="str">
        <f t="shared" si="197"/>
        <v>NO</v>
      </c>
      <c r="E153" s="7">
        <v>301769</v>
      </c>
      <c r="F153" s="7" t="s">
        <v>401</v>
      </c>
      <c r="G153" s="7" t="s">
        <v>402</v>
      </c>
      <c r="H153" s="29">
        <v>45296</v>
      </c>
      <c r="I153" s="7">
        <v>42939007</v>
      </c>
      <c r="J153" s="7" t="s">
        <v>403</v>
      </c>
      <c r="K153" s="7" t="s">
        <v>404</v>
      </c>
      <c r="L153" s="7" t="s">
        <v>164</v>
      </c>
      <c r="M153" s="7"/>
      <c r="N153" s="29">
        <v>45253</v>
      </c>
      <c r="P153" s="29">
        <v>45291</v>
      </c>
      <c r="Q153" s="7" t="s">
        <v>157</v>
      </c>
      <c r="R153" s="7" t="s">
        <v>165</v>
      </c>
      <c r="S153" s="7" t="s">
        <v>126</v>
      </c>
      <c r="T153" s="7" t="s">
        <v>180</v>
      </c>
      <c r="U153" s="7" t="s">
        <v>167</v>
      </c>
      <c r="V153" s="7" t="s">
        <v>168</v>
      </c>
      <c r="W153" s="7">
        <v>108803</v>
      </c>
      <c r="X153" s="7" t="s">
        <v>169</v>
      </c>
      <c r="Y153" s="7" t="s">
        <v>170</v>
      </c>
      <c r="AA153" s="7" t="s">
        <v>171</v>
      </c>
      <c r="AB153" s="7" t="s">
        <v>172</v>
      </c>
      <c r="AC153" s="7">
        <v>1130</v>
      </c>
      <c r="AF153" s="31" t="s">
        <v>173</v>
      </c>
      <c r="AG153" s="7" t="s">
        <v>170</v>
      </c>
      <c r="AH153" s="31"/>
      <c r="AI153" s="7" t="s">
        <v>174</v>
      </c>
      <c r="AK153" s="7">
        <v>1</v>
      </c>
      <c r="AL153" s="7">
        <v>1</v>
      </c>
      <c r="AP153" s="7">
        <v>4900</v>
      </c>
      <c r="AQ153" s="7">
        <v>4900</v>
      </c>
      <c r="AS153" s="7"/>
      <c r="AW153" s="61"/>
      <c r="AZ153" s="41"/>
    </row>
    <row r="154" spans="1:73" ht="15" hidden="1" customHeight="1" x14ac:dyDescent="0.2">
      <c r="A154" s="133">
        <f t="shared" si="196"/>
        <v>1</v>
      </c>
      <c r="B154" s="141">
        <v>45292</v>
      </c>
      <c r="C154" s="10" t="s">
        <v>153</v>
      </c>
      <c r="D154" s="42" t="str">
        <f t="shared" si="197"/>
        <v>NO</v>
      </c>
      <c r="E154" s="7">
        <v>334552</v>
      </c>
      <c r="F154" s="7" t="s">
        <v>405</v>
      </c>
      <c r="G154" s="7" t="s">
        <v>406</v>
      </c>
      <c r="H154" s="29">
        <v>45296</v>
      </c>
      <c r="I154" s="7">
        <v>43819625</v>
      </c>
      <c r="J154" s="7" t="s">
        <v>407</v>
      </c>
      <c r="K154" s="7" t="s">
        <v>408</v>
      </c>
      <c r="L154" s="7" t="s">
        <v>179</v>
      </c>
      <c r="M154" s="7"/>
      <c r="N154" s="29">
        <v>45253</v>
      </c>
      <c r="O154" s="29">
        <v>45263</v>
      </c>
      <c r="P154" s="29">
        <v>45263</v>
      </c>
      <c r="Q154" s="7" t="s">
        <v>157</v>
      </c>
      <c r="R154" s="7" t="s">
        <v>165</v>
      </c>
      <c r="S154" s="7" t="s">
        <v>126</v>
      </c>
      <c r="T154" s="7" t="s">
        <v>180</v>
      </c>
      <c r="U154" s="7" t="s">
        <v>167</v>
      </c>
      <c r="V154" s="7" t="s">
        <v>168</v>
      </c>
      <c r="W154" s="7">
        <v>108803</v>
      </c>
      <c r="X154" s="7" t="s">
        <v>169</v>
      </c>
      <c r="Y154" s="7" t="s">
        <v>170</v>
      </c>
      <c r="AA154" s="7" t="s">
        <v>171</v>
      </c>
      <c r="AB154" s="7" t="s">
        <v>172</v>
      </c>
      <c r="AC154" s="7">
        <v>1130</v>
      </c>
      <c r="AF154" s="31" t="s">
        <v>173</v>
      </c>
      <c r="AG154" s="7" t="s">
        <v>170</v>
      </c>
      <c r="AH154" s="31"/>
      <c r="AI154" s="7" t="s">
        <v>174</v>
      </c>
      <c r="AK154" s="7">
        <v>1</v>
      </c>
      <c r="AL154" s="7">
        <v>1</v>
      </c>
      <c r="AP154" s="7">
        <v>1633.33</v>
      </c>
      <c r="AQ154" s="7">
        <v>1633.33</v>
      </c>
      <c r="AS154" s="7"/>
    </row>
    <row r="155" spans="1:73" ht="15" hidden="1" customHeight="1" x14ac:dyDescent="0.2">
      <c r="A155" s="133">
        <f t="shared" si="196"/>
        <v>1</v>
      </c>
      <c r="B155" s="141">
        <v>45292</v>
      </c>
      <c r="C155" s="10" t="s">
        <v>153</v>
      </c>
      <c r="D155" s="42" t="str">
        <f t="shared" si="197"/>
        <v>NO</v>
      </c>
      <c r="E155" s="7">
        <v>335981</v>
      </c>
      <c r="F155" s="7" t="s">
        <v>409</v>
      </c>
      <c r="G155" s="7" t="s">
        <v>410</v>
      </c>
      <c r="H155" s="29">
        <v>45296</v>
      </c>
      <c r="I155" s="7">
        <v>43306695</v>
      </c>
      <c r="J155" s="7" t="s">
        <v>411</v>
      </c>
      <c r="K155" s="7" t="s">
        <v>412</v>
      </c>
      <c r="L155" s="7" t="s">
        <v>179</v>
      </c>
      <c r="M155" s="7"/>
      <c r="N155" s="29">
        <v>45278</v>
      </c>
      <c r="Q155" s="7" t="s">
        <v>157</v>
      </c>
      <c r="R155" s="7" t="s">
        <v>165</v>
      </c>
      <c r="S155" s="7" t="s">
        <v>126</v>
      </c>
      <c r="T155" s="7" t="s">
        <v>166</v>
      </c>
      <c r="U155" s="7" t="s">
        <v>167</v>
      </c>
      <c r="V155" s="7" t="s">
        <v>168</v>
      </c>
      <c r="W155" s="7">
        <v>108803</v>
      </c>
      <c r="X155" s="7" t="s">
        <v>169</v>
      </c>
      <c r="Y155" s="7" t="s">
        <v>170</v>
      </c>
      <c r="AA155" s="7" t="s">
        <v>189</v>
      </c>
      <c r="AB155" s="7" t="s">
        <v>190</v>
      </c>
      <c r="AC155" s="7">
        <v>1584</v>
      </c>
      <c r="AF155" s="31" t="s">
        <v>170</v>
      </c>
      <c r="AG155" s="7" t="s">
        <v>170</v>
      </c>
      <c r="AH155" s="31"/>
      <c r="AI155" s="7" t="s">
        <v>174</v>
      </c>
      <c r="AK155" s="7">
        <v>1</v>
      </c>
      <c r="AL155" s="7">
        <v>1</v>
      </c>
      <c r="AP155" s="7">
        <v>777.78</v>
      </c>
      <c r="AQ155" s="7">
        <v>777.78</v>
      </c>
      <c r="AS155" s="7"/>
      <c r="AV155" s="31"/>
      <c r="AX155" s="118"/>
    </row>
    <row r="156" spans="1:73" ht="15" hidden="1" customHeight="1" x14ac:dyDescent="0.2">
      <c r="A156" s="133">
        <f t="shared" si="196"/>
        <v>1</v>
      </c>
      <c r="B156" s="141">
        <v>45292</v>
      </c>
      <c r="C156" s="10" t="s">
        <v>153</v>
      </c>
      <c r="D156" s="42" t="str">
        <f t="shared" si="197"/>
        <v>NO</v>
      </c>
      <c r="E156" s="7">
        <v>307938</v>
      </c>
      <c r="F156" s="7" t="s">
        <v>413</v>
      </c>
      <c r="G156" s="7" t="s">
        <v>414</v>
      </c>
      <c r="H156" s="29">
        <v>45323</v>
      </c>
      <c r="I156" s="7">
        <v>33294533</v>
      </c>
      <c r="J156" s="7" t="s">
        <v>415</v>
      </c>
      <c r="K156" s="7" t="s">
        <v>416</v>
      </c>
      <c r="L156" s="7" t="s">
        <v>164</v>
      </c>
      <c r="M156" s="7"/>
      <c r="N156" s="29">
        <v>44834</v>
      </c>
      <c r="P156" s="29">
        <v>45077</v>
      </c>
      <c r="Q156" s="7" t="s">
        <v>157</v>
      </c>
      <c r="R156" s="7" t="s">
        <v>214</v>
      </c>
      <c r="S156" s="7" t="s">
        <v>126</v>
      </c>
      <c r="T156" s="7" t="s">
        <v>206</v>
      </c>
      <c r="U156" s="7" t="s">
        <v>167</v>
      </c>
      <c r="V156" s="7" t="s">
        <v>215</v>
      </c>
      <c r="W156" s="7">
        <v>108803</v>
      </c>
      <c r="X156" s="7" t="s">
        <v>169</v>
      </c>
      <c r="Y156" s="7" t="s">
        <v>170</v>
      </c>
      <c r="AA156" s="7" t="s">
        <v>208</v>
      </c>
      <c r="AB156" s="7" t="s">
        <v>209</v>
      </c>
      <c r="AC156" s="7">
        <v>1035</v>
      </c>
      <c r="AF156" s="31" t="s">
        <v>173</v>
      </c>
      <c r="AG156" s="7" t="s">
        <v>170</v>
      </c>
      <c r="AH156" s="31"/>
      <c r="AI156" s="7" t="s">
        <v>174</v>
      </c>
      <c r="AK156" s="7">
        <v>3</v>
      </c>
      <c r="AL156" s="7">
        <v>1</v>
      </c>
      <c r="AM156" s="7">
        <v>95288.57</v>
      </c>
      <c r="AN156" s="7">
        <v>19499.96</v>
      </c>
      <c r="AP156" s="7">
        <v>40116.42</v>
      </c>
      <c r="AQ156" s="7">
        <v>115905.03</v>
      </c>
      <c r="AS156" s="7">
        <v>2200.6</v>
      </c>
      <c r="AX156" s="118"/>
      <c r="AZ156" s="7">
        <v>1100.3</v>
      </c>
      <c r="BG156" s="7">
        <v>2200.6</v>
      </c>
      <c r="BO156" s="7">
        <v>1100.3</v>
      </c>
      <c r="BP156" s="7">
        <v>5000</v>
      </c>
      <c r="BS156" s="7">
        <v>14741.42</v>
      </c>
    </row>
    <row r="157" spans="1:73" ht="15" hidden="1" customHeight="1" x14ac:dyDescent="0.2">
      <c r="A157" s="133">
        <f t="shared" si="196"/>
        <v>1</v>
      </c>
      <c r="B157" s="141">
        <v>45292</v>
      </c>
      <c r="C157" s="10" t="s">
        <v>153</v>
      </c>
      <c r="D157" s="42" t="str">
        <f t="shared" si="197"/>
        <v>NO</v>
      </c>
      <c r="E157" s="7">
        <v>334549</v>
      </c>
      <c r="F157" s="7" t="s">
        <v>417</v>
      </c>
      <c r="G157" s="7" t="s">
        <v>418</v>
      </c>
      <c r="H157" s="29">
        <v>45296</v>
      </c>
      <c r="I157" s="7">
        <v>95713406</v>
      </c>
      <c r="J157" s="7" t="s">
        <v>419</v>
      </c>
      <c r="K157" s="7" t="s">
        <v>420</v>
      </c>
      <c r="L157" s="7" t="s">
        <v>179</v>
      </c>
      <c r="M157" s="7"/>
      <c r="N157" s="29">
        <v>45253</v>
      </c>
      <c r="P157" s="29">
        <v>45291</v>
      </c>
      <c r="Q157" s="7" t="s">
        <v>157</v>
      </c>
      <c r="R157" s="7" t="s">
        <v>165</v>
      </c>
      <c r="S157" s="7" t="s">
        <v>126</v>
      </c>
      <c r="T157" s="7" t="s">
        <v>180</v>
      </c>
      <c r="U157" s="7" t="s">
        <v>167</v>
      </c>
      <c r="V157" s="7" t="s">
        <v>168</v>
      </c>
      <c r="W157" s="7">
        <v>108803</v>
      </c>
      <c r="X157" s="7" t="s">
        <v>169</v>
      </c>
      <c r="Y157" s="7" t="s">
        <v>170</v>
      </c>
      <c r="AA157" s="7" t="s">
        <v>171</v>
      </c>
      <c r="AB157" s="7" t="s">
        <v>172</v>
      </c>
      <c r="AC157" s="7">
        <v>1130</v>
      </c>
      <c r="AF157" s="31" t="s">
        <v>173</v>
      </c>
      <c r="AG157" s="7" t="s">
        <v>170</v>
      </c>
      <c r="AH157" s="31"/>
      <c r="AI157" s="7" t="s">
        <v>174</v>
      </c>
      <c r="AK157" s="7">
        <v>1</v>
      </c>
      <c r="AL157" s="7">
        <v>1</v>
      </c>
      <c r="AP157" s="7">
        <v>1166.67</v>
      </c>
      <c r="AQ157" s="7">
        <v>1166.67</v>
      </c>
      <c r="AS157" s="7"/>
    </row>
    <row r="158" spans="1:73" ht="15" hidden="1" customHeight="1" x14ac:dyDescent="0.2">
      <c r="A158" s="133">
        <f t="shared" si="196"/>
        <v>1</v>
      </c>
      <c r="B158" s="141">
        <v>45292</v>
      </c>
      <c r="C158" s="10" t="s">
        <v>102</v>
      </c>
      <c r="D158" s="42" t="str">
        <f t="shared" si="197"/>
        <v>NO</v>
      </c>
      <c r="E158" s="7">
        <v>339039</v>
      </c>
      <c r="F158" s="7" t="s">
        <v>421</v>
      </c>
      <c r="G158" s="7" t="s">
        <v>422</v>
      </c>
      <c r="H158" s="29">
        <v>45323</v>
      </c>
      <c r="I158" s="7">
        <v>35426197</v>
      </c>
      <c r="J158" s="7" t="s">
        <v>423</v>
      </c>
      <c r="K158" s="7" t="s">
        <v>424</v>
      </c>
      <c r="L158" s="7" t="s">
        <v>179</v>
      </c>
      <c r="M158" s="7"/>
      <c r="N158" s="29">
        <v>45299</v>
      </c>
      <c r="Q158" s="7" t="s">
        <v>157</v>
      </c>
      <c r="R158" s="7" t="s">
        <v>214</v>
      </c>
      <c r="S158" s="7" t="s">
        <v>126</v>
      </c>
      <c r="T158" s="7" t="s">
        <v>200</v>
      </c>
      <c r="U158" s="7" t="s">
        <v>167</v>
      </c>
      <c r="V158" s="7" t="s">
        <v>215</v>
      </c>
      <c r="W158" s="7">
        <v>3009</v>
      </c>
      <c r="X158" s="7" t="s">
        <v>425</v>
      </c>
      <c r="Y158" s="7" t="s">
        <v>170</v>
      </c>
      <c r="AA158" s="7" t="s">
        <v>189</v>
      </c>
      <c r="AB158" s="7" t="s">
        <v>190</v>
      </c>
      <c r="AC158" s="7">
        <v>1584</v>
      </c>
      <c r="AF158" s="31" t="s">
        <v>173</v>
      </c>
      <c r="AG158" s="7" t="s">
        <v>170</v>
      </c>
      <c r="AH158" s="31"/>
      <c r="AI158" s="7" t="s">
        <v>174</v>
      </c>
      <c r="AK158" s="7">
        <v>1</v>
      </c>
      <c r="AL158" s="7">
        <v>1</v>
      </c>
      <c r="AM158" s="7">
        <v>47172.54</v>
      </c>
      <c r="AN158" s="7">
        <v>9655.64</v>
      </c>
      <c r="AP158" s="7">
        <v>7370.71</v>
      </c>
      <c r="AQ158" s="7">
        <v>44887.61</v>
      </c>
      <c r="AS158" s="7">
        <v>1090.8699999999999</v>
      </c>
      <c r="AW158" s="61"/>
      <c r="AZ158" s="41">
        <v>545.42999999999995</v>
      </c>
      <c r="BG158" s="7">
        <v>1090.8699999999999</v>
      </c>
      <c r="BO158" s="7">
        <v>545.42999999999995</v>
      </c>
      <c r="BP158" s="7">
        <v>5000</v>
      </c>
      <c r="BS158" s="7">
        <v>7370.71</v>
      </c>
      <c r="BT158" s="7">
        <f t="shared" ref="BT158:BT159" si="215">+BS158+AM158</f>
        <v>54543.25</v>
      </c>
      <c r="BU158" s="144">
        <f t="shared" ref="BU158:BU159" si="216">+AS158/BT158</f>
        <v>2.0000091670371676E-2</v>
      </c>
    </row>
    <row r="159" spans="1:73" ht="15" hidden="1" customHeight="1" x14ac:dyDescent="0.2">
      <c r="A159" s="133">
        <f t="shared" si="196"/>
        <v>1</v>
      </c>
      <c r="B159" s="141">
        <v>45292</v>
      </c>
      <c r="C159" s="10" t="s">
        <v>102</v>
      </c>
      <c r="D159" s="42" t="str">
        <f t="shared" si="197"/>
        <v>NO</v>
      </c>
      <c r="E159" s="7">
        <v>235280</v>
      </c>
      <c r="F159" s="7" t="s">
        <v>426</v>
      </c>
      <c r="G159" s="7" t="s">
        <v>427</v>
      </c>
      <c r="H159" s="29">
        <v>45323</v>
      </c>
      <c r="I159" s="7">
        <v>41352660</v>
      </c>
      <c r="J159" s="7" t="s">
        <v>428</v>
      </c>
      <c r="K159" s="7" t="s">
        <v>429</v>
      </c>
      <c r="L159" s="7" t="s">
        <v>164</v>
      </c>
      <c r="M159" s="7"/>
      <c r="N159" s="29">
        <v>44800</v>
      </c>
      <c r="Q159" s="7" t="s">
        <v>157</v>
      </c>
      <c r="R159" s="7" t="s">
        <v>165</v>
      </c>
      <c r="S159" s="7" t="s">
        <v>126</v>
      </c>
      <c r="T159" s="7" t="s">
        <v>180</v>
      </c>
      <c r="U159" s="7" t="s">
        <v>167</v>
      </c>
      <c r="V159" s="7" t="s">
        <v>168</v>
      </c>
      <c r="W159" s="7">
        <v>108803</v>
      </c>
      <c r="X159" s="7" t="s">
        <v>169</v>
      </c>
      <c r="Y159" s="7" t="s">
        <v>170</v>
      </c>
      <c r="AA159" s="7" t="s">
        <v>171</v>
      </c>
      <c r="AB159" s="7" t="s">
        <v>172</v>
      </c>
      <c r="AC159" s="7">
        <v>1130</v>
      </c>
      <c r="AF159" s="31" t="s">
        <v>173</v>
      </c>
      <c r="AG159" s="7" t="s">
        <v>170</v>
      </c>
      <c r="AH159" s="31"/>
      <c r="AI159" s="7" t="s">
        <v>174</v>
      </c>
      <c r="AK159" s="7">
        <v>4</v>
      </c>
      <c r="AL159" s="7">
        <v>1</v>
      </c>
      <c r="AM159" s="7">
        <v>141160.32000000001</v>
      </c>
      <c r="AN159" s="7">
        <v>28624.720000000001</v>
      </c>
      <c r="AP159" s="7">
        <v>23510.65</v>
      </c>
      <c r="AQ159" s="7">
        <v>136046.25</v>
      </c>
      <c r="AS159" s="7">
        <v>3084.98</v>
      </c>
      <c r="AX159" s="118"/>
      <c r="AZ159" s="7">
        <v>1542.49</v>
      </c>
      <c r="BG159" s="7">
        <v>3084.98</v>
      </c>
      <c r="BO159" s="7">
        <v>1542.49</v>
      </c>
      <c r="BP159" s="7">
        <v>10000</v>
      </c>
      <c r="BS159" s="7">
        <v>13088.43</v>
      </c>
      <c r="BT159" s="7">
        <f t="shared" si="215"/>
        <v>154248.75</v>
      </c>
      <c r="BU159" s="144">
        <f t="shared" si="216"/>
        <v>2.0000032415173542E-2</v>
      </c>
    </row>
    <row r="160" spans="1:73" ht="15" hidden="1" customHeight="1" x14ac:dyDescent="0.2">
      <c r="A160" s="133">
        <f t="shared" ref="A160:A222" si="217">IF(B160="","",VALUE(MONTH(B160)))</f>
        <v>1</v>
      </c>
      <c r="B160" s="141">
        <v>45292</v>
      </c>
      <c r="C160" s="10" t="s">
        <v>153</v>
      </c>
      <c r="D160" s="42" t="str">
        <f t="shared" si="197"/>
        <v>NO</v>
      </c>
      <c r="E160" s="7">
        <v>314284</v>
      </c>
      <c r="F160" s="7" t="s">
        <v>430</v>
      </c>
      <c r="G160" s="7" t="s">
        <v>431</v>
      </c>
      <c r="H160" s="29">
        <v>45296</v>
      </c>
      <c r="I160" s="7">
        <v>35950161</v>
      </c>
      <c r="J160" s="7" t="s">
        <v>432</v>
      </c>
      <c r="K160" s="7" t="s">
        <v>433</v>
      </c>
      <c r="L160" s="7" t="s">
        <v>179</v>
      </c>
      <c r="M160" s="7"/>
      <c r="N160" s="29">
        <v>45155</v>
      </c>
      <c r="O160" s="29">
        <v>45263</v>
      </c>
      <c r="Q160" s="7" t="s">
        <v>157</v>
      </c>
      <c r="R160" s="7" t="s">
        <v>165</v>
      </c>
      <c r="S160" s="7" t="s">
        <v>126</v>
      </c>
      <c r="T160" s="7" t="s">
        <v>180</v>
      </c>
      <c r="U160" s="7" t="s">
        <v>167</v>
      </c>
      <c r="V160" s="7" t="s">
        <v>168</v>
      </c>
      <c r="W160" s="7">
        <v>108803</v>
      </c>
      <c r="X160" s="7" t="s">
        <v>169</v>
      </c>
      <c r="Y160" s="7" t="s">
        <v>170</v>
      </c>
      <c r="AA160" s="7" t="s">
        <v>171</v>
      </c>
      <c r="AB160" s="7" t="s">
        <v>172</v>
      </c>
      <c r="AC160" s="7">
        <v>1130</v>
      </c>
      <c r="AF160" s="31" t="s">
        <v>173</v>
      </c>
      <c r="AG160" s="7" t="s">
        <v>170</v>
      </c>
      <c r="AH160" s="31"/>
      <c r="AI160" s="7" t="s">
        <v>174</v>
      </c>
      <c r="AK160" s="7">
        <v>1</v>
      </c>
      <c r="AL160" s="7">
        <v>1</v>
      </c>
      <c r="AP160" s="7">
        <v>2333.33</v>
      </c>
      <c r="AQ160" s="7">
        <v>2333.33</v>
      </c>
      <c r="AS160" s="7"/>
      <c r="AW160" s="61"/>
    </row>
    <row r="161" spans="1:73" ht="15" hidden="1" customHeight="1" x14ac:dyDescent="0.2">
      <c r="A161" s="133">
        <f t="shared" si="217"/>
        <v>1</v>
      </c>
      <c r="B161" s="141">
        <v>45292</v>
      </c>
      <c r="C161" s="10" t="s">
        <v>102</v>
      </c>
      <c r="D161" s="42" t="str">
        <f t="shared" si="197"/>
        <v>NO</v>
      </c>
      <c r="E161" s="7">
        <v>321553</v>
      </c>
      <c r="F161" s="7" t="s">
        <v>434</v>
      </c>
      <c r="G161" s="7" t="s">
        <v>435</v>
      </c>
      <c r="H161" s="29">
        <v>45323</v>
      </c>
      <c r="I161" s="7">
        <v>39756303</v>
      </c>
      <c r="J161" s="7" t="s">
        <v>436</v>
      </c>
      <c r="K161" s="7" t="s">
        <v>437</v>
      </c>
      <c r="L161" s="7" t="s">
        <v>179</v>
      </c>
      <c r="M161" s="7"/>
      <c r="N161" s="29">
        <v>45244</v>
      </c>
      <c r="Q161" s="7" t="s">
        <v>157</v>
      </c>
      <c r="R161" s="7" t="s">
        <v>199</v>
      </c>
      <c r="S161" s="7" t="s">
        <v>126</v>
      </c>
      <c r="T161" s="7" t="s">
        <v>200</v>
      </c>
      <c r="U161" s="7" t="s">
        <v>167</v>
      </c>
      <c r="V161" s="7" t="s">
        <v>201</v>
      </c>
      <c r="W161" s="7">
        <v>108803</v>
      </c>
      <c r="X161" s="7" t="s">
        <v>169</v>
      </c>
      <c r="Y161" s="7" t="s">
        <v>170</v>
      </c>
      <c r="AA161" s="7" t="s">
        <v>171</v>
      </c>
      <c r="AB161" s="7" t="s">
        <v>172</v>
      </c>
      <c r="AC161" s="7">
        <v>1130</v>
      </c>
      <c r="AF161" s="31" t="s">
        <v>173</v>
      </c>
      <c r="AG161" s="7" t="s">
        <v>170</v>
      </c>
      <c r="AH161" s="31"/>
      <c r="AI161" s="7" t="s">
        <v>174</v>
      </c>
      <c r="AK161" s="7">
        <v>2</v>
      </c>
      <c r="AL161" s="7">
        <v>1</v>
      </c>
      <c r="AM161" s="7">
        <v>27957.34</v>
      </c>
      <c r="AN161" s="7">
        <v>5722.52</v>
      </c>
      <c r="AP161" s="7">
        <v>12243.34</v>
      </c>
      <c r="AQ161" s="7">
        <v>34478.160000000003</v>
      </c>
      <c r="AS161" s="7">
        <v>646.51</v>
      </c>
      <c r="AV161" s="31"/>
      <c r="AZ161" s="41">
        <v>323.26</v>
      </c>
      <c r="BG161" s="7">
        <v>646.51</v>
      </c>
      <c r="BO161" s="7">
        <v>323.26</v>
      </c>
      <c r="BS161" s="7">
        <v>4368.34</v>
      </c>
      <c r="BT161" s="7">
        <f>+BS161+AM161</f>
        <v>32325.68</v>
      </c>
      <c r="BU161" s="144">
        <f>+AS161/BT161</f>
        <v>1.9999888633433233E-2</v>
      </c>
    </row>
    <row r="162" spans="1:73" ht="15" hidden="1" customHeight="1" x14ac:dyDescent="0.2">
      <c r="A162" s="133">
        <f t="shared" si="217"/>
        <v>1</v>
      </c>
      <c r="B162" s="141">
        <v>45292</v>
      </c>
      <c r="C162" s="10" t="s">
        <v>153</v>
      </c>
      <c r="D162" s="42" t="str">
        <f t="shared" si="197"/>
        <v>NO</v>
      </c>
      <c r="E162" s="7">
        <v>301772</v>
      </c>
      <c r="F162" s="7" t="s">
        <v>438</v>
      </c>
      <c r="G162" s="7" t="s">
        <v>439</v>
      </c>
      <c r="H162" s="29">
        <v>45296</v>
      </c>
      <c r="I162" s="7">
        <v>40014235</v>
      </c>
      <c r="J162" s="7" t="s">
        <v>440</v>
      </c>
      <c r="K162" s="7" t="s">
        <v>441</v>
      </c>
      <c r="L162" s="7" t="s">
        <v>164</v>
      </c>
      <c r="M162" s="7"/>
      <c r="N162" s="29">
        <v>44714</v>
      </c>
      <c r="P162" s="29">
        <v>45291</v>
      </c>
      <c r="Q162" s="7" t="s">
        <v>157</v>
      </c>
      <c r="R162" s="7" t="s">
        <v>165</v>
      </c>
      <c r="S162" s="7" t="s">
        <v>126</v>
      </c>
      <c r="T162" s="7" t="s">
        <v>180</v>
      </c>
      <c r="U162" s="7" t="s">
        <v>167</v>
      </c>
      <c r="V162" s="7" t="s">
        <v>168</v>
      </c>
      <c r="W162" s="7">
        <v>108803</v>
      </c>
      <c r="X162" s="7" t="s">
        <v>169</v>
      </c>
      <c r="Y162" s="7" t="s">
        <v>170</v>
      </c>
      <c r="AA162" s="7" t="s">
        <v>171</v>
      </c>
      <c r="AB162" s="7" t="s">
        <v>172</v>
      </c>
      <c r="AC162" s="7">
        <v>1130</v>
      </c>
      <c r="AF162" s="31" t="s">
        <v>173</v>
      </c>
      <c r="AG162" s="7" t="s">
        <v>170</v>
      </c>
      <c r="AH162" s="31"/>
      <c r="AI162" s="7" t="s">
        <v>174</v>
      </c>
      <c r="AK162" s="7">
        <v>1</v>
      </c>
      <c r="AL162" s="7">
        <v>1</v>
      </c>
      <c r="AP162" s="7">
        <v>7077.78</v>
      </c>
      <c r="AQ162" s="7">
        <v>7077.78</v>
      </c>
      <c r="AS162" s="7"/>
      <c r="AW162" s="61"/>
      <c r="AZ162" s="41"/>
    </row>
    <row r="163" spans="1:73" ht="15" hidden="1" customHeight="1" x14ac:dyDescent="0.2">
      <c r="A163" s="133">
        <f t="shared" si="217"/>
        <v>1</v>
      </c>
      <c r="B163" s="141">
        <v>45292</v>
      </c>
      <c r="C163" s="10" t="s">
        <v>153</v>
      </c>
      <c r="D163" s="42" t="str">
        <f t="shared" si="197"/>
        <v>NO</v>
      </c>
      <c r="E163" s="7">
        <v>334130</v>
      </c>
      <c r="F163" s="7" t="s">
        <v>442</v>
      </c>
      <c r="G163" s="7" t="s">
        <v>443</v>
      </c>
      <c r="H163" s="29">
        <v>45296</v>
      </c>
      <c r="I163" s="7">
        <v>42313991</v>
      </c>
      <c r="J163" s="7" t="s">
        <v>444</v>
      </c>
      <c r="K163" s="7" t="s">
        <v>445</v>
      </c>
      <c r="L163" s="7" t="s">
        <v>179</v>
      </c>
      <c r="M163" s="7"/>
      <c r="N163" s="29">
        <v>45241</v>
      </c>
      <c r="P163" s="29">
        <v>45291</v>
      </c>
      <c r="Q163" s="7" t="s">
        <v>157</v>
      </c>
      <c r="R163" s="7" t="s">
        <v>165</v>
      </c>
      <c r="S163" s="7" t="s">
        <v>126</v>
      </c>
      <c r="T163" s="7" t="s">
        <v>166</v>
      </c>
      <c r="U163" s="7" t="s">
        <v>167</v>
      </c>
      <c r="V163" s="7" t="s">
        <v>168</v>
      </c>
      <c r="W163" s="7">
        <v>108803</v>
      </c>
      <c r="X163" s="7" t="s">
        <v>169</v>
      </c>
      <c r="Y163" s="7" t="s">
        <v>170</v>
      </c>
      <c r="AA163" s="7" t="s">
        <v>171</v>
      </c>
      <c r="AB163" s="7" t="s">
        <v>172</v>
      </c>
      <c r="AC163" s="7">
        <v>1130</v>
      </c>
      <c r="AF163" s="31" t="s">
        <v>173</v>
      </c>
      <c r="AG163" s="7" t="s">
        <v>170</v>
      </c>
      <c r="AH163" s="31"/>
      <c r="AI163" s="7" t="s">
        <v>174</v>
      </c>
      <c r="AK163" s="7">
        <v>2</v>
      </c>
      <c r="AL163" s="7">
        <v>1</v>
      </c>
      <c r="AP163" s="7">
        <v>2566.67</v>
      </c>
      <c r="AQ163" s="7">
        <v>2566.67</v>
      </c>
      <c r="AS163" s="7"/>
    </row>
    <row r="164" spans="1:73" ht="15" hidden="1" customHeight="1" x14ac:dyDescent="0.2">
      <c r="A164" s="133">
        <f t="shared" si="217"/>
        <v>1</v>
      </c>
      <c r="B164" s="141">
        <v>45292</v>
      </c>
      <c r="C164" s="10" t="s">
        <v>153</v>
      </c>
      <c r="D164" s="42" t="str">
        <f t="shared" si="197"/>
        <v>NO</v>
      </c>
      <c r="E164" s="7">
        <v>327596</v>
      </c>
      <c r="F164" s="7" t="s">
        <v>446</v>
      </c>
      <c r="G164" s="7" t="s">
        <v>447</v>
      </c>
      <c r="H164" s="29">
        <v>45296</v>
      </c>
      <c r="I164" s="7">
        <v>51711643</v>
      </c>
      <c r="J164" s="7" t="s">
        <v>448</v>
      </c>
      <c r="K164" s="7" t="s">
        <v>449</v>
      </c>
      <c r="L164" s="7" t="s">
        <v>164</v>
      </c>
      <c r="M164" s="7"/>
      <c r="N164" s="29">
        <v>45200</v>
      </c>
      <c r="P164" s="29">
        <v>45291</v>
      </c>
      <c r="Q164" s="7" t="s">
        <v>157</v>
      </c>
      <c r="R164" s="7" t="s">
        <v>165</v>
      </c>
      <c r="S164" s="7" t="s">
        <v>126</v>
      </c>
      <c r="T164" s="7" t="s">
        <v>166</v>
      </c>
      <c r="U164" s="7" t="s">
        <v>167</v>
      </c>
      <c r="V164" s="7" t="s">
        <v>168</v>
      </c>
      <c r="W164" s="7">
        <v>108803</v>
      </c>
      <c r="X164" s="7" t="s">
        <v>169</v>
      </c>
      <c r="Y164" s="7" t="s">
        <v>170</v>
      </c>
      <c r="AA164" s="7" t="s">
        <v>189</v>
      </c>
      <c r="AB164" s="7" t="s">
        <v>190</v>
      </c>
      <c r="AC164" s="7">
        <v>1584</v>
      </c>
      <c r="AF164" s="31" t="s">
        <v>170</v>
      </c>
      <c r="AG164" s="7" t="s">
        <v>170</v>
      </c>
      <c r="AH164" s="31"/>
      <c r="AI164" s="7" t="s">
        <v>174</v>
      </c>
      <c r="AK164" s="7">
        <v>1</v>
      </c>
      <c r="AL164" s="7">
        <v>1</v>
      </c>
      <c r="AP164" s="7">
        <v>1322.22</v>
      </c>
      <c r="AQ164" s="7">
        <v>1322.22</v>
      </c>
      <c r="AS164" s="7"/>
      <c r="AW164" s="61"/>
    </row>
    <row r="165" spans="1:73" ht="15" hidden="1" customHeight="1" x14ac:dyDescent="0.2">
      <c r="A165" s="133">
        <f t="shared" si="217"/>
        <v>1</v>
      </c>
      <c r="B165" s="141">
        <v>45292</v>
      </c>
      <c r="C165" s="10" t="s">
        <v>153</v>
      </c>
      <c r="D165" s="42" t="str">
        <f t="shared" si="197"/>
        <v>NO</v>
      </c>
      <c r="E165" s="7">
        <v>334547</v>
      </c>
      <c r="F165" s="7" t="s">
        <v>450</v>
      </c>
      <c r="G165" s="7" t="s">
        <v>451</v>
      </c>
      <c r="H165" s="29">
        <v>45296</v>
      </c>
      <c r="I165" s="7">
        <v>41588742</v>
      </c>
      <c r="J165" s="7" t="s">
        <v>452</v>
      </c>
      <c r="K165" s="7" t="s">
        <v>453</v>
      </c>
      <c r="L165" s="7" t="s">
        <v>179</v>
      </c>
      <c r="M165" s="7"/>
      <c r="N165" s="29">
        <v>45253</v>
      </c>
      <c r="P165" s="29">
        <v>45313</v>
      </c>
      <c r="Q165" s="7" t="s">
        <v>157</v>
      </c>
      <c r="R165" s="7" t="s">
        <v>165</v>
      </c>
      <c r="S165" s="7" t="s">
        <v>126</v>
      </c>
      <c r="T165" s="7" t="s">
        <v>166</v>
      </c>
      <c r="U165" s="7" t="s">
        <v>167</v>
      </c>
      <c r="V165" s="7" t="s">
        <v>168</v>
      </c>
      <c r="W165" s="7">
        <v>108803</v>
      </c>
      <c r="X165" s="7" t="s">
        <v>169</v>
      </c>
      <c r="Y165" s="7" t="s">
        <v>170</v>
      </c>
      <c r="AA165" s="7" t="s">
        <v>171</v>
      </c>
      <c r="AB165" s="7" t="s">
        <v>172</v>
      </c>
      <c r="AC165" s="7">
        <v>1130</v>
      </c>
      <c r="AF165" s="31" t="s">
        <v>173</v>
      </c>
      <c r="AG165" s="7" t="s">
        <v>170</v>
      </c>
      <c r="AI165" s="7" t="s">
        <v>174</v>
      </c>
      <c r="AK165" s="7">
        <v>2</v>
      </c>
      <c r="AL165" s="7">
        <v>1</v>
      </c>
      <c r="AP165" s="7">
        <v>9488.8799999999992</v>
      </c>
      <c r="AQ165" s="7">
        <v>9488.8799999999992</v>
      </c>
      <c r="AS165" s="7"/>
    </row>
    <row r="166" spans="1:73" ht="15" hidden="1" customHeight="1" x14ac:dyDescent="0.2">
      <c r="A166" s="133">
        <f t="shared" si="217"/>
        <v>1</v>
      </c>
      <c r="B166" s="141">
        <v>45292</v>
      </c>
      <c r="C166" s="10" t="s">
        <v>102</v>
      </c>
      <c r="D166" s="42" t="str">
        <f t="shared" si="197"/>
        <v>NO</v>
      </c>
      <c r="E166" s="7">
        <v>313916</v>
      </c>
      <c r="F166" s="7" t="s">
        <v>454</v>
      </c>
      <c r="G166" s="7" t="s">
        <v>455</v>
      </c>
      <c r="H166" s="29">
        <v>45323</v>
      </c>
      <c r="I166" s="7">
        <v>36624954</v>
      </c>
      <c r="J166" s="7" t="s">
        <v>456</v>
      </c>
      <c r="K166" s="7" t="s">
        <v>457</v>
      </c>
      <c r="L166" s="7" t="s">
        <v>179</v>
      </c>
      <c r="M166" s="7"/>
      <c r="N166" s="29">
        <v>45231</v>
      </c>
      <c r="Q166" s="7" t="s">
        <v>157</v>
      </c>
      <c r="R166" s="7" t="s">
        <v>199</v>
      </c>
      <c r="S166" s="7" t="s">
        <v>126</v>
      </c>
      <c r="T166" s="7" t="s">
        <v>239</v>
      </c>
      <c r="U166" s="7" t="s">
        <v>167</v>
      </c>
      <c r="V166" s="7" t="s">
        <v>360</v>
      </c>
      <c r="W166" s="7">
        <v>108803</v>
      </c>
      <c r="X166" s="7" t="s">
        <v>169</v>
      </c>
      <c r="Y166" s="7" t="s">
        <v>170</v>
      </c>
      <c r="AA166" s="7" t="s">
        <v>189</v>
      </c>
      <c r="AB166" s="7" t="s">
        <v>190</v>
      </c>
      <c r="AC166" s="7">
        <v>1584</v>
      </c>
      <c r="AF166" s="31" t="s">
        <v>173</v>
      </c>
      <c r="AG166" s="7" t="s">
        <v>170</v>
      </c>
      <c r="AH166" s="31"/>
      <c r="AI166" s="7" t="s">
        <v>174</v>
      </c>
      <c r="AK166" s="7">
        <v>3</v>
      </c>
      <c r="AL166" s="7">
        <v>1</v>
      </c>
      <c r="AM166" s="7">
        <v>46304.37</v>
      </c>
      <c r="AN166" s="7">
        <v>9477.92</v>
      </c>
      <c r="AP166" s="7">
        <v>20885.060000000001</v>
      </c>
      <c r="AQ166" s="7">
        <v>57711.51</v>
      </c>
      <c r="AS166" s="7">
        <v>1070.79</v>
      </c>
      <c r="AV166" s="31"/>
      <c r="AZ166" s="7">
        <v>535.39</v>
      </c>
      <c r="BG166" s="7">
        <v>1070.79</v>
      </c>
      <c r="BO166" s="7">
        <v>535.39</v>
      </c>
      <c r="BP166" s="7">
        <v>5000</v>
      </c>
      <c r="BS166" s="7">
        <v>7235.06</v>
      </c>
      <c r="BT166" s="7">
        <f>+BS166+AM166</f>
        <v>53539.43</v>
      </c>
      <c r="BU166" s="144">
        <f>+AS166/BT166</f>
        <v>2.0000026148952275E-2</v>
      </c>
    </row>
    <row r="167" spans="1:73" ht="15" hidden="1" customHeight="1" x14ac:dyDescent="0.2">
      <c r="A167" s="133">
        <f t="shared" si="217"/>
        <v>1</v>
      </c>
      <c r="B167" s="141">
        <v>45292</v>
      </c>
      <c r="C167" s="10" t="s">
        <v>153</v>
      </c>
      <c r="D167" s="42" t="str">
        <f t="shared" ref="D167:D230" si="218">IF(AR167="","NO","SI")</f>
        <v>NO</v>
      </c>
      <c r="E167" s="7">
        <v>334557</v>
      </c>
      <c r="F167" s="7" t="s">
        <v>458</v>
      </c>
      <c r="G167" s="7" t="s">
        <v>459</v>
      </c>
      <c r="H167" s="29">
        <v>45296</v>
      </c>
      <c r="I167" s="7">
        <v>36910030</v>
      </c>
      <c r="J167" s="7" t="s">
        <v>460</v>
      </c>
      <c r="K167" s="7" t="s">
        <v>461</v>
      </c>
      <c r="L167" s="7" t="s">
        <v>179</v>
      </c>
      <c r="M167" s="7"/>
      <c r="N167" s="29">
        <v>45253</v>
      </c>
      <c r="P167" s="29">
        <v>45291</v>
      </c>
      <c r="Q167" s="7" t="s">
        <v>157</v>
      </c>
      <c r="R167" s="7" t="s">
        <v>165</v>
      </c>
      <c r="S167" s="7" t="s">
        <v>126</v>
      </c>
      <c r="T167" s="7" t="s">
        <v>180</v>
      </c>
      <c r="U167" s="7" t="s">
        <v>167</v>
      </c>
      <c r="V167" s="7" t="s">
        <v>168</v>
      </c>
      <c r="W167" s="7">
        <v>108803</v>
      </c>
      <c r="X167" s="7" t="s">
        <v>169</v>
      </c>
      <c r="Y167" s="7" t="s">
        <v>170</v>
      </c>
      <c r="AA167" s="7" t="s">
        <v>171</v>
      </c>
      <c r="AB167" s="7" t="s">
        <v>172</v>
      </c>
      <c r="AC167" s="7">
        <v>1130</v>
      </c>
      <c r="AF167" s="31" t="s">
        <v>173</v>
      </c>
      <c r="AG167" s="7" t="s">
        <v>170</v>
      </c>
      <c r="AH167" s="31"/>
      <c r="AI167" s="7" t="s">
        <v>174</v>
      </c>
      <c r="AK167" s="7">
        <v>1</v>
      </c>
      <c r="AL167" s="7">
        <v>1</v>
      </c>
      <c r="AP167" s="7">
        <v>1011.11</v>
      </c>
      <c r="AQ167" s="7">
        <v>1011.11</v>
      </c>
      <c r="AS167" s="7"/>
      <c r="AW167" s="61"/>
    </row>
    <row r="168" spans="1:73" ht="15" hidden="1" customHeight="1" x14ac:dyDescent="0.2">
      <c r="A168" s="133">
        <f t="shared" si="217"/>
        <v>1</v>
      </c>
      <c r="B168" s="141">
        <v>45292</v>
      </c>
      <c r="C168" s="10" t="s">
        <v>102</v>
      </c>
      <c r="D168" s="42" t="str">
        <f t="shared" si="218"/>
        <v>NO</v>
      </c>
      <c r="E168" s="7">
        <v>329774</v>
      </c>
      <c r="F168" s="7" t="s">
        <v>462</v>
      </c>
      <c r="G168" s="7" t="s">
        <v>463</v>
      </c>
      <c r="H168" s="29">
        <v>45323</v>
      </c>
      <c r="I168" s="7">
        <v>45503827</v>
      </c>
      <c r="J168" s="7" t="s">
        <v>464</v>
      </c>
      <c r="K168" s="7" t="s">
        <v>465</v>
      </c>
      <c r="L168" s="7" t="s">
        <v>179</v>
      </c>
      <c r="M168" s="7"/>
      <c r="N168" s="29">
        <v>45231</v>
      </c>
      <c r="Q168" s="7" t="s">
        <v>157</v>
      </c>
      <c r="R168" s="7" t="s">
        <v>165</v>
      </c>
      <c r="S168" s="7" t="s">
        <v>126</v>
      </c>
      <c r="T168" s="7" t="s">
        <v>180</v>
      </c>
      <c r="U168" s="7" t="s">
        <v>167</v>
      </c>
      <c r="V168" s="7" t="s">
        <v>168</v>
      </c>
      <c r="W168" s="7">
        <v>108803</v>
      </c>
      <c r="X168" s="7" t="s">
        <v>169</v>
      </c>
      <c r="Y168" s="7" t="s">
        <v>170</v>
      </c>
      <c r="AA168" s="7" t="s">
        <v>171</v>
      </c>
      <c r="AB168" s="7" t="s">
        <v>172</v>
      </c>
      <c r="AC168" s="7">
        <v>1130</v>
      </c>
      <c r="AF168" s="31" t="s">
        <v>173</v>
      </c>
      <c r="AG168" s="7" t="s">
        <v>170</v>
      </c>
      <c r="AH168" s="31"/>
      <c r="AI168" s="7" t="s">
        <v>174</v>
      </c>
      <c r="AK168" s="7">
        <v>3</v>
      </c>
      <c r="AL168" s="7">
        <v>1</v>
      </c>
      <c r="AM168" s="7">
        <v>15860.82</v>
      </c>
      <c r="AN168" s="7">
        <v>3238.7</v>
      </c>
      <c r="AP168" s="7">
        <v>14196.14</v>
      </c>
      <c r="AQ168" s="7">
        <v>26818.26</v>
      </c>
      <c r="AS168" s="7">
        <v>361.58</v>
      </c>
      <c r="AZ168" s="7">
        <v>180.79</v>
      </c>
      <c r="BG168" s="7">
        <v>361.58</v>
      </c>
      <c r="BO168" s="7">
        <v>180.79</v>
      </c>
      <c r="BS168" s="7">
        <v>2218.37</v>
      </c>
      <c r="BT168" s="7">
        <f t="shared" ref="BT168:BT171" si="219">+BS168+AM168</f>
        <v>18079.189999999999</v>
      </c>
      <c r="BU168" s="144">
        <f t="shared" ref="BU168:BU171" si="220">+AS168/BT168</f>
        <v>1.9999789813592312E-2</v>
      </c>
    </row>
    <row r="169" spans="1:73" ht="15" hidden="1" customHeight="1" x14ac:dyDescent="0.2">
      <c r="A169" s="133">
        <f t="shared" si="217"/>
        <v>1</v>
      </c>
      <c r="B169" s="141">
        <v>45292</v>
      </c>
      <c r="C169" s="10" t="s">
        <v>102</v>
      </c>
      <c r="D169" s="42" t="str">
        <f t="shared" si="218"/>
        <v>NO</v>
      </c>
      <c r="E169" s="7">
        <v>49660</v>
      </c>
      <c r="F169" s="7" t="s">
        <v>466</v>
      </c>
      <c r="G169" s="7" t="s">
        <v>467</v>
      </c>
      <c r="H169" s="29">
        <v>45323</v>
      </c>
      <c r="I169" s="7">
        <v>22669935</v>
      </c>
      <c r="J169" s="7" t="s">
        <v>468</v>
      </c>
      <c r="K169" s="7" t="s">
        <v>469</v>
      </c>
      <c r="L169" s="7" t="s">
        <v>164</v>
      </c>
      <c r="M169" s="7"/>
      <c r="N169" s="29">
        <v>45085</v>
      </c>
      <c r="Q169" s="7" t="s">
        <v>157</v>
      </c>
      <c r="R169" s="7" t="s">
        <v>214</v>
      </c>
      <c r="S169" s="7" t="s">
        <v>126</v>
      </c>
      <c r="T169" s="7" t="s">
        <v>206</v>
      </c>
      <c r="U169" s="7" t="s">
        <v>167</v>
      </c>
      <c r="V169" s="7" t="s">
        <v>215</v>
      </c>
      <c r="W169" s="7">
        <v>108803</v>
      </c>
      <c r="X169" s="7" t="s">
        <v>169</v>
      </c>
      <c r="Y169" s="7" t="s">
        <v>170</v>
      </c>
      <c r="AA169" s="7" t="s">
        <v>208</v>
      </c>
      <c r="AB169" s="7" t="s">
        <v>209</v>
      </c>
      <c r="AC169" s="7">
        <v>1035</v>
      </c>
      <c r="AF169" s="31" t="s">
        <v>173</v>
      </c>
      <c r="AG169" s="7" t="s">
        <v>170</v>
      </c>
      <c r="AH169" s="31"/>
      <c r="AI169" s="7" t="s">
        <v>174</v>
      </c>
      <c r="AK169" s="7">
        <v>3</v>
      </c>
      <c r="AL169" s="7">
        <v>1</v>
      </c>
      <c r="AM169" s="7">
        <v>110069.3</v>
      </c>
      <c r="AN169" s="7">
        <v>22529.81</v>
      </c>
      <c r="AP169" s="7">
        <v>45898.33</v>
      </c>
      <c r="AQ169" s="7">
        <v>133437.82</v>
      </c>
      <c r="AS169" s="7">
        <v>2545.35</v>
      </c>
      <c r="AV169" s="31"/>
      <c r="AW169" s="61"/>
      <c r="AZ169" s="7">
        <v>1272.68</v>
      </c>
      <c r="BG169" s="7">
        <v>2545.35</v>
      </c>
      <c r="BO169" s="7">
        <v>1272.68</v>
      </c>
      <c r="BP169" s="7">
        <v>5000</v>
      </c>
      <c r="BS169" s="7">
        <v>17198.330000000002</v>
      </c>
      <c r="BT169" s="7">
        <f t="shared" si="219"/>
        <v>127267.63</v>
      </c>
      <c r="BU169" s="144">
        <f t="shared" si="220"/>
        <v>1.9999979570610373E-2</v>
      </c>
    </row>
    <row r="170" spans="1:73" ht="15" hidden="1" customHeight="1" x14ac:dyDescent="0.2">
      <c r="A170" s="133">
        <f t="shared" si="217"/>
        <v>1</v>
      </c>
      <c r="B170" s="141">
        <v>45292</v>
      </c>
      <c r="C170" s="10" t="s">
        <v>102</v>
      </c>
      <c r="D170" s="42" t="str">
        <f t="shared" si="218"/>
        <v>SI</v>
      </c>
      <c r="E170" s="7">
        <v>95403</v>
      </c>
      <c r="F170" s="7" t="s">
        <v>470</v>
      </c>
      <c r="G170" s="7" t="s">
        <v>471</v>
      </c>
      <c r="H170" s="29">
        <v>45323</v>
      </c>
      <c r="I170" s="7">
        <v>19105903</v>
      </c>
      <c r="J170" s="7" t="s">
        <v>472</v>
      </c>
      <c r="K170" s="7" t="s">
        <v>473</v>
      </c>
      <c r="L170" s="7" t="s">
        <v>179</v>
      </c>
      <c r="M170" s="7"/>
      <c r="N170" s="29">
        <v>45231</v>
      </c>
      <c r="Q170" s="7" t="s">
        <v>157</v>
      </c>
      <c r="R170" s="7" t="s">
        <v>165</v>
      </c>
      <c r="S170" s="7" t="s">
        <v>126</v>
      </c>
      <c r="T170" s="7" t="s">
        <v>180</v>
      </c>
      <c r="U170" s="7" t="s">
        <v>167</v>
      </c>
      <c r="V170" s="7" t="s">
        <v>168</v>
      </c>
      <c r="W170" s="7">
        <v>108803</v>
      </c>
      <c r="X170" s="7" t="s">
        <v>169</v>
      </c>
      <c r="Y170" s="7" t="s">
        <v>170</v>
      </c>
      <c r="AA170" s="7" t="s">
        <v>171</v>
      </c>
      <c r="AB170" s="7" t="s">
        <v>172</v>
      </c>
      <c r="AC170" s="7">
        <v>1130</v>
      </c>
      <c r="AF170" s="31" t="s">
        <v>173</v>
      </c>
      <c r="AG170" s="7" t="s">
        <v>170</v>
      </c>
      <c r="AH170" s="31"/>
      <c r="AI170" s="7" t="s">
        <v>174</v>
      </c>
      <c r="AK170" s="7">
        <v>5</v>
      </c>
      <c r="AL170" s="7">
        <v>1</v>
      </c>
      <c r="AM170" s="7">
        <v>139432.26999999999</v>
      </c>
      <c r="AN170" s="7">
        <v>29341.27</v>
      </c>
      <c r="AP170" s="7">
        <v>29162.97</v>
      </c>
      <c r="AQ170" s="7">
        <v>139253.97</v>
      </c>
      <c r="AR170" s="7">
        <v>4027</v>
      </c>
      <c r="AS170" s="7"/>
      <c r="AZ170" s="41">
        <v>1610.8</v>
      </c>
      <c r="BG170" s="7">
        <v>3221.59</v>
      </c>
      <c r="BO170" s="7">
        <v>1610.8</v>
      </c>
      <c r="BP170" s="7">
        <v>5000</v>
      </c>
      <c r="BS170" s="7">
        <v>21647.69</v>
      </c>
      <c r="BT170" s="7">
        <f t="shared" si="219"/>
        <v>161079.96</v>
      </c>
      <c r="BU170" s="144">
        <f t="shared" si="220"/>
        <v>0</v>
      </c>
    </row>
    <row r="171" spans="1:73" ht="15" hidden="1" customHeight="1" x14ac:dyDescent="0.2">
      <c r="A171" s="133">
        <f t="shared" si="217"/>
        <v>1</v>
      </c>
      <c r="B171" s="141">
        <v>45292</v>
      </c>
      <c r="C171" s="10" t="s">
        <v>102</v>
      </c>
      <c r="D171" s="42" t="str">
        <f t="shared" si="218"/>
        <v>NO</v>
      </c>
      <c r="E171" s="7">
        <v>336783</v>
      </c>
      <c r="F171" s="7" t="s">
        <v>474</v>
      </c>
      <c r="G171" s="7" t="s">
        <v>475</v>
      </c>
      <c r="H171" s="29">
        <v>45324</v>
      </c>
      <c r="I171" s="7">
        <v>32224278</v>
      </c>
      <c r="J171" s="7" t="s">
        <v>476</v>
      </c>
      <c r="K171" s="7" t="s">
        <v>477</v>
      </c>
      <c r="L171" s="7" t="s">
        <v>179</v>
      </c>
      <c r="M171" s="7"/>
      <c r="N171" s="29">
        <v>45292</v>
      </c>
      <c r="Q171" s="7" t="s">
        <v>157</v>
      </c>
      <c r="R171" s="7" t="s">
        <v>354</v>
      </c>
      <c r="S171" s="7" t="s">
        <v>126</v>
      </c>
      <c r="T171" s="7" t="s">
        <v>239</v>
      </c>
      <c r="U171" s="7" t="s">
        <v>167</v>
      </c>
      <c r="V171" s="7" t="s">
        <v>355</v>
      </c>
      <c r="W171" s="7">
        <v>103105</v>
      </c>
      <c r="X171" s="7" t="s">
        <v>478</v>
      </c>
      <c r="Y171" s="7" t="s">
        <v>170</v>
      </c>
      <c r="AA171" s="7" t="s">
        <v>171</v>
      </c>
      <c r="AB171" s="7" t="s">
        <v>172</v>
      </c>
      <c r="AC171" s="7">
        <v>1130</v>
      </c>
      <c r="AF171" s="31" t="s">
        <v>173</v>
      </c>
      <c r="AG171" s="7" t="s">
        <v>170</v>
      </c>
      <c r="AH171" s="31"/>
      <c r="AK171" s="7">
        <v>2</v>
      </c>
      <c r="AL171" s="7">
        <v>1</v>
      </c>
      <c r="AM171" s="7">
        <v>39104.239999999998</v>
      </c>
      <c r="AN171" s="7">
        <v>8004.16</v>
      </c>
      <c r="AP171" s="7">
        <v>6110.04</v>
      </c>
      <c r="AQ171" s="7">
        <v>37210.120000000003</v>
      </c>
      <c r="AS171" s="7">
        <v>904.29</v>
      </c>
      <c r="AZ171" s="41">
        <v>452.14</v>
      </c>
      <c r="BG171" s="7">
        <v>904.29</v>
      </c>
      <c r="BO171" s="7">
        <v>452.14</v>
      </c>
      <c r="BS171" s="7">
        <v>6110.04</v>
      </c>
      <c r="BT171" s="7">
        <f t="shared" si="219"/>
        <v>45214.28</v>
      </c>
      <c r="BU171" s="144">
        <f t="shared" si="220"/>
        <v>2.0000097314388284E-2</v>
      </c>
    </row>
    <row r="172" spans="1:73" ht="15" hidden="1" customHeight="1" x14ac:dyDescent="0.2">
      <c r="A172" s="133">
        <f t="shared" si="217"/>
        <v>1</v>
      </c>
      <c r="B172" s="141">
        <v>45292</v>
      </c>
      <c r="C172" s="10" t="s">
        <v>153</v>
      </c>
      <c r="D172" s="42" t="str">
        <f t="shared" si="218"/>
        <v>NO</v>
      </c>
      <c r="E172" s="7">
        <v>333992</v>
      </c>
      <c r="F172" s="7" t="s">
        <v>479</v>
      </c>
      <c r="G172" s="7" t="s">
        <v>480</v>
      </c>
      <c r="H172" s="29">
        <v>45296</v>
      </c>
      <c r="I172" s="7">
        <v>44419617</v>
      </c>
      <c r="J172" s="7" t="s">
        <v>481</v>
      </c>
      <c r="K172" s="7" t="s">
        <v>482</v>
      </c>
      <c r="L172" s="7" t="s">
        <v>179</v>
      </c>
      <c r="M172" s="7"/>
      <c r="N172" s="29">
        <v>45238</v>
      </c>
      <c r="P172" s="29">
        <v>45291</v>
      </c>
      <c r="Q172" s="7" t="s">
        <v>157</v>
      </c>
      <c r="R172" s="7" t="s">
        <v>165</v>
      </c>
      <c r="S172" s="7" t="s">
        <v>126</v>
      </c>
      <c r="T172" s="7" t="s">
        <v>206</v>
      </c>
      <c r="U172" s="7" t="s">
        <v>167</v>
      </c>
      <c r="V172" s="7" t="s">
        <v>168</v>
      </c>
      <c r="W172" s="7">
        <v>108803</v>
      </c>
      <c r="X172" s="7" t="s">
        <v>169</v>
      </c>
      <c r="Y172" s="7" t="s">
        <v>170</v>
      </c>
      <c r="AA172" s="7" t="s">
        <v>171</v>
      </c>
      <c r="AB172" s="7" t="s">
        <v>172</v>
      </c>
      <c r="AC172" s="7">
        <v>1130</v>
      </c>
      <c r="AF172" s="31" t="s">
        <v>173</v>
      </c>
      <c r="AG172" s="7" t="s">
        <v>170</v>
      </c>
      <c r="AH172" s="31"/>
      <c r="AI172" s="7" t="s">
        <v>174</v>
      </c>
      <c r="AK172" s="7">
        <v>1</v>
      </c>
      <c r="AL172" s="7">
        <v>1</v>
      </c>
      <c r="AP172" s="7">
        <v>1400</v>
      </c>
      <c r="AQ172" s="7">
        <v>1400</v>
      </c>
      <c r="AS172" s="7"/>
      <c r="AW172" s="61"/>
      <c r="AZ172" s="41"/>
    </row>
    <row r="173" spans="1:73" ht="15" hidden="1" customHeight="1" x14ac:dyDescent="0.2">
      <c r="A173" s="133">
        <f t="shared" si="217"/>
        <v>1</v>
      </c>
      <c r="B173" s="141">
        <v>45292</v>
      </c>
      <c r="C173" s="10" t="s">
        <v>153</v>
      </c>
      <c r="D173" s="42" t="str">
        <f t="shared" si="218"/>
        <v>NO</v>
      </c>
      <c r="E173" s="7">
        <v>334794</v>
      </c>
      <c r="F173" s="7" t="s">
        <v>483</v>
      </c>
      <c r="G173" s="7" t="s">
        <v>484</v>
      </c>
      <c r="H173" s="29">
        <v>45296</v>
      </c>
      <c r="I173" s="7">
        <v>43239160</v>
      </c>
      <c r="J173" s="7" t="s">
        <v>485</v>
      </c>
      <c r="K173" s="7" t="s">
        <v>486</v>
      </c>
      <c r="L173" s="7" t="s">
        <v>179</v>
      </c>
      <c r="M173" s="7"/>
      <c r="N173" s="29">
        <v>45253</v>
      </c>
      <c r="P173" s="29">
        <v>45291</v>
      </c>
      <c r="Q173" s="7" t="s">
        <v>157</v>
      </c>
      <c r="R173" s="7" t="s">
        <v>165</v>
      </c>
      <c r="S173" s="7" t="s">
        <v>126</v>
      </c>
      <c r="T173" s="7" t="s">
        <v>180</v>
      </c>
      <c r="U173" s="7" t="s">
        <v>167</v>
      </c>
      <c r="V173" s="7" t="s">
        <v>168</v>
      </c>
      <c r="W173" s="7">
        <v>108803</v>
      </c>
      <c r="X173" s="7" t="s">
        <v>169</v>
      </c>
      <c r="Y173" s="7" t="s">
        <v>170</v>
      </c>
      <c r="AA173" s="7" t="s">
        <v>171</v>
      </c>
      <c r="AB173" s="7" t="s">
        <v>172</v>
      </c>
      <c r="AC173" s="7">
        <v>1130</v>
      </c>
      <c r="AF173" s="31" t="s">
        <v>173</v>
      </c>
      <c r="AG173" s="7" t="s">
        <v>170</v>
      </c>
      <c r="AH173" s="31"/>
      <c r="AI173" s="7" t="s">
        <v>174</v>
      </c>
      <c r="AK173" s="7">
        <v>1</v>
      </c>
      <c r="AL173" s="7">
        <v>1</v>
      </c>
      <c r="AP173" s="7">
        <v>5133.33</v>
      </c>
      <c r="AQ173" s="7">
        <v>5133.33</v>
      </c>
      <c r="AS173" s="7"/>
      <c r="AV173" s="31"/>
    </row>
    <row r="174" spans="1:73" ht="15" hidden="1" customHeight="1" x14ac:dyDescent="0.2">
      <c r="A174" s="133">
        <f t="shared" si="217"/>
        <v>1</v>
      </c>
      <c r="B174" s="141">
        <v>45292</v>
      </c>
      <c r="C174" s="10" t="s">
        <v>102</v>
      </c>
      <c r="D174" s="42" t="str">
        <f t="shared" si="218"/>
        <v>NO</v>
      </c>
      <c r="E174" s="7">
        <v>316836</v>
      </c>
      <c r="F174" s="7" t="s">
        <v>487</v>
      </c>
      <c r="G174" s="7" t="s">
        <v>488</v>
      </c>
      <c r="H174" s="29">
        <v>45324</v>
      </c>
      <c r="I174" s="7">
        <v>36701419</v>
      </c>
      <c r="J174" s="7" t="s">
        <v>489</v>
      </c>
      <c r="K174" s="7" t="s">
        <v>490</v>
      </c>
      <c r="L174" s="7" t="s">
        <v>179</v>
      </c>
      <c r="M174" s="7"/>
      <c r="N174" s="29">
        <v>45302</v>
      </c>
      <c r="Q174" s="7" t="s">
        <v>157</v>
      </c>
      <c r="R174" s="7" t="s">
        <v>199</v>
      </c>
      <c r="S174" s="7" t="s">
        <v>126</v>
      </c>
      <c r="T174" s="7" t="s">
        <v>206</v>
      </c>
      <c r="U174" s="7" t="s">
        <v>167</v>
      </c>
      <c r="V174" s="7" t="s">
        <v>201</v>
      </c>
      <c r="W174" s="7">
        <v>108803</v>
      </c>
      <c r="X174" s="7" t="s">
        <v>169</v>
      </c>
      <c r="Y174" s="7" t="s">
        <v>170</v>
      </c>
      <c r="AA174" s="7" t="s">
        <v>208</v>
      </c>
      <c r="AB174" s="7" t="s">
        <v>209</v>
      </c>
      <c r="AC174" s="7">
        <v>1035</v>
      </c>
      <c r="AF174" s="31" t="s">
        <v>173</v>
      </c>
      <c r="AG174" s="7" t="s">
        <v>170</v>
      </c>
      <c r="AH174" s="31"/>
      <c r="AI174" s="7" t="s">
        <v>174</v>
      </c>
      <c r="AK174" s="7">
        <v>1</v>
      </c>
      <c r="AL174" s="7">
        <v>1</v>
      </c>
      <c r="AM174" s="7">
        <v>13978.68</v>
      </c>
      <c r="AN174" s="7">
        <v>2861.26</v>
      </c>
      <c r="AP174" s="7">
        <v>2184.17</v>
      </c>
      <c r="AQ174" s="7">
        <v>13301.59</v>
      </c>
      <c r="AS174" s="7">
        <v>323.26</v>
      </c>
      <c r="AV174" s="31"/>
      <c r="AW174" s="61"/>
      <c r="AZ174" s="7">
        <v>161.63</v>
      </c>
      <c r="BG174" s="7">
        <v>323.26</v>
      </c>
      <c r="BO174" s="7">
        <v>161.63</v>
      </c>
      <c r="BS174" s="7">
        <v>2184.17</v>
      </c>
      <c r="BT174" s="7">
        <f>+BS174+AM174</f>
        <v>16162.85</v>
      </c>
      <c r="BU174" s="144">
        <f>+AS174/BT174</f>
        <v>2.0000185610829772E-2</v>
      </c>
    </row>
    <row r="175" spans="1:73" ht="15" hidden="1" customHeight="1" x14ac:dyDescent="0.2">
      <c r="A175" s="133">
        <f t="shared" si="217"/>
        <v>1</v>
      </c>
      <c r="B175" s="141">
        <v>45292</v>
      </c>
      <c r="C175" s="10" t="s">
        <v>153</v>
      </c>
      <c r="D175" s="42" t="str">
        <f t="shared" si="218"/>
        <v>NO</v>
      </c>
      <c r="E175" s="7">
        <v>334142</v>
      </c>
      <c r="F175" s="7" t="s">
        <v>491</v>
      </c>
      <c r="G175" s="7" t="s">
        <v>492</v>
      </c>
      <c r="H175" s="29">
        <v>45296</v>
      </c>
      <c r="I175" s="7">
        <v>35156587</v>
      </c>
      <c r="J175" s="7" t="s">
        <v>493</v>
      </c>
      <c r="K175" s="7" t="s">
        <v>494</v>
      </c>
      <c r="L175" s="7" t="s">
        <v>179</v>
      </c>
      <c r="M175" s="7"/>
      <c r="N175" s="29">
        <v>45245</v>
      </c>
      <c r="O175" s="29">
        <v>45268</v>
      </c>
      <c r="P175" s="29">
        <v>45268</v>
      </c>
      <c r="Q175" s="7" t="s">
        <v>157</v>
      </c>
      <c r="R175" s="7" t="s">
        <v>245</v>
      </c>
      <c r="S175" s="7" t="s">
        <v>126</v>
      </c>
      <c r="T175" s="7" t="s">
        <v>239</v>
      </c>
      <c r="U175" s="7" t="s">
        <v>167</v>
      </c>
      <c r="V175" s="7" t="s">
        <v>246</v>
      </c>
      <c r="W175" s="7">
        <v>124001</v>
      </c>
      <c r="X175" s="7" t="s">
        <v>495</v>
      </c>
      <c r="Y175" s="7" t="s">
        <v>170</v>
      </c>
      <c r="AA175" s="7" t="s">
        <v>171</v>
      </c>
      <c r="AB175" s="7" t="s">
        <v>172</v>
      </c>
      <c r="AC175" s="7">
        <v>1130</v>
      </c>
      <c r="AF175" s="31" t="s">
        <v>173</v>
      </c>
      <c r="AG175" s="7" t="s">
        <v>170</v>
      </c>
      <c r="AH175" s="31"/>
      <c r="AI175" s="7" t="s">
        <v>174</v>
      </c>
      <c r="AK175" s="7">
        <v>1</v>
      </c>
      <c r="AL175" s="7">
        <v>1</v>
      </c>
      <c r="AP175" s="7">
        <v>5775</v>
      </c>
      <c r="AQ175" s="7">
        <v>5775</v>
      </c>
      <c r="AS175" s="7"/>
      <c r="AX175" s="118"/>
      <c r="AZ175" s="41"/>
    </row>
    <row r="176" spans="1:73" ht="15" hidden="1" customHeight="1" x14ac:dyDescent="0.2">
      <c r="A176" s="133">
        <f t="shared" si="217"/>
        <v>1</v>
      </c>
      <c r="B176" s="141">
        <v>45292</v>
      </c>
      <c r="C176" s="10" t="s">
        <v>153</v>
      </c>
      <c r="D176" s="42" t="str">
        <f t="shared" si="218"/>
        <v>NO</v>
      </c>
      <c r="E176" s="7">
        <v>334331</v>
      </c>
      <c r="F176" s="7" t="s">
        <v>496</v>
      </c>
      <c r="G176" s="7" t="s">
        <v>497</v>
      </c>
      <c r="H176" s="29">
        <v>45296</v>
      </c>
      <c r="I176" s="7">
        <v>42144012</v>
      </c>
      <c r="J176" s="7" t="s">
        <v>498</v>
      </c>
      <c r="K176" s="7" t="s">
        <v>499</v>
      </c>
      <c r="L176" s="7" t="s">
        <v>179</v>
      </c>
      <c r="M176" s="7"/>
      <c r="N176" s="29">
        <v>45249</v>
      </c>
      <c r="P176" s="29">
        <v>45291</v>
      </c>
      <c r="Q176" s="7" t="s">
        <v>157</v>
      </c>
      <c r="R176" s="7" t="s">
        <v>165</v>
      </c>
      <c r="S176" s="7" t="s">
        <v>126</v>
      </c>
      <c r="T176" s="7" t="s">
        <v>180</v>
      </c>
      <c r="U176" s="7" t="s">
        <v>167</v>
      </c>
      <c r="V176" s="7" t="s">
        <v>168</v>
      </c>
      <c r="W176" s="7">
        <v>108803</v>
      </c>
      <c r="X176" s="7" t="s">
        <v>169</v>
      </c>
      <c r="Y176" s="7" t="s">
        <v>170</v>
      </c>
      <c r="AA176" s="7" t="s">
        <v>171</v>
      </c>
      <c r="AB176" s="7" t="s">
        <v>172</v>
      </c>
      <c r="AC176" s="7">
        <v>1130</v>
      </c>
      <c r="AF176" s="31" t="s">
        <v>173</v>
      </c>
      <c r="AG176" s="7" t="s">
        <v>170</v>
      </c>
      <c r="AH176" s="31"/>
      <c r="AI176" s="7" t="s">
        <v>174</v>
      </c>
      <c r="AK176" s="7">
        <v>1</v>
      </c>
      <c r="AL176" s="7">
        <v>1</v>
      </c>
      <c r="AP176" s="7">
        <v>1711.11</v>
      </c>
      <c r="AQ176" s="7">
        <v>1711.11</v>
      </c>
      <c r="AS176" s="7"/>
    </row>
    <row r="177" spans="1:73" ht="15" hidden="1" customHeight="1" x14ac:dyDescent="0.2">
      <c r="A177" s="133">
        <f t="shared" si="217"/>
        <v>1</v>
      </c>
      <c r="B177" s="141">
        <v>45292</v>
      </c>
      <c r="C177" s="10" t="s">
        <v>153</v>
      </c>
      <c r="D177" s="42" t="str">
        <f t="shared" si="218"/>
        <v>NO</v>
      </c>
      <c r="E177" s="7">
        <v>314151</v>
      </c>
      <c r="F177" s="7" t="s">
        <v>500</v>
      </c>
      <c r="G177" s="7" t="s">
        <v>501</v>
      </c>
      <c r="H177" s="29">
        <v>45296</v>
      </c>
      <c r="I177" s="7">
        <v>41471608</v>
      </c>
      <c r="J177" s="7" t="s">
        <v>502</v>
      </c>
      <c r="K177" s="7" t="s">
        <v>503</v>
      </c>
      <c r="L177" s="7" t="s">
        <v>164</v>
      </c>
      <c r="M177" s="7"/>
      <c r="N177" s="29">
        <v>45288</v>
      </c>
      <c r="Q177" s="7" t="s">
        <v>157</v>
      </c>
      <c r="R177" s="7" t="s">
        <v>354</v>
      </c>
      <c r="S177" s="7" t="s">
        <v>126</v>
      </c>
      <c r="T177" s="7" t="s">
        <v>239</v>
      </c>
      <c r="U177" s="7" t="s">
        <v>167</v>
      </c>
      <c r="V177" s="7" t="s">
        <v>355</v>
      </c>
      <c r="W177" s="7">
        <v>108803</v>
      </c>
      <c r="X177" s="7" t="s">
        <v>169</v>
      </c>
      <c r="Y177" s="7" t="s">
        <v>170</v>
      </c>
      <c r="AA177" s="7" t="s">
        <v>171</v>
      </c>
      <c r="AB177" s="7" t="s">
        <v>172</v>
      </c>
      <c r="AC177" s="7">
        <v>1130</v>
      </c>
      <c r="AF177" s="31" t="s">
        <v>173</v>
      </c>
      <c r="AG177" s="7" t="s">
        <v>170</v>
      </c>
      <c r="AH177" s="31"/>
      <c r="AI177" s="7" t="s">
        <v>174</v>
      </c>
      <c r="AK177" s="7">
        <v>1</v>
      </c>
      <c r="AL177" s="7">
        <v>1</v>
      </c>
      <c r="AP177" s="7">
        <v>700</v>
      </c>
      <c r="AQ177" s="7">
        <v>700</v>
      </c>
      <c r="AS177" s="7"/>
      <c r="AW177" s="61"/>
      <c r="AZ177" s="41"/>
    </row>
    <row r="178" spans="1:73" ht="15" hidden="1" customHeight="1" x14ac:dyDescent="0.2">
      <c r="A178" s="133">
        <f t="shared" si="217"/>
        <v>1</v>
      </c>
      <c r="B178" s="141">
        <v>45292</v>
      </c>
      <c r="C178" s="10" t="s">
        <v>102</v>
      </c>
      <c r="D178" s="42" t="str">
        <f t="shared" si="218"/>
        <v>NO</v>
      </c>
      <c r="E178" s="7">
        <v>328929</v>
      </c>
      <c r="F178" s="7" t="s">
        <v>504</v>
      </c>
      <c r="G178" s="7" t="s">
        <v>505</v>
      </c>
      <c r="H178" s="29">
        <v>45323</v>
      </c>
      <c r="I178" s="7">
        <v>42435403</v>
      </c>
      <c r="J178" s="7" t="s">
        <v>506</v>
      </c>
      <c r="K178" s="7" t="s">
        <v>507</v>
      </c>
      <c r="L178" s="7" t="s">
        <v>164</v>
      </c>
      <c r="M178" s="7"/>
      <c r="N178" s="29">
        <v>45155</v>
      </c>
      <c r="Q178" s="7" t="s">
        <v>157</v>
      </c>
      <c r="R178" s="7" t="s">
        <v>165</v>
      </c>
      <c r="S178" s="7" t="s">
        <v>126</v>
      </c>
      <c r="T178" s="7" t="s">
        <v>166</v>
      </c>
      <c r="U178" s="7" t="s">
        <v>167</v>
      </c>
      <c r="V178" s="7" t="s">
        <v>168</v>
      </c>
      <c r="W178" s="7">
        <v>108803</v>
      </c>
      <c r="X178" s="7" t="s">
        <v>169</v>
      </c>
      <c r="Y178" s="7" t="s">
        <v>170</v>
      </c>
      <c r="AA178" s="7" t="s">
        <v>189</v>
      </c>
      <c r="AB178" s="7" t="s">
        <v>190</v>
      </c>
      <c r="AC178" s="7">
        <v>1584</v>
      </c>
      <c r="AF178" s="31" t="s">
        <v>173</v>
      </c>
      <c r="AG178" s="7" t="s">
        <v>170</v>
      </c>
      <c r="AH178" s="31"/>
      <c r="AI178" s="7" t="s">
        <v>174</v>
      </c>
      <c r="AK178" s="7">
        <v>3</v>
      </c>
      <c r="AL178" s="7">
        <v>1</v>
      </c>
      <c r="AM178" s="7">
        <v>93936.05</v>
      </c>
      <c r="AN178" s="7">
        <v>19048.97</v>
      </c>
      <c r="AP178" s="7">
        <v>23270.01</v>
      </c>
      <c r="AQ178" s="7">
        <v>98157.09</v>
      </c>
      <c r="AS178" s="7">
        <v>2053.23</v>
      </c>
      <c r="AV178" s="31"/>
      <c r="AZ178" s="41">
        <v>1026.6099999999999</v>
      </c>
      <c r="BG178" s="7">
        <v>2053.23</v>
      </c>
      <c r="BO178" s="7">
        <v>1026.6099999999999</v>
      </c>
      <c r="BP178" s="7">
        <v>5000</v>
      </c>
      <c r="BS178" s="7">
        <v>8725.57</v>
      </c>
      <c r="BT178" s="7">
        <f t="shared" ref="BT178:BT179" si="221">+BS178+AM178</f>
        <v>102661.62</v>
      </c>
      <c r="BU178" s="144">
        <f t="shared" ref="BU178:BU179" si="222">+AS178/BT178</f>
        <v>1.999997662222747E-2</v>
      </c>
    </row>
    <row r="179" spans="1:73" ht="15" hidden="1" customHeight="1" x14ac:dyDescent="0.2">
      <c r="A179" s="133">
        <f t="shared" si="217"/>
        <v>1</v>
      </c>
      <c r="B179" s="141">
        <v>45292</v>
      </c>
      <c r="C179" s="10" t="s">
        <v>102</v>
      </c>
      <c r="D179" s="42" t="str">
        <f t="shared" si="218"/>
        <v>NO</v>
      </c>
      <c r="E179" s="7">
        <v>297802</v>
      </c>
      <c r="F179" s="7" t="s">
        <v>508</v>
      </c>
      <c r="G179" s="7" t="s">
        <v>509</v>
      </c>
      <c r="H179" s="29">
        <v>45323</v>
      </c>
      <c r="I179" s="7">
        <v>37428328</v>
      </c>
      <c r="J179" s="7" t="s">
        <v>510</v>
      </c>
      <c r="K179" s="7" t="s">
        <v>511</v>
      </c>
      <c r="L179" s="7" t="s">
        <v>164</v>
      </c>
      <c r="M179" s="7"/>
      <c r="N179" s="29">
        <v>44639</v>
      </c>
      <c r="Q179" s="7" t="s">
        <v>157</v>
      </c>
      <c r="R179" s="7" t="s">
        <v>165</v>
      </c>
      <c r="S179" s="7" t="s">
        <v>126</v>
      </c>
      <c r="T179" s="7" t="s">
        <v>180</v>
      </c>
      <c r="U179" s="7" t="s">
        <v>167</v>
      </c>
      <c r="V179" s="7" t="s">
        <v>168</v>
      </c>
      <c r="W179" s="7">
        <v>108803</v>
      </c>
      <c r="X179" s="7" t="s">
        <v>169</v>
      </c>
      <c r="Y179" s="7" t="s">
        <v>170</v>
      </c>
      <c r="AA179" s="7" t="s">
        <v>208</v>
      </c>
      <c r="AB179" s="7" t="s">
        <v>209</v>
      </c>
      <c r="AC179" s="7">
        <v>1035</v>
      </c>
      <c r="AF179" s="31" t="s">
        <v>173</v>
      </c>
      <c r="AG179" s="7" t="s">
        <v>170</v>
      </c>
      <c r="AH179" s="31"/>
      <c r="AI179" s="7" t="s">
        <v>174</v>
      </c>
      <c r="AK179" s="7">
        <v>2</v>
      </c>
      <c r="AL179" s="7">
        <v>1</v>
      </c>
      <c r="AM179" s="7">
        <v>111068.04</v>
      </c>
      <c r="AN179" s="7">
        <v>22675.02</v>
      </c>
      <c r="AP179" s="7">
        <v>31480.65</v>
      </c>
      <c r="AQ179" s="7">
        <v>119873.67</v>
      </c>
      <c r="AS179" s="7">
        <v>2528.9699999999998</v>
      </c>
      <c r="AV179" s="31"/>
      <c r="AZ179" s="7">
        <v>1264.49</v>
      </c>
      <c r="BG179" s="7">
        <v>2528.9699999999998</v>
      </c>
      <c r="BO179" s="7">
        <v>1264.49</v>
      </c>
      <c r="BP179" s="7">
        <v>5000</v>
      </c>
      <c r="BS179" s="7">
        <v>15380.66</v>
      </c>
      <c r="BT179" s="7">
        <f t="shared" si="221"/>
        <v>126448.7</v>
      </c>
      <c r="BU179" s="144">
        <f t="shared" si="222"/>
        <v>1.9999968366618239E-2</v>
      </c>
    </row>
    <row r="180" spans="1:73" ht="15" hidden="1" customHeight="1" x14ac:dyDescent="0.2">
      <c r="A180" s="133">
        <f t="shared" si="217"/>
        <v>1</v>
      </c>
      <c r="B180" s="141">
        <v>45292</v>
      </c>
      <c r="C180" s="10" t="s">
        <v>153</v>
      </c>
      <c r="D180" s="42" t="str">
        <f t="shared" si="218"/>
        <v>NO</v>
      </c>
      <c r="E180" s="7">
        <v>316056</v>
      </c>
      <c r="F180" s="7" t="s">
        <v>512</v>
      </c>
      <c r="G180" s="7" t="s">
        <v>513</v>
      </c>
      <c r="H180" s="29">
        <v>45296</v>
      </c>
      <c r="I180" s="7">
        <v>94501783</v>
      </c>
      <c r="J180" s="7" t="s">
        <v>514</v>
      </c>
      <c r="K180" s="7" t="s">
        <v>515</v>
      </c>
      <c r="L180" s="7" t="s">
        <v>164</v>
      </c>
      <c r="M180" s="7"/>
      <c r="N180" s="29">
        <v>45262</v>
      </c>
      <c r="P180" s="29">
        <v>45291</v>
      </c>
      <c r="Q180" s="7" t="s">
        <v>157</v>
      </c>
      <c r="R180" s="7" t="s">
        <v>165</v>
      </c>
      <c r="S180" s="7" t="s">
        <v>126</v>
      </c>
      <c r="T180" s="7" t="s">
        <v>166</v>
      </c>
      <c r="U180" s="7" t="s">
        <v>167</v>
      </c>
      <c r="V180" s="7" t="s">
        <v>168</v>
      </c>
      <c r="W180" s="7">
        <v>108803</v>
      </c>
      <c r="X180" s="7" t="s">
        <v>169</v>
      </c>
      <c r="Y180" s="7" t="s">
        <v>170</v>
      </c>
      <c r="AA180" s="7" t="s">
        <v>189</v>
      </c>
      <c r="AB180" s="7" t="s">
        <v>190</v>
      </c>
      <c r="AC180" s="7">
        <v>1584</v>
      </c>
      <c r="AF180" s="31" t="s">
        <v>173</v>
      </c>
      <c r="AG180" s="7" t="s">
        <v>170</v>
      </c>
      <c r="AH180" s="31"/>
      <c r="AI180" s="7" t="s">
        <v>174</v>
      </c>
      <c r="AK180" s="7">
        <v>1</v>
      </c>
      <c r="AL180" s="7">
        <v>1</v>
      </c>
      <c r="AP180" s="7">
        <v>4044.44</v>
      </c>
      <c r="AQ180" s="7">
        <v>4044.44</v>
      </c>
      <c r="AS180" s="7"/>
      <c r="AW180" s="61"/>
    </row>
    <row r="181" spans="1:73" ht="15" hidden="1" customHeight="1" x14ac:dyDescent="0.2">
      <c r="A181" s="133">
        <f t="shared" si="217"/>
        <v>1</v>
      </c>
      <c r="B181" s="141">
        <v>45292</v>
      </c>
      <c r="C181" s="10" t="s">
        <v>102</v>
      </c>
      <c r="D181" s="42" t="str">
        <f t="shared" si="218"/>
        <v>NO</v>
      </c>
      <c r="E181" s="7">
        <v>302686</v>
      </c>
      <c r="F181" s="7" t="s">
        <v>516</v>
      </c>
      <c r="G181" s="7" t="s">
        <v>517</v>
      </c>
      <c r="H181" s="29">
        <v>45323</v>
      </c>
      <c r="I181" s="7">
        <v>96054258</v>
      </c>
      <c r="J181" s="7" t="s">
        <v>518</v>
      </c>
      <c r="K181" s="7" t="s">
        <v>519</v>
      </c>
      <c r="L181" s="7" t="s">
        <v>179</v>
      </c>
      <c r="M181" s="7"/>
      <c r="N181" s="29">
        <v>45253</v>
      </c>
      <c r="Q181" s="7" t="s">
        <v>157</v>
      </c>
      <c r="R181" s="7" t="s">
        <v>165</v>
      </c>
      <c r="S181" s="7" t="s">
        <v>126</v>
      </c>
      <c r="T181" s="7" t="s">
        <v>180</v>
      </c>
      <c r="U181" s="7" t="s">
        <v>167</v>
      </c>
      <c r="V181" s="7" t="s">
        <v>168</v>
      </c>
      <c r="W181" s="7">
        <v>108803</v>
      </c>
      <c r="X181" s="7" t="s">
        <v>169</v>
      </c>
      <c r="Y181" s="7" t="s">
        <v>170</v>
      </c>
      <c r="AA181" s="7" t="s">
        <v>171</v>
      </c>
      <c r="AB181" s="7" t="s">
        <v>172</v>
      </c>
      <c r="AC181" s="7">
        <v>1130</v>
      </c>
      <c r="AF181" s="31" t="s">
        <v>173</v>
      </c>
      <c r="AG181" s="7" t="s">
        <v>170</v>
      </c>
      <c r="AH181" s="31"/>
      <c r="AI181" s="7" t="s">
        <v>174</v>
      </c>
      <c r="AK181" s="7">
        <v>3</v>
      </c>
      <c r="AL181" s="7">
        <v>1</v>
      </c>
      <c r="AM181" s="7">
        <v>90219.96</v>
      </c>
      <c r="AN181" s="7">
        <v>18446.61</v>
      </c>
      <c r="AP181" s="7">
        <v>18087.830000000002</v>
      </c>
      <c r="AQ181" s="7">
        <v>89861.18</v>
      </c>
      <c r="AS181" s="7">
        <v>2072.8200000000002</v>
      </c>
      <c r="AZ181" s="41">
        <v>1036.4100000000001</v>
      </c>
      <c r="BG181" s="7">
        <v>2072.8200000000002</v>
      </c>
      <c r="BO181" s="7">
        <v>1036.4100000000001</v>
      </c>
      <c r="BS181" s="7">
        <v>13421.16</v>
      </c>
      <c r="BT181" s="7">
        <f t="shared" ref="BT181:BT183" si="223">+BS181+AM181</f>
        <v>103641.12000000001</v>
      </c>
      <c r="BU181" s="144">
        <f t="shared" ref="BU181:BU183" si="224">+AS181/BT181</f>
        <v>1.9999976843168038E-2</v>
      </c>
    </row>
    <row r="182" spans="1:73" ht="15" hidden="1" customHeight="1" x14ac:dyDescent="0.2">
      <c r="A182" s="133">
        <f t="shared" si="217"/>
        <v>1</v>
      </c>
      <c r="B182" s="141">
        <v>45292</v>
      </c>
      <c r="C182" s="10" t="s">
        <v>102</v>
      </c>
      <c r="D182" s="42" t="str">
        <f t="shared" si="218"/>
        <v>NO</v>
      </c>
      <c r="E182" s="7">
        <v>336915</v>
      </c>
      <c r="F182" s="7" t="s">
        <v>520</v>
      </c>
      <c r="G182" s="7" t="s">
        <v>521</v>
      </c>
      <c r="H182" s="29">
        <v>45323</v>
      </c>
      <c r="I182" s="7">
        <v>38465944</v>
      </c>
      <c r="J182" s="7" t="s">
        <v>522</v>
      </c>
      <c r="K182" s="7" t="s">
        <v>523</v>
      </c>
      <c r="L182" s="7" t="s">
        <v>179</v>
      </c>
      <c r="M182" s="7"/>
      <c r="N182" s="29">
        <v>45288</v>
      </c>
      <c r="Q182" s="7" t="s">
        <v>157</v>
      </c>
      <c r="R182" s="7" t="s">
        <v>199</v>
      </c>
      <c r="S182" s="7" t="s">
        <v>126</v>
      </c>
      <c r="T182" s="7" t="s">
        <v>200</v>
      </c>
      <c r="U182" s="7" t="s">
        <v>167</v>
      </c>
      <c r="V182" s="7" t="s">
        <v>524</v>
      </c>
      <c r="W182" s="7">
        <v>108803</v>
      </c>
      <c r="X182" s="7" t="s">
        <v>169</v>
      </c>
      <c r="Y182" s="7" t="s">
        <v>170</v>
      </c>
      <c r="AA182" s="7" t="s">
        <v>189</v>
      </c>
      <c r="AB182" s="7" t="s">
        <v>190</v>
      </c>
      <c r="AC182" s="7">
        <v>1584</v>
      </c>
      <c r="AF182" s="31" t="s">
        <v>173</v>
      </c>
      <c r="AG182" s="7" t="s">
        <v>170</v>
      </c>
      <c r="AH182" s="31"/>
      <c r="AI182" s="7" t="s">
        <v>174</v>
      </c>
      <c r="AK182" s="7">
        <v>1</v>
      </c>
      <c r="AL182" s="7">
        <v>1</v>
      </c>
      <c r="AM182" s="7">
        <v>81251.06</v>
      </c>
      <c r="AN182" s="7">
        <v>16631.080000000002</v>
      </c>
      <c r="AP182" s="7">
        <v>12695.48</v>
      </c>
      <c r="AQ182" s="7">
        <v>77315.460000000006</v>
      </c>
      <c r="AS182" s="7">
        <v>1878.93</v>
      </c>
      <c r="AZ182" s="41">
        <v>939.47</v>
      </c>
      <c r="BG182" s="7">
        <v>1878.93</v>
      </c>
      <c r="BO182" s="7">
        <v>939.47</v>
      </c>
      <c r="BP182" s="7">
        <v>5000</v>
      </c>
      <c r="BS182" s="7">
        <v>12695.48</v>
      </c>
      <c r="BT182" s="7">
        <f t="shared" si="223"/>
        <v>93946.54</v>
      </c>
      <c r="BU182" s="144">
        <f t="shared" si="224"/>
        <v>1.999999148451875E-2</v>
      </c>
    </row>
    <row r="183" spans="1:73" ht="15" hidden="1" customHeight="1" x14ac:dyDescent="0.2">
      <c r="A183" s="133">
        <f t="shared" si="217"/>
        <v>1</v>
      </c>
      <c r="B183" s="141">
        <v>45292</v>
      </c>
      <c r="C183" s="10" t="s">
        <v>102</v>
      </c>
      <c r="D183" s="42" t="str">
        <f t="shared" si="218"/>
        <v>NO</v>
      </c>
      <c r="E183" s="7">
        <v>239151</v>
      </c>
      <c r="F183" s="7" t="s">
        <v>525</v>
      </c>
      <c r="G183" s="7" t="s">
        <v>526</v>
      </c>
      <c r="H183" s="29">
        <v>45323</v>
      </c>
      <c r="I183" s="7">
        <v>95961998</v>
      </c>
      <c r="J183" s="7" t="s">
        <v>527</v>
      </c>
      <c r="K183" s="7" t="s">
        <v>528</v>
      </c>
      <c r="L183" s="7" t="s">
        <v>164</v>
      </c>
      <c r="M183" s="7"/>
      <c r="N183" s="29">
        <v>45278</v>
      </c>
      <c r="Q183" s="7" t="s">
        <v>157</v>
      </c>
      <c r="R183" s="7" t="s">
        <v>214</v>
      </c>
      <c r="S183" s="7" t="s">
        <v>126</v>
      </c>
      <c r="T183" s="7" t="s">
        <v>239</v>
      </c>
      <c r="U183" s="7" t="s">
        <v>167</v>
      </c>
      <c r="V183" s="7" t="s">
        <v>215</v>
      </c>
      <c r="W183" s="7">
        <v>108803</v>
      </c>
      <c r="X183" s="7" t="s">
        <v>169</v>
      </c>
      <c r="Y183" s="7" t="s">
        <v>170</v>
      </c>
      <c r="AA183" s="7" t="s">
        <v>171</v>
      </c>
      <c r="AB183" s="7" t="s">
        <v>172</v>
      </c>
      <c r="AC183" s="7">
        <v>1130</v>
      </c>
      <c r="AF183" s="31" t="s">
        <v>173</v>
      </c>
      <c r="AG183" s="7" t="s">
        <v>170</v>
      </c>
      <c r="AH183" s="31"/>
      <c r="AI183" s="7" t="s">
        <v>174</v>
      </c>
      <c r="AK183" s="7">
        <v>2</v>
      </c>
      <c r="AL183" s="7">
        <v>1</v>
      </c>
      <c r="AM183" s="7">
        <v>17689.71</v>
      </c>
      <c r="AN183" s="7">
        <v>3620.86</v>
      </c>
      <c r="AP183" s="7">
        <v>9764.02</v>
      </c>
      <c r="AQ183" s="7">
        <v>23832.87</v>
      </c>
      <c r="AS183" s="7">
        <v>409.07</v>
      </c>
      <c r="AV183" s="31"/>
      <c r="AZ183" s="41">
        <v>204.54</v>
      </c>
      <c r="BG183" s="7">
        <v>409.07</v>
      </c>
      <c r="BO183" s="7">
        <v>204.54</v>
      </c>
      <c r="BS183" s="7">
        <v>2764.02</v>
      </c>
      <c r="BT183" s="7">
        <f t="shared" si="223"/>
        <v>20453.73</v>
      </c>
      <c r="BU183" s="144">
        <f t="shared" si="224"/>
        <v>1.9999775102145182E-2</v>
      </c>
    </row>
    <row r="184" spans="1:73" ht="15" hidden="1" customHeight="1" x14ac:dyDescent="0.2">
      <c r="A184" s="133">
        <f t="shared" si="217"/>
        <v>1</v>
      </c>
      <c r="B184" s="141">
        <v>45292</v>
      </c>
      <c r="C184" s="10" t="s">
        <v>153</v>
      </c>
      <c r="D184" s="42" t="str">
        <f t="shared" si="218"/>
        <v>NO</v>
      </c>
      <c r="E184" s="7">
        <v>323749</v>
      </c>
      <c r="F184" s="7" t="s">
        <v>529</v>
      </c>
      <c r="G184" s="7" t="s">
        <v>530</v>
      </c>
      <c r="H184" s="29">
        <v>45296</v>
      </c>
      <c r="I184" s="7">
        <v>41189076</v>
      </c>
      <c r="J184" s="7" t="s">
        <v>531</v>
      </c>
      <c r="K184" s="7" t="s">
        <v>532</v>
      </c>
      <c r="L184" s="7" t="s">
        <v>179</v>
      </c>
      <c r="M184" s="7"/>
      <c r="N184" s="29">
        <v>45238</v>
      </c>
      <c r="P184" s="29">
        <v>45291</v>
      </c>
      <c r="Q184" s="7" t="s">
        <v>157</v>
      </c>
      <c r="R184" s="7" t="s">
        <v>165</v>
      </c>
      <c r="S184" s="7" t="s">
        <v>126</v>
      </c>
      <c r="T184" s="7" t="s">
        <v>206</v>
      </c>
      <c r="U184" s="7" t="s">
        <v>167</v>
      </c>
      <c r="V184" s="7" t="s">
        <v>168</v>
      </c>
      <c r="W184" s="7">
        <v>108803</v>
      </c>
      <c r="X184" s="7" t="s">
        <v>169</v>
      </c>
      <c r="Y184" s="7" t="s">
        <v>170</v>
      </c>
      <c r="AA184" s="7" t="s">
        <v>171</v>
      </c>
      <c r="AB184" s="7" t="s">
        <v>172</v>
      </c>
      <c r="AC184" s="7">
        <v>1130</v>
      </c>
      <c r="AF184" s="31" t="s">
        <v>173</v>
      </c>
      <c r="AG184" s="7" t="s">
        <v>170</v>
      </c>
      <c r="AH184" s="31"/>
      <c r="AI184" s="7" t="s">
        <v>174</v>
      </c>
      <c r="AK184" s="7">
        <v>1</v>
      </c>
      <c r="AL184" s="7">
        <v>1</v>
      </c>
      <c r="AP184" s="7">
        <v>1575</v>
      </c>
      <c r="AQ184" s="7">
        <v>1575</v>
      </c>
      <c r="AS184" s="7"/>
      <c r="AV184" s="31"/>
      <c r="AW184" s="61"/>
      <c r="AZ184" s="41"/>
    </row>
    <row r="185" spans="1:73" ht="15" hidden="1" customHeight="1" x14ac:dyDescent="0.2">
      <c r="A185" s="133">
        <f t="shared" si="217"/>
        <v>1</v>
      </c>
      <c r="B185" s="141">
        <v>45292</v>
      </c>
      <c r="C185" s="10" t="s">
        <v>153</v>
      </c>
      <c r="D185" s="42" t="str">
        <f t="shared" si="218"/>
        <v>NO</v>
      </c>
      <c r="E185" s="7">
        <v>326842</v>
      </c>
      <c r="F185" s="7" t="s">
        <v>533</v>
      </c>
      <c r="G185" s="7" t="s">
        <v>534</v>
      </c>
      <c r="H185" s="29">
        <v>45296</v>
      </c>
      <c r="I185" s="7">
        <v>39060943</v>
      </c>
      <c r="J185" s="7" t="s">
        <v>535</v>
      </c>
      <c r="K185" s="7" t="s">
        <v>536</v>
      </c>
      <c r="L185" s="7" t="s">
        <v>179</v>
      </c>
      <c r="M185" s="7"/>
      <c r="N185" s="29">
        <v>45200</v>
      </c>
      <c r="P185" s="29">
        <v>45302</v>
      </c>
      <c r="Q185" s="7" t="s">
        <v>157</v>
      </c>
      <c r="R185" s="7" t="s">
        <v>214</v>
      </c>
      <c r="S185" s="7" t="s">
        <v>126</v>
      </c>
      <c r="T185" s="7" t="s">
        <v>206</v>
      </c>
      <c r="U185" s="7" t="s">
        <v>167</v>
      </c>
      <c r="V185" s="7" t="s">
        <v>215</v>
      </c>
      <c r="W185" s="7">
        <v>108803</v>
      </c>
      <c r="X185" s="7" t="s">
        <v>169</v>
      </c>
      <c r="Y185" s="7" t="s">
        <v>170</v>
      </c>
      <c r="AA185" s="7" t="s">
        <v>208</v>
      </c>
      <c r="AB185" s="7" t="s">
        <v>209</v>
      </c>
      <c r="AC185" s="7">
        <v>1035</v>
      </c>
      <c r="AF185" s="31" t="s">
        <v>173</v>
      </c>
      <c r="AG185" s="7" t="s">
        <v>170</v>
      </c>
      <c r="AH185" s="31"/>
      <c r="AI185" s="7" t="s">
        <v>174</v>
      </c>
      <c r="AK185" s="7">
        <v>1</v>
      </c>
      <c r="AL185" s="7">
        <v>1</v>
      </c>
      <c r="AP185" s="7">
        <v>1400</v>
      </c>
      <c r="AQ185" s="7">
        <v>1400</v>
      </c>
      <c r="AS185" s="7"/>
    </row>
    <row r="186" spans="1:73" ht="15" hidden="1" customHeight="1" x14ac:dyDescent="0.2">
      <c r="A186" s="133">
        <f t="shared" si="217"/>
        <v>1</v>
      </c>
      <c r="B186" s="141">
        <v>45292</v>
      </c>
      <c r="C186" s="10" t="s">
        <v>153</v>
      </c>
      <c r="D186" s="42" t="str">
        <f t="shared" si="218"/>
        <v>NO</v>
      </c>
      <c r="E186" s="7">
        <v>308051</v>
      </c>
      <c r="F186" s="7" t="s">
        <v>537</v>
      </c>
      <c r="G186" s="7" t="s">
        <v>538</v>
      </c>
      <c r="H186" s="29">
        <v>45296</v>
      </c>
      <c r="I186" s="7">
        <v>36286363</v>
      </c>
      <c r="J186" s="7" t="s">
        <v>535</v>
      </c>
      <c r="K186" s="7" t="s">
        <v>539</v>
      </c>
      <c r="L186" s="7" t="s">
        <v>164</v>
      </c>
      <c r="M186" s="7"/>
      <c r="N186" s="29">
        <v>44941</v>
      </c>
      <c r="P186" s="29">
        <v>45077</v>
      </c>
      <c r="Q186" s="7" t="s">
        <v>157</v>
      </c>
      <c r="R186" s="7" t="s">
        <v>214</v>
      </c>
      <c r="S186" s="7" t="s">
        <v>126</v>
      </c>
      <c r="T186" s="7" t="s">
        <v>206</v>
      </c>
      <c r="U186" s="7" t="s">
        <v>167</v>
      </c>
      <c r="V186" s="7" t="s">
        <v>215</v>
      </c>
      <c r="W186" s="7">
        <v>108803</v>
      </c>
      <c r="X186" s="7" t="s">
        <v>169</v>
      </c>
      <c r="Y186" s="7" t="s">
        <v>170</v>
      </c>
      <c r="AA186" s="7" t="s">
        <v>208</v>
      </c>
      <c r="AB186" s="7" t="s">
        <v>209</v>
      </c>
      <c r="AC186" s="7">
        <v>1035</v>
      </c>
      <c r="AF186" s="31" t="s">
        <v>173</v>
      </c>
      <c r="AG186" s="7" t="s">
        <v>170</v>
      </c>
      <c r="AH186" s="31"/>
      <c r="AI186" s="7" t="s">
        <v>174</v>
      </c>
      <c r="AK186" s="7">
        <v>1</v>
      </c>
      <c r="AL186" s="7">
        <v>1</v>
      </c>
      <c r="AP186" s="7">
        <v>2800</v>
      </c>
      <c r="AQ186" s="7">
        <v>2800</v>
      </c>
      <c r="AS186" s="7"/>
      <c r="AV186" s="31"/>
      <c r="AX186" s="118"/>
    </row>
    <row r="187" spans="1:73" ht="15" hidden="1" customHeight="1" x14ac:dyDescent="0.2">
      <c r="A187" s="133">
        <f t="shared" si="217"/>
        <v>1</v>
      </c>
      <c r="B187" s="141">
        <v>45292</v>
      </c>
      <c r="C187" s="10" t="s">
        <v>153</v>
      </c>
      <c r="D187" s="42" t="str">
        <f t="shared" si="218"/>
        <v>NO</v>
      </c>
      <c r="E187" s="7">
        <v>334561</v>
      </c>
      <c r="F187" s="7" t="s">
        <v>540</v>
      </c>
      <c r="G187" s="7" t="s">
        <v>541</v>
      </c>
      <c r="H187" s="29">
        <v>45296</v>
      </c>
      <c r="I187" s="7">
        <v>44338823</v>
      </c>
      <c r="J187" s="7" t="s">
        <v>542</v>
      </c>
      <c r="K187" s="7" t="s">
        <v>543</v>
      </c>
      <c r="L187" s="7" t="s">
        <v>179</v>
      </c>
      <c r="M187" s="7"/>
      <c r="N187" s="29">
        <v>45253</v>
      </c>
      <c r="O187" s="29">
        <v>45277</v>
      </c>
      <c r="P187" s="29">
        <v>45277</v>
      </c>
      <c r="Q187" s="7" t="s">
        <v>157</v>
      </c>
      <c r="R187" s="7" t="s">
        <v>165</v>
      </c>
      <c r="S187" s="7" t="s">
        <v>126</v>
      </c>
      <c r="T187" s="7" t="s">
        <v>180</v>
      </c>
      <c r="U187" s="7" t="s">
        <v>167</v>
      </c>
      <c r="V187" s="7" t="s">
        <v>168</v>
      </c>
      <c r="W187" s="7">
        <v>108803</v>
      </c>
      <c r="X187" s="7" t="s">
        <v>169</v>
      </c>
      <c r="Y187" s="7" t="s">
        <v>170</v>
      </c>
      <c r="AA187" s="7" t="s">
        <v>171</v>
      </c>
      <c r="AB187" s="7" t="s">
        <v>172</v>
      </c>
      <c r="AC187" s="7">
        <v>1130</v>
      </c>
      <c r="AF187" s="31" t="s">
        <v>173</v>
      </c>
      <c r="AG187" s="7" t="s">
        <v>170</v>
      </c>
      <c r="AH187" s="31"/>
      <c r="AI187" s="7" t="s">
        <v>174</v>
      </c>
      <c r="AK187" s="7">
        <v>1</v>
      </c>
      <c r="AL187" s="7">
        <v>1</v>
      </c>
      <c r="AP187" s="7">
        <v>5211.1099999999997</v>
      </c>
      <c r="AQ187" s="7">
        <v>5211.1099999999997</v>
      </c>
      <c r="AS187" s="7"/>
      <c r="AW187" s="61"/>
    </row>
    <row r="188" spans="1:73" ht="15" hidden="1" customHeight="1" x14ac:dyDescent="0.2">
      <c r="A188" s="133">
        <f t="shared" si="217"/>
        <v>1</v>
      </c>
      <c r="B188" s="141">
        <v>45292</v>
      </c>
      <c r="C188" s="10" t="s">
        <v>102</v>
      </c>
      <c r="D188" s="42" t="str">
        <f t="shared" si="218"/>
        <v>NO</v>
      </c>
      <c r="E188" s="7">
        <v>265332</v>
      </c>
      <c r="F188" s="7" t="s">
        <v>544</v>
      </c>
      <c r="G188" s="7" t="s">
        <v>545</v>
      </c>
      <c r="H188" s="29">
        <v>45323</v>
      </c>
      <c r="I188" s="7">
        <v>42090007</v>
      </c>
      <c r="J188" s="7" t="s">
        <v>546</v>
      </c>
      <c r="K188" s="7" t="s">
        <v>547</v>
      </c>
      <c r="L188" s="7" t="s">
        <v>179</v>
      </c>
      <c r="M188" s="7"/>
      <c r="N188" s="29">
        <v>45296</v>
      </c>
      <c r="Q188" s="7" t="s">
        <v>157</v>
      </c>
      <c r="R188" s="7" t="s">
        <v>199</v>
      </c>
      <c r="S188" s="7" t="s">
        <v>126</v>
      </c>
      <c r="T188" s="7" t="s">
        <v>239</v>
      </c>
      <c r="U188" s="7" t="s">
        <v>167</v>
      </c>
      <c r="V188" s="7" t="s">
        <v>201</v>
      </c>
      <c r="W188" s="7">
        <v>108803</v>
      </c>
      <c r="X188" s="7" t="s">
        <v>169</v>
      </c>
      <c r="Y188" s="7" t="s">
        <v>170</v>
      </c>
      <c r="AA188" s="7" t="s">
        <v>171</v>
      </c>
      <c r="AB188" s="7" t="s">
        <v>172</v>
      </c>
      <c r="AC188" s="7">
        <v>1130</v>
      </c>
      <c r="AF188" s="31" t="s">
        <v>173</v>
      </c>
      <c r="AG188" s="7" t="s">
        <v>170</v>
      </c>
      <c r="AH188" s="31"/>
      <c r="AI188" s="7" t="s">
        <v>174</v>
      </c>
      <c r="AK188" s="7">
        <v>1</v>
      </c>
      <c r="AL188" s="7">
        <v>1</v>
      </c>
      <c r="AM188" s="7">
        <v>183470.11</v>
      </c>
      <c r="AN188" s="7">
        <v>37554.03</v>
      </c>
      <c r="AP188" s="7">
        <v>28667.21</v>
      </c>
      <c r="AQ188" s="7">
        <v>174583.29</v>
      </c>
      <c r="AS188" s="7">
        <v>4242.75</v>
      </c>
      <c r="AV188" s="31"/>
      <c r="AX188" s="118"/>
      <c r="AZ188" s="41">
        <v>2121.37</v>
      </c>
      <c r="BG188" s="7">
        <v>4242.75</v>
      </c>
      <c r="BO188" s="7">
        <v>2121.37</v>
      </c>
      <c r="BP188" s="7">
        <v>5000</v>
      </c>
      <c r="BS188" s="7">
        <v>28667.21</v>
      </c>
      <c r="BT188" s="7">
        <f>+BS188+AM188</f>
        <v>212137.31999999998</v>
      </c>
      <c r="BU188" s="144">
        <f>+AS188/BT188</f>
        <v>2.0000016970139908E-2</v>
      </c>
    </row>
    <row r="189" spans="1:73" ht="15" hidden="1" customHeight="1" x14ac:dyDescent="0.2">
      <c r="A189" s="133">
        <f t="shared" si="217"/>
        <v>1</v>
      </c>
      <c r="B189" s="141">
        <v>45292</v>
      </c>
      <c r="C189" s="10" t="s">
        <v>153</v>
      </c>
      <c r="D189" s="42" t="str">
        <f t="shared" si="218"/>
        <v>NO</v>
      </c>
      <c r="E189" s="7">
        <v>319758</v>
      </c>
      <c r="F189" s="7" t="s">
        <v>548</v>
      </c>
      <c r="G189" s="7" t="s">
        <v>549</v>
      </c>
      <c r="H189" s="29">
        <v>45296</v>
      </c>
      <c r="I189" s="7">
        <v>45206039</v>
      </c>
      <c r="J189" s="7" t="s">
        <v>550</v>
      </c>
      <c r="K189" s="7" t="s">
        <v>551</v>
      </c>
      <c r="L189" s="7" t="s">
        <v>179</v>
      </c>
      <c r="M189" s="7"/>
      <c r="N189" s="29">
        <v>45253</v>
      </c>
      <c r="P189" s="29">
        <v>45299</v>
      </c>
      <c r="Q189" s="7" t="s">
        <v>157</v>
      </c>
      <c r="R189" s="7" t="s">
        <v>165</v>
      </c>
      <c r="S189" s="7" t="s">
        <v>126</v>
      </c>
      <c r="T189" s="7" t="s">
        <v>180</v>
      </c>
      <c r="U189" s="7" t="s">
        <v>167</v>
      </c>
      <c r="V189" s="7" t="s">
        <v>168</v>
      </c>
      <c r="W189" s="7">
        <v>108803</v>
      </c>
      <c r="X189" s="7" t="s">
        <v>169</v>
      </c>
      <c r="Y189" s="7" t="s">
        <v>170</v>
      </c>
      <c r="AA189" s="7" t="s">
        <v>171</v>
      </c>
      <c r="AB189" s="7" t="s">
        <v>172</v>
      </c>
      <c r="AC189" s="7">
        <v>1130</v>
      </c>
      <c r="AF189" s="31" t="s">
        <v>173</v>
      </c>
      <c r="AG189" s="7" t="s">
        <v>170</v>
      </c>
      <c r="AH189" s="31"/>
      <c r="AI189" s="7" t="s">
        <v>174</v>
      </c>
      <c r="AK189" s="7">
        <v>1</v>
      </c>
      <c r="AL189" s="7">
        <v>1</v>
      </c>
      <c r="AP189" s="7">
        <v>2800</v>
      </c>
      <c r="AQ189" s="7">
        <v>2800</v>
      </c>
      <c r="AS189" s="7"/>
    </row>
    <row r="190" spans="1:73" ht="15" hidden="1" customHeight="1" x14ac:dyDescent="0.2">
      <c r="A190" s="133">
        <f t="shared" si="217"/>
        <v>1</v>
      </c>
      <c r="B190" s="141">
        <v>45292</v>
      </c>
      <c r="C190" s="10" t="s">
        <v>102</v>
      </c>
      <c r="D190" s="42" t="str">
        <f t="shared" si="218"/>
        <v>NO</v>
      </c>
      <c r="E190" s="7">
        <v>319126</v>
      </c>
      <c r="F190" s="7" t="s">
        <v>552</v>
      </c>
      <c r="G190" s="7" t="s">
        <v>553</v>
      </c>
      <c r="H190" s="29">
        <v>45323</v>
      </c>
      <c r="I190" s="7">
        <v>92946872</v>
      </c>
      <c r="J190" s="7" t="s">
        <v>554</v>
      </c>
      <c r="K190" s="7" t="s">
        <v>555</v>
      </c>
      <c r="L190" s="7" t="s">
        <v>179</v>
      </c>
      <c r="M190" s="7"/>
      <c r="N190" s="29">
        <v>45000</v>
      </c>
      <c r="Q190" s="7" t="s">
        <v>157</v>
      </c>
      <c r="R190" s="7" t="s">
        <v>238</v>
      </c>
      <c r="S190" s="7" t="s">
        <v>126</v>
      </c>
      <c r="T190" s="7" t="s">
        <v>200</v>
      </c>
      <c r="U190" s="7" t="s">
        <v>167</v>
      </c>
      <c r="V190" s="7" t="s">
        <v>240</v>
      </c>
      <c r="W190" s="7">
        <v>108803</v>
      </c>
      <c r="X190" s="7" t="s">
        <v>169</v>
      </c>
      <c r="Y190" s="7" t="s">
        <v>170</v>
      </c>
      <c r="AA190" s="7" t="s">
        <v>189</v>
      </c>
      <c r="AB190" s="7" t="s">
        <v>190</v>
      </c>
      <c r="AC190" s="7">
        <v>1584</v>
      </c>
      <c r="AF190" s="31" t="s">
        <v>173</v>
      </c>
      <c r="AG190" s="7" t="s">
        <v>170</v>
      </c>
      <c r="AH190" s="31"/>
      <c r="AI190" s="7" t="s">
        <v>174</v>
      </c>
      <c r="AK190" s="7">
        <v>2</v>
      </c>
      <c r="AL190" s="7">
        <v>1</v>
      </c>
      <c r="AM190" s="7">
        <v>220668.75</v>
      </c>
      <c r="AN190" s="7">
        <v>45168.12</v>
      </c>
      <c r="AP190" s="7">
        <v>69479.490000000005</v>
      </c>
      <c r="AQ190" s="7">
        <v>244980.12</v>
      </c>
      <c r="AS190" s="7">
        <v>5102.96</v>
      </c>
      <c r="AV190" s="31"/>
      <c r="AX190" s="118"/>
      <c r="AZ190" s="7">
        <v>2551.48</v>
      </c>
      <c r="BG190" s="7">
        <v>5102.96</v>
      </c>
      <c r="BO190" s="7">
        <v>2551.48</v>
      </c>
      <c r="BP190" s="7">
        <v>5000</v>
      </c>
      <c r="BS190" s="7">
        <v>34479.49</v>
      </c>
      <c r="BT190" s="7">
        <f t="shared" ref="BT190:BT193" si="225">+BS190+AM190</f>
        <v>255148.24</v>
      </c>
      <c r="BU190" s="144">
        <f t="shared" ref="BU190:BU193" si="226">+AS190/BT190</f>
        <v>1.9999981187406975E-2</v>
      </c>
    </row>
    <row r="191" spans="1:73" ht="15" hidden="1" customHeight="1" x14ac:dyDescent="0.2">
      <c r="A191" s="133">
        <f t="shared" si="217"/>
        <v>1</v>
      </c>
      <c r="B191" s="141">
        <v>45292</v>
      </c>
      <c r="C191" s="10" t="s">
        <v>102</v>
      </c>
      <c r="D191" s="42" t="str">
        <f t="shared" si="218"/>
        <v>NO</v>
      </c>
      <c r="E191" s="7">
        <v>334391</v>
      </c>
      <c r="F191" s="7" t="s">
        <v>556</v>
      </c>
      <c r="G191" s="7" t="s">
        <v>557</v>
      </c>
      <c r="H191" s="29">
        <v>45323</v>
      </c>
      <c r="I191" s="7">
        <v>32583955</v>
      </c>
      <c r="J191" s="7" t="s">
        <v>558</v>
      </c>
      <c r="K191" s="7" t="s">
        <v>559</v>
      </c>
      <c r="L191" s="7" t="s">
        <v>179</v>
      </c>
      <c r="M191" s="7"/>
      <c r="N191" s="29">
        <v>45245</v>
      </c>
      <c r="Q191" s="7" t="s">
        <v>157</v>
      </c>
      <c r="R191" s="7" t="s">
        <v>214</v>
      </c>
      <c r="S191" s="7" t="s">
        <v>126</v>
      </c>
      <c r="T191" s="7" t="s">
        <v>239</v>
      </c>
      <c r="U191" s="7" t="s">
        <v>167</v>
      </c>
      <c r="V191" s="7" t="s">
        <v>215</v>
      </c>
      <c r="W191" s="7">
        <v>108803</v>
      </c>
      <c r="X191" s="7" t="s">
        <v>169</v>
      </c>
      <c r="Y191" s="7" t="s">
        <v>170</v>
      </c>
      <c r="AA191" s="7" t="s">
        <v>171</v>
      </c>
      <c r="AB191" s="7" t="s">
        <v>172</v>
      </c>
      <c r="AC191" s="7">
        <v>1130</v>
      </c>
      <c r="AF191" s="7" t="s">
        <v>173</v>
      </c>
      <c r="AG191" s="7" t="s">
        <v>170</v>
      </c>
      <c r="AI191" s="7" t="s">
        <v>174</v>
      </c>
      <c r="AK191" s="7">
        <v>3</v>
      </c>
      <c r="AL191" s="7">
        <v>1</v>
      </c>
      <c r="AM191" s="7">
        <v>35379.410000000003</v>
      </c>
      <c r="AN191" s="7">
        <v>7241.72</v>
      </c>
      <c r="AP191" s="7">
        <v>21103.03</v>
      </c>
      <c r="AQ191" s="7">
        <v>49240.72</v>
      </c>
      <c r="AS191" s="7">
        <v>818.15</v>
      </c>
      <c r="AZ191" s="41">
        <v>409.07</v>
      </c>
      <c r="BG191" s="7">
        <v>818.15</v>
      </c>
      <c r="BO191" s="7">
        <v>409.07</v>
      </c>
      <c r="BS191" s="7">
        <v>5528.03</v>
      </c>
      <c r="BT191" s="7">
        <f t="shared" si="225"/>
        <v>40907.440000000002</v>
      </c>
      <c r="BU191" s="144">
        <f t="shared" si="226"/>
        <v>2.0000029334517142E-2</v>
      </c>
    </row>
    <row r="192" spans="1:73" ht="15" hidden="1" customHeight="1" x14ac:dyDescent="0.2">
      <c r="A192" s="133">
        <f t="shared" si="217"/>
        <v>1</v>
      </c>
      <c r="B192" s="141">
        <v>45292</v>
      </c>
      <c r="C192" s="10" t="s">
        <v>102</v>
      </c>
      <c r="D192" s="42" t="str">
        <f t="shared" si="218"/>
        <v>NO</v>
      </c>
      <c r="E192" s="7">
        <v>335649</v>
      </c>
      <c r="F192" s="7" t="s">
        <v>560</v>
      </c>
      <c r="G192" s="7" t="s">
        <v>561</v>
      </c>
      <c r="H192" s="29">
        <v>45323</v>
      </c>
      <c r="I192" s="7">
        <v>38886787</v>
      </c>
      <c r="J192" s="7" t="s">
        <v>562</v>
      </c>
      <c r="K192" s="7" t="s">
        <v>563</v>
      </c>
      <c r="L192" s="7" t="s">
        <v>179</v>
      </c>
      <c r="M192" s="7"/>
      <c r="N192" s="29">
        <v>45269</v>
      </c>
      <c r="Q192" s="7" t="s">
        <v>157</v>
      </c>
      <c r="R192" s="7" t="s">
        <v>354</v>
      </c>
      <c r="S192" s="7" t="s">
        <v>126</v>
      </c>
      <c r="T192" s="7" t="s">
        <v>200</v>
      </c>
      <c r="U192" s="7" t="s">
        <v>167</v>
      </c>
      <c r="V192" s="7" t="s">
        <v>355</v>
      </c>
      <c r="W192" s="7">
        <v>108803</v>
      </c>
      <c r="X192" s="7" t="s">
        <v>169</v>
      </c>
      <c r="Y192" s="7" t="s">
        <v>170</v>
      </c>
      <c r="AA192" s="7" t="s">
        <v>171</v>
      </c>
      <c r="AB192" s="7" t="s">
        <v>172</v>
      </c>
      <c r="AC192" s="7">
        <v>1130</v>
      </c>
      <c r="AF192" s="31" t="s">
        <v>173</v>
      </c>
      <c r="AG192" s="7" t="s">
        <v>170</v>
      </c>
      <c r="AH192" s="31"/>
      <c r="AI192" s="7" t="s">
        <v>174</v>
      </c>
      <c r="AK192" s="7">
        <v>3</v>
      </c>
      <c r="AL192" s="7">
        <v>1</v>
      </c>
      <c r="AM192" s="7">
        <v>12262.7</v>
      </c>
      <c r="AN192" s="7">
        <v>2510.0300000000002</v>
      </c>
      <c r="AP192" s="7">
        <v>6116.05</v>
      </c>
      <c r="AQ192" s="7">
        <v>15868.72</v>
      </c>
      <c r="AS192" s="7">
        <v>283.58</v>
      </c>
      <c r="AX192" s="118"/>
      <c r="AZ192" s="7">
        <v>141.79</v>
      </c>
      <c r="BG192" s="7">
        <v>283.58</v>
      </c>
      <c r="BO192" s="7">
        <v>141.79</v>
      </c>
      <c r="BS192" s="7">
        <v>1916.05</v>
      </c>
      <c r="BT192" s="7">
        <f t="shared" si="225"/>
        <v>14178.75</v>
      </c>
      <c r="BU192" s="144">
        <f t="shared" si="226"/>
        <v>2.0000352640394955E-2</v>
      </c>
    </row>
    <row r="193" spans="1:73" ht="15" hidden="1" customHeight="1" x14ac:dyDescent="0.2">
      <c r="A193" s="133">
        <f t="shared" si="217"/>
        <v>1</v>
      </c>
      <c r="B193" s="141">
        <v>45292</v>
      </c>
      <c r="C193" s="10" t="s">
        <v>102</v>
      </c>
      <c r="D193" s="42" t="str">
        <f t="shared" si="218"/>
        <v>NO</v>
      </c>
      <c r="E193" s="7">
        <v>300381</v>
      </c>
      <c r="F193" s="7" t="s">
        <v>564</v>
      </c>
      <c r="G193" s="7" t="s">
        <v>565</v>
      </c>
      <c r="H193" s="29">
        <v>45323</v>
      </c>
      <c r="I193" s="7">
        <v>40303328</v>
      </c>
      <c r="J193" s="7" t="s">
        <v>566</v>
      </c>
      <c r="K193" s="7" t="s">
        <v>567</v>
      </c>
      <c r="L193" s="7" t="s">
        <v>164</v>
      </c>
      <c r="M193" s="7"/>
      <c r="N193" s="29">
        <v>44986</v>
      </c>
      <c r="Q193" s="7" t="s">
        <v>157</v>
      </c>
      <c r="R193" s="7" t="s">
        <v>165</v>
      </c>
      <c r="S193" s="7" t="s">
        <v>126</v>
      </c>
      <c r="T193" s="7" t="s">
        <v>180</v>
      </c>
      <c r="U193" s="7" t="s">
        <v>167</v>
      </c>
      <c r="V193" s="7" t="s">
        <v>168</v>
      </c>
      <c r="W193" s="7">
        <v>108803</v>
      </c>
      <c r="X193" s="7" t="s">
        <v>169</v>
      </c>
      <c r="Y193" s="7" t="s">
        <v>170</v>
      </c>
      <c r="AA193" s="7" t="s">
        <v>171</v>
      </c>
      <c r="AB193" s="7" t="s">
        <v>172</v>
      </c>
      <c r="AC193" s="7">
        <v>1130</v>
      </c>
      <c r="AF193" s="31" t="s">
        <v>173</v>
      </c>
      <c r="AG193" s="7" t="s">
        <v>170</v>
      </c>
      <c r="AH193" s="31"/>
      <c r="AI193" s="7" t="s">
        <v>174</v>
      </c>
      <c r="AK193" s="7">
        <v>4</v>
      </c>
      <c r="AL193" s="7">
        <v>1</v>
      </c>
      <c r="AM193" s="7">
        <v>122976.7</v>
      </c>
      <c r="AN193" s="7">
        <v>25133.85</v>
      </c>
      <c r="AP193" s="7">
        <v>37773.919999999998</v>
      </c>
      <c r="AQ193" s="7">
        <v>135616.76999999999</v>
      </c>
      <c r="AS193" s="7">
        <v>2818.54</v>
      </c>
      <c r="AZ193" s="41">
        <v>1409.27</v>
      </c>
      <c r="BG193" s="7">
        <v>2818.54</v>
      </c>
      <c r="BO193" s="7">
        <v>1409.27</v>
      </c>
      <c r="BP193" s="7">
        <v>5000</v>
      </c>
      <c r="BS193" s="7">
        <v>17950.32</v>
      </c>
      <c r="BT193" s="7">
        <f t="shared" si="225"/>
        <v>140927.01999999999</v>
      </c>
      <c r="BU193" s="144">
        <f t="shared" si="226"/>
        <v>1.9999997161651472E-2</v>
      </c>
    </row>
    <row r="194" spans="1:73" ht="15" hidden="1" customHeight="1" x14ac:dyDescent="0.2">
      <c r="A194" s="133">
        <f t="shared" si="217"/>
        <v>1</v>
      </c>
      <c r="B194" s="141">
        <v>45292</v>
      </c>
      <c r="C194" s="10" t="s">
        <v>153</v>
      </c>
      <c r="D194" s="42" t="str">
        <f t="shared" si="218"/>
        <v>NO</v>
      </c>
      <c r="E194" s="7">
        <v>336404</v>
      </c>
      <c r="F194" s="7" t="s">
        <v>568</v>
      </c>
      <c r="G194" s="7" t="s">
        <v>569</v>
      </c>
      <c r="H194" s="29">
        <v>45296</v>
      </c>
      <c r="I194" s="7">
        <v>45075173</v>
      </c>
      <c r="J194" s="7" t="s">
        <v>570</v>
      </c>
      <c r="K194" s="7" t="s">
        <v>571</v>
      </c>
      <c r="L194" s="7" t="s">
        <v>179</v>
      </c>
      <c r="M194" s="7"/>
      <c r="N194" s="29">
        <v>45269</v>
      </c>
      <c r="P194" s="29">
        <v>45291</v>
      </c>
      <c r="Q194" s="7" t="s">
        <v>157</v>
      </c>
      <c r="R194" s="7" t="s">
        <v>165</v>
      </c>
      <c r="S194" s="7" t="s">
        <v>126</v>
      </c>
      <c r="T194" s="7" t="s">
        <v>166</v>
      </c>
      <c r="U194" s="7" t="s">
        <v>167</v>
      </c>
      <c r="V194" s="7" t="s">
        <v>168</v>
      </c>
      <c r="W194" s="7">
        <v>108803</v>
      </c>
      <c r="X194" s="7" t="s">
        <v>169</v>
      </c>
      <c r="Y194" s="7" t="s">
        <v>170</v>
      </c>
      <c r="AA194" s="7" t="s">
        <v>189</v>
      </c>
      <c r="AB194" s="7" t="s">
        <v>190</v>
      </c>
      <c r="AC194" s="7">
        <v>1584</v>
      </c>
      <c r="AF194" s="31" t="s">
        <v>173</v>
      </c>
      <c r="AG194" s="7" t="s">
        <v>170</v>
      </c>
      <c r="AH194" s="31"/>
      <c r="AI194" s="7" t="s">
        <v>174</v>
      </c>
      <c r="AK194" s="7">
        <v>2</v>
      </c>
      <c r="AL194" s="7">
        <v>1</v>
      </c>
      <c r="AP194" s="7">
        <v>1575</v>
      </c>
      <c r="AQ194" s="7">
        <v>1575</v>
      </c>
      <c r="AS194" s="7"/>
      <c r="AV194" s="31"/>
      <c r="AZ194" s="41"/>
    </row>
    <row r="195" spans="1:73" ht="15" hidden="1" customHeight="1" x14ac:dyDescent="0.2">
      <c r="A195" s="133">
        <f t="shared" si="217"/>
        <v>1</v>
      </c>
      <c r="B195" s="141">
        <v>45292</v>
      </c>
      <c r="C195" s="10" t="s">
        <v>153</v>
      </c>
      <c r="D195" s="42" t="str">
        <f t="shared" si="218"/>
        <v>NO</v>
      </c>
      <c r="E195" s="7">
        <v>334309</v>
      </c>
      <c r="F195" s="7" t="s">
        <v>572</v>
      </c>
      <c r="G195" s="7" t="s">
        <v>573</v>
      </c>
      <c r="H195" s="29">
        <v>45296</v>
      </c>
      <c r="I195" s="7">
        <v>94157205</v>
      </c>
      <c r="J195" s="7" t="s">
        <v>574</v>
      </c>
      <c r="K195" s="7" t="s">
        <v>575</v>
      </c>
      <c r="L195" s="7" t="s">
        <v>179</v>
      </c>
      <c r="M195" s="7"/>
      <c r="N195" s="29">
        <v>45256</v>
      </c>
      <c r="O195" s="29">
        <v>45260</v>
      </c>
      <c r="P195" s="29">
        <v>45260</v>
      </c>
      <c r="Q195" s="7" t="s">
        <v>157</v>
      </c>
      <c r="R195" s="7" t="s">
        <v>238</v>
      </c>
      <c r="S195" s="7" t="s">
        <v>126</v>
      </c>
      <c r="T195" s="7" t="s">
        <v>239</v>
      </c>
      <c r="U195" s="7" t="s">
        <v>167</v>
      </c>
      <c r="V195" s="7" t="s">
        <v>240</v>
      </c>
      <c r="W195" s="7">
        <v>108803</v>
      </c>
      <c r="X195" s="7" t="s">
        <v>169</v>
      </c>
      <c r="Y195" s="7" t="s">
        <v>170</v>
      </c>
      <c r="AA195" s="7" t="s">
        <v>171</v>
      </c>
      <c r="AB195" s="7" t="s">
        <v>172</v>
      </c>
      <c r="AC195" s="7">
        <v>1130</v>
      </c>
      <c r="AF195" s="7" t="s">
        <v>173</v>
      </c>
      <c r="AG195" s="7" t="s">
        <v>170</v>
      </c>
      <c r="AI195" s="7" t="s">
        <v>174</v>
      </c>
      <c r="AK195" s="7">
        <v>2</v>
      </c>
      <c r="AL195" s="7">
        <v>1</v>
      </c>
      <c r="AM195" s="7">
        <v>451.58</v>
      </c>
      <c r="AN195" s="7">
        <v>92.82</v>
      </c>
      <c r="AP195" s="7">
        <v>2533.62</v>
      </c>
      <c r="AQ195" s="7">
        <v>2892.38</v>
      </c>
      <c r="AS195" s="7">
        <v>10.7</v>
      </c>
      <c r="AZ195" s="41">
        <v>5.35</v>
      </c>
      <c r="BG195" s="7">
        <v>10.7</v>
      </c>
      <c r="BO195" s="7">
        <v>5.35</v>
      </c>
      <c r="BS195" s="7">
        <v>83.62</v>
      </c>
    </row>
    <row r="196" spans="1:73" ht="15" hidden="1" customHeight="1" x14ac:dyDescent="0.2">
      <c r="A196" s="133">
        <f t="shared" si="217"/>
        <v>1</v>
      </c>
      <c r="B196" s="141">
        <v>45292</v>
      </c>
      <c r="C196" s="10" t="s">
        <v>153</v>
      </c>
      <c r="D196" s="42" t="str">
        <f t="shared" si="218"/>
        <v>NO</v>
      </c>
      <c r="E196" s="7">
        <v>336400</v>
      </c>
      <c r="F196" s="7" t="s">
        <v>576</v>
      </c>
      <c r="G196" s="7" t="s">
        <v>577</v>
      </c>
      <c r="H196" s="29">
        <v>45296</v>
      </c>
      <c r="I196" s="7">
        <v>37959362</v>
      </c>
      <c r="J196" s="7" t="s">
        <v>578</v>
      </c>
      <c r="K196" s="7" t="s">
        <v>579</v>
      </c>
      <c r="L196" s="7" t="s">
        <v>179</v>
      </c>
      <c r="M196" s="7"/>
      <c r="N196" s="29">
        <v>45270</v>
      </c>
      <c r="P196" s="29">
        <v>45291</v>
      </c>
      <c r="Q196" s="7" t="s">
        <v>157</v>
      </c>
      <c r="R196" s="7" t="s">
        <v>165</v>
      </c>
      <c r="S196" s="7" t="s">
        <v>126</v>
      </c>
      <c r="T196" s="7" t="s">
        <v>166</v>
      </c>
      <c r="U196" s="7" t="s">
        <v>167</v>
      </c>
      <c r="V196" s="7" t="s">
        <v>168</v>
      </c>
      <c r="W196" s="7">
        <v>108803</v>
      </c>
      <c r="X196" s="7" t="s">
        <v>169</v>
      </c>
      <c r="Y196" s="7" t="s">
        <v>170</v>
      </c>
      <c r="AA196" s="7" t="s">
        <v>189</v>
      </c>
      <c r="AB196" s="7" t="s">
        <v>190</v>
      </c>
      <c r="AC196" s="7">
        <v>1584</v>
      </c>
      <c r="AF196" s="31" t="s">
        <v>173</v>
      </c>
      <c r="AG196" s="7" t="s">
        <v>170</v>
      </c>
      <c r="AH196" s="31"/>
      <c r="AI196" s="7" t="s">
        <v>174</v>
      </c>
      <c r="AK196" s="7">
        <v>1</v>
      </c>
      <c r="AL196" s="7">
        <v>1</v>
      </c>
      <c r="AP196" s="7">
        <v>1711.11</v>
      </c>
      <c r="AQ196" s="7">
        <v>1711.11</v>
      </c>
      <c r="AS196" s="7"/>
    </row>
    <row r="197" spans="1:73" ht="15" hidden="1" customHeight="1" x14ac:dyDescent="0.2">
      <c r="A197" s="133">
        <f t="shared" si="217"/>
        <v>1</v>
      </c>
      <c r="B197" s="141">
        <v>45292</v>
      </c>
      <c r="C197" s="10" t="s">
        <v>102</v>
      </c>
      <c r="D197" s="42" t="str">
        <f t="shared" si="218"/>
        <v>NO</v>
      </c>
      <c r="E197" s="7">
        <v>317849</v>
      </c>
      <c r="F197" s="7" t="s">
        <v>580</v>
      </c>
      <c r="G197" s="7" t="s">
        <v>581</v>
      </c>
      <c r="H197" s="29">
        <v>45323</v>
      </c>
      <c r="I197" s="7">
        <v>40758869</v>
      </c>
      <c r="J197" s="7" t="s">
        <v>582</v>
      </c>
      <c r="K197" s="7" t="s">
        <v>583</v>
      </c>
      <c r="L197" s="7" t="s">
        <v>179</v>
      </c>
      <c r="M197" s="7"/>
      <c r="N197" s="29">
        <v>45249</v>
      </c>
      <c r="Q197" s="7" t="s">
        <v>157</v>
      </c>
      <c r="R197" s="7" t="s">
        <v>165</v>
      </c>
      <c r="S197" s="7" t="s">
        <v>126</v>
      </c>
      <c r="T197" s="7" t="s">
        <v>239</v>
      </c>
      <c r="U197" s="7" t="s">
        <v>167</v>
      </c>
      <c r="V197" s="7" t="s">
        <v>168</v>
      </c>
      <c r="W197" s="7">
        <v>108803</v>
      </c>
      <c r="X197" s="7" t="s">
        <v>169</v>
      </c>
      <c r="Y197" s="7" t="s">
        <v>170</v>
      </c>
      <c r="AA197" s="7" t="s">
        <v>171</v>
      </c>
      <c r="AB197" s="7" t="s">
        <v>172</v>
      </c>
      <c r="AC197" s="7">
        <v>1130</v>
      </c>
      <c r="AF197" s="31" t="s">
        <v>173</v>
      </c>
      <c r="AG197" s="7" t="s">
        <v>170</v>
      </c>
      <c r="AH197" s="31"/>
      <c r="AI197" s="7" t="s">
        <v>174</v>
      </c>
      <c r="AK197" s="7">
        <v>4</v>
      </c>
      <c r="AL197" s="7">
        <v>1</v>
      </c>
      <c r="AM197" s="7">
        <v>152269.60999999999</v>
      </c>
      <c r="AN197" s="7">
        <v>31167.69</v>
      </c>
      <c r="AP197" s="7">
        <v>43936.57</v>
      </c>
      <c r="AQ197" s="7">
        <v>165038.49</v>
      </c>
      <c r="AS197" s="7">
        <v>3521.23</v>
      </c>
      <c r="AV197" s="31"/>
      <c r="AZ197" s="41">
        <v>1760.62</v>
      </c>
      <c r="BG197" s="7">
        <v>3521.23</v>
      </c>
      <c r="BO197" s="7">
        <v>1760.62</v>
      </c>
      <c r="BP197" s="7">
        <v>5000</v>
      </c>
      <c r="BS197" s="7">
        <v>23792.13</v>
      </c>
      <c r="BT197" s="7">
        <f t="shared" ref="BT197:BT198" si="227">+BS197+AM197</f>
        <v>176061.74</v>
      </c>
      <c r="BU197" s="144">
        <f t="shared" ref="BU197:BU198" si="228">+AS197/BT197</f>
        <v>1.9999972736836524E-2</v>
      </c>
    </row>
    <row r="198" spans="1:73" ht="15" hidden="1" customHeight="1" x14ac:dyDescent="0.2">
      <c r="A198" s="133">
        <f t="shared" si="217"/>
        <v>1</v>
      </c>
      <c r="B198" s="141">
        <v>45292</v>
      </c>
      <c r="C198" s="10" t="s">
        <v>102</v>
      </c>
      <c r="D198" s="42" t="str">
        <f t="shared" si="218"/>
        <v>NO</v>
      </c>
      <c r="E198" s="7">
        <v>308675</v>
      </c>
      <c r="F198" s="7" t="s">
        <v>584</v>
      </c>
      <c r="G198" s="7" t="s">
        <v>585</v>
      </c>
      <c r="H198" s="29">
        <v>45323</v>
      </c>
      <c r="I198" s="7">
        <v>19000508</v>
      </c>
      <c r="J198" s="7" t="s">
        <v>586</v>
      </c>
      <c r="K198" s="7" t="s">
        <v>587</v>
      </c>
      <c r="L198" s="7" t="s">
        <v>164</v>
      </c>
      <c r="M198" s="7"/>
      <c r="N198" s="29">
        <v>45267</v>
      </c>
      <c r="Q198" s="7" t="s">
        <v>157</v>
      </c>
      <c r="R198" s="7" t="s">
        <v>214</v>
      </c>
      <c r="S198" s="7" t="s">
        <v>126</v>
      </c>
      <c r="T198" s="7" t="s">
        <v>200</v>
      </c>
      <c r="U198" s="7" t="s">
        <v>167</v>
      </c>
      <c r="V198" s="7" t="s">
        <v>215</v>
      </c>
      <c r="W198" s="7">
        <v>106005</v>
      </c>
      <c r="X198" s="7" t="s">
        <v>588</v>
      </c>
      <c r="Y198" s="7" t="s">
        <v>170</v>
      </c>
      <c r="AA198" s="7" t="s">
        <v>208</v>
      </c>
      <c r="AB198" s="7" t="s">
        <v>209</v>
      </c>
      <c r="AC198" s="7">
        <v>1035</v>
      </c>
      <c r="AF198" s="31" t="s">
        <v>173</v>
      </c>
      <c r="AG198" s="7" t="s">
        <v>170</v>
      </c>
      <c r="AH198" s="31"/>
      <c r="AI198" s="7" t="s">
        <v>174</v>
      </c>
      <c r="AK198" s="7">
        <v>4</v>
      </c>
      <c r="AL198" s="7">
        <v>1</v>
      </c>
      <c r="AM198" s="7">
        <v>298759.52</v>
      </c>
      <c r="AN198" s="7">
        <v>61152.35</v>
      </c>
      <c r="AP198" s="7">
        <v>76256.179999999993</v>
      </c>
      <c r="AQ198" s="7">
        <v>313863.34999999998</v>
      </c>
      <c r="AS198" s="7">
        <v>6908.81</v>
      </c>
      <c r="AV198" s="31"/>
      <c r="AW198" s="61"/>
      <c r="AZ198" s="41">
        <v>3454.41</v>
      </c>
      <c r="BG198" s="7">
        <v>6908.81</v>
      </c>
      <c r="BO198" s="7">
        <v>3454.41</v>
      </c>
      <c r="BP198" s="7">
        <v>5000</v>
      </c>
      <c r="BS198" s="7">
        <v>46681.18</v>
      </c>
      <c r="BT198" s="7">
        <f t="shared" si="227"/>
        <v>345440.7</v>
      </c>
      <c r="BU198" s="144">
        <f t="shared" si="228"/>
        <v>1.9999988420588543E-2</v>
      </c>
    </row>
    <row r="199" spans="1:73" ht="15" hidden="1" customHeight="1" x14ac:dyDescent="0.2">
      <c r="A199" s="133">
        <f t="shared" si="217"/>
        <v>1</v>
      </c>
      <c r="B199" s="141">
        <v>45292</v>
      </c>
      <c r="C199" s="10" t="s">
        <v>153</v>
      </c>
      <c r="D199" s="42" t="str">
        <f t="shared" si="218"/>
        <v>NO</v>
      </c>
      <c r="E199" s="7">
        <v>293967</v>
      </c>
      <c r="F199" s="7" t="s">
        <v>589</v>
      </c>
      <c r="G199" s="7" t="s">
        <v>590</v>
      </c>
      <c r="H199" s="29">
        <v>45296</v>
      </c>
      <c r="I199" s="7">
        <v>26027038</v>
      </c>
      <c r="J199" s="7" t="s">
        <v>591</v>
      </c>
      <c r="K199" s="7" t="s">
        <v>592</v>
      </c>
      <c r="L199" s="7" t="s">
        <v>164</v>
      </c>
      <c r="M199" s="7"/>
      <c r="N199" s="29">
        <v>45260</v>
      </c>
      <c r="P199" s="29">
        <v>45291</v>
      </c>
      <c r="Q199" s="7" t="s">
        <v>157</v>
      </c>
      <c r="R199" s="7" t="s">
        <v>214</v>
      </c>
      <c r="S199" s="7" t="s">
        <v>126</v>
      </c>
      <c r="T199" s="7" t="s">
        <v>206</v>
      </c>
      <c r="U199" s="7" t="s">
        <v>167</v>
      </c>
      <c r="V199" s="7" t="s">
        <v>215</v>
      </c>
      <c r="W199" s="7">
        <v>112103</v>
      </c>
      <c r="X199" s="7" t="s">
        <v>593</v>
      </c>
      <c r="Y199" s="7" t="s">
        <v>170</v>
      </c>
      <c r="AA199" s="7" t="s">
        <v>208</v>
      </c>
      <c r="AB199" s="7" t="s">
        <v>209</v>
      </c>
      <c r="AC199" s="7">
        <v>1035</v>
      </c>
      <c r="AF199" s="31" t="s">
        <v>173</v>
      </c>
      <c r="AG199" s="7" t="s">
        <v>170</v>
      </c>
      <c r="AH199" s="31"/>
      <c r="AI199" s="7" t="s">
        <v>174</v>
      </c>
      <c r="AK199" s="7">
        <v>1</v>
      </c>
      <c r="AL199" s="7">
        <v>1</v>
      </c>
      <c r="AP199" s="7">
        <v>18200</v>
      </c>
      <c r="AQ199" s="7">
        <v>18200</v>
      </c>
      <c r="AS199" s="7"/>
    </row>
    <row r="200" spans="1:73" ht="15" hidden="1" customHeight="1" x14ac:dyDescent="0.2">
      <c r="A200" s="133">
        <f t="shared" si="217"/>
        <v>1</v>
      </c>
      <c r="B200" s="141">
        <v>45292</v>
      </c>
      <c r="C200" s="10" t="s">
        <v>102</v>
      </c>
      <c r="D200" s="42" t="str">
        <f t="shared" si="218"/>
        <v>NO</v>
      </c>
      <c r="E200" s="7">
        <v>321447</v>
      </c>
      <c r="F200" s="7" t="s">
        <v>594</v>
      </c>
      <c r="G200" s="7" t="s">
        <v>595</v>
      </c>
      <c r="H200" s="29">
        <v>45323</v>
      </c>
      <c r="I200" s="7">
        <v>42829457</v>
      </c>
      <c r="J200" s="7" t="s">
        <v>596</v>
      </c>
      <c r="K200" s="7" t="s">
        <v>597</v>
      </c>
      <c r="L200" s="7" t="s">
        <v>179</v>
      </c>
      <c r="M200" s="7"/>
      <c r="N200" s="29">
        <v>45042</v>
      </c>
      <c r="Q200" s="7" t="s">
        <v>157</v>
      </c>
      <c r="R200" s="7" t="s">
        <v>165</v>
      </c>
      <c r="S200" s="7" t="s">
        <v>126</v>
      </c>
      <c r="T200" s="7" t="s">
        <v>166</v>
      </c>
      <c r="U200" s="7" t="s">
        <v>167</v>
      </c>
      <c r="V200" s="7" t="s">
        <v>168</v>
      </c>
      <c r="W200" s="7">
        <v>108803</v>
      </c>
      <c r="X200" s="7" t="s">
        <v>169</v>
      </c>
      <c r="Y200" s="7" t="s">
        <v>170</v>
      </c>
      <c r="AA200" s="7" t="s">
        <v>171</v>
      </c>
      <c r="AB200" s="7" t="s">
        <v>172</v>
      </c>
      <c r="AC200" s="7">
        <v>1130</v>
      </c>
      <c r="AF200" s="31" t="s">
        <v>173</v>
      </c>
      <c r="AG200" s="7" t="s">
        <v>170</v>
      </c>
      <c r="AH200" s="31"/>
      <c r="AI200" s="7" t="s">
        <v>174</v>
      </c>
      <c r="AK200" s="7">
        <v>3</v>
      </c>
      <c r="AL200" s="7">
        <v>1</v>
      </c>
      <c r="AM200" s="7">
        <v>204627.25</v>
      </c>
      <c r="AN200" s="7">
        <v>41613.15</v>
      </c>
      <c r="AP200" s="7">
        <v>54034.21</v>
      </c>
      <c r="AQ200" s="7">
        <v>217048.31</v>
      </c>
      <c r="AS200" s="7">
        <v>4551.01</v>
      </c>
      <c r="AX200" s="118"/>
      <c r="AZ200" s="41">
        <v>2275.5</v>
      </c>
      <c r="BG200" s="7">
        <v>4551.01</v>
      </c>
      <c r="BO200" s="7">
        <v>2275.5</v>
      </c>
      <c r="BP200" s="7">
        <v>5000</v>
      </c>
      <c r="BS200" s="7">
        <v>22923.11</v>
      </c>
      <c r="BT200" s="7">
        <f t="shared" ref="BT200:BT201" si="229">+BS200+AM200</f>
        <v>227550.36</v>
      </c>
      <c r="BU200" s="144">
        <f t="shared" ref="BU200:BU201" si="230">+AS200/BT200</f>
        <v>2.0000012304968451E-2</v>
      </c>
    </row>
    <row r="201" spans="1:73" ht="15" hidden="1" customHeight="1" x14ac:dyDescent="0.2">
      <c r="A201" s="133">
        <f t="shared" si="217"/>
        <v>1</v>
      </c>
      <c r="B201" s="141">
        <v>45292</v>
      </c>
      <c r="C201" s="10" t="s">
        <v>102</v>
      </c>
      <c r="D201" s="42" t="str">
        <f t="shared" si="218"/>
        <v>SI</v>
      </c>
      <c r="E201" s="7">
        <v>289432</v>
      </c>
      <c r="F201" s="7" t="s">
        <v>598</v>
      </c>
      <c r="G201" s="7" t="s">
        <v>599</v>
      </c>
      <c r="H201" s="29">
        <v>45323</v>
      </c>
      <c r="I201" s="7">
        <v>35273997</v>
      </c>
      <c r="J201" s="7" t="s">
        <v>600</v>
      </c>
      <c r="K201" s="7" t="s">
        <v>295</v>
      </c>
      <c r="L201" s="7" t="s">
        <v>164</v>
      </c>
      <c r="M201" s="7"/>
      <c r="N201" s="29">
        <v>45231</v>
      </c>
      <c r="Q201" s="7" t="s">
        <v>157</v>
      </c>
      <c r="R201" s="7" t="s">
        <v>165</v>
      </c>
      <c r="S201" s="7" t="s">
        <v>126</v>
      </c>
      <c r="T201" s="7" t="s">
        <v>206</v>
      </c>
      <c r="U201" s="7" t="s">
        <v>167</v>
      </c>
      <c r="V201" s="7" t="s">
        <v>168</v>
      </c>
      <c r="W201" s="7">
        <v>108803</v>
      </c>
      <c r="X201" s="7" t="s">
        <v>169</v>
      </c>
      <c r="Y201" s="7" t="s">
        <v>170</v>
      </c>
      <c r="AA201" s="7" t="s">
        <v>171</v>
      </c>
      <c r="AB201" s="7" t="s">
        <v>172</v>
      </c>
      <c r="AC201" s="7">
        <v>1130</v>
      </c>
      <c r="AF201" s="31" t="s">
        <v>173</v>
      </c>
      <c r="AG201" s="7" t="s">
        <v>170</v>
      </c>
      <c r="AH201" s="31"/>
      <c r="AI201" s="7" t="s">
        <v>174</v>
      </c>
      <c r="AK201" s="7">
        <v>3</v>
      </c>
      <c r="AL201" s="7">
        <v>1</v>
      </c>
      <c r="AM201" s="7">
        <v>66018.990000000005</v>
      </c>
      <c r="AN201" s="7">
        <v>13894.93</v>
      </c>
      <c r="AP201" s="7">
        <v>17500.189999999999</v>
      </c>
      <c r="AQ201" s="7">
        <v>69624.25</v>
      </c>
      <c r="AR201" s="7">
        <v>1908.36</v>
      </c>
      <c r="AS201" s="7"/>
      <c r="AX201" s="118"/>
      <c r="AZ201" s="41">
        <v>763.34</v>
      </c>
      <c r="BG201" s="7">
        <v>1526.69</v>
      </c>
      <c r="BO201" s="7">
        <v>763.34</v>
      </c>
      <c r="BP201" s="7">
        <v>5000</v>
      </c>
      <c r="BS201" s="7">
        <v>10315.469999999999</v>
      </c>
      <c r="BT201" s="7">
        <f t="shared" si="229"/>
        <v>76334.460000000006</v>
      </c>
      <c r="BU201" s="144">
        <f t="shared" si="230"/>
        <v>0</v>
      </c>
    </row>
    <row r="202" spans="1:73" ht="15" hidden="1" customHeight="1" x14ac:dyDescent="0.2">
      <c r="A202" s="133">
        <f t="shared" si="217"/>
        <v>1</v>
      </c>
      <c r="B202" s="141">
        <v>45292</v>
      </c>
      <c r="C202" s="10" t="s">
        <v>153</v>
      </c>
      <c r="D202" s="42" t="str">
        <f t="shared" si="218"/>
        <v>NO</v>
      </c>
      <c r="E202" s="7">
        <v>309845</v>
      </c>
      <c r="F202" s="7" t="s">
        <v>601</v>
      </c>
      <c r="G202" s="7" t="s">
        <v>602</v>
      </c>
      <c r="H202" s="29">
        <v>45296</v>
      </c>
      <c r="I202" s="7">
        <v>37350830</v>
      </c>
      <c r="J202" s="7" t="s">
        <v>603</v>
      </c>
      <c r="K202" s="7" t="s">
        <v>604</v>
      </c>
      <c r="L202" s="7" t="s">
        <v>164</v>
      </c>
      <c r="M202" s="7"/>
      <c r="N202" s="29">
        <v>44862</v>
      </c>
      <c r="P202" s="29">
        <v>45291</v>
      </c>
      <c r="Q202" s="7" t="s">
        <v>157</v>
      </c>
      <c r="R202" s="7" t="s">
        <v>199</v>
      </c>
      <c r="S202" s="7" t="s">
        <v>126</v>
      </c>
      <c r="T202" s="7" t="s">
        <v>239</v>
      </c>
      <c r="U202" s="7" t="s">
        <v>167</v>
      </c>
      <c r="V202" s="7" t="s">
        <v>201</v>
      </c>
      <c r="W202" s="7">
        <v>108803</v>
      </c>
      <c r="X202" s="7" t="s">
        <v>169</v>
      </c>
      <c r="Y202" s="7" t="s">
        <v>170</v>
      </c>
      <c r="AA202" s="7" t="s">
        <v>189</v>
      </c>
      <c r="AB202" s="7" t="s">
        <v>190</v>
      </c>
      <c r="AC202" s="7">
        <v>1584</v>
      </c>
      <c r="AF202" s="31" t="s">
        <v>173</v>
      </c>
      <c r="AG202" s="7" t="s">
        <v>170</v>
      </c>
      <c r="AH202" s="31"/>
      <c r="AI202" s="7" t="s">
        <v>174</v>
      </c>
      <c r="AK202" s="7">
        <v>1</v>
      </c>
      <c r="AL202" s="7">
        <v>1</v>
      </c>
      <c r="AP202" s="7">
        <v>4725</v>
      </c>
      <c r="AQ202" s="7">
        <v>4725</v>
      </c>
      <c r="AS202" s="7"/>
      <c r="AW202" s="61"/>
      <c r="AX202" s="118"/>
      <c r="AZ202" s="41"/>
    </row>
    <row r="203" spans="1:73" ht="15" hidden="1" customHeight="1" x14ac:dyDescent="0.2">
      <c r="A203" s="133">
        <f t="shared" si="217"/>
        <v>1</v>
      </c>
      <c r="B203" s="141">
        <v>45292</v>
      </c>
      <c r="C203" s="10" t="s">
        <v>153</v>
      </c>
      <c r="D203" s="42" t="str">
        <f t="shared" si="218"/>
        <v>NO</v>
      </c>
      <c r="E203" s="7">
        <v>334560</v>
      </c>
      <c r="F203" s="7" t="s">
        <v>605</v>
      </c>
      <c r="G203" s="7" t="s">
        <v>606</v>
      </c>
      <c r="H203" s="29">
        <v>45296</v>
      </c>
      <c r="I203" s="7">
        <v>45686699</v>
      </c>
      <c r="J203" s="7" t="s">
        <v>607</v>
      </c>
      <c r="K203" s="7" t="s">
        <v>608</v>
      </c>
      <c r="L203" s="7" t="s">
        <v>179</v>
      </c>
      <c r="M203" s="7"/>
      <c r="N203" s="29">
        <v>45253</v>
      </c>
      <c r="P203" s="29">
        <v>45291</v>
      </c>
      <c r="Q203" s="7" t="s">
        <v>157</v>
      </c>
      <c r="R203" s="7" t="s">
        <v>165</v>
      </c>
      <c r="S203" s="7" t="s">
        <v>126</v>
      </c>
      <c r="T203" s="7" t="s">
        <v>166</v>
      </c>
      <c r="U203" s="7" t="s">
        <v>167</v>
      </c>
      <c r="V203" s="7" t="s">
        <v>168</v>
      </c>
      <c r="W203" s="7">
        <v>108803</v>
      </c>
      <c r="X203" s="7" t="s">
        <v>169</v>
      </c>
      <c r="Y203" s="7" t="s">
        <v>170</v>
      </c>
      <c r="AA203" s="7" t="s">
        <v>171</v>
      </c>
      <c r="AB203" s="7" t="s">
        <v>172</v>
      </c>
      <c r="AC203" s="7">
        <v>1130</v>
      </c>
      <c r="AF203" s="31" t="s">
        <v>173</v>
      </c>
      <c r="AG203" s="7" t="s">
        <v>170</v>
      </c>
      <c r="AH203" s="31"/>
      <c r="AI203" s="7" t="s">
        <v>174</v>
      </c>
      <c r="AK203" s="7">
        <v>2</v>
      </c>
      <c r="AL203" s="7">
        <v>1</v>
      </c>
      <c r="AP203" s="7">
        <v>9255.5499999999993</v>
      </c>
      <c r="AQ203" s="7">
        <v>9255.5499999999993</v>
      </c>
      <c r="AS203" s="7"/>
    </row>
    <row r="204" spans="1:73" ht="15" hidden="1" customHeight="1" x14ac:dyDescent="0.2">
      <c r="A204" s="133">
        <f t="shared" si="217"/>
        <v>1</v>
      </c>
      <c r="B204" s="141">
        <v>45292</v>
      </c>
      <c r="C204" s="10" t="s">
        <v>153</v>
      </c>
      <c r="D204" s="42" t="str">
        <f t="shared" si="218"/>
        <v>NO</v>
      </c>
      <c r="E204" s="7">
        <v>325119</v>
      </c>
      <c r="F204" s="7" t="s">
        <v>609</v>
      </c>
      <c r="G204" s="7" t="s">
        <v>610</v>
      </c>
      <c r="H204" s="29">
        <v>45296</v>
      </c>
      <c r="I204" s="7">
        <v>41107414</v>
      </c>
      <c r="J204" s="7" t="s">
        <v>611</v>
      </c>
      <c r="K204" s="7" t="s">
        <v>612</v>
      </c>
      <c r="L204" s="7" t="s">
        <v>164</v>
      </c>
      <c r="M204" s="7"/>
      <c r="N204" s="29">
        <v>45253</v>
      </c>
      <c r="Q204" s="7" t="s">
        <v>157</v>
      </c>
      <c r="R204" s="7" t="s">
        <v>165</v>
      </c>
      <c r="S204" s="7" t="s">
        <v>126</v>
      </c>
      <c r="T204" s="7" t="s">
        <v>180</v>
      </c>
      <c r="U204" s="7" t="s">
        <v>167</v>
      </c>
      <c r="V204" s="7" t="s">
        <v>168</v>
      </c>
      <c r="W204" s="7">
        <v>108803</v>
      </c>
      <c r="X204" s="7" t="s">
        <v>169</v>
      </c>
      <c r="Y204" s="7" t="s">
        <v>170</v>
      </c>
      <c r="AA204" s="7" t="s">
        <v>171</v>
      </c>
      <c r="AB204" s="7" t="s">
        <v>172</v>
      </c>
      <c r="AC204" s="7">
        <v>1130</v>
      </c>
      <c r="AF204" s="31" t="s">
        <v>173</v>
      </c>
      <c r="AG204" s="7" t="s">
        <v>170</v>
      </c>
      <c r="AH204" s="31"/>
      <c r="AI204" s="7" t="s">
        <v>174</v>
      </c>
      <c r="AK204" s="7">
        <v>1</v>
      </c>
      <c r="AL204" s="7">
        <v>1</v>
      </c>
      <c r="AP204" s="7">
        <v>3033.33</v>
      </c>
      <c r="AQ204" s="7">
        <v>3033.33</v>
      </c>
      <c r="AS204" s="7"/>
      <c r="AZ204" s="41"/>
    </row>
    <row r="205" spans="1:73" ht="15" hidden="1" customHeight="1" x14ac:dyDescent="0.2">
      <c r="A205" s="133">
        <f t="shared" si="217"/>
        <v>1</v>
      </c>
      <c r="B205" s="141">
        <v>45292</v>
      </c>
      <c r="C205" s="10" t="s">
        <v>153</v>
      </c>
      <c r="D205" s="42" t="str">
        <f t="shared" si="218"/>
        <v>NO</v>
      </c>
      <c r="E205" s="7">
        <v>323910</v>
      </c>
      <c r="F205" s="7" t="s">
        <v>613</v>
      </c>
      <c r="G205" s="7" t="s">
        <v>614</v>
      </c>
      <c r="H205" s="29">
        <v>45296</v>
      </c>
      <c r="I205" s="7">
        <v>33203218</v>
      </c>
      <c r="J205" s="7" t="s">
        <v>615</v>
      </c>
      <c r="K205" s="7" t="s">
        <v>616</v>
      </c>
      <c r="L205" s="7" t="s">
        <v>179</v>
      </c>
      <c r="M205" s="7"/>
      <c r="N205" s="29">
        <v>45143</v>
      </c>
      <c r="P205" s="29">
        <v>45291</v>
      </c>
      <c r="Q205" s="7" t="s">
        <v>157</v>
      </c>
      <c r="R205" s="7" t="s">
        <v>165</v>
      </c>
      <c r="S205" s="7" t="s">
        <v>126</v>
      </c>
      <c r="T205" s="7" t="s">
        <v>180</v>
      </c>
      <c r="U205" s="7" t="s">
        <v>167</v>
      </c>
      <c r="V205" s="7" t="s">
        <v>168</v>
      </c>
      <c r="W205" s="7">
        <v>108803</v>
      </c>
      <c r="X205" s="7" t="s">
        <v>169</v>
      </c>
      <c r="Y205" s="7" t="s">
        <v>170</v>
      </c>
      <c r="AA205" s="7" t="s">
        <v>171</v>
      </c>
      <c r="AB205" s="7" t="s">
        <v>172</v>
      </c>
      <c r="AC205" s="7">
        <v>1130</v>
      </c>
      <c r="AF205" s="31" t="s">
        <v>173</v>
      </c>
      <c r="AG205" s="7" t="s">
        <v>170</v>
      </c>
      <c r="AH205" s="31"/>
      <c r="AI205" s="7" t="s">
        <v>174</v>
      </c>
      <c r="AK205" s="7">
        <v>1</v>
      </c>
      <c r="AL205" s="7">
        <v>1</v>
      </c>
      <c r="AP205" s="7">
        <v>4200</v>
      </c>
      <c r="AQ205" s="7">
        <v>4200</v>
      </c>
      <c r="AS205" s="7"/>
      <c r="AV205" s="31"/>
      <c r="AW205" s="61"/>
      <c r="AZ205" s="41"/>
    </row>
    <row r="206" spans="1:73" ht="15" hidden="1" customHeight="1" x14ac:dyDescent="0.2">
      <c r="A206" s="133">
        <f t="shared" si="217"/>
        <v>1</v>
      </c>
      <c r="B206" s="141">
        <v>45292</v>
      </c>
      <c r="C206" s="10" t="s">
        <v>153</v>
      </c>
      <c r="D206" s="42" t="str">
        <f t="shared" si="218"/>
        <v>NO</v>
      </c>
      <c r="E206" s="7">
        <v>322096</v>
      </c>
      <c r="F206" s="7" t="s">
        <v>617</v>
      </c>
      <c r="G206" s="7" t="s">
        <v>618</v>
      </c>
      <c r="H206" s="29">
        <v>45296</v>
      </c>
      <c r="I206" s="7">
        <v>33288107</v>
      </c>
      <c r="J206" s="7" t="s">
        <v>619</v>
      </c>
      <c r="K206" s="7" t="s">
        <v>620</v>
      </c>
      <c r="L206" s="7" t="s">
        <v>179</v>
      </c>
      <c r="M206" s="7"/>
      <c r="N206" s="29">
        <v>45213</v>
      </c>
      <c r="P206" s="29">
        <v>45229</v>
      </c>
      <c r="Q206" s="7" t="s">
        <v>157</v>
      </c>
      <c r="R206" s="7" t="s">
        <v>354</v>
      </c>
      <c r="S206" s="7" t="s">
        <v>126</v>
      </c>
      <c r="T206" s="7" t="s">
        <v>239</v>
      </c>
      <c r="U206" s="7" t="s">
        <v>167</v>
      </c>
      <c r="V206" s="7" t="s">
        <v>355</v>
      </c>
      <c r="W206" s="7">
        <v>106005</v>
      </c>
      <c r="X206" s="7" t="s">
        <v>588</v>
      </c>
      <c r="Y206" s="7" t="s">
        <v>170</v>
      </c>
      <c r="AA206" s="7" t="s">
        <v>171</v>
      </c>
      <c r="AB206" s="7" t="s">
        <v>172</v>
      </c>
      <c r="AC206" s="7">
        <v>1130</v>
      </c>
      <c r="AF206" s="31" t="s">
        <v>173</v>
      </c>
      <c r="AG206" s="7" t="s">
        <v>170</v>
      </c>
      <c r="AH206" s="31"/>
      <c r="AI206" s="7" t="s">
        <v>174</v>
      </c>
      <c r="AK206" s="7">
        <v>1</v>
      </c>
      <c r="AL206" s="7">
        <v>1</v>
      </c>
      <c r="AP206" s="7">
        <v>3850</v>
      </c>
      <c r="AQ206" s="7">
        <v>3850</v>
      </c>
      <c r="AS206" s="7"/>
    </row>
    <row r="207" spans="1:73" ht="15" hidden="1" customHeight="1" x14ac:dyDescent="0.2">
      <c r="A207" s="133">
        <f t="shared" si="217"/>
        <v>1</v>
      </c>
      <c r="B207" s="141">
        <v>45292</v>
      </c>
      <c r="C207" s="10" t="s">
        <v>102</v>
      </c>
      <c r="D207" s="42" t="str">
        <f t="shared" si="218"/>
        <v>NO</v>
      </c>
      <c r="E207" s="7">
        <v>336403</v>
      </c>
      <c r="F207" s="7" t="s">
        <v>621</v>
      </c>
      <c r="G207" s="7" t="s">
        <v>622</v>
      </c>
      <c r="H207" s="29">
        <v>45324</v>
      </c>
      <c r="I207" s="7">
        <v>41587286</v>
      </c>
      <c r="J207" s="7" t="s">
        <v>623</v>
      </c>
      <c r="K207" s="7" t="s">
        <v>624</v>
      </c>
      <c r="L207" s="7" t="s">
        <v>179</v>
      </c>
      <c r="M207" s="7"/>
      <c r="N207" s="29">
        <v>45311</v>
      </c>
      <c r="Q207" s="7" t="s">
        <v>157</v>
      </c>
      <c r="R207" s="7" t="s">
        <v>354</v>
      </c>
      <c r="S207" s="7" t="s">
        <v>126</v>
      </c>
      <c r="T207" s="7" t="s">
        <v>239</v>
      </c>
      <c r="U207" s="7" t="s">
        <v>167</v>
      </c>
      <c r="V207" s="7" t="s">
        <v>355</v>
      </c>
      <c r="W207" s="7">
        <v>108803</v>
      </c>
      <c r="X207" s="7" t="s">
        <v>169</v>
      </c>
      <c r="Y207" s="7" t="s">
        <v>170</v>
      </c>
      <c r="AA207" s="7" t="s">
        <v>171</v>
      </c>
      <c r="AB207" s="7" t="s">
        <v>172</v>
      </c>
      <c r="AC207" s="7">
        <v>1130</v>
      </c>
      <c r="AE207" s="31"/>
      <c r="AF207" s="7" t="s">
        <v>173</v>
      </c>
      <c r="AG207" s="31" t="s">
        <v>170</v>
      </c>
      <c r="AI207" s="7" t="s">
        <v>174</v>
      </c>
      <c r="AK207" s="7">
        <v>1</v>
      </c>
      <c r="AL207" s="7">
        <v>1</v>
      </c>
      <c r="AM207" s="7">
        <v>14306.46</v>
      </c>
      <c r="AN207" s="7">
        <v>2928.35</v>
      </c>
      <c r="AP207" s="7">
        <v>2235.39</v>
      </c>
      <c r="AQ207" s="7">
        <v>13613.5</v>
      </c>
      <c r="AS207" s="7">
        <v>330.84</v>
      </c>
      <c r="AT207" s="31"/>
      <c r="AV207" s="118"/>
      <c r="AZ207" s="7">
        <v>165.42</v>
      </c>
      <c r="BG207" s="7">
        <v>330.84</v>
      </c>
      <c r="BO207" s="7">
        <v>165.42</v>
      </c>
      <c r="BS207" s="7">
        <v>2235.39</v>
      </c>
      <c r="BT207" s="7">
        <f t="shared" ref="BT207:BT209" si="231">+BS207+AM207</f>
        <v>16541.849999999999</v>
      </c>
      <c r="BU207" s="144">
        <f t="shared" ref="BU207:BU209" si="232">+AS207/BT207</f>
        <v>2.0000181358191496E-2</v>
      </c>
    </row>
    <row r="208" spans="1:73" ht="15" hidden="1" customHeight="1" x14ac:dyDescent="0.2">
      <c r="A208" s="133">
        <f t="shared" si="217"/>
        <v>1</v>
      </c>
      <c r="B208" s="141">
        <v>45292</v>
      </c>
      <c r="C208" s="10" t="s">
        <v>102</v>
      </c>
      <c r="D208" s="42" t="str">
        <f t="shared" si="218"/>
        <v>SI</v>
      </c>
      <c r="E208" s="7">
        <v>320277</v>
      </c>
      <c r="F208" s="7" t="s">
        <v>625</v>
      </c>
      <c r="G208" s="7" t="s">
        <v>626</v>
      </c>
      <c r="H208" s="29">
        <v>45323</v>
      </c>
      <c r="I208" s="7">
        <v>32359782</v>
      </c>
      <c r="J208" s="7" t="s">
        <v>627</v>
      </c>
      <c r="K208" s="7" t="s">
        <v>628</v>
      </c>
      <c r="L208" s="7" t="s">
        <v>164</v>
      </c>
      <c r="M208" s="7"/>
      <c r="N208" s="29">
        <v>45047</v>
      </c>
      <c r="Q208" s="7" t="s">
        <v>157</v>
      </c>
      <c r="R208" s="7" t="s">
        <v>165</v>
      </c>
      <c r="S208" s="7" t="s">
        <v>126</v>
      </c>
      <c r="T208" s="7" t="s">
        <v>200</v>
      </c>
      <c r="U208" s="7" t="s">
        <v>167</v>
      </c>
      <c r="V208" s="7" t="s">
        <v>207</v>
      </c>
      <c r="W208" s="7">
        <v>108803</v>
      </c>
      <c r="X208" s="7" t="s">
        <v>169</v>
      </c>
      <c r="Y208" s="7" t="s">
        <v>170</v>
      </c>
      <c r="AA208" s="7" t="s">
        <v>171</v>
      </c>
      <c r="AB208" s="7" t="s">
        <v>172</v>
      </c>
      <c r="AC208" s="7">
        <v>1130</v>
      </c>
      <c r="AE208" s="31"/>
      <c r="AF208" s="7" t="s">
        <v>173</v>
      </c>
      <c r="AG208" s="31" t="s">
        <v>170</v>
      </c>
      <c r="AI208" s="7" t="s">
        <v>174</v>
      </c>
      <c r="AK208" s="7">
        <v>4</v>
      </c>
      <c r="AL208" s="7">
        <v>1</v>
      </c>
      <c r="AM208" s="7">
        <v>102222.95</v>
      </c>
      <c r="AN208" s="7">
        <v>21514.74</v>
      </c>
      <c r="AP208" s="7">
        <v>24197.34</v>
      </c>
      <c r="AQ208" s="7">
        <v>104905.55</v>
      </c>
      <c r="AR208" s="7">
        <v>2954.88</v>
      </c>
      <c r="AS208" s="7"/>
      <c r="AT208" s="31"/>
      <c r="AV208" s="118"/>
      <c r="AZ208" s="7">
        <v>1181.96</v>
      </c>
      <c r="BG208" s="7">
        <v>2363.9</v>
      </c>
      <c r="BO208" s="7">
        <v>1181.96</v>
      </c>
      <c r="BP208" s="7">
        <v>5000</v>
      </c>
      <c r="BS208" s="7">
        <v>15972.34</v>
      </c>
      <c r="BT208" s="7">
        <f t="shared" si="231"/>
        <v>118195.29</v>
      </c>
      <c r="BU208" s="144">
        <f t="shared" si="232"/>
        <v>0</v>
      </c>
    </row>
    <row r="209" spans="1:73" ht="15" hidden="1" customHeight="1" x14ac:dyDescent="0.2">
      <c r="A209" s="133">
        <f t="shared" si="217"/>
        <v>1</v>
      </c>
      <c r="B209" s="141">
        <v>45292</v>
      </c>
      <c r="C209" s="10" t="s">
        <v>102</v>
      </c>
      <c r="D209" s="42" t="str">
        <f t="shared" si="218"/>
        <v>NO</v>
      </c>
      <c r="E209" s="7">
        <v>317848</v>
      </c>
      <c r="F209" s="7" t="s">
        <v>629</v>
      </c>
      <c r="G209" s="7" t="s">
        <v>630</v>
      </c>
      <c r="H209" s="29">
        <v>45323</v>
      </c>
      <c r="I209" s="7">
        <v>95094319</v>
      </c>
      <c r="J209" s="7" t="s">
        <v>631</v>
      </c>
      <c r="K209" s="7" t="s">
        <v>632</v>
      </c>
      <c r="L209" s="7" t="s">
        <v>179</v>
      </c>
      <c r="M209" s="7"/>
      <c r="N209" s="29">
        <v>44982</v>
      </c>
      <c r="Q209" s="7" t="s">
        <v>157</v>
      </c>
      <c r="R209" s="7" t="s">
        <v>165</v>
      </c>
      <c r="S209" s="7" t="s">
        <v>126</v>
      </c>
      <c r="T209" s="7" t="s">
        <v>180</v>
      </c>
      <c r="U209" s="7" t="s">
        <v>167</v>
      </c>
      <c r="V209" s="7" t="s">
        <v>168</v>
      </c>
      <c r="W209" s="7">
        <v>108803</v>
      </c>
      <c r="X209" s="7" t="s">
        <v>169</v>
      </c>
      <c r="Y209" s="7" t="s">
        <v>170</v>
      </c>
      <c r="AA209" s="7" t="s">
        <v>171</v>
      </c>
      <c r="AB209" s="7" t="s">
        <v>172</v>
      </c>
      <c r="AC209" s="7">
        <v>1130</v>
      </c>
      <c r="AE209" s="31"/>
      <c r="AF209" s="7" t="s">
        <v>173</v>
      </c>
      <c r="AG209" s="7" t="s">
        <v>170</v>
      </c>
      <c r="AI209" s="7" t="s">
        <v>174</v>
      </c>
      <c r="AK209" s="7">
        <v>2</v>
      </c>
      <c r="AL209" s="7">
        <v>1</v>
      </c>
      <c r="AM209" s="7">
        <v>89878</v>
      </c>
      <c r="AN209" s="7">
        <v>18352.72</v>
      </c>
      <c r="AP209" s="7">
        <v>32948.51</v>
      </c>
      <c r="AQ209" s="7">
        <v>104473.79</v>
      </c>
      <c r="AS209" s="7">
        <v>2048.9699999999998</v>
      </c>
      <c r="AZ209" s="7">
        <v>1024.49</v>
      </c>
      <c r="BG209" s="7">
        <v>2048.9699999999998</v>
      </c>
      <c r="BO209" s="7">
        <v>1024.49</v>
      </c>
      <c r="BP209" s="7">
        <v>5000</v>
      </c>
      <c r="BS209" s="7">
        <v>12570.74</v>
      </c>
      <c r="BT209" s="7">
        <f t="shared" si="231"/>
        <v>102448.74</v>
      </c>
      <c r="BU209" s="144">
        <f t="shared" si="232"/>
        <v>1.9999953147300784E-2</v>
      </c>
    </row>
    <row r="210" spans="1:73" ht="15" hidden="1" customHeight="1" x14ac:dyDescent="0.2">
      <c r="A210" s="133">
        <f t="shared" si="217"/>
        <v>1</v>
      </c>
      <c r="B210" s="141">
        <v>45292</v>
      </c>
      <c r="C210" s="10" t="s">
        <v>153</v>
      </c>
      <c r="D210" s="42" t="str">
        <f t="shared" si="218"/>
        <v>NO</v>
      </c>
      <c r="E210" s="7">
        <v>336392</v>
      </c>
      <c r="F210" s="7" t="s">
        <v>633</v>
      </c>
      <c r="G210" s="7" t="s">
        <v>634</v>
      </c>
      <c r="H210" s="29">
        <v>45296</v>
      </c>
      <c r="I210" s="7">
        <v>33258493</v>
      </c>
      <c r="J210" s="7" t="s">
        <v>635</v>
      </c>
      <c r="K210" s="7" t="s">
        <v>636</v>
      </c>
      <c r="L210" s="7" t="s">
        <v>164</v>
      </c>
      <c r="M210" s="7"/>
      <c r="N210" s="29">
        <v>45278</v>
      </c>
      <c r="P210" s="29">
        <v>45291</v>
      </c>
      <c r="Q210" s="7" t="s">
        <v>157</v>
      </c>
      <c r="R210" s="7" t="s">
        <v>214</v>
      </c>
      <c r="S210" s="7" t="s">
        <v>126</v>
      </c>
      <c r="T210" s="7" t="s">
        <v>206</v>
      </c>
      <c r="U210" s="7" t="s">
        <v>167</v>
      </c>
      <c r="V210" s="7" t="s">
        <v>215</v>
      </c>
      <c r="W210" s="7">
        <v>108803</v>
      </c>
      <c r="X210" s="7" t="s">
        <v>169</v>
      </c>
      <c r="Y210" s="7" t="s">
        <v>170</v>
      </c>
      <c r="AA210" s="7" t="s">
        <v>208</v>
      </c>
      <c r="AB210" s="7" t="s">
        <v>209</v>
      </c>
      <c r="AC210" s="7">
        <v>1035</v>
      </c>
      <c r="AE210" s="31"/>
      <c r="AF210" s="7" t="s">
        <v>173</v>
      </c>
      <c r="AG210" s="31" t="s">
        <v>170</v>
      </c>
      <c r="AI210" s="7" t="s">
        <v>174</v>
      </c>
      <c r="AK210" s="7">
        <v>1</v>
      </c>
      <c r="AL210" s="7">
        <v>1</v>
      </c>
      <c r="AP210" s="7">
        <v>4200</v>
      </c>
      <c r="AQ210" s="7">
        <v>4200</v>
      </c>
      <c r="AS210" s="7"/>
      <c r="AT210" s="31"/>
    </row>
    <row r="211" spans="1:73" ht="15" hidden="1" customHeight="1" x14ac:dyDescent="0.2">
      <c r="A211" s="133">
        <f t="shared" si="217"/>
        <v>1</v>
      </c>
      <c r="B211" s="141">
        <v>45292</v>
      </c>
      <c r="C211" s="10" t="s">
        <v>102</v>
      </c>
      <c r="D211" s="42" t="str">
        <f t="shared" si="218"/>
        <v>SI</v>
      </c>
      <c r="E211" s="7">
        <v>296296</v>
      </c>
      <c r="F211" s="7" t="s">
        <v>637</v>
      </c>
      <c r="G211" s="7" t="s">
        <v>638</v>
      </c>
      <c r="H211" s="29">
        <v>45323</v>
      </c>
      <c r="I211" s="7">
        <v>31447548</v>
      </c>
      <c r="J211" s="7" t="s">
        <v>639</v>
      </c>
      <c r="K211" s="7" t="s">
        <v>640</v>
      </c>
      <c r="L211" s="7" t="s">
        <v>179</v>
      </c>
      <c r="M211" s="7"/>
      <c r="N211" s="29">
        <v>44972</v>
      </c>
      <c r="Q211" s="7" t="s">
        <v>157</v>
      </c>
      <c r="R211" s="7" t="s">
        <v>165</v>
      </c>
      <c r="S211" s="7" t="s">
        <v>126</v>
      </c>
      <c r="T211" s="7" t="s">
        <v>180</v>
      </c>
      <c r="U211" s="7" t="s">
        <v>167</v>
      </c>
      <c r="V211" s="7" t="s">
        <v>168</v>
      </c>
      <c r="W211" s="7">
        <v>108803</v>
      </c>
      <c r="X211" s="7" t="s">
        <v>169</v>
      </c>
      <c r="Y211" s="7" t="s">
        <v>170</v>
      </c>
      <c r="AA211" s="7" t="s">
        <v>171</v>
      </c>
      <c r="AB211" s="7" t="s">
        <v>172</v>
      </c>
      <c r="AC211" s="7">
        <v>1130</v>
      </c>
      <c r="AE211" s="31"/>
      <c r="AF211" s="7" t="s">
        <v>173</v>
      </c>
      <c r="AG211" s="31" t="s">
        <v>170</v>
      </c>
      <c r="AI211" s="7" t="s">
        <v>174</v>
      </c>
      <c r="AK211" s="7">
        <v>2</v>
      </c>
      <c r="AL211" s="7">
        <v>1</v>
      </c>
      <c r="AM211" s="7">
        <v>17975.599999999999</v>
      </c>
      <c r="AN211" s="7">
        <v>3773</v>
      </c>
      <c r="AP211" s="7">
        <v>17447.48</v>
      </c>
      <c r="AQ211" s="7">
        <v>31650.080000000002</v>
      </c>
      <c r="AR211" s="7">
        <v>512.24</v>
      </c>
      <c r="AS211" s="7"/>
      <c r="AT211" s="31"/>
      <c r="AZ211" s="7">
        <v>204.9</v>
      </c>
      <c r="BG211" s="7">
        <v>409.8</v>
      </c>
      <c r="BO211" s="7">
        <v>204.9</v>
      </c>
      <c r="BS211" s="7">
        <v>2514.15</v>
      </c>
      <c r="BT211" s="7">
        <f t="shared" ref="BT211:BT213" si="233">+BS211+AM211</f>
        <v>20489.75</v>
      </c>
      <c r="BU211" s="144">
        <f t="shared" ref="BU211:BU213" si="234">+AS211/BT211</f>
        <v>0</v>
      </c>
    </row>
    <row r="212" spans="1:73" ht="15" hidden="1" customHeight="1" x14ac:dyDescent="0.2">
      <c r="A212" s="133">
        <f t="shared" si="217"/>
        <v>1</v>
      </c>
      <c r="B212" s="141">
        <v>45292</v>
      </c>
      <c r="C212" s="10" t="s">
        <v>102</v>
      </c>
      <c r="D212" s="42" t="str">
        <f t="shared" si="218"/>
        <v>NO</v>
      </c>
      <c r="E212" s="7">
        <v>335924</v>
      </c>
      <c r="F212" s="7" t="s">
        <v>641</v>
      </c>
      <c r="G212" s="7" t="s">
        <v>642</v>
      </c>
      <c r="H212" s="29">
        <v>45323</v>
      </c>
      <c r="I212" s="7">
        <v>43799620</v>
      </c>
      <c r="J212" s="7" t="s">
        <v>643</v>
      </c>
      <c r="K212" s="7" t="s">
        <v>644</v>
      </c>
      <c r="L212" s="7" t="s">
        <v>179</v>
      </c>
      <c r="M212" s="7"/>
      <c r="N212" s="29">
        <v>45300</v>
      </c>
      <c r="Q212" s="7" t="s">
        <v>157</v>
      </c>
      <c r="R212" s="7" t="s">
        <v>238</v>
      </c>
      <c r="S212" s="7" t="s">
        <v>126</v>
      </c>
      <c r="T212" s="7" t="s">
        <v>206</v>
      </c>
      <c r="U212" s="7" t="s">
        <v>167</v>
      </c>
      <c r="V212" s="7" t="s">
        <v>240</v>
      </c>
      <c r="W212" s="7">
        <v>108803</v>
      </c>
      <c r="X212" s="7" t="s">
        <v>169</v>
      </c>
      <c r="Y212" s="7" t="s">
        <v>170</v>
      </c>
      <c r="AA212" s="7" t="s">
        <v>208</v>
      </c>
      <c r="AB212" s="7" t="s">
        <v>209</v>
      </c>
      <c r="AC212" s="7">
        <v>1035</v>
      </c>
      <c r="AE212" s="31"/>
      <c r="AF212" s="7" t="s">
        <v>173</v>
      </c>
      <c r="AG212" s="7" t="s">
        <v>170</v>
      </c>
      <c r="AK212" s="7">
        <v>3</v>
      </c>
      <c r="AL212" s="7">
        <v>1</v>
      </c>
      <c r="AM212" s="7">
        <v>58337.73</v>
      </c>
      <c r="AN212" s="7">
        <v>11941</v>
      </c>
      <c r="AP212" s="7">
        <v>14948.6</v>
      </c>
      <c r="AQ212" s="7">
        <v>61345.33</v>
      </c>
      <c r="AS212" s="7">
        <v>1349.06</v>
      </c>
      <c r="AZ212" s="7">
        <v>674.53</v>
      </c>
      <c r="BG212" s="7">
        <v>1349.06</v>
      </c>
      <c r="BO212" s="7">
        <v>674.53</v>
      </c>
      <c r="BP212" s="7">
        <v>5000</v>
      </c>
      <c r="BS212" s="7">
        <v>9115.27</v>
      </c>
      <c r="BT212" s="7">
        <f t="shared" si="233"/>
        <v>67453</v>
      </c>
      <c r="BU212" s="144">
        <f t="shared" si="234"/>
        <v>0.02</v>
      </c>
    </row>
    <row r="213" spans="1:73" ht="15" hidden="1" customHeight="1" x14ac:dyDescent="0.2">
      <c r="A213" s="133">
        <f t="shared" si="217"/>
        <v>1</v>
      </c>
      <c r="B213" s="141">
        <v>45292</v>
      </c>
      <c r="C213" s="10" t="s">
        <v>102</v>
      </c>
      <c r="D213" s="42" t="str">
        <f t="shared" si="218"/>
        <v>NO</v>
      </c>
      <c r="E213" s="7">
        <v>323693</v>
      </c>
      <c r="F213" s="7" t="s">
        <v>645</v>
      </c>
      <c r="G213" s="7" t="s">
        <v>646</v>
      </c>
      <c r="H213" s="29">
        <v>45323</v>
      </c>
      <c r="I213" s="7">
        <v>43498449</v>
      </c>
      <c r="J213" s="7" t="s">
        <v>647</v>
      </c>
      <c r="K213" s="7" t="s">
        <v>648</v>
      </c>
      <c r="L213" s="7" t="s">
        <v>179</v>
      </c>
      <c r="M213" s="7"/>
      <c r="N213" s="29">
        <v>45248</v>
      </c>
      <c r="Q213" s="7" t="s">
        <v>157</v>
      </c>
      <c r="R213" s="7" t="s">
        <v>165</v>
      </c>
      <c r="S213" s="7" t="s">
        <v>126</v>
      </c>
      <c r="T213" s="7" t="s">
        <v>239</v>
      </c>
      <c r="U213" s="7" t="s">
        <v>167</v>
      </c>
      <c r="V213" s="7" t="s">
        <v>168</v>
      </c>
      <c r="W213" s="7">
        <v>108803</v>
      </c>
      <c r="X213" s="7" t="s">
        <v>169</v>
      </c>
      <c r="Y213" s="7" t="s">
        <v>170</v>
      </c>
      <c r="AA213" s="7" t="s">
        <v>171</v>
      </c>
      <c r="AB213" s="7" t="s">
        <v>172</v>
      </c>
      <c r="AC213" s="7">
        <v>1130</v>
      </c>
      <c r="AF213" s="7" t="s">
        <v>173</v>
      </c>
      <c r="AG213" s="7" t="s">
        <v>170</v>
      </c>
      <c r="AI213" s="7" t="s">
        <v>174</v>
      </c>
      <c r="AK213" s="7">
        <v>6</v>
      </c>
      <c r="AL213" s="7">
        <v>1</v>
      </c>
      <c r="AM213" s="7">
        <v>153066.88</v>
      </c>
      <c r="AN213" s="7">
        <v>31312.14</v>
      </c>
      <c r="AP213" s="7">
        <v>52702.68</v>
      </c>
      <c r="AQ213" s="7">
        <v>174457.42</v>
      </c>
      <c r="AS213" s="7">
        <v>3527.19</v>
      </c>
      <c r="AZ213" s="7">
        <v>1763.6</v>
      </c>
      <c r="BG213" s="7">
        <v>3527.19</v>
      </c>
      <c r="BO213" s="7">
        <v>1763.6</v>
      </c>
      <c r="BP213" s="7">
        <v>5000</v>
      </c>
      <c r="BS213" s="7">
        <v>23292.959999999999</v>
      </c>
      <c r="BT213" s="7">
        <f t="shared" si="233"/>
        <v>176359.84</v>
      </c>
      <c r="BU213" s="144">
        <f t="shared" si="234"/>
        <v>1.9999961442468989E-2</v>
      </c>
    </row>
    <row r="214" spans="1:73" ht="15" hidden="1" customHeight="1" x14ac:dyDescent="0.2">
      <c r="A214" s="133">
        <f t="shared" si="217"/>
        <v>1</v>
      </c>
      <c r="B214" s="141">
        <v>45292</v>
      </c>
      <c r="C214" s="10" t="s">
        <v>153</v>
      </c>
      <c r="D214" s="42" t="str">
        <f t="shared" si="218"/>
        <v>NO</v>
      </c>
      <c r="E214" s="7">
        <v>332625</v>
      </c>
      <c r="F214" s="7" t="s">
        <v>649</v>
      </c>
      <c r="G214" s="7" t="s">
        <v>650</v>
      </c>
      <c r="H214" s="29">
        <v>45296</v>
      </c>
      <c r="I214" s="7">
        <v>40472629</v>
      </c>
      <c r="J214" s="7" t="s">
        <v>651</v>
      </c>
      <c r="K214" s="7" t="s">
        <v>652</v>
      </c>
      <c r="L214" s="7" t="s">
        <v>179</v>
      </c>
      <c r="M214" s="7"/>
      <c r="N214" s="29">
        <v>45228</v>
      </c>
      <c r="P214" s="29">
        <v>45291</v>
      </c>
      <c r="Q214" s="7" t="s">
        <v>157</v>
      </c>
      <c r="R214" s="7" t="s">
        <v>165</v>
      </c>
      <c r="S214" s="7" t="s">
        <v>126</v>
      </c>
      <c r="T214" s="7" t="s">
        <v>239</v>
      </c>
      <c r="U214" s="7" t="s">
        <v>167</v>
      </c>
      <c r="V214" s="7" t="s">
        <v>207</v>
      </c>
      <c r="W214" s="7">
        <v>108803</v>
      </c>
      <c r="X214" s="7" t="s">
        <v>169</v>
      </c>
      <c r="Y214" s="7" t="s">
        <v>170</v>
      </c>
      <c r="AA214" s="7" t="s">
        <v>171</v>
      </c>
      <c r="AB214" s="7" t="s">
        <v>172</v>
      </c>
      <c r="AC214" s="7">
        <v>1130</v>
      </c>
      <c r="AE214" s="31"/>
      <c r="AF214" s="7" t="s">
        <v>173</v>
      </c>
      <c r="AG214" s="7" t="s">
        <v>170</v>
      </c>
      <c r="AI214" s="7" t="s">
        <v>174</v>
      </c>
      <c r="AK214" s="7">
        <v>1</v>
      </c>
      <c r="AL214" s="7">
        <v>1</v>
      </c>
      <c r="AP214" s="7">
        <v>700</v>
      </c>
      <c r="AQ214" s="7">
        <v>700</v>
      </c>
      <c r="AS214" s="7"/>
    </row>
    <row r="215" spans="1:73" ht="15" hidden="1" customHeight="1" x14ac:dyDescent="0.2">
      <c r="A215" s="133">
        <f t="shared" si="217"/>
        <v>1</v>
      </c>
      <c r="B215" s="141">
        <v>45292</v>
      </c>
      <c r="C215" s="10" t="s">
        <v>102</v>
      </c>
      <c r="D215" s="42" t="str">
        <f t="shared" si="218"/>
        <v>NO</v>
      </c>
      <c r="E215" s="7">
        <v>216499</v>
      </c>
      <c r="F215" s="7" t="s">
        <v>653</v>
      </c>
      <c r="G215" s="7" t="s">
        <v>654</v>
      </c>
      <c r="H215" s="29">
        <v>45323</v>
      </c>
      <c r="I215" s="7">
        <v>34135340</v>
      </c>
      <c r="J215" s="7" t="s">
        <v>651</v>
      </c>
      <c r="K215" s="7" t="s">
        <v>655</v>
      </c>
      <c r="L215" s="7" t="s">
        <v>164</v>
      </c>
      <c r="M215" s="7"/>
      <c r="N215" s="29">
        <v>45262</v>
      </c>
      <c r="Q215" s="7" t="s">
        <v>157</v>
      </c>
      <c r="R215" s="7" t="s">
        <v>214</v>
      </c>
      <c r="S215" s="7" t="s">
        <v>126</v>
      </c>
      <c r="T215" s="7" t="s">
        <v>200</v>
      </c>
      <c r="U215" s="7" t="s">
        <v>167</v>
      </c>
      <c r="V215" s="7" t="s">
        <v>215</v>
      </c>
      <c r="W215" s="7">
        <v>108803</v>
      </c>
      <c r="X215" s="7" t="s">
        <v>169</v>
      </c>
      <c r="Y215" s="7" t="s">
        <v>170</v>
      </c>
      <c r="AA215" s="7" t="s">
        <v>189</v>
      </c>
      <c r="AB215" s="7" t="s">
        <v>190</v>
      </c>
      <c r="AC215" s="7">
        <v>1584</v>
      </c>
      <c r="AE215" s="31"/>
      <c r="AF215" s="7" t="s">
        <v>173</v>
      </c>
      <c r="AG215" s="7" t="s">
        <v>170</v>
      </c>
      <c r="AI215" s="7" t="s">
        <v>174</v>
      </c>
      <c r="AK215" s="7">
        <v>2</v>
      </c>
      <c r="AL215" s="7">
        <v>1</v>
      </c>
      <c r="AM215" s="7">
        <v>220138.59</v>
      </c>
      <c r="AN215" s="7">
        <v>45059.62</v>
      </c>
      <c r="AP215" s="7">
        <v>56796.66</v>
      </c>
      <c r="AQ215" s="7">
        <v>231875.63</v>
      </c>
      <c r="AS215" s="7">
        <v>5090.71</v>
      </c>
      <c r="AZ215" s="7">
        <v>2545.35</v>
      </c>
      <c r="BG215" s="7">
        <v>5090.71</v>
      </c>
      <c r="BO215" s="7">
        <v>2545.35</v>
      </c>
      <c r="BP215" s="7">
        <v>5000</v>
      </c>
      <c r="BS215" s="7">
        <v>34396.660000000003</v>
      </c>
      <c r="BT215" s="7">
        <f t="shared" ref="BT215:BT219" si="235">+BS215+AM215</f>
        <v>254535.25</v>
      </c>
      <c r="BU215" s="144">
        <f t="shared" ref="BU215:BU219" si="236">+AS215/BT215</f>
        <v>2.0000019643644642E-2</v>
      </c>
    </row>
    <row r="216" spans="1:73" ht="15" hidden="1" customHeight="1" x14ac:dyDescent="0.2">
      <c r="A216" s="133">
        <f t="shared" si="217"/>
        <v>1</v>
      </c>
      <c r="B216" s="141">
        <v>45292</v>
      </c>
      <c r="C216" s="10" t="s">
        <v>102</v>
      </c>
      <c r="D216" s="42" t="str">
        <f t="shared" si="218"/>
        <v>NO</v>
      </c>
      <c r="E216" s="7">
        <v>318789</v>
      </c>
      <c r="F216" s="7" t="s">
        <v>656</v>
      </c>
      <c r="G216" s="7" t="s">
        <v>657</v>
      </c>
      <c r="H216" s="29">
        <v>45323</v>
      </c>
      <c r="I216" s="7">
        <v>44080028</v>
      </c>
      <c r="J216" s="7" t="s">
        <v>651</v>
      </c>
      <c r="K216" s="7" t="s">
        <v>658</v>
      </c>
      <c r="L216" s="7" t="s">
        <v>164</v>
      </c>
      <c r="M216" s="7"/>
      <c r="N216" s="29">
        <v>45008</v>
      </c>
      <c r="Q216" s="7" t="s">
        <v>157</v>
      </c>
      <c r="R216" s="7" t="s">
        <v>165</v>
      </c>
      <c r="S216" s="7" t="s">
        <v>126</v>
      </c>
      <c r="T216" s="7" t="s">
        <v>166</v>
      </c>
      <c r="U216" s="7" t="s">
        <v>167</v>
      </c>
      <c r="V216" s="7" t="s">
        <v>168</v>
      </c>
      <c r="W216" s="7">
        <v>108803</v>
      </c>
      <c r="X216" s="7" t="s">
        <v>169</v>
      </c>
      <c r="Y216" s="7" t="s">
        <v>170</v>
      </c>
      <c r="AA216" s="7" t="s">
        <v>171</v>
      </c>
      <c r="AB216" s="7" t="s">
        <v>172</v>
      </c>
      <c r="AC216" s="7">
        <v>1130</v>
      </c>
      <c r="AE216" s="31"/>
      <c r="AF216" s="7" t="s">
        <v>173</v>
      </c>
      <c r="AG216" s="7" t="s">
        <v>170</v>
      </c>
      <c r="AI216" s="7" t="s">
        <v>174</v>
      </c>
      <c r="AK216" s="7">
        <v>4</v>
      </c>
      <c r="AL216" s="7">
        <v>1</v>
      </c>
      <c r="AM216" s="7">
        <v>353865.51</v>
      </c>
      <c r="AN216" s="7">
        <v>71474.12</v>
      </c>
      <c r="AP216" s="7">
        <v>47088.99</v>
      </c>
      <c r="AQ216" s="7">
        <v>329480.38</v>
      </c>
      <c r="AS216" s="7">
        <v>7544.64</v>
      </c>
      <c r="AZ216" s="7">
        <v>3772.33</v>
      </c>
      <c r="BG216" s="7">
        <v>7544.64</v>
      </c>
      <c r="BO216" s="7">
        <v>3772.33</v>
      </c>
      <c r="BP216" s="7">
        <v>5000</v>
      </c>
      <c r="BS216" s="7">
        <v>23366.78</v>
      </c>
      <c r="BT216" s="7">
        <f t="shared" si="235"/>
        <v>377232.29000000004</v>
      </c>
      <c r="BU216" s="144">
        <f t="shared" si="236"/>
        <v>1.9999984624858066E-2</v>
      </c>
    </row>
    <row r="217" spans="1:73" ht="15" hidden="1" customHeight="1" x14ac:dyDescent="0.2">
      <c r="A217" s="133">
        <f t="shared" si="217"/>
        <v>1</v>
      </c>
      <c r="B217" s="141">
        <v>45292</v>
      </c>
      <c r="C217" s="10" t="s">
        <v>102</v>
      </c>
      <c r="D217" s="42" t="str">
        <f t="shared" si="218"/>
        <v>NO</v>
      </c>
      <c r="E217" s="7">
        <v>333526</v>
      </c>
      <c r="F217" s="7" t="s">
        <v>659</v>
      </c>
      <c r="G217" s="7" t="s">
        <v>660</v>
      </c>
      <c r="H217" s="29">
        <v>45323</v>
      </c>
      <c r="I217" s="7">
        <v>40756225</v>
      </c>
      <c r="J217" s="7" t="s">
        <v>661</v>
      </c>
      <c r="K217" s="7" t="s">
        <v>662</v>
      </c>
      <c r="L217" s="7" t="s">
        <v>179</v>
      </c>
      <c r="M217" s="7"/>
      <c r="N217" s="29">
        <v>45237</v>
      </c>
      <c r="Q217" s="7" t="s">
        <v>157</v>
      </c>
      <c r="R217" s="7" t="s">
        <v>238</v>
      </c>
      <c r="S217" s="7" t="s">
        <v>126</v>
      </c>
      <c r="T217" s="7" t="s">
        <v>206</v>
      </c>
      <c r="U217" s="7" t="s">
        <v>167</v>
      </c>
      <c r="V217" s="7" t="s">
        <v>240</v>
      </c>
      <c r="W217" s="7">
        <v>110404</v>
      </c>
      <c r="X217" s="7" t="s">
        <v>663</v>
      </c>
      <c r="Y217" s="7" t="s">
        <v>170</v>
      </c>
      <c r="AA217" s="7" t="s">
        <v>208</v>
      </c>
      <c r="AB217" s="7" t="s">
        <v>209</v>
      </c>
      <c r="AC217" s="7">
        <v>1035</v>
      </c>
      <c r="AE217" s="31"/>
      <c r="AF217" s="7" t="s">
        <v>173</v>
      </c>
      <c r="AG217" s="7" t="s">
        <v>170</v>
      </c>
      <c r="AI217" s="7" t="s">
        <v>174</v>
      </c>
      <c r="AK217" s="7">
        <v>2</v>
      </c>
      <c r="AL217" s="7">
        <v>1</v>
      </c>
      <c r="AM217" s="7">
        <v>25681.279999999999</v>
      </c>
      <c r="AN217" s="7">
        <v>5256.64</v>
      </c>
      <c r="AP217" s="7">
        <v>7162.7</v>
      </c>
      <c r="AQ217" s="7">
        <v>27587.34</v>
      </c>
      <c r="AS217" s="7">
        <v>593.88</v>
      </c>
      <c r="AZ217" s="7">
        <v>296.94</v>
      </c>
      <c r="BG217" s="7">
        <v>593.88</v>
      </c>
      <c r="BO217" s="7">
        <v>296.94</v>
      </c>
      <c r="BS217" s="7">
        <v>4012.7</v>
      </c>
      <c r="BT217" s="7">
        <f t="shared" si="235"/>
        <v>29693.98</v>
      </c>
      <c r="BU217" s="144">
        <f t="shared" si="236"/>
        <v>2.0000013470743903E-2</v>
      </c>
    </row>
    <row r="218" spans="1:73" ht="15" hidden="1" customHeight="1" x14ac:dyDescent="0.2">
      <c r="A218" s="133">
        <f t="shared" si="217"/>
        <v>1</v>
      </c>
      <c r="B218" s="141">
        <v>45292</v>
      </c>
      <c r="C218" s="10" t="s">
        <v>102</v>
      </c>
      <c r="D218" s="42" t="str">
        <f t="shared" si="218"/>
        <v>NO</v>
      </c>
      <c r="E218" s="7">
        <v>311044</v>
      </c>
      <c r="F218" s="7" t="s">
        <v>664</v>
      </c>
      <c r="G218" s="7" t="s">
        <v>665</v>
      </c>
      <c r="H218" s="29">
        <v>45323</v>
      </c>
      <c r="I218" s="7">
        <v>43869056</v>
      </c>
      <c r="J218" s="7" t="s">
        <v>666</v>
      </c>
      <c r="K218" s="7" t="s">
        <v>667</v>
      </c>
      <c r="L218" s="7" t="s">
        <v>179</v>
      </c>
      <c r="M218" s="7"/>
      <c r="N218" s="29">
        <v>44876</v>
      </c>
      <c r="Q218" s="7" t="s">
        <v>157</v>
      </c>
      <c r="R218" s="7" t="s">
        <v>199</v>
      </c>
      <c r="S218" s="7" t="s">
        <v>126</v>
      </c>
      <c r="T218" s="7" t="s">
        <v>239</v>
      </c>
      <c r="U218" s="7" t="s">
        <v>167</v>
      </c>
      <c r="V218" s="7" t="s">
        <v>201</v>
      </c>
      <c r="W218" s="7">
        <v>108803</v>
      </c>
      <c r="X218" s="7" t="s">
        <v>169</v>
      </c>
      <c r="Y218" s="7" t="s">
        <v>170</v>
      </c>
      <c r="AA218" s="7" t="s">
        <v>171</v>
      </c>
      <c r="AB218" s="7" t="s">
        <v>172</v>
      </c>
      <c r="AC218" s="7">
        <v>1130</v>
      </c>
      <c r="AE218" s="31"/>
      <c r="AF218" s="7" t="s">
        <v>173</v>
      </c>
      <c r="AG218" s="31" t="s">
        <v>170</v>
      </c>
      <c r="AI218" s="7" t="s">
        <v>174</v>
      </c>
      <c r="AK218" s="7">
        <v>2</v>
      </c>
      <c r="AL218" s="7">
        <v>1</v>
      </c>
      <c r="AM218" s="7">
        <v>42355.38</v>
      </c>
      <c r="AN218" s="7">
        <v>8667.65</v>
      </c>
      <c r="AP218" s="7">
        <v>15302.5</v>
      </c>
      <c r="AQ218" s="7">
        <v>48990.23</v>
      </c>
      <c r="AS218" s="7">
        <v>978.16</v>
      </c>
      <c r="AT218" s="31"/>
      <c r="AZ218" s="7">
        <v>489.08</v>
      </c>
      <c r="BG218" s="7">
        <v>978.16</v>
      </c>
      <c r="BO218" s="7">
        <v>489.08</v>
      </c>
      <c r="BP218" s="7">
        <v>5000</v>
      </c>
      <c r="BS218" s="7">
        <v>6552.5</v>
      </c>
      <c r="BT218" s="7">
        <f t="shared" si="235"/>
        <v>48907.88</v>
      </c>
      <c r="BU218" s="144">
        <f t="shared" si="236"/>
        <v>2.0000049071846909E-2</v>
      </c>
    </row>
    <row r="219" spans="1:73" ht="15" hidden="1" customHeight="1" x14ac:dyDescent="0.2">
      <c r="A219" s="133">
        <f t="shared" si="217"/>
        <v>1</v>
      </c>
      <c r="B219" s="141">
        <v>45292</v>
      </c>
      <c r="C219" s="10" t="s">
        <v>102</v>
      </c>
      <c r="D219" s="42" t="str">
        <f t="shared" si="218"/>
        <v>NO</v>
      </c>
      <c r="E219" s="7">
        <v>308299</v>
      </c>
      <c r="F219" s="7" t="s">
        <v>668</v>
      </c>
      <c r="G219" s="7" t="s">
        <v>669</v>
      </c>
      <c r="H219" s="29">
        <v>45323</v>
      </c>
      <c r="I219" s="7">
        <v>28965917</v>
      </c>
      <c r="J219" s="7" t="s">
        <v>670</v>
      </c>
      <c r="K219" s="7" t="s">
        <v>671</v>
      </c>
      <c r="L219" s="7" t="s">
        <v>179</v>
      </c>
      <c r="M219" s="7"/>
      <c r="N219" s="29">
        <v>45210</v>
      </c>
      <c r="Q219" s="7" t="s">
        <v>157</v>
      </c>
      <c r="R219" s="7" t="s">
        <v>199</v>
      </c>
      <c r="S219" s="7" t="s">
        <v>126</v>
      </c>
      <c r="T219" s="7" t="s">
        <v>206</v>
      </c>
      <c r="U219" s="7" t="s">
        <v>167</v>
      </c>
      <c r="V219" s="7" t="s">
        <v>201</v>
      </c>
      <c r="W219" s="7">
        <v>1508</v>
      </c>
      <c r="X219" s="7" t="s">
        <v>672</v>
      </c>
      <c r="Y219" s="7" t="s">
        <v>170</v>
      </c>
      <c r="AA219" s="7" t="s">
        <v>208</v>
      </c>
      <c r="AB219" s="7" t="s">
        <v>209</v>
      </c>
      <c r="AC219" s="7">
        <v>1035</v>
      </c>
      <c r="AE219" s="31"/>
      <c r="AF219" s="7" t="s">
        <v>173</v>
      </c>
      <c r="AG219" s="31" t="s">
        <v>170</v>
      </c>
      <c r="AI219" s="7" t="s">
        <v>174</v>
      </c>
      <c r="AK219" s="7">
        <v>5</v>
      </c>
      <c r="AL219" s="7">
        <v>1</v>
      </c>
      <c r="AM219" s="7">
        <v>159441.17000000001</v>
      </c>
      <c r="AN219" s="7">
        <v>32633.58</v>
      </c>
      <c r="AP219" s="7">
        <v>37240.74</v>
      </c>
      <c r="AQ219" s="7">
        <v>164048.32999999999</v>
      </c>
      <c r="AS219" s="7">
        <v>3685.73</v>
      </c>
      <c r="AT219" s="31"/>
      <c r="AZ219" s="7">
        <v>1842.86</v>
      </c>
      <c r="BG219" s="7">
        <v>3685.73</v>
      </c>
      <c r="BO219" s="7">
        <v>1842.86</v>
      </c>
      <c r="BP219" s="7">
        <v>5000</v>
      </c>
      <c r="BS219" s="7">
        <v>24844.91</v>
      </c>
      <c r="BT219" s="7">
        <f t="shared" si="235"/>
        <v>184286.08000000002</v>
      </c>
      <c r="BU219" s="144">
        <f t="shared" si="236"/>
        <v>2.0000045581304891E-2</v>
      </c>
    </row>
    <row r="220" spans="1:73" ht="15" hidden="1" customHeight="1" x14ac:dyDescent="0.2">
      <c r="A220" s="133">
        <f t="shared" si="217"/>
        <v>1</v>
      </c>
      <c r="B220" s="141">
        <v>45292</v>
      </c>
      <c r="C220" s="10" t="s">
        <v>153</v>
      </c>
      <c r="D220" s="42" t="str">
        <f t="shared" si="218"/>
        <v>NO</v>
      </c>
      <c r="E220" s="7">
        <v>307621</v>
      </c>
      <c r="F220" s="7" t="s">
        <v>673</v>
      </c>
      <c r="G220" s="7" t="s">
        <v>674</v>
      </c>
      <c r="H220" s="29">
        <v>45296</v>
      </c>
      <c r="I220" s="7">
        <v>37314447</v>
      </c>
      <c r="J220" s="7" t="s">
        <v>670</v>
      </c>
      <c r="K220" s="7" t="s">
        <v>675</v>
      </c>
      <c r="L220" s="7" t="s">
        <v>179</v>
      </c>
      <c r="M220" s="7"/>
      <c r="N220" s="29">
        <v>45244</v>
      </c>
      <c r="P220" s="29">
        <v>45291</v>
      </c>
      <c r="Q220" s="7" t="s">
        <v>157</v>
      </c>
      <c r="R220" s="7" t="s">
        <v>245</v>
      </c>
      <c r="S220" s="7" t="s">
        <v>126</v>
      </c>
      <c r="T220" s="7" t="s">
        <v>200</v>
      </c>
      <c r="U220" s="7" t="s">
        <v>167</v>
      </c>
      <c r="V220" s="7" t="s">
        <v>246</v>
      </c>
      <c r="W220" s="7">
        <v>108803</v>
      </c>
      <c r="X220" s="7" t="s">
        <v>169</v>
      </c>
      <c r="Y220" s="7" t="s">
        <v>170</v>
      </c>
      <c r="AA220" s="7" t="s">
        <v>189</v>
      </c>
      <c r="AB220" s="7" t="s">
        <v>190</v>
      </c>
      <c r="AC220" s="7">
        <v>1584</v>
      </c>
      <c r="AE220" s="31"/>
      <c r="AF220" s="7" t="s">
        <v>173</v>
      </c>
      <c r="AG220" s="7" t="s">
        <v>170</v>
      </c>
      <c r="AI220" s="7" t="s">
        <v>174</v>
      </c>
      <c r="AK220" s="7">
        <v>1</v>
      </c>
      <c r="AL220" s="7">
        <v>1</v>
      </c>
      <c r="AP220" s="7">
        <v>8312.5</v>
      </c>
      <c r="AQ220" s="7">
        <v>8312.5</v>
      </c>
      <c r="AS220" s="7"/>
      <c r="AT220" s="31"/>
    </row>
    <row r="221" spans="1:73" ht="15" hidden="1" customHeight="1" x14ac:dyDescent="0.2">
      <c r="A221" s="133">
        <f t="shared" si="217"/>
        <v>1</v>
      </c>
      <c r="B221" s="141">
        <v>45292</v>
      </c>
      <c r="C221" s="10" t="s">
        <v>102</v>
      </c>
      <c r="D221" s="42" t="str">
        <f t="shared" si="218"/>
        <v>NO</v>
      </c>
      <c r="E221" s="7">
        <v>327599</v>
      </c>
      <c r="F221" s="7" t="s">
        <v>676</v>
      </c>
      <c r="G221" s="7" t="s">
        <v>677</v>
      </c>
      <c r="H221" s="29">
        <v>45323</v>
      </c>
      <c r="I221" s="7">
        <v>39031373</v>
      </c>
      <c r="J221" s="7" t="s">
        <v>678</v>
      </c>
      <c r="K221" s="7" t="s">
        <v>679</v>
      </c>
      <c r="L221" s="7" t="s">
        <v>164</v>
      </c>
      <c r="M221" s="7"/>
      <c r="N221" s="29">
        <v>45227</v>
      </c>
      <c r="Q221" s="7" t="s">
        <v>157</v>
      </c>
      <c r="R221" s="7" t="s">
        <v>165</v>
      </c>
      <c r="S221" s="7" t="s">
        <v>126</v>
      </c>
      <c r="T221" s="7" t="s">
        <v>239</v>
      </c>
      <c r="U221" s="7" t="s">
        <v>167</v>
      </c>
      <c r="V221" s="7" t="s">
        <v>168</v>
      </c>
      <c r="W221" s="7">
        <v>108803</v>
      </c>
      <c r="X221" s="7" t="s">
        <v>169</v>
      </c>
      <c r="Y221" s="7" t="s">
        <v>170</v>
      </c>
      <c r="AA221" s="7" t="s">
        <v>171</v>
      </c>
      <c r="AB221" s="7" t="s">
        <v>172</v>
      </c>
      <c r="AC221" s="7">
        <v>1130</v>
      </c>
      <c r="AE221" s="31"/>
      <c r="AF221" s="7" t="s">
        <v>173</v>
      </c>
      <c r="AG221" s="31" t="s">
        <v>170</v>
      </c>
      <c r="AI221" s="7" t="s">
        <v>174</v>
      </c>
      <c r="AK221" s="7">
        <v>2</v>
      </c>
      <c r="AL221" s="7">
        <v>1</v>
      </c>
      <c r="AM221" s="7">
        <v>17037.150000000001</v>
      </c>
      <c r="AN221" s="7">
        <v>3487.28</v>
      </c>
      <c r="AP221" s="7">
        <v>4062.06</v>
      </c>
      <c r="AQ221" s="7">
        <v>17611.93</v>
      </c>
      <c r="AS221" s="7">
        <v>393.98</v>
      </c>
      <c r="AZ221" s="7">
        <v>196.99</v>
      </c>
      <c r="BG221" s="7">
        <v>393.98</v>
      </c>
      <c r="BO221" s="7">
        <v>196.99</v>
      </c>
      <c r="BS221" s="7">
        <v>2662.06</v>
      </c>
      <c r="BT221" s="7">
        <f>+BS221+AM221</f>
        <v>19699.210000000003</v>
      </c>
      <c r="BU221" s="144">
        <f>+AS221/BT221</f>
        <v>1.9999786793480547E-2</v>
      </c>
    </row>
    <row r="222" spans="1:73" ht="15" hidden="1" customHeight="1" x14ac:dyDescent="0.2">
      <c r="A222" s="133">
        <f t="shared" si="217"/>
        <v>1</v>
      </c>
      <c r="B222" s="141">
        <v>45292</v>
      </c>
      <c r="C222" s="10" t="s">
        <v>153</v>
      </c>
      <c r="D222" s="42" t="str">
        <f t="shared" si="218"/>
        <v>NO</v>
      </c>
      <c r="E222" s="7">
        <v>327443</v>
      </c>
      <c r="F222" s="7" t="s">
        <v>680</v>
      </c>
      <c r="G222" s="7" t="s">
        <v>681</v>
      </c>
      <c r="H222" s="29">
        <v>45296</v>
      </c>
      <c r="I222" s="7">
        <v>33001368</v>
      </c>
      <c r="J222" s="7" t="s">
        <v>682</v>
      </c>
      <c r="K222" s="7" t="s">
        <v>683</v>
      </c>
      <c r="L222" s="7" t="s">
        <v>164</v>
      </c>
      <c r="M222" s="7"/>
      <c r="N222" s="29">
        <v>45234</v>
      </c>
      <c r="O222" s="29">
        <v>45256</v>
      </c>
      <c r="P222" s="29">
        <v>45256</v>
      </c>
      <c r="Q222" s="7" t="s">
        <v>157</v>
      </c>
      <c r="R222" s="7" t="s">
        <v>165</v>
      </c>
      <c r="S222" s="7" t="s">
        <v>126</v>
      </c>
      <c r="T222" s="7" t="s">
        <v>200</v>
      </c>
      <c r="U222" s="7" t="s">
        <v>167</v>
      </c>
      <c r="V222" s="7" t="s">
        <v>207</v>
      </c>
      <c r="W222" s="7">
        <v>108803</v>
      </c>
      <c r="X222" s="7" t="s">
        <v>169</v>
      </c>
      <c r="Y222" s="7" t="s">
        <v>170</v>
      </c>
      <c r="AA222" s="7" t="s">
        <v>171</v>
      </c>
      <c r="AB222" s="7" t="s">
        <v>172</v>
      </c>
      <c r="AC222" s="7">
        <v>1130</v>
      </c>
      <c r="AE222" s="31"/>
      <c r="AF222" s="7" t="s">
        <v>173</v>
      </c>
      <c r="AG222" s="31" t="s">
        <v>170</v>
      </c>
      <c r="AI222" s="7" t="s">
        <v>174</v>
      </c>
      <c r="AK222" s="7">
        <v>1</v>
      </c>
      <c r="AL222" s="7">
        <v>1</v>
      </c>
      <c r="AP222" s="7">
        <v>1050</v>
      </c>
      <c r="AQ222" s="7">
        <v>1050</v>
      </c>
      <c r="AS222" s="7"/>
    </row>
    <row r="223" spans="1:73" ht="15" hidden="1" customHeight="1" x14ac:dyDescent="0.2">
      <c r="A223" s="133">
        <f t="shared" ref="A223:A286" si="237">IF(B223="","",VALUE(MONTH(B223)))</f>
        <v>1</v>
      </c>
      <c r="B223" s="141">
        <v>45292</v>
      </c>
      <c r="C223" s="10" t="s">
        <v>153</v>
      </c>
      <c r="D223" s="42" t="str">
        <f t="shared" si="218"/>
        <v>NO</v>
      </c>
      <c r="E223" s="7">
        <v>325136</v>
      </c>
      <c r="F223" s="7" t="s">
        <v>684</v>
      </c>
      <c r="G223" s="7" t="s">
        <v>685</v>
      </c>
      <c r="H223" s="29">
        <v>45296</v>
      </c>
      <c r="I223" s="7">
        <v>43870793</v>
      </c>
      <c r="J223" s="7" t="s">
        <v>686</v>
      </c>
      <c r="K223" s="7" t="s">
        <v>687</v>
      </c>
      <c r="L223" s="7" t="s">
        <v>179</v>
      </c>
      <c r="M223" s="7"/>
      <c r="N223" s="29">
        <v>45138</v>
      </c>
      <c r="P223" s="29">
        <v>45291</v>
      </c>
      <c r="Q223" s="7" t="s">
        <v>157</v>
      </c>
      <c r="R223" s="7" t="s">
        <v>165</v>
      </c>
      <c r="S223" s="7" t="s">
        <v>126</v>
      </c>
      <c r="T223" s="7" t="s">
        <v>180</v>
      </c>
      <c r="U223" s="7" t="s">
        <v>167</v>
      </c>
      <c r="V223" s="7" t="s">
        <v>168</v>
      </c>
      <c r="W223" s="7">
        <v>108803</v>
      </c>
      <c r="X223" s="7" t="s">
        <v>169</v>
      </c>
      <c r="Y223" s="7" t="s">
        <v>170</v>
      </c>
      <c r="AA223" s="7" t="s">
        <v>171</v>
      </c>
      <c r="AB223" s="7" t="s">
        <v>172</v>
      </c>
      <c r="AC223" s="7">
        <v>1130</v>
      </c>
      <c r="AE223" s="31"/>
      <c r="AF223" s="7" t="s">
        <v>173</v>
      </c>
      <c r="AG223" s="7" t="s">
        <v>170</v>
      </c>
      <c r="AI223" s="7" t="s">
        <v>174</v>
      </c>
      <c r="AK223" s="7">
        <v>1</v>
      </c>
      <c r="AL223" s="7">
        <v>1</v>
      </c>
      <c r="AP223" s="7">
        <v>2177.7800000000002</v>
      </c>
      <c r="AQ223" s="7">
        <v>2177.7800000000002</v>
      </c>
      <c r="AS223" s="7"/>
    </row>
    <row r="224" spans="1:73" ht="15" hidden="1" customHeight="1" x14ac:dyDescent="0.2">
      <c r="A224" s="133">
        <f t="shared" si="237"/>
        <v>1</v>
      </c>
      <c r="B224" s="141">
        <v>45292</v>
      </c>
      <c r="C224" s="10" t="s">
        <v>102</v>
      </c>
      <c r="D224" s="42" t="str">
        <f t="shared" si="218"/>
        <v>NO</v>
      </c>
      <c r="E224" s="7">
        <v>311358</v>
      </c>
      <c r="F224" s="7" t="s">
        <v>688</v>
      </c>
      <c r="G224" s="7" t="s">
        <v>689</v>
      </c>
      <c r="H224" s="29">
        <v>45323</v>
      </c>
      <c r="I224" s="7">
        <v>96197430</v>
      </c>
      <c r="J224" s="7" t="s">
        <v>690</v>
      </c>
      <c r="K224" s="7" t="s">
        <v>691</v>
      </c>
      <c r="L224" s="7" t="s">
        <v>179</v>
      </c>
      <c r="M224" s="7"/>
      <c r="N224" s="29">
        <v>45234</v>
      </c>
      <c r="Q224" s="7" t="s">
        <v>157</v>
      </c>
      <c r="R224" s="7" t="s">
        <v>245</v>
      </c>
      <c r="S224" s="7" t="s">
        <v>126</v>
      </c>
      <c r="T224" s="7" t="s">
        <v>200</v>
      </c>
      <c r="U224" s="7" t="s">
        <v>167</v>
      </c>
      <c r="V224" s="7" t="s">
        <v>246</v>
      </c>
      <c r="W224" s="7">
        <v>108803</v>
      </c>
      <c r="X224" s="7" t="s">
        <v>169</v>
      </c>
      <c r="Y224" s="7" t="s">
        <v>170</v>
      </c>
      <c r="AA224" s="7" t="s">
        <v>189</v>
      </c>
      <c r="AB224" s="7" t="s">
        <v>190</v>
      </c>
      <c r="AC224" s="7">
        <v>1584</v>
      </c>
      <c r="AF224" s="31" t="s">
        <v>173</v>
      </c>
      <c r="AG224" s="7" t="s">
        <v>170</v>
      </c>
      <c r="AH224" s="31"/>
      <c r="AI224" s="7" t="s">
        <v>174</v>
      </c>
      <c r="AK224" s="7">
        <v>2</v>
      </c>
      <c r="AL224" s="7">
        <v>1</v>
      </c>
      <c r="AM224" s="7">
        <v>218480.19</v>
      </c>
      <c r="AN224" s="7">
        <v>44720.17</v>
      </c>
      <c r="AP224" s="7">
        <v>44637.53</v>
      </c>
      <c r="AQ224" s="7">
        <v>218397.55</v>
      </c>
      <c r="AS224" s="7">
        <v>5052.3500000000004</v>
      </c>
      <c r="AV224" s="31"/>
      <c r="AW224" s="61"/>
      <c r="AX224" s="118"/>
      <c r="AZ224" s="41">
        <v>2526.1799999999998</v>
      </c>
      <c r="BG224" s="7">
        <v>5052.3500000000004</v>
      </c>
      <c r="BO224" s="7">
        <v>2526.1799999999998</v>
      </c>
      <c r="BP224" s="7">
        <v>5000</v>
      </c>
      <c r="BS224" s="7">
        <v>34137.53</v>
      </c>
      <c r="BT224" s="7">
        <f>+BS224+AM224</f>
        <v>252617.72</v>
      </c>
      <c r="BU224" s="144">
        <f>+AS224/BT224</f>
        <v>1.9999982582377833E-2</v>
      </c>
    </row>
    <row r="225" spans="1:73" ht="15" hidden="1" customHeight="1" x14ac:dyDescent="0.2">
      <c r="A225" s="133">
        <f t="shared" si="237"/>
        <v>1</v>
      </c>
      <c r="B225" s="141">
        <v>45292</v>
      </c>
      <c r="C225" s="10" t="s">
        <v>153</v>
      </c>
      <c r="D225" s="42" t="str">
        <f t="shared" si="218"/>
        <v>NO</v>
      </c>
      <c r="E225" s="7">
        <v>319901</v>
      </c>
      <c r="F225" s="7" t="s">
        <v>692</v>
      </c>
      <c r="G225" s="7" t="s">
        <v>693</v>
      </c>
      <c r="H225" s="29">
        <v>45296</v>
      </c>
      <c r="I225" s="7">
        <v>40076546</v>
      </c>
      <c r="J225" s="7" t="s">
        <v>694</v>
      </c>
      <c r="K225" s="7" t="s">
        <v>695</v>
      </c>
      <c r="L225" s="7" t="s">
        <v>179</v>
      </c>
      <c r="M225" s="7"/>
      <c r="N225" s="29">
        <v>45253</v>
      </c>
      <c r="P225" s="29">
        <v>45291</v>
      </c>
      <c r="Q225" s="7" t="s">
        <v>157</v>
      </c>
      <c r="R225" s="7" t="s">
        <v>165</v>
      </c>
      <c r="S225" s="7" t="s">
        <v>126</v>
      </c>
      <c r="T225" s="7" t="s">
        <v>166</v>
      </c>
      <c r="U225" s="7" t="s">
        <v>167</v>
      </c>
      <c r="V225" s="7" t="s">
        <v>168</v>
      </c>
      <c r="W225" s="7">
        <v>401704</v>
      </c>
      <c r="X225" s="7" t="s">
        <v>696</v>
      </c>
      <c r="Y225" s="7" t="s">
        <v>170</v>
      </c>
      <c r="AA225" s="7" t="s">
        <v>189</v>
      </c>
      <c r="AB225" s="7" t="s">
        <v>190</v>
      </c>
      <c r="AC225" s="7">
        <v>1584</v>
      </c>
      <c r="AF225" s="31" t="s">
        <v>170</v>
      </c>
      <c r="AG225" s="7" t="s">
        <v>170</v>
      </c>
      <c r="AH225" s="31"/>
      <c r="AI225" s="7" t="s">
        <v>174</v>
      </c>
      <c r="AK225" s="7">
        <v>1</v>
      </c>
      <c r="AL225" s="7">
        <v>1</v>
      </c>
      <c r="AP225" s="7">
        <v>3344.44</v>
      </c>
      <c r="AQ225" s="7">
        <v>3344.44</v>
      </c>
      <c r="AS225" s="7"/>
    </row>
    <row r="226" spans="1:73" ht="15" hidden="1" customHeight="1" x14ac:dyDescent="0.2">
      <c r="A226" s="133">
        <f t="shared" si="237"/>
        <v>1</v>
      </c>
      <c r="B226" s="141">
        <v>45292</v>
      </c>
      <c r="C226" s="10" t="s">
        <v>153</v>
      </c>
      <c r="D226" s="42" t="str">
        <f t="shared" si="218"/>
        <v>NO</v>
      </c>
      <c r="E226" s="7">
        <v>329395</v>
      </c>
      <c r="F226" s="7" t="s">
        <v>697</v>
      </c>
      <c r="G226" s="7" t="s">
        <v>698</v>
      </c>
      <c r="H226" s="29">
        <v>45296</v>
      </c>
      <c r="I226" s="7">
        <v>40885508</v>
      </c>
      <c r="J226" s="7" t="s">
        <v>699</v>
      </c>
      <c r="K226" s="7" t="s">
        <v>700</v>
      </c>
      <c r="L226" s="7" t="s">
        <v>164</v>
      </c>
      <c r="M226" s="7"/>
      <c r="N226" s="29">
        <v>45169</v>
      </c>
      <c r="P226" s="29">
        <v>45291</v>
      </c>
      <c r="Q226" s="7" t="s">
        <v>157</v>
      </c>
      <c r="R226" s="7" t="s">
        <v>199</v>
      </c>
      <c r="S226" s="7" t="s">
        <v>126</v>
      </c>
      <c r="T226" s="7" t="s">
        <v>200</v>
      </c>
      <c r="U226" s="7" t="s">
        <v>167</v>
      </c>
      <c r="V226" s="7" t="s">
        <v>201</v>
      </c>
      <c r="W226" s="7">
        <v>108803</v>
      </c>
      <c r="X226" s="7" t="s">
        <v>169</v>
      </c>
      <c r="Y226" s="7" t="s">
        <v>170</v>
      </c>
      <c r="AA226" s="7" t="s">
        <v>189</v>
      </c>
      <c r="AB226" s="7" t="s">
        <v>190</v>
      </c>
      <c r="AC226" s="7">
        <v>1584</v>
      </c>
      <c r="AF226" s="31" t="s">
        <v>173</v>
      </c>
      <c r="AG226" s="7" t="s">
        <v>170</v>
      </c>
      <c r="AH226" s="31"/>
      <c r="AI226" s="7" t="s">
        <v>174</v>
      </c>
      <c r="AK226" s="7">
        <v>1</v>
      </c>
      <c r="AL226" s="7">
        <v>1</v>
      </c>
      <c r="AP226" s="7">
        <v>11900</v>
      </c>
      <c r="AQ226" s="7">
        <v>11900</v>
      </c>
      <c r="AS226" s="7"/>
      <c r="AZ226" s="41"/>
    </row>
    <row r="227" spans="1:73" ht="15" hidden="1" customHeight="1" x14ac:dyDescent="0.2">
      <c r="A227" s="133">
        <f t="shared" si="237"/>
        <v>1</v>
      </c>
      <c r="B227" s="141">
        <v>45292</v>
      </c>
      <c r="C227" s="10" t="s">
        <v>153</v>
      </c>
      <c r="D227" s="42" t="str">
        <f t="shared" si="218"/>
        <v>NO</v>
      </c>
      <c r="E227" s="7">
        <v>318313</v>
      </c>
      <c r="F227" s="7" t="s">
        <v>701</v>
      </c>
      <c r="G227" s="7" t="s">
        <v>702</v>
      </c>
      <c r="H227" s="29">
        <v>45296</v>
      </c>
      <c r="I227" s="7">
        <v>31965756</v>
      </c>
      <c r="J227" s="7" t="s">
        <v>703</v>
      </c>
      <c r="K227" s="7" t="s">
        <v>704</v>
      </c>
      <c r="L227" s="7" t="s">
        <v>164</v>
      </c>
      <c r="M227" s="7"/>
      <c r="N227" s="29">
        <v>44989</v>
      </c>
      <c r="P227" s="29">
        <v>45291</v>
      </c>
      <c r="Q227" s="7" t="s">
        <v>157</v>
      </c>
      <c r="R227" s="7" t="s">
        <v>199</v>
      </c>
      <c r="S227" s="7" t="s">
        <v>126</v>
      </c>
      <c r="T227" s="7" t="s">
        <v>239</v>
      </c>
      <c r="U227" s="7" t="s">
        <v>167</v>
      </c>
      <c r="V227" s="7" t="s">
        <v>201</v>
      </c>
      <c r="W227" s="7">
        <v>108803</v>
      </c>
      <c r="X227" s="7" t="s">
        <v>169</v>
      </c>
      <c r="Y227" s="7" t="s">
        <v>170</v>
      </c>
      <c r="AA227" s="7" t="s">
        <v>171</v>
      </c>
      <c r="AB227" s="7" t="s">
        <v>172</v>
      </c>
      <c r="AC227" s="7">
        <v>1130</v>
      </c>
      <c r="AF227" s="31" t="s">
        <v>173</v>
      </c>
      <c r="AG227" s="7" t="s">
        <v>170</v>
      </c>
      <c r="AH227" s="31"/>
      <c r="AI227" s="7" t="s">
        <v>174</v>
      </c>
      <c r="AK227" s="7">
        <v>1</v>
      </c>
      <c r="AL227" s="7">
        <v>1</v>
      </c>
      <c r="AP227" s="7">
        <v>6650</v>
      </c>
      <c r="AQ227" s="7">
        <v>6650</v>
      </c>
      <c r="AS227" s="7"/>
      <c r="AZ227" s="41"/>
    </row>
    <row r="228" spans="1:73" ht="15" hidden="1" customHeight="1" x14ac:dyDescent="0.2">
      <c r="A228" s="133">
        <f t="shared" si="237"/>
        <v>1</v>
      </c>
      <c r="B228" s="141">
        <v>45292</v>
      </c>
      <c r="C228" s="10" t="s">
        <v>102</v>
      </c>
      <c r="D228" s="42" t="str">
        <f t="shared" si="218"/>
        <v>SI</v>
      </c>
      <c r="E228" s="7">
        <v>314990</v>
      </c>
      <c r="F228" s="7" t="s">
        <v>705</v>
      </c>
      <c r="G228" s="7" t="s">
        <v>706</v>
      </c>
      <c r="H228" s="29">
        <v>45323</v>
      </c>
      <c r="I228" s="7">
        <v>20526373</v>
      </c>
      <c r="J228" s="7" t="s">
        <v>707</v>
      </c>
      <c r="K228" s="7" t="s">
        <v>708</v>
      </c>
      <c r="L228" s="7" t="s">
        <v>164</v>
      </c>
      <c r="M228" s="7"/>
      <c r="N228" s="29">
        <v>45269</v>
      </c>
      <c r="Q228" s="7" t="s">
        <v>157</v>
      </c>
      <c r="R228" s="7" t="s">
        <v>165</v>
      </c>
      <c r="S228" s="7" t="s">
        <v>126</v>
      </c>
      <c r="T228" s="7" t="s">
        <v>206</v>
      </c>
      <c r="U228" s="7" t="s">
        <v>167</v>
      </c>
      <c r="V228" s="7" t="s">
        <v>207</v>
      </c>
      <c r="W228" s="7">
        <v>108803</v>
      </c>
      <c r="X228" s="7" t="s">
        <v>169</v>
      </c>
      <c r="Y228" s="7" t="s">
        <v>170</v>
      </c>
      <c r="AA228" s="7" t="s">
        <v>189</v>
      </c>
      <c r="AB228" s="7" t="s">
        <v>190</v>
      </c>
      <c r="AC228" s="7">
        <v>1584</v>
      </c>
      <c r="AF228" s="31" t="s">
        <v>173</v>
      </c>
      <c r="AG228" s="7" t="s">
        <v>170</v>
      </c>
      <c r="AH228" s="31"/>
      <c r="AI228" s="7" t="s">
        <v>174</v>
      </c>
      <c r="AK228" s="7">
        <v>2</v>
      </c>
      <c r="AL228" s="7">
        <v>1</v>
      </c>
      <c r="AM228" s="7">
        <v>17037.150000000001</v>
      </c>
      <c r="AN228" s="7">
        <v>3585.78</v>
      </c>
      <c r="AP228" s="7">
        <v>4324.5600000000004</v>
      </c>
      <c r="AQ228" s="7">
        <v>17775.93</v>
      </c>
      <c r="AR228" s="7">
        <v>492.48</v>
      </c>
      <c r="AS228" s="7"/>
      <c r="AZ228" s="7">
        <v>196.99</v>
      </c>
      <c r="BG228" s="7">
        <v>393.98</v>
      </c>
      <c r="BO228" s="7">
        <v>196.99</v>
      </c>
      <c r="BS228" s="7">
        <v>2662.06</v>
      </c>
      <c r="BT228" s="7">
        <f>+BS228+AM228</f>
        <v>19699.210000000003</v>
      </c>
      <c r="BU228" s="144">
        <f>+AS228/BT228</f>
        <v>0</v>
      </c>
    </row>
    <row r="229" spans="1:73" ht="15" hidden="1" customHeight="1" x14ac:dyDescent="0.2">
      <c r="A229" s="133">
        <f t="shared" si="237"/>
        <v>1</v>
      </c>
      <c r="B229" s="141">
        <v>45292</v>
      </c>
      <c r="C229" s="10" t="s">
        <v>153</v>
      </c>
      <c r="D229" s="42" t="str">
        <f t="shared" si="218"/>
        <v>NO</v>
      </c>
      <c r="E229" s="7">
        <v>335925</v>
      </c>
      <c r="F229" s="7" t="s">
        <v>709</v>
      </c>
      <c r="G229" s="7" t="s">
        <v>710</v>
      </c>
      <c r="H229" s="29">
        <v>45296</v>
      </c>
      <c r="I229" s="7">
        <v>42201426</v>
      </c>
      <c r="J229" s="7" t="s">
        <v>711</v>
      </c>
      <c r="K229" s="7" t="s">
        <v>712</v>
      </c>
      <c r="L229" s="7" t="s">
        <v>179</v>
      </c>
      <c r="M229" s="7"/>
      <c r="N229" s="29">
        <v>45270</v>
      </c>
      <c r="P229" s="29">
        <v>45291</v>
      </c>
      <c r="Q229" s="7" t="s">
        <v>157</v>
      </c>
      <c r="R229" s="7" t="s">
        <v>165</v>
      </c>
      <c r="S229" s="7" t="s">
        <v>126</v>
      </c>
      <c r="T229" s="7" t="s">
        <v>206</v>
      </c>
      <c r="U229" s="7" t="s">
        <v>167</v>
      </c>
      <c r="V229" s="7" t="s">
        <v>168</v>
      </c>
      <c r="W229" s="7">
        <v>108803</v>
      </c>
      <c r="X229" s="7" t="s">
        <v>169</v>
      </c>
      <c r="Y229" s="7" t="s">
        <v>170</v>
      </c>
      <c r="AA229" s="7" t="s">
        <v>208</v>
      </c>
      <c r="AB229" s="7" t="s">
        <v>209</v>
      </c>
      <c r="AC229" s="7">
        <v>1035</v>
      </c>
      <c r="AF229" s="31" t="s">
        <v>173</v>
      </c>
      <c r="AG229" s="7" t="s">
        <v>170</v>
      </c>
      <c r="AH229" s="31"/>
      <c r="AI229" s="7" t="s">
        <v>174</v>
      </c>
      <c r="AK229" s="7">
        <v>1</v>
      </c>
      <c r="AL229" s="7">
        <v>1</v>
      </c>
      <c r="AP229" s="7">
        <v>875</v>
      </c>
      <c r="AQ229" s="7">
        <v>875</v>
      </c>
      <c r="AS229" s="7"/>
      <c r="AZ229" s="41"/>
    </row>
    <row r="230" spans="1:73" ht="15" hidden="1" customHeight="1" x14ac:dyDescent="0.2">
      <c r="A230" s="133">
        <f t="shared" si="237"/>
        <v>1</v>
      </c>
      <c r="B230" s="141">
        <v>45292</v>
      </c>
      <c r="C230" s="10" t="s">
        <v>153</v>
      </c>
      <c r="D230" s="42" t="str">
        <f t="shared" si="218"/>
        <v>NO</v>
      </c>
      <c r="E230" s="7">
        <v>325129</v>
      </c>
      <c r="F230" s="7" t="s">
        <v>713</v>
      </c>
      <c r="G230" s="7" t="s">
        <v>714</v>
      </c>
      <c r="H230" s="29">
        <v>45296</v>
      </c>
      <c r="I230" s="7">
        <v>43468782</v>
      </c>
      <c r="J230" s="7" t="s">
        <v>715</v>
      </c>
      <c r="K230" s="7" t="s">
        <v>716</v>
      </c>
      <c r="L230" s="7" t="s">
        <v>179</v>
      </c>
      <c r="M230" s="7"/>
      <c r="N230" s="29">
        <v>45238</v>
      </c>
      <c r="Q230" s="7" t="s">
        <v>157</v>
      </c>
      <c r="R230" s="7" t="s">
        <v>165</v>
      </c>
      <c r="S230" s="7" t="s">
        <v>126</v>
      </c>
      <c r="T230" s="7" t="s">
        <v>166</v>
      </c>
      <c r="U230" s="7" t="s">
        <v>167</v>
      </c>
      <c r="V230" s="7" t="s">
        <v>168</v>
      </c>
      <c r="W230" s="7">
        <v>108803</v>
      </c>
      <c r="X230" s="7" t="s">
        <v>169</v>
      </c>
      <c r="Y230" s="7" t="s">
        <v>170</v>
      </c>
      <c r="AA230" s="7" t="s">
        <v>189</v>
      </c>
      <c r="AB230" s="7" t="s">
        <v>190</v>
      </c>
      <c r="AC230" s="7">
        <v>1584</v>
      </c>
      <c r="AF230" s="31" t="s">
        <v>170</v>
      </c>
      <c r="AG230" s="7" t="s">
        <v>170</v>
      </c>
      <c r="AH230" s="31"/>
      <c r="AI230" s="7" t="s">
        <v>174</v>
      </c>
      <c r="AK230" s="7">
        <v>1</v>
      </c>
      <c r="AL230" s="7">
        <v>1</v>
      </c>
      <c r="AP230" s="7">
        <v>1944.44</v>
      </c>
      <c r="AQ230" s="7">
        <v>1944.44</v>
      </c>
      <c r="AS230" s="7"/>
      <c r="AV230" s="31"/>
    </row>
    <row r="231" spans="1:73" ht="15" hidden="1" customHeight="1" x14ac:dyDescent="0.2">
      <c r="A231" s="133">
        <f t="shared" si="237"/>
        <v>1</v>
      </c>
      <c r="B231" s="141">
        <v>45292</v>
      </c>
      <c r="C231" s="10" t="s">
        <v>102</v>
      </c>
      <c r="D231" s="42" t="str">
        <f t="shared" ref="D231:D294" si="238">IF(AR231="","NO","SI")</f>
        <v>NO</v>
      </c>
      <c r="E231" s="7">
        <v>334135</v>
      </c>
      <c r="F231" s="7" t="s">
        <v>717</v>
      </c>
      <c r="G231" s="7" t="s">
        <v>718</v>
      </c>
      <c r="H231" s="29">
        <v>45323</v>
      </c>
      <c r="I231" s="7">
        <v>43103037</v>
      </c>
      <c r="J231" s="7" t="s">
        <v>719</v>
      </c>
      <c r="K231" s="7" t="s">
        <v>720</v>
      </c>
      <c r="L231" s="7" t="s">
        <v>179</v>
      </c>
      <c r="M231" s="7"/>
      <c r="N231" s="29">
        <v>45310</v>
      </c>
      <c r="Q231" s="7" t="s">
        <v>157</v>
      </c>
      <c r="R231" s="7" t="s">
        <v>165</v>
      </c>
      <c r="S231" s="7" t="s">
        <v>126</v>
      </c>
      <c r="T231" s="7" t="s">
        <v>180</v>
      </c>
      <c r="U231" s="7" t="s">
        <v>167</v>
      </c>
      <c r="V231" s="7" t="s">
        <v>168</v>
      </c>
      <c r="W231" s="7">
        <v>108803</v>
      </c>
      <c r="X231" s="7" t="s">
        <v>169</v>
      </c>
      <c r="Y231" s="7" t="s">
        <v>170</v>
      </c>
      <c r="AA231" s="7" t="s">
        <v>171</v>
      </c>
      <c r="AB231" s="7" t="s">
        <v>172</v>
      </c>
      <c r="AC231" s="7">
        <v>1130</v>
      </c>
      <c r="AF231" s="31" t="s">
        <v>173</v>
      </c>
      <c r="AG231" s="7" t="s">
        <v>170</v>
      </c>
      <c r="AH231" s="31"/>
      <c r="AI231" s="7" t="s">
        <v>174</v>
      </c>
      <c r="AK231" s="7">
        <v>3</v>
      </c>
      <c r="AL231" s="7">
        <v>1</v>
      </c>
      <c r="AM231" s="7">
        <v>45467.69</v>
      </c>
      <c r="AN231" s="7">
        <v>9284.31</v>
      </c>
      <c r="AP231" s="7">
        <v>7292.65</v>
      </c>
      <c r="AQ231" s="7">
        <v>43476.03</v>
      </c>
      <c r="AS231" s="7">
        <v>1036.54</v>
      </c>
      <c r="AV231" s="31"/>
      <c r="AW231" s="61"/>
      <c r="AZ231" s="41">
        <v>518.27</v>
      </c>
      <c r="BG231" s="7">
        <v>1036.54</v>
      </c>
      <c r="BO231" s="7">
        <v>518.27</v>
      </c>
      <c r="BS231" s="7">
        <v>6359.32</v>
      </c>
      <c r="BT231" s="7">
        <f t="shared" ref="BT231:BT232" si="239">+BS231+AM231</f>
        <v>51827.01</v>
      </c>
      <c r="BU231" s="144">
        <f t="shared" ref="BU231:BU232" si="240">+AS231/BT231</f>
        <v>1.9999996141008326E-2</v>
      </c>
    </row>
    <row r="232" spans="1:73" ht="15" hidden="1" customHeight="1" x14ac:dyDescent="0.2">
      <c r="A232" s="133">
        <f t="shared" si="237"/>
        <v>1</v>
      </c>
      <c r="B232" s="141">
        <v>45292</v>
      </c>
      <c r="C232" s="10" t="s">
        <v>102</v>
      </c>
      <c r="D232" s="42" t="str">
        <f t="shared" si="238"/>
        <v>NO</v>
      </c>
      <c r="E232" s="7">
        <v>290707</v>
      </c>
      <c r="F232" s="7" t="s">
        <v>721</v>
      </c>
      <c r="G232" s="7" t="s">
        <v>722</v>
      </c>
      <c r="H232" s="29">
        <v>45323</v>
      </c>
      <c r="I232" s="7">
        <v>37558457</v>
      </c>
      <c r="J232" s="7" t="s">
        <v>723</v>
      </c>
      <c r="K232" s="7" t="s">
        <v>724</v>
      </c>
      <c r="L232" s="7" t="s">
        <v>179</v>
      </c>
      <c r="M232" s="7"/>
      <c r="N232" s="29">
        <v>45143</v>
      </c>
      <c r="Q232" s="7" t="s">
        <v>157</v>
      </c>
      <c r="R232" s="7" t="s">
        <v>165</v>
      </c>
      <c r="S232" s="7" t="s">
        <v>126</v>
      </c>
      <c r="T232" s="7" t="s">
        <v>180</v>
      </c>
      <c r="U232" s="7" t="s">
        <v>167</v>
      </c>
      <c r="V232" s="7" t="s">
        <v>168</v>
      </c>
      <c r="W232" s="7">
        <v>108803</v>
      </c>
      <c r="X232" s="7" t="s">
        <v>169</v>
      </c>
      <c r="Y232" s="7" t="s">
        <v>170</v>
      </c>
      <c r="AA232" s="7" t="s">
        <v>171</v>
      </c>
      <c r="AB232" s="7" t="s">
        <v>172</v>
      </c>
      <c r="AC232" s="7">
        <v>1130</v>
      </c>
      <c r="AF232" s="31" t="s">
        <v>173</v>
      </c>
      <c r="AG232" s="7" t="s">
        <v>170</v>
      </c>
      <c r="AH232" s="31"/>
      <c r="AI232" s="7" t="s">
        <v>174</v>
      </c>
      <c r="AK232" s="7">
        <v>5</v>
      </c>
      <c r="AL232" s="7">
        <v>1</v>
      </c>
      <c r="AM232" s="7">
        <v>116416.79</v>
      </c>
      <c r="AN232" s="7">
        <v>23779.19</v>
      </c>
      <c r="AP232" s="7">
        <v>32237.94</v>
      </c>
      <c r="AQ232" s="7">
        <v>124875.54</v>
      </c>
      <c r="AS232" s="7">
        <v>2658.88</v>
      </c>
      <c r="AW232" s="61"/>
      <c r="AX232" s="118"/>
      <c r="AZ232" s="7">
        <v>1329.44</v>
      </c>
      <c r="BG232" s="7">
        <v>2658.88</v>
      </c>
      <c r="BO232" s="7">
        <v>1329.44</v>
      </c>
      <c r="BP232" s="7">
        <v>5000</v>
      </c>
      <c r="BS232" s="7">
        <v>16526.84</v>
      </c>
      <c r="BT232" s="7">
        <f t="shared" si="239"/>
        <v>132943.63</v>
      </c>
      <c r="BU232" s="144">
        <f t="shared" si="240"/>
        <v>2.0000055662689517E-2</v>
      </c>
    </row>
    <row r="233" spans="1:73" ht="15" hidden="1" customHeight="1" x14ac:dyDescent="0.2">
      <c r="A233" s="133">
        <f t="shared" si="237"/>
        <v>1</v>
      </c>
      <c r="B233" s="141">
        <v>45292</v>
      </c>
      <c r="C233" s="10" t="s">
        <v>153</v>
      </c>
      <c r="D233" s="42" t="str">
        <f t="shared" si="238"/>
        <v>NO</v>
      </c>
      <c r="E233" s="7">
        <v>324287</v>
      </c>
      <c r="F233" s="7" t="s">
        <v>725</v>
      </c>
      <c r="G233" s="7" t="s">
        <v>726</v>
      </c>
      <c r="H233" s="29">
        <v>45296</v>
      </c>
      <c r="I233" s="7">
        <v>39276419</v>
      </c>
      <c r="J233" s="7" t="s">
        <v>727</v>
      </c>
      <c r="K233" s="7" t="s">
        <v>728</v>
      </c>
      <c r="L233" s="7" t="s">
        <v>164</v>
      </c>
      <c r="M233" s="7"/>
      <c r="N233" s="29">
        <v>45277</v>
      </c>
      <c r="P233" s="29">
        <v>45291</v>
      </c>
      <c r="Q233" s="7" t="s">
        <v>157</v>
      </c>
      <c r="R233" s="7" t="s">
        <v>165</v>
      </c>
      <c r="S233" s="7" t="s">
        <v>126</v>
      </c>
      <c r="T233" s="7" t="s">
        <v>239</v>
      </c>
      <c r="U233" s="7" t="s">
        <v>167</v>
      </c>
      <c r="V233" s="7" t="s">
        <v>207</v>
      </c>
      <c r="W233" s="7">
        <v>108803</v>
      </c>
      <c r="X233" s="7" t="s">
        <v>169</v>
      </c>
      <c r="Y233" s="7" t="s">
        <v>170</v>
      </c>
      <c r="AA233" s="7" t="s">
        <v>171</v>
      </c>
      <c r="AB233" s="7" t="s">
        <v>172</v>
      </c>
      <c r="AC233" s="7">
        <v>1130</v>
      </c>
      <c r="AF233" s="31" t="s">
        <v>173</v>
      </c>
      <c r="AG233" s="7" t="s">
        <v>170</v>
      </c>
      <c r="AH233" s="31"/>
      <c r="AI233" s="7" t="s">
        <v>174</v>
      </c>
      <c r="AK233" s="7">
        <v>1</v>
      </c>
      <c r="AL233" s="7">
        <v>1</v>
      </c>
      <c r="AP233" s="7">
        <v>1400</v>
      </c>
      <c r="AQ233" s="7">
        <v>1400</v>
      </c>
      <c r="AS233" s="7"/>
      <c r="AZ233" s="41"/>
    </row>
    <row r="234" spans="1:73" ht="15" hidden="1" customHeight="1" x14ac:dyDescent="0.2">
      <c r="A234" s="133">
        <f t="shared" si="237"/>
        <v>1</v>
      </c>
      <c r="B234" s="141">
        <v>45292</v>
      </c>
      <c r="C234" s="10" t="s">
        <v>102</v>
      </c>
      <c r="D234" s="42" t="str">
        <f t="shared" si="238"/>
        <v>NO</v>
      </c>
      <c r="E234" s="7">
        <v>328877</v>
      </c>
      <c r="F234" s="7" t="s">
        <v>729</v>
      </c>
      <c r="G234" s="7" t="s">
        <v>730</v>
      </c>
      <c r="H234" s="29">
        <v>45323</v>
      </c>
      <c r="I234" s="7">
        <v>45618762</v>
      </c>
      <c r="J234" s="7" t="s">
        <v>731</v>
      </c>
      <c r="K234" s="7" t="s">
        <v>732</v>
      </c>
      <c r="L234" s="7" t="s">
        <v>164</v>
      </c>
      <c r="M234" s="7"/>
      <c r="N234" s="29">
        <v>45159</v>
      </c>
      <c r="Q234" s="7" t="s">
        <v>157</v>
      </c>
      <c r="R234" s="7" t="s">
        <v>165</v>
      </c>
      <c r="S234" s="7" t="s">
        <v>126</v>
      </c>
      <c r="T234" s="7" t="s">
        <v>166</v>
      </c>
      <c r="U234" s="7" t="s">
        <v>167</v>
      </c>
      <c r="V234" s="7" t="s">
        <v>168</v>
      </c>
      <c r="W234" s="7">
        <v>108803</v>
      </c>
      <c r="X234" s="7" t="s">
        <v>169</v>
      </c>
      <c r="Y234" s="7" t="s">
        <v>170</v>
      </c>
      <c r="AA234" s="7" t="s">
        <v>171</v>
      </c>
      <c r="AB234" s="7" t="s">
        <v>172</v>
      </c>
      <c r="AC234" s="7">
        <v>1130</v>
      </c>
      <c r="AF234" s="31" t="s">
        <v>173</v>
      </c>
      <c r="AG234" s="7" t="s">
        <v>170</v>
      </c>
      <c r="AH234" s="31"/>
      <c r="AI234" s="7" t="s">
        <v>174</v>
      </c>
      <c r="AK234" s="7">
        <v>3</v>
      </c>
      <c r="AL234" s="7">
        <v>1</v>
      </c>
      <c r="AM234" s="7">
        <v>266386.71999999997</v>
      </c>
      <c r="AN234" s="7">
        <v>54213.52</v>
      </c>
      <c r="AP234" s="7">
        <v>44660.55</v>
      </c>
      <c r="AQ234" s="7">
        <v>256833.75</v>
      </c>
      <c r="AS234" s="7">
        <v>5951.84</v>
      </c>
      <c r="AX234" s="118"/>
      <c r="AZ234" s="41">
        <v>2975.92</v>
      </c>
      <c r="BG234" s="7">
        <v>5951.84</v>
      </c>
      <c r="BO234" s="7">
        <v>2975.92</v>
      </c>
      <c r="BP234" s="7">
        <v>5000</v>
      </c>
      <c r="BS234" s="7">
        <v>31205</v>
      </c>
      <c r="BT234" s="7">
        <f>+BS234+AM234</f>
        <v>297591.71999999997</v>
      </c>
      <c r="BU234" s="144">
        <f>+AS234/BT234</f>
        <v>2.0000018817727862E-2</v>
      </c>
    </row>
    <row r="235" spans="1:73" ht="15" hidden="1" customHeight="1" x14ac:dyDescent="0.2">
      <c r="A235" s="133">
        <f t="shared" si="237"/>
        <v>1</v>
      </c>
      <c r="B235" s="141">
        <v>45292</v>
      </c>
      <c r="C235" s="10" t="s">
        <v>153</v>
      </c>
      <c r="D235" s="42" t="str">
        <f t="shared" si="238"/>
        <v>NO</v>
      </c>
      <c r="E235" s="7">
        <v>306004</v>
      </c>
      <c r="F235" s="7" t="s">
        <v>733</v>
      </c>
      <c r="G235" s="7" t="s">
        <v>734</v>
      </c>
      <c r="H235" s="29">
        <v>45296</v>
      </c>
      <c r="I235" s="7">
        <v>44686159</v>
      </c>
      <c r="J235" s="7" t="s">
        <v>735</v>
      </c>
      <c r="K235" s="7" t="s">
        <v>736</v>
      </c>
      <c r="L235" s="7" t="s">
        <v>164</v>
      </c>
      <c r="M235" s="7"/>
      <c r="N235" s="29">
        <v>45245</v>
      </c>
      <c r="P235" s="29">
        <v>45291</v>
      </c>
      <c r="Q235" s="7" t="s">
        <v>157</v>
      </c>
      <c r="R235" s="7" t="s">
        <v>165</v>
      </c>
      <c r="S235" s="7" t="s">
        <v>126</v>
      </c>
      <c r="T235" s="7" t="s">
        <v>180</v>
      </c>
      <c r="U235" s="7" t="s">
        <v>167</v>
      </c>
      <c r="V235" s="7" t="s">
        <v>168</v>
      </c>
      <c r="W235" s="7">
        <v>108803</v>
      </c>
      <c r="X235" s="7" t="s">
        <v>169</v>
      </c>
      <c r="Y235" s="7" t="s">
        <v>170</v>
      </c>
      <c r="AA235" s="7" t="s">
        <v>171</v>
      </c>
      <c r="AB235" s="7" t="s">
        <v>172</v>
      </c>
      <c r="AC235" s="7">
        <v>1130</v>
      </c>
      <c r="AF235" s="31" t="s">
        <v>173</v>
      </c>
      <c r="AG235" s="7" t="s">
        <v>170</v>
      </c>
      <c r="AH235" s="31"/>
      <c r="AI235" s="7" t="s">
        <v>174</v>
      </c>
      <c r="AK235" s="7">
        <v>1</v>
      </c>
      <c r="AL235" s="7">
        <v>1</v>
      </c>
      <c r="AP235" s="7">
        <v>1088.8900000000001</v>
      </c>
      <c r="AQ235" s="7">
        <v>1088.8900000000001</v>
      </c>
      <c r="AS235" s="7"/>
      <c r="AW235" s="61"/>
      <c r="AZ235" s="41"/>
    </row>
    <row r="236" spans="1:73" ht="15" hidden="1" customHeight="1" x14ac:dyDescent="0.2">
      <c r="A236" s="133">
        <f t="shared" si="237"/>
        <v>1</v>
      </c>
      <c r="B236" s="141">
        <v>45292</v>
      </c>
      <c r="C236" s="10" t="s">
        <v>102</v>
      </c>
      <c r="D236" s="42" t="str">
        <f t="shared" si="238"/>
        <v>NO</v>
      </c>
      <c r="E236" s="7">
        <v>317842</v>
      </c>
      <c r="F236" s="7" t="s">
        <v>737</v>
      </c>
      <c r="G236" s="7" t="s">
        <v>738</v>
      </c>
      <c r="H236" s="29">
        <v>45323</v>
      </c>
      <c r="I236" s="7">
        <v>45228377</v>
      </c>
      <c r="J236" s="7" t="s">
        <v>735</v>
      </c>
      <c r="K236" s="7" t="s">
        <v>739</v>
      </c>
      <c r="L236" s="7" t="s">
        <v>164</v>
      </c>
      <c r="M236" s="7"/>
      <c r="N236" s="29">
        <v>44982</v>
      </c>
      <c r="Q236" s="7" t="s">
        <v>157</v>
      </c>
      <c r="R236" s="7" t="s">
        <v>165</v>
      </c>
      <c r="S236" s="7" t="s">
        <v>126</v>
      </c>
      <c r="T236" s="7" t="s">
        <v>166</v>
      </c>
      <c r="U236" s="7" t="s">
        <v>167</v>
      </c>
      <c r="V236" s="7" t="s">
        <v>168</v>
      </c>
      <c r="W236" s="7">
        <v>108803</v>
      </c>
      <c r="X236" s="7" t="s">
        <v>169</v>
      </c>
      <c r="Y236" s="7" t="s">
        <v>170</v>
      </c>
      <c r="AA236" s="7" t="s">
        <v>171</v>
      </c>
      <c r="AB236" s="7" t="s">
        <v>172</v>
      </c>
      <c r="AC236" s="7">
        <v>1130</v>
      </c>
      <c r="AF236" s="31" t="s">
        <v>173</v>
      </c>
      <c r="AG236" s="7" t="s">
        <v>170</v>
      </c>
      <c r="AH236" s="31"/>
      <c r="AI236" s="7" t="s">
        <v>174</v>
      </c>
      <c r="AK236" s="7">
        <v>4</v>
      </c>
      <c r="AL236" s="7">
        <v>1</v>
      </c>
      <c r="AM236" s="7">
        <v>491010.18</v>
      </c>
      <c r="AN236" s="7">
        <v>99617.37</v>
      </c>
      <c r="AP236" s="7">
        <v>74555</v>
      </c>
      <c r="AQ236" s="7">
        <v>465947.81</v>
      </c>
      <c r="AS236" s="7">
        <v>10763.75</v>
      </c>
      <c r="AW236" s="61"/>
      <c r="AX236" s="118"/>
      <c r="AZ236" s="41">
        <v>5381.88</v>
      </c>
      <c r="BG236" s="7">
        <v>10763.75</v>
      </c>
      <c r="BO236" s="7">
        <v>5381.88</v>
      </c>
      <c r="BP236" s="7">
        <v>5000</v>
      </c>
      <c r="BS236" s="7">
        <v>47177.23</v>
      </c>
      <c r="BT236" s="7">
        <f t="shared" ref="BT236:BT238" si="241">+BS236+AM236</f>
        <v>538187.41</v>
      </c>
      <c r="BU236" s="144">
        <f t="shared" ref="BU236:BU238" si="242">+AS236/BT236</f>
        <v>2.0000003344559841E-2</v>
      </c>
    </row>
    <row r="237" spans="1:73" ht="15" hidden="1" customHeight="1" x14ac:dyDescent="0.2">
      <c r="A237" s="133">
        <f t="shared" si="237"/>
        <v>1</v>
      </c>
      <c r="B237" s="141">
        <v>45292</v>
      </c>
      <c r="C237" s="10" t="s">
        <v>102</v>
      </c>
      <c r="D237" s="42" t="str">
        <f t="shared" si="238"/>
        <v>NO</v>
      </c>
      <c r="E237" s="7">
        <v>337965</v>
      </c>
      <c r="F237" s="7" t="s">
        <v>740</v>
      </c>
      <c r="G237" s="7" t="s">
        <v>741</v>
      </c>
      <c r="H237" s="29">
        <v>45324</v>
      </c>
      <c r="I237" s="7">
        <v>44850797</v>
      </c>
      <c r="J237" s="7" t="s">
        <v>742</v>
      </c>
      <c r="K237" s="7" t="s">
        <v>743</v>
      </c>
      <c r="L237" s="7" t="s">
        <v>179</v>
      </c>
      <c r="M237" s="7"/>
      <c r="N237" s="29">
        <v>45292</v>
      </c>
      <c r="Q237" s="7" t="s">
        <v>157</v>
      </c>
      <c r="R237" s="7" t="s">
        <v>165</v>
      </c>
      <c r="S237" s="7" t="s">
        <v>126</v>
      </c>
      <c r="T237" s="7" t="s">
        <v>239</v>
      </c>
      <c r="U237" s="7" t="s">
        <v>167</v>
      </c>
      <c r="V237" s="7" t="s">
        <v>324</v>
      </c>
      <c r="W237" s="7">
        <v>108803</v>
      </c>
      <c r="X237" s="7" t="s">
        <v>169</v>
      </c>
      <c r="Y237" s="7" t="s">
        <v>170</v>
      </c>
      <c r="AA237" s="7" t="s">
        <v>171</v>
      </c>
      <c r="AB237" s="7" t="s">
        <v>172</v>
      </c>
      <c r="AC237" s="7">
        <v>1130</v>
      </c>
      <c r="AF237" s="31" t="s">
        <v>173</v>
      </c>
      <c r="AG237" s="7" t="s">
        <v>170</v>
      </c>
      <c r="AH237" s="31"/>
      <c r="AI237" s="7" t="s">
        <v>174</v>
      </c>
      <c r="AK237" s="7">
        <v>1</v>
      </c>
      <c r="AL237" s="7">
        <v>1</v>
      </c>
      <c r="AM237" s="7">
        <v>17037.150000000001</v>
      </c>
      <c r="AN237" s="7">
        <v>3487.28</v>
      </c>
      <c r="AP237" s="7">
        <v>2662.06</v>
      </c>
      <c r="AQ237" s="7">
        <v>16211.93</v>
      </c>
      <c r="AS237" s="7">
        <v>393.98</v>
      </c>
      <c r="AV237" s="31"/>
      <c r="AX237" s="118"/>
      <c r="AZ237" s="7">
        <v>196.99</v>
      </c>
      <c r="BG237" s="7">
        <v>393.98</v>
      </c>
      <c r="BO237" s="7">
        <v>196.99</v>
      </c>
      <c r="BS237" s="7">
        <v>2662.06</v>
      </c>
      <c r="BT237" s="7">
        <f t="shared" si="241"/>
        <v>19699.210000000003</v>
      </c>
      <c r="BU237" s="144">
        <f t="shared" si="242"/>
        <v>1.9999786793480547E-2</v>
      </c>
    </row>
    <row r="238" spans="1:73" ht="15" hidden="1" customHeight="1" x14ac:dyDescent="0.2">
      <c r="A238" s="133">
        <f t="shared" si="237"/>
        <v>1</v>
      </c>
      <c r="B238" s="141">
        <v>45292</v>
      </c>
      <c r="C238" s="10" t="s">
        <v>102</v>
      </c>
      <c r="D238" s="42" t="str">
        <f t="shared" si="238"/>
        <v>NO</v>
      </c>
      <c r="E238" s="7">
        <v>327585</v>
      </c>
      <c r="F238" s="7" t="s">
        <v>744</v>
      </c>
      <c r="G238" s="7" t="s">
        <v>745</v>
      </c>
      <c r="H238" s="29">
        <v>45323</v>
      </c>
      <c r="I238" s="7">
        <v>42146193</v>
      </c>
      <c r="J238" s="7" t="s">
        <v>746</v>
      </c>
      <c r="K238" s="7" t="s">
        <v>747</v>
      </c>
      <c r="L238" s="7" t="s">
        <v>164</v>
      </c>
      <c r="M238" s="7"/>
      <c r="N238" s="29">
        <v>45138</v>
      </c>
      <c r="Q238" s="7" t="s">
        <v>157</v>
      </c>
      <c r="R238" s="7" t="s">
        <v>165</v>
      </c>
      <c r="S238" s="7" t="s">
        <v>126</v>
      </c>
      <c r="T238" s="7" t="s">
        <v>166</v>
      </c>
      <c r="U238" s="7" t="s">
        <v>167</v>
      </c>
      <c r="V238" s="7" t="s">
        <v>168</v>
      </c>
      <c r="W238" s="7">
        <v>108803</v>
      </c>
      <c r="X238" s="7" t="s">
        <v>169</v>
      </c>
      <c r="Y238" s="7" t="s">
        <v>170</v>
      </c>
      <c r="AA238" s="7" t="s">
        <v>171</v>
      </c>
      <c r="AB238" s="7" t="s">
        <v>172</v>
      </c>
      <c r="AC238" s="7">
        <v>1130</v>
      </c>
      <c r="AF238" s="31" t="s">
        <v>173</v>
      </c>
      <c r="AG238" s="7" t="s">
        <v>170</v>
      </c>
      <c r="AH238" s="31"/>
      <c r="AI238" s="7" t="s">
        <v>174</v>
      </c>
      <c r="AK238" s="7">
        <v>2</v>
      </c>
      <c r="AL238" s="7">
        <v>1</v>
      </c>
      <c r="AM238" s="7">
        <v>12688.65</v>
      </c>
      <c r="AN238" s="7">
        <v>2590.9699999999998</v>
      </c>
      <c r="AP238" s="7">
        <v>7374.69</v>
      </c>
      <c r="AQ238" s="7">
        <v>17472.37</v>
      </c>
      <c r="AS238" s="7">
        <v>289.27</v>
      </c>
      <c r="AZ238" s="7">
        <v>144.63</v>
      </c>
      <c r="BG238" s="7">
        <v>289.27</v>
      </c>
      <c r="BO238" s="7">
        <v>144.63</v>
      </c>
      <c r="BS238" s="7">
        <v>1774.69</v>
      </c>
      <c r="BT238" s="7">
        <f t="shared" si="241"/>
        <v>14463.34</v>
      </c>
      <c r="BU238" s="144">
        <f t="shared" si="242"/>
        <v>2.0000221249033761E-2</v>
      </c>
    </row>
    <row r="239" spans="1:73" ht="15" hidden="1" customHeight="1" x14ac:dyDescent="0.2">
      <c r="A239" s="133">
        <f t="shared" si="237"/>
        <v>1</v>
      </c>
      <c r="B239" s="141">
        <v>45292</v>
      </c>
      <c r="C239" s="10" t="s">
        <v>153</v>
      </c>
      <c r="D239" s="42" t="str">
        <f t="shared" si="238"/>
        <v>NO</v>
      </c>
      <c r="E239" s="7">
        <v>333764</v>
      </c>
      <c r="F239" s="7" t="s">
        <v>748</v>
      </c>
      <c r="G239" s="7" t="s">
        <v>749</v>
      </c>
      <c r="H239" s="29">
        <v>45296</v>
      </c>
      <c r="I239" s="7">
        <v>29553680</v>
      </c>
      <c r="J239" s="7" t="s">
        <v>750</v>
      </c>
      <c r="K239" s="7" t="s">
        <v>751</v>
      </c>
      <c r="L239" s="7" t="s">
        <v>179</v>
      </c>
      <c r="M239" s="7"/>
      <c r="N239" s="29">
        <v>45238</v>
      </c>
      <c r="P239" s="29">
        <v>45291</v>
      </c>
      <c r="Q239" s="7" t="s">
        <v>157</v>
      </c>
      <c r="R239" s="7" t="s">
        <v>199</v>
      </c>
      <c r="S239" s="7" t="s">
        <v>126</v>
      </c>
      <c r="T239" s="7" t="s">
        <v>200</v>
      </c>
      <c r="U239" s="7" t="s">
        <v>167</v>
      </c>
      <c r="V239" s="7" t="s">
        <v>201</v>
      </c>
      <c r="W239" s="7">
        <v>108803</v>
      </c>
      <c r="X239" s="7" t="s">
        <v>169</v>
      </c>
      <c r="Y239" s="7" t="s">
        <v>170</v>
      </c>
      <c r="AA239" s="7" t="s">
        <v>189</v>
      </c>
      <c r="AB239" s="7" t="s">
        <v>190</v>
      </c>
      <c r="AC239" s="7">
        <v>1584</v>
      </c>
      <c r="AF239" s="31" t="s">
        <v>173</v>
      </c>
      <c r="AG239" s="7" t="s">
        <v>170</v>
      </c>
      <c r="AH239" s="31"/>
      <c r="AI239" s="7" t="s">
        <v>174</v>
      </c>
      <c r="AK239" s="7">
        <v>1</v>
      </c>
      <c r="AL239" s="7">
        <v>1</v>
      </c>
      <c r="AP239" s="7">
        <v>11375</v>
      </c>
      <c r="AQ239" s="7">
        <v>11375</v>
      </c>
      <c r="AS239" s="7"/>
      <c r="AW239" s="61"/>
      <c r="AZ239" s="41"/>
    </row>
    <row r="240" spans="1:73" ht="15" hidden="1" customHeight="1" x14ac:dyDescent="0.2">
      <c r="A240" s="133">
        <f t="shared" si="237"/>
        <v>1</v>
      </c>
      <c r="B240" s="141">
        <v>45292</v>
      </c>
      <c r="C240" s="10" t="s">
        <v>153</v>
      </c>
      <c r="D240" s="42" t="str">
        <f t="shared" si="238"/>
        <v>NO</v>
      </c>
      <c r="E240" s="7">
        <v>326347</v>
      </c>
      <c r="F240" s="7" t="s">
        <v>752</v>
      </c>
      <c r="G240" s="7" t="s">
        <v>753</v>
      </c>
      <c r="H240" s="29">
        <v>45296</v>
      </c>
      <c r="I240" s="7">
        <v>42432545</v>
      </c>
      <c r="J240" s="7" t="s">
        <v>754</v>
      </c>
      <c r="K240" s="7" t="s">
        <v>755</v>
      </c>
      <c r="L240" s="7" t="s">
        <v>179</v>
      </c>
      <c r="M240" s="7"/>
      <c r="N240" s="29">
        <v>45231</v>
      </c>
      <c r="Q240" s="7" t="s">
        <v>157</v>
      </c>
      <c r="R240" s="7" t="s">
        <v>165</v>
      </c>
      <c r="S240" s="7" t="s">
        <v>126</v>
      </c>
      <c r="T240" s="7" t="s">
        <v>166</v>
      </c>
      <c r="U240" s="7" t="s">
        <v>167</v>
      </c>
      <c r="V240" s="7" t="s">
        <v>168</v>
      </c>
      <c r="W240" s="7">
        <v>108803</v>
      </c>
      <c r="X240" s="7" t="s">
        <v>169</v>
      </c>
      <c r="Y240" s="7" t="s">
        <v>170</v>
      </c>
      <c r="AA240" s="7" t="s">
        <v>171</v>
      </c>
      <c r="AB240" s="7" t="s">
        <v>172</v>
      </c>
      <c r="AC240" s="7">
        <v>1130</v>
      </c>
      <c r="AF240" s="31" t="s">
        <v>173</v>
      </c>
      <c r="AG240" s="7" t="s">
        <v>170</v>
      </c>
      <c r="AH240" s="31"/>
      <c r="AI240" s="7" t="s">
        <v>174</v>
      </c>
      <c r="AK240" s="7">
        <v>3</v>
      </c>
      <c r="AL240" s="7">
        <v>1</v>
      </c>
      <c r="AP240" s="7">
        <v>10344.44</v>
      </c>
      <c r="AQ240" s="7">
        <v>10344.44</v>
      </c>
      <c r="AS240" s="7"/>
      <c r="AV240" s="31"/>
    </row>
    <row r="241" spans="1:73" ht="15" hidden="1" customHeight="1" x14ac:dyDescent="0.2">
      <c r="A241" s="133">
        <f t="shared" si="237"/>
        <v>1</v>
      </c>
      <c r="B241" s="141">
        <v>45292</v>
      </c>
      <c r="C241" s="10" t="s">
        <v>153</v>
      </c>
      <c r="D241" s="42" t="str">
        <f t="shared" si="238"/>
        <v>NO</v>
      </c>
      <c r="E241" s="7">
        <v>334667</v>
      </c>
      <c r="F241" s="7" t="s">
        <v>756</v>
      </c>
      <c r="G241" s="7" t="s">
        <v>757</v>
      </c>
      <c r="H241" s="29">
        <v>45296</v>
      </c>
      <c r="I241" s="7">
        <v>43171194</v>
      </c>
      <c r="J241" s="7" t="s">
        <v>758</v>
      </c>
      <c r="K241" s="7" t="s">
        <v>759</v>
      </c>
      <c r="L241" s="7" t="s">
        <v>179</v>
      </c>
      <c r="M241" s="7"/>
      <c r="N241" s="29">
        <v>45290</v>
      </c>
      <c r="P241" s="29">
        <v>45291</v>
      </c>
      <c r="Q241" s="7" t="s">
        <v>157</v>
      </c>
      <c r="R241" s="7" t="s">
        <v>354</v>
      </c>
      <c r="S241" s="7" t="s">
        <v>126</v>
      </c>
      <c r="T241" s="7" t="s">
        <v>239</v>
      </c>
      <c r="U241" s="7" t="s">
        <v>167</v>
      </c>
      <c r="V241" s="7" t="s">
        <v>355</v>
      </c>
      <c r="W241" s="7">
        <v>108803</v>
      </c>
      <c r="X241" s="7" t="s">
        <v>169</v>
      </c>
      <c r="Y241" s="7" t="s">
        <v>170</v>
      </c>
      <c r="AA241" s="7" t="s">
        <v>171</v>
      </c>
      <c r="AB241" s="7" t="s">
        <v>172</v>
      </c>
      <c r="AC241" s="7">
        <v>1130</v>
      </c>
      <c r="AF241" s="31" t="s">
        <v>173</v>
      </c>
      <c r="AG241" s="7" t="s">
        <v>170</v>
      </c>
      <c r="AH241" s="31"/>
      <c r="AI241" s="7" t="s">
        <v>174</v>
      </c>
      <c r="AK241" s="7">
        <v>1</v>
      </c>
      <c r="AL241" s="7">
        <v>1</v>
      </c>
      <c r="AP241" s="7">
        <v>700</v>
      </c>
      <c r="AQ241" s="7">
        <v>700</v>
      </c>
      <c r="AS241" s="7"/>
      <c r="AX241" s="118"/>
    </row>
    <row r="242" spans="1:73" ht="15" hidden="1" customHeight="1" x14ac:dyDescent="0.2">
      <c r="A242" s="133">
        <f t="shared" si="237"/>
        <v>1</v>
      </c>
      <c r="B242" s="141">
        <v>45292</v>
      </c>
      <c r="C242" s="10" t="s">
        <v>153</v>
      </c>
      <c r="D242" s="42" t="str">
        <f t="shared" si="238"/>
        <v>NO</v>
      </c>
      <c r="E242" s="7">
        <v>305619</v>
      </c>
      <c r="F242" s="7" t="s">
        <v>760</v>
      </c>
      <c r="G242" s="7" t="s">
        <v>761</v>
      </c>
      <c r="H242" s="29">
        <v>45296</v>
      </c>
      <c r="I242" s="7">
        <v>45192553</v>
      </c>
      <c r="J242" s="7" t="s">
        <v>762</v>
      </c>
      <c r="K242" s="7" t="s">
        <v>763</v>
      </c>
      <c r="L242" s="7" t="s">
        <v>179</v>
      </c>
      <c r="M242" s="7"/>
      <c r="N242" s="29">
        <v>45164</v>
      </c>
      <c r="P242" s="29">
        <v>45291</v>
      </c>
      <c r="Q242" s="7" t="s">
        <v>157</v>
      </c>
      <c r="R242" s="7" t="s">
        <v>165</v>
      </c>
      <c r="S242" s="7" t="s">
        <v>126</v>
      </c>
      <c r="T242" s="7" t="s">
        <v>180</v>
      </c>
      <c r="U242" s="7" t="s">
        <v>167</v>
      </c>
      <c r="V242" s="7" t="s">
        <v>168</v>
      </c>
      <c r="W242" s="7">
        <v>108803</v>
      </c>
      <c r="X242" s="7" t="s">
        <v>169</v>
      </c>
      <c r="Y242" s="7" t="s">
        <v>170</v>
      </c>
      <c r="AA242" s="7" t="s">
        <v>171</v>
      </c>
      <c r="AB242" s="7" t="s">
        <v>172</v>
      </c>
      <c r="AC242" s="7">
        <v>1130</v>
      </c>
      <c r="AF242" s="31" t="s">
        <v>173</v>
      </c>
      <c r="AG242" s="7" t="s">
        <v>170</v>
      </c>
      <c r="AH242" s="31"/>
      <c r="AI242" s="7" t="s">
        <v>174</v>
      </c>
      <c r="AK242" s="7">
        <v>1</v>
      </c>
      <c r="AL242" s="7">
        <v>1</v>
      </c>
      <c r="AP242" s="7">
        <v>5988.89</v>
      </c>
      <c r="AQ242" s="7">
        <v>5988.89</v>
      </c>
      <c r="AS242" s="7"/>
      <c r="AW242" s="61"/>
    </row>
    <row r="243" spans="1:73" ht="15" hidden="1" customHeight="1" x14ac:dyDescent="0.2">
      <c r="A243" s="133">
        <f t="shared" si="237"/>
        <v>1</v>
      </c>
      <c r="B243" s="141">
        <v>45292</v>
      </c>
      <c r="C243" s="10" t="s">
        <v>102</v>
      </c>
      <c r="D243" s="42" t="str">
        <f t="shared" si="238"/>
        <v>SI</v>
      </c>
      <c r="E243" s="7">
        <v>302687</v>
      </c>
      <c r="F243" s="7" t="s">
        <v>764</v>
      </c>
      <c r="G243" s="7" t="s">
        <v>158</v>
      </c>
      <c r="H243" s="29">
        <v>45323</v>
      </c>
      <c r="I243" s="7">
        <v>40132698</v>
      </c>
      <c r="J243" s="7" t="s">
        <v>762</v>
      </c>
      <c r="K243" s="7" t="s">
        <v>765</v>
      </c>
      <c r="L243" s="7" t="s">
        <v>179</v>
      </c>
      <c r="M243" s="7"/>
      <c r="N243" s="29">
        <v>44728</v>
      </c>
      <c r="Q243" s="7" t="s">
        <v>157</v>
      </c>
      <c r="R243" s="7" t="s">
        <v>165</v>
      </c>
      <c r="S243" s="7" t="s">
        <v>126</v>
      </c>
      <c r="T243" s="7" t="s">
        <v>180</v>
      </c>
      <c r="U243" s="7" t="s">
        <v>167</v>
      </c>
      <c r="V243" s="7" t="s">
        <v>168</v>
      </c>
      <c r="W243" s="7">
        <v>108803</v>
      </c>
      <c r="X243" s="7" t="s">
        <v>169</v>
      </c>
      <c r="Y243" s="7" t="s">
        <v>170</v>
      </c>
      <c r="AA243" s="7" t="s">
        <v>208</v>
      </c>
      <c r="AB243" s="7" t="s">
        <v>209</v>
      </c>
      <c r="AC243" s="7">
        <v>1035</v>
      </c>
      <c r="AF243" s="31" t="s">
        <v>173</v>
      </c>
      <c r="AG243" s="7" t="s">
        <v>170</v>
      </c>
      <c r="AH243" s="31"/>
      <c r="AI243" s="7" t="s">
        <v>174</v>
      </c>
      <c r="AK243" s="7">
        <v>4</v>
      </c>
      <c r="AL243" s="7">
        <v>1</v>
      </c>
      <c r="AM243" s="7">
        <v>229775.29</v>
      </c>
      <c r="AN243" s="7">
        <v>48317.760000000002</v>
      </c>
      <c r="AP243" s="7">
        <v>61951.45</v>
      </c>
      <c r="AQ243" s="7">
        <v>243408.98</v>
      </c>
      <c r="AR243" s="7">
        <v>6611.4</v>
      </c>
      <c r="AS243" s="7"/>
      <c r="AX243" s="118"/>
      <c r="AZ243" s="41">
        <v>2644.56</v>
      </c>
      <c r="BG243" s="7">
        <v>5289.12</v>
      </c>
      <c r="BO243" s="7">
        <v>2644.56</v>
      </c>
      <c r="BP243" s="7">
        <v>10000</v>
      </c>
      <c r="BS243" s="7">
        <v>34680.620000000003</v>
      </c>
      <c r="BT243" s="7">
        <f t="shared" ref="BT243:BT248" si="243">+BS243+AM243</f>
        <v>264455.91000000003</v>
      </c>
      <c r="BU243" s="144">
        <f t="shared" ref="BU243:BU248" si="244">+AS243/BT243</f>
        <v>0</v>
      </c>
    </row>
    <row r="244" spans="1:73" ht="15" hidden="1" customHeight="1" x14ac:dyDescent="0.2">
      <c r="A244" s="133">
        <f t="shared" si="237"/>
        <v>1</v>
      </c>
      <c r="B244" s="141">
        <v>45292</v>
      </c>
      <c r="C244" s="10" t="s">
        <v>102</v>
      </c>
      <c r="D244" s="42" t="str">
        <f t="shared" si="238"/>
        <v>NO</v>
      </c>
      <c r="E244" s="7">
        <v>279964</v>
      </c>
      <c r="F244" s="7" t="s">
        <v>766</v>
      </c>
      <c r="G244" s="7" t="s">
        <v>767</v>
      </c>
      <c r="H244" s="29">
        <v>45323</v>
      </c>
      <c r="I244" s="7">
        <v>41065854</v>
      </c>
      <c r="J244" s="7" t="s">
        <v>768</v>
      </c>
      <c r="K244" s="7" t="s">
        <v>769</v>
      </c>
      <c r="L244" s="7" t="s">
        <v>179</v>
      </c>
      <c r="M244" s="7"/>
      <c r="N244" s="29">
        <v>45312</v>
      </c>
      <c r="Q244" s="7" t="s">
        <v>157</v>
      </c>
      <c r="R244" s="7" t="s">
        <v>245</v>
      </c>
      <c r="S244" s="7" t="s">
        <v>126</v>
      </c>
      <c r="T244" s="7" t="s">
        <v>206</v>
      </c>
      <c r="U244" s="7" t="s">
        <v>167</v>
      </c>
      <c r="V244" s="7" t="s">
        <v>246</v>
      </c>
      <c r="W244" s="7">
        <v>108803</v>
      </c>
      <c r="X244" s="7" t="s">
        <v>169</v>
      </c>
      <c r="Y244" s="7" t="s">
        <v>170</v>
      </c>
      <c r="AA244" s="7" t="s">
        <v>208</v>
      </c>
      <c r="AB244" s="7" t="s">
        <v>209</v>
      </c>
      <c r="AC244" s="7">
        <v>1035</v>
      </c>
      <c r="AF244" s="31" t="s">
        <v>173</v>
      </c>
      <c r="AG244" s="7" t="s">
        <v>170</v>
      </c>
      <c r="AH244" s="31"/>
      <c r="AI244" s="7" t="s">
        <v>174</v>
      </c>
      <c r="AK244" s="7">
        <v>2</v>
      </c>
      <c r="AL244" s="7">
        <v>1</v>
      </c>
      <c r="AM244" s="7">
        <v>10878.69</v>
      </c>
      <c r="AN244" s="7">
        <v>2226.73</v>
      </c>
      <c r="AP244" s="7">
        <v>3712.29</v>
      </c>
      <c r="AQ244" s="7">
        <v>12364.25</v>
      </c>
      <c r="AS244" s="7">
        <v>251.57</v>
      </c>
      <c r="AW244" s="61"/>
      <c r="AX244" s="118"/>
      <c r="AZ244" s="7">
        <v>125.78</v>
      </c>
      <c r="BG244" s="7">
        <v>251.57</v>
      </c>
      <c r="BO244" s="7">
        <v>125.78</v>
      </c>
      <c r="BS244" s="7">
        <v>1699.79</v>
      </c>
      <c r="BT244" s="7">
        <f t="shared" si="243"/>
        <v>12578.48</v>
      </c>
      <c r="BU244" s="144">
        <f t="shared" si="244"/>
        <v>2.0000031800344716E-2</v>
      </c>
    </row>
    <row r="245" spans="1:73" ht="15" hidden="1" customHeight="1" x14ac:dyDescent="0.2">
      <c r="A245" s="133">
        <f t="shared" si="237"/>
        <v>1</v>
      </c>
      <c r="B245" s="141">
        <v>45292</v>
      </c>
      <c r="C245" s="10" t="s">
        <v>102</v>
      </c>
      <c r="D245" s="42" t="str">
        <f t="shared" si="238"/>
        <v>NO</v>
      </c>
      <c r="E245" s="7">
        <v>335392</v>
      </c>
      <c r="F245" s="7" t="s">
        <v>770</v>
      </c>
      <c r="G245" s="7" t="s">
        <v>771</v>
      </c>
      <c r="H245" s="29">
        <v>45323</v>
      </c>
      <c r="I245" s="7">
        <v>41938072</v>
      </c>
      <c r="J245" s="7" t="s">
        <v>772</v>
      </c>
      <c r="K245" s="7" t="s">
        <v>773</v>
      </c>
      <c r="L245" s="7" t="s">
        <v>179</v>
      </c>
      <c r="M245" s="7"/>
      <c r="N245" s="29">
        <v>45262</v>
      </c>
      <c r="Q245" s="7" t="s">
        <v>157</v>
      </c>
      <c r="R245" s="7" t="s">
        <v>199</v>
      </c>
      <c r="S245" s="7" t="s">
        <v>126</v>
      </c>
      <c r="T245" s="7" t="s">
        <v>200</v>
      </c>
      <c r="U245" s="7" t="s">
        <v>167</v>
      </c>
      <c r="V245" s="7" t="s">
        <v>360</v>
      </c>
      <c r="W245" s="7">
        <v>108803</v>
      </c>
      <c r="X245" s="7" t="s">
        <v>169</v>
      </c>
      <c r="Y245" s="7" t="s">
        <v>170</v>
      </c>
      <c r="AA245" s="7" t="s">
        <v>189</v>
      </c>
      <c r="AB245" s="7" t="s">
        <v>190</v>
      </c>
      <c r="AC245" s="7">
        <v>1584</v>
      </c>
      <c r="AF245" s="31" t="s">
        <v>173</v>
      </c>
      <c r="AG245" s="7" t="s">
        <v>170</v>
      </c>
      <c r="AH245" s="31"/>
      <c r="AI245" s="7" t="s">
        <v>174</v>
      </c>
      <c r="AK245" s="7">
        <v>2</v>
      </c>
      <c r="AL245" s="7">
        <v>1</v>
      </c>
      <c r="AM245" s="7">
        <v>87366.74</v>
      </c>
      <c r="AN245" s="7">
        <v>17690.39</v>
      </c>
      <c r="AP245" s="7">
        <v>7235.06</v>
      </c>
      <c r="AQ245" s="7">
        <v>76911.41</v>
      </c>
      <c r="AS245" s="7">
        <v>1892.04</v>
      </c>
      <c r="AZ245" s="7">
        <v>946.01</v>
      </c>
      <c r="BG245" s="7">
        <v>1892.04</v>
      </c>
      <c r="BO245" s="7">
        <v>946.01</v>
      </c>
      <c r="BP245" s="7">
        <v>5000</v>
      </c>
      <c r="BS245" s="7">
        <v>7235.06</v>
      </c>
      <c r="BT245" s="7">
        <f t="shared" si="243"/>
        <v>94601.8</v>
      </c>
      <c r="BU245" s="144">
        <f t="shared" si="244"/>
        <v>2.0000042282493566E-2</v>
      </c>
    </row>
    <row r="246" spans="1:73" ht="15" hidden="1" customHeight="1" x14ac:dyDescent="0.2">
      <c r="A246" s="133">
        <f t="shared" si="237"/>
        <v>1</v>
      </c>
      <c r="B246" s="141">
        <v>45292</v>
      </c>
      <c r="C246" s="10" t="s">
        <v>102</v>
      </c>
      <c r="D246" s="42" t="str">
        <f t="shared" si="238"/>
        <v>NO</v>
      </c>
      <c r="E246" s="7">
        <v>328895</v>
      </c>
      <c r="F246" s="7" t="s">
        <v>774</v>
      </c>
      <c r="G246" s="7" t="s">
        <v>775</v>
      </c>
      <c r="H246" s="29">
        <v>45323</v>
      </c>
      <c r="I246" s="7">
        <v>95994665</v>
      </c>
      <c r="J246" s="7" t="s">
        <v>776</v>
      </c>
      <c r="K246" s="7" t="s">
        <v>777</v>
      </c>
      <c r="L246" s="7" t="s">
        <v>164</v>
      </c>
      <c r="M246" s="7"/>
      <c r="N246" s="29">
        <v>45159</v>
      </c>
      <c r="Q246" s="7" t="s">
        <v>157</v>
      </c>
      <c r="R246" s="7" t="s">
        <v>165</v>
      </c>
      <c r="S246" s="7" t="s">
        <v>126</v>
      </c>
      <c r="T246" s="7" t="s">
        <v>166</v>
      </c>
      <c r="U246" s="7" t="s">
        <v>167</v>
      </c>
      <c r="V246" s="7" t="s">
        <v>168</v>
      </c>
      <c r="W246" s="7">
        <v>108803</v>
      </c>
      <c r="X246" s="7" t="s">
        <v>169</v>
      </c>
      <c r="Y246" s="7" t="s">
        <v>170</v>
      </c>
      <c r="AA246" s="7" t="s">
        <v>171</v>
      </c>
      <c r="AB246" s="7" t="s">
        <v>172</v>
      </c>
      <c r="AC246" s="7">
        <v>1130</v>
      </c>
      <c r="AF246" s="31" t="s">
        <v>173</v>
      </c>
      <c r="AG246" s="7" t="s">
        <v>170</v>
      </c>
      <c r="AH246" s="31"/>
      <c r="AI246" s="7" t="s">
        <v>174</v>
      </c>
      <c r="AK246" s="7">
        <v>3</v>
      </c>
      <c r="AL246" s="7">
        <v>1</v>
      </c>
      <c r="AM246" s="7">
        <v>246199.94</v>
      </c>
      <c r="AN246" s="7">
        <v>50140.63</v>
      </c>
      <c r="AP246" s="7">
        <v>51566.31</v>
      </c>
      <c r="AQ246" s="7">
        <v>247625.62</v>
      </c>
      <c r="AS246" s="7">
        <v>5524.43</v>
      </c>
      <c r="AX246" s="118"/>
      <c r="AZ246" s="7">
        <v>2762.22</v>
      </c>
      <c r="BG246" s="7">
        <v>5524.43</v>
      </c>
      <c r="BO246" s="7">
        <v>2762.22</v>
      </c>
      <c r="BP246" s="7">
        <v>5000</v>
      </c>
      <c r="BS246" s="7">
        <v>30021.87</v>
      </c>
      <c r="BT246" s="7">
        <f t="shared" si="243"/>
        <v>276221.81</v>
      </c>
      <c r="BU246" s="144">
        <f t="shared" si="244"/>
        <v>1.9999977554270607E-2</v>
      </c>
    </row>
    <row r="247" spans="1:73" ht="15" hidden="1" customHeight="1" x14ac:dyDescent="0.2">
      <c r="A247" s="133">
        <f t="shared" si="237"/>
        <v>1</v>
      </c>
      <c r="B247" s="141">
        <v>45292</v>
      </c>
      <c r="C247" s="10" t="s">
        <v>102</v>
      </c>
      <c r="D247" s="42" t="str">
        <f t="shared" si="238"/>
        <v>NO</v>
      </c>
      <c r="E247" s="7">
        <v>334959</v>
      </c>
      <c r="F247" s="7" t="s">
        <v>778</v>
      </c>
      <c r="G247" s="7" t="s">
        <v>779</v>
      </c>
      <c r="H247" s="29">
        <v>45323</v>
      </c>
      <c r="I247" s="7">
        <v>38189132</v>
      </c>
      <c r="J247" s="7" t="s">
        <v>780</v>
      </c>
      <c r="K247" s="7" t="s">
        <v>781</v>
      </c>
      <c r="L247" s="7" t="s">
        <v>179</v>
      </c>
      <c r="M247" s="7"/>
      <c r="N247" s="29">
        <v>45259</v>
      </c>
      <c r="Q247" s="7" t="s">
        <v>157</v>
      </c>
      <c r="R247" s="7" t="s">
        <v>214</v>
      </c>
      <c r="S247" s="7" t="s">
        <v>126</v>
      </c>
      <c r="T247" s="7" t="s">
        <v>200</v>
      </c>
      <c r="U247" s="7" t="s">
        <v>167</v>
      </c>
      <c r="V247" s="7" t="s">
        <v>215</v>
      </c>
      <c r="W247" s="7">
        <v>108803</v>
      </c>
      <c r="X247" s="7" t="s">
        <v>169</v>
      </c>
      <c r="Y247" s="7" t="s">
        <v>170</v>
      </c>
      <c r="AA247" s="7" t="s">
        <v>208</v>
      </c>
      <c r="AB247" s="7" t="s">
        <v>209</v>
      </c>
      <c r="AC247" s="7">
        <v>1035</v>
      </c>
      <c r="AF247" s="31" t="s">
        <v>173</v>
      </c>
      <c r="AG247" s="7" t="s">
        <v>170</v>
      </c>
      <c r="AH247" s="31"/>
      <c r="AI247" s="7" t="s">
        <v>174</v>
      </c>
      <c r="AK247" s="7">
        <v>2</v>
      </c>
      <c r="AL247" s="7">
        <v>1</v>
      </c>
      <c r="AM247" s="7">
        <v>15724.18</v>
      </c>
      <c r="AN247" s="7">
        <v>3218.55</v>
      </c>
      <c r="AP247" s="7">
        <v>12256.9</v>
      </c>
      <c r="AQ247" s="7">
        <v>24762.53</v>
      </c>
      <c r="AS247" s="7">
        <v>363.62</v>
      </c>
      <c r="AV247" s="31"/>
      <c r="AW247" s="117"/>
      <c r="AZ247" s="7">
        <v>181.81</v>
      </c>
      <c r="BG247" s="7">
        <v>363.62</v>
      </c>
      <c r="BO247" s="7">
        <v>181.81</v>
      </c>
      <c r="BS247" s="7">
        <v>2456.9</v>
      </c>
      <c r="BT247" s="7">
        <f t="shared" si="243"/>
        <v>18181.080000000002</v>
      </c>
      <c r="BU247" s="144">
        <f t="shared" si="244"/>
        <v>1.9999911996427054E-2</v>
      </c>
    </row>
    <row r="248" spans="1:73" ht="15" hidden="1" customHeight="1" x14ac:dyDescent="0.2">
      <c r="A248" s="133">
        <f t="shared" si="237"/>
        <v>1</v>
      </c>
      <c r="B248" s="141">
        <v>45292</v>
      </c>
      <c r="C248" s="10" t="s">
        <v>102</v>
      </c>
      <c r="D248" s="42" t="str">
        <f t="shared" si="238"/>
        <v>NO</v>
      </c>
      <c r="E248" s="7">
        <v>203239</v>
      </c>
      <c r="F248" s="7" t="s">
        <v>782</v>
      </c>
      <c r="G248" s="7" t="s">
        <v>783</v>
      </c>
      <c r="H248" s="29">
        <v>45323</v>
      </c>
      <c r="I248" s="7">
        <v>93328378</v>
      </c>
      <c r="J248" s="7" t="s">
        <v>784</v>
      </c>
      <c r="K248" s="7" t="s">
        <v>785</v>
      </c>
      <c r="L248" s="7" t="s">
        <v>164</v>
      </c>
      <c r="M248" s="7"/>
      <c r="N248" s="29">
        <v>45010</v>
      </c>
      <c r="Q248" s="7" t="s">
        <v>157</v>
      </c>
      <c r="R248" s="7" t="s">
        <v>165</v>
      </c>
      <c r="S248" s="7" t="s">
        <v>126</v>
      </c>
      <c r="T248" s="7" t="s">
        <v>180</v>
      </c>
      <c r="U248" s="7" t="s">
        <v>167</v>
      </c>
      <c r="V248" s="7" t="s">
        <v>168</v>
      </c>
      <c r="W248" s="7">
        <v>108803</v>
      </c>
      <c r="X248" s="7" t="s">
        <v>169</v>
      </c>
      <c r="Y248" s="7" t="s">
        <v>170</v>
      </c>
      <c r="AA248" s="7" t="s">
        <v>171</v>
      </c>
      <c r="AB248" s="7" t="s">
        <v>172</v>
      </c>
      <c r="AC248" s="7">
        <v>1130</v>
      </c>
      <c r="AF248" s="31" t="s">
        <v>173</v>
      </c>
      <c r="AG248" s="7" t="s">
        <v>170</v>
      </c>
      <c r="AH248" s="31"/>
      <c r="AI248" s="7" t="s">
        <v>174</v>
      </c>
      <c r="AK248" s="7">
        <v>3</v>
      </c>
      <c r="AL248" s="7">
        <v>1</v>
      </c>
      <c r="AM248" s="7">
        <v>68730.25</v>
      </c>
      <c r="AN248" s="7">
        <v>13976.77</v>
      </c>
      <c r="AP248" s="7">
        <v>16479.22</v>
      </c>
      <c r="AQ248" s="7">
        <v>71232.7</v>
      </c>
      <c r="AS248" s="7">
        <v>1528.41</v>
      </c>
      <c r="AX248" s="118"/>
      <c r="AZ248" s="41">
        <v>764.21</v>
      </c>
      <c r="BG248" s="7">
        <v>1528.41</v>
      </c>
      <c r="BO248" s="7">
        <v>764.21</v>
      </c>
      <c r="BP248" s="7">
        <v>5000</v>
      </c>
      <c r="BS248" s="7">
        <v>7690.33</v>
      </c>
      <c r="BT248" s="7">
        <f t="shared" si="243"/>
        <v>76420.58</v>
      </c>
      <c r="BU248" s="144">
        <f t="shared" si="244"/>
        <v>1.9999979063231397E-2</v>
      </c>
    </row>
    <row r="249" spans="1:73" ht="15" hidden="1" customHeight="1" x14ac:dyDescent="0.2">
      <c r="A249" s="133">
        <f t="shared" si="237"/>
        <v>1</v>
      </c>
      <c r="B249" s="141">
        <v>45292</v>
      </c>
      <c r="C249" s="10" t="s">
        <v>153</v>
      </c>
      <c r="D249" s="42" t="str">
        <f t="shared" si="238"/>
        <v>NO</v>
      </c>
      <c r="E249" s="7">
        <v>309086</v>
      </c>
      <c r="F249" s="7" t="s">
        <v>786</v>
      </c>
      <c r="G249" s="7" t="s">
        <v>787</v>
      </c>
      <c r="H249" s="29">
        <v>45296</v>
      </c>
      <c r="I249" s="7">
        <v>36373900</v>
      </c>
      <c r="J249" s="7" t="s">
        <v>788</v>
      </c>
      <c r="K249" s="7" t="s">
        <v>789</v>
      </c>
      <c r="L249" s="7" t="s">
        <v>179</v>
      </c>
      <c r="M249" s="7"/>
      <c r="N249" s="29">
        <v>45263</v>
      </c>
      <c r="P249" s="29">
        <v>45291</v>
      </c>
      <c r="Q249" s="7" t="s">
        <v>157</v>
      </c>
      <c r="R249" s="7" t="s">
        <v>214</v>
      </c>
      <c r="S249" s="7" t="s">
        <v>126</v>
      </c>
      <c r="T249" s="7" t="s">
        <v>239</v>
      </c>
      <c r="U249" s="7" t="s">
        <v>167</v>
      </c>
      <c r="V249" s="7" t="s">
        <v>254</v>
      </c>
      <c r="W249" s="7">
        <v>108803</v>
      </c>
      <c r="X249" s="7" t="s">
        <v>169</v>
      </c>
      <c r="Y249" s="7" t="s">
        <v>170</v>
      </c>
      <c r="AA249" s="7" t="s">
        <v>171</v>
      </c>
      <c r="AB249" s="7" t="s">
        <v>172</v>
      </c>
      <c r="AC249" s="7">
        <v>1130</v>
      </c>
      <c r="AF249" s="31" t="s">
        <v>173</v>
      </c>
      <c r="AG249" s="7" t="s">
        <v>170</v>
      </c>
      <c r="AH249" s="31"/>
      <c r="AI249" s="7" t="s">
        <v>174</v>
      </c>
      <c r="AK249" s="7">
        <v>1</v>
      </c>
      <c r="AL249" s="7">
        <v>1</v>
      </c>
      <c r="AP249" s="7">
        <v>4462.5</v>
      </c>
      <c r="AQ249" s="7">
        <v>4462.5</v>
      </c>
      <c r="AS249" s="7"/>
      <c r="AZ249" s="41"/>
    </row>
    <row r="250" spans="1:73" ht="15" hidden="1" customHeight="1" x14ac:dyDescent="0.2">
      <c r="A250" s="133">
        <f t="shared" si="237"/>
        <v>1</v>
      </c>
      <c r="B250" s="141">
        <v>45292</v>
      </c>
      <c r="C250" s="10" t="s">
        <v>102</v>
      </c>
      <c r="D250" s="42" t="str">
        <f t="shared" si="238"/>
        <v>NO</v>
      </c>
      <c r="E250" s="7">
        <v>296586</v>
      </c>
      <c r="F250" s="7" t="s">
        <v>790</v>
      </c>
      <c r="G250" s="7" t="s">
        <v>791</v>
      </c>
      <c r="H250" s="29">
        <v>45323</v>
      </c>
      <c r="I250" s="7">
        <v>95229086</v>
      </c>
      <c r="J250" s="7" t="s">
        <v>792</v>
      </c>
      <c r="K250" s="7" t="s">
        <v>793</v>
      </c>
      <c r="L250" s="7" t="s">
        <v>164</v>
      </c>
      <c r="M250" s="7"/>
      <c r="N250" s="29">
        <v>44624</v>
      </c>
      <c r="Q250" s="7" t="s">
        <v>157</v>
      </c>
      <c r="R250" s="7" t="s">
        <v>165</v>
      </c>
      <c r="S250" s="7" t="s">
        <v>126</v>
      </c>
      <c r="T250" s="7" t="s">
        <v>239</v>
      </c>
      <c r="U250" s="7" t="s">
        <v>167</v>
      </c>
      <c r="V250" s="7" t="s">
        <v>168</v>
      </c>
      <c r="W250" s="7">
        <v>108803</v>
      </c>
      <c r="X250" s="7" t="s">
        <v>169</v>
      </c>
      <c r="Y250" s="7" t="s">
        <v>170</v>
      </c>
      <c r="AA250" s="7" t="s">
        <v>171</v>
      </c>
      <c r="AB250" s="7" t="s">
        <v>172</v>
      </c>
      <c r="AC250" s="7">
        <v>1130</v>
      </c>
      <c r="AF250" s="31" t="s">
        <v>173</v>
      </c>
      <c r="AG250" s="7" t="s">
        <v>170</v>
      </c>
      <c r="AH250" s="31"/>
      <c r="AI250" s="7" t="s">
        <v>174</v>
      </c>
      <c r="AK250" s="7">
        <v>4</v>
      </c>
      <c r="AL250" s="7">
        <v>1</v>
      </c>
      <c r="AM250" s="7">
        <v>146991.54999999999</v>
      </c>
      <c r="AN250" s="7">
        <v>29568.03</v>
      </c>
      <c r="AP250" s="7">
        <v>31537.42</v>
      </c>
      <c r="AQ250" s="7">
        <v>148960.94</v>
      </c>
      <c r="AS250" s="7">
        <v>3052.97</v>
      </c>
      <c r="AW250" s="61"/>
      <c r="AX250" s="118"/>
      <c r="AZ250" s="7">
        <v>1526.49</v>
      </c>
      <c r="BG250" s="7">
        <v>3052.97</v>
      </c>
      <c r="BO250" s="7">
        <v>1526.49</v>
      </c>
      <c r="BP250" s="7">
        <v>5000</v>
      </c>
      <c r="BS250" s="7">
        <v>5656.87</v>
      </c>
      <c r="BT250" s="7">
        <f t="shared" ref="BT250:BT251" si="245">+BS250+AM250</f>
        <v>152648.41999999998</v>
      </c>
      <c r="BU250" s="144">
        <f t="shared" ref="BU250:BU251" si="246">+AS250/BT250</f>
        <v>2.0000010481602104E-2</v>
      </c>
    </row>
    <row r="251" spans="1:73" ht="15" hidden="1" customHeight="1" x14ac:dyDescent="0.2">
      <c r="A251" s="133">
        <f t="shared" si="237"/>
        <v>1</v>
      </c>
      <c r="B251" s="141">
        <v>45292</v>
      </c>
      <c r="C251" s="10" t="s">
        <v>102</v>
      </c>
      <c r="D251" s="42" t="str">
        <f t="shared" si="238"/>
        <v>NO</v>
      </c>
      <c r="E251" s="7">
        <v>328995</v>
      </c>
      <c r="F251" s="7" t="s">
        <v>794</v>
      </c>
      <c r="G251" s="7" t="s">
        <v>795</v>
      </c>
      <c r="H251" s="29">
        <v>45323</v>
      </c>
      <c r="I251" s="7">
        <v>37018114</v>
      </c>
      <c r="J251" s="7" t="s">
        <v>796</v>
      </c>
      <c r="K251" s="7" t="s">
        <v>797</v>
      </c>
      <c r="L251" s="7" t="s">
        <v>179</v>
      </c>
      <c r="M251" s="7"/>
      <c r="N251" s="29">
        <v>45159</v>
      </c>
      <c r="Q251" s="7" t="s">
        <v>157</v>
      </c>
      <c r="R251" s="7" t="s">
        <v>165</v>
      </c>
      <c r="S251" s="7" t="s">
        <v>126</v>
      </c>
      <c r="T251" s="7" t="s">
        <v>166</v>
      </c>
      <c r="U251" s="7" t="s">
        <v>167</v>
      </c>
      <c r="V251" s="7" t="s">
        <v>168</v>
      </c>
      <c r="W251" s="7">
        <v>108803</v>
      </c>
      <c r="X251" s="7" t="s">
        <v>169</v>
      </c>
      <c r="Y251" s="7" t="s">
        <v>170</v>
      </c>
      <c r="AA251" s="7" t="s">
        <v>189</v>
      </c>
      <c r="AB251" s="7" t="s">
        <v>190</v>
      </c>
      <c r="AC251" s="7">
        <v>1584</v>
      </c>
      <c r="AF251" s="31" t="s">
        <v>173</v>
      </c>
      <c r="AG251" s="7" t="s">
        <v>170</v>
      </c>
      <c r="AH251" s="31"/>
      <c r="AI251" s="7" t="s">
        <v>174</v>
      </c>
      <c r="AK251" s="7">
        <v>4</v>
      </c>
      <c r="AL251" s="7">
        <v>1</v>
      </c>
      <c r="AM251" s="7">
        <v>68558.740000000005</v>
      </c>
      <c r="AN251" s="7">
        <v>13867.03</v>
      </c>
      <c r="AP251" s="7">
        <v>23298.41</v>
      </c>
      <c r="AQ251" s="7">
        <v>77990.12</v>
      </c>
      <c r="AS251" s="7">
        <v>1474.7</v>
      </c>
      <c r="AW251" s="61"/>
      <c r="AZ251" s="7">
        <v>737.35</v>
      </c>
      <c r="BG251" s="7">
        <v>1474.7</v>
      </c>
      <c r="BO251" s="7">
        <v>737.35</v>
      </c>
      <c r="BP251" s="7">
        <v>5000</v>
      </c>
      <c r="BS251" s="7">
        <v>5176.1899999999996</v>
      </c>
      <c r="BT251" s="7">
        <f t="shared" si="245"/>
        <v>73734.930000000008</v>
      </c>
      <c r="BU251" s="144">
        <f t="shared" si="246"/>
        <v>2.0000018986930615E-2</v>
      </c>
    </row>
    <row r="252" spans="1:73" ht="15" hidden="1" customHeight="1" x14ac:dyDescent="0.2">
      <c r="A252" s="133">
        <f t="shared" si="237"/>
        <v>1</v>
      </c>
      <c r="B252" s="141">
        <v>45292</v>
      </c>
      <c r="C252" s="10" t="s">
        <v>153</v>
      </c>
      <c r="D252" s="42" t="str">
        <f t="shared" si="238"/>
        <v>NO</v>
      </c>
      <c r="E252" s="7">
        <v>336402</v>
      </c>
      <c r="F252" s="7" t="s">
        <v>798</v>
      </c>
      <c r="G252" s="7" t="s">
        <v>799</v>
      </c>
      <c r="H252" s="29">
        <v>45296</v>
      </c>
      <c r="I252" s="7">
        <v>46579831</v>
      </c>
      <c r="J252" s="7" t="s">
        <v>800</v>
      </c>
      <c r="K252" s="7" t="s">
        <v>801</v>
      </c>
      <c r="L252" s="7" t="s">
        <v>179</v>
      </c>
      <c r="M252" s="7"/>
      <c r="N252" s="29">
        <v>45269</v>
      </c>
      <c r="P252" s="29">
        <v>45291</v>
      </c>
      <c r="Q252" s="7" t="s">
        <v>157</v>
      </c>
      <c r="R252" s="7" t="s">
        <v>165</v>
      </c>
      <c r="S252" s="7" t="s">
        <v>126</v>
      </c>
      <c r="T252" s="7" t="s">
        <v>166</v>
      </c>
      <c r="U252" s="7" t="s">
        <v>167</v>
      </c>
      <c r="V252" s="7" t="s">
        <v>168</v>
      </c>
      <c r="W252" s="7">
        <v>108803</v>
      </c>
      <c r="X252" s="7" t="s">
        <v>169</v>
      </c>
      <c r="Y252" s="7" t="s">
        <v>170</v>
      </c>
      <c r="AA252" s="7" t="s">
        <v>189</v>
      </c>
      <c r="AB252" s="7" t="s">
        <v>190</v>
      </c>
      <c r="AC252" s="7">
        <v>1584</v>
      </c>
      <c r="AF252" s="31" t="s">
        <v>173</v>
      </c>
      <c r="AG252" s="7" t="s">
        <v>170</v>
      </c>
      <c r="AH252" s="31"/>
      <c r="AI252" s="7" t="s">
        <v>174</v>
      </c>
      <c r="AK252" s="7">
        <v>1</v>
      </c>
      <c r="AL252" s="7">
        <v>1</v>
      </c>
      <c r="AP252" s="7">
        <v>622.22</v>
      </c>
      <c r="AQ252" s="7">
        <v>622.22</v>
      </c>
      <c r="AS252" s="7"/>
      <c r="AV252" s="31"/>
    </row>
    <row r="253" spans="1:73" ht="15" hidden="1" customHeight="1" x14ac:dyDescent="0.2">
      <c r="A253" s="133">
        <f t="shared" si="237"/>
        <v>1</v>
      </c>
      <c r="B253" s="141">
        <v>45292</v>
      </c>
      <c r="C253" s="10" t="s">
        <v>102</v>
      </c>
      <c r="D253" s="42" t="str">
        <f t="shared" si="238"/>
        <v>NO</v>
      </c>
      <c r="E253" s="7">
        <v>337378</v>
      </c>
      <c r="F253" s="7" t="s">
        <v>802</v>
      </c>
      <c r="G253" s="7" t="s">
        <v>803</v>
      </c>
      <c r="H253" s="29">
        <v>45323</v>
      </c>
      <c r="I253" s="7">
        <v>43815918</v>
      </c>
      <c r="J253" s="7" t="s">
        <v>804</v>
      </c>
      <c r="K253" s="7" t="s">
        <v>805</v>
      </c>
      <c r="L253" s="7" t="s">
        <v>179</v>
      </c>
      <c r="M253" s="7"/>
      <c r="N253" s="29">
        <v>45291</v>
      </c>
      <c r="Q253" s="7" t="s">
        <v>157</v>
      </c>
      <c r="R253" s="7" t="s">
        <v>165</v>
      </c>
      <c r="S253" s="7" t="s">
        <v>126</v>
      </c>
      <c r="T253" s="7" t="s">
        <v>200</v>
      </c>
      <c r="U253" s="7" t="s">
        <v>167</v>
      </c>
      <c r="V253" s="7" t="s">
        <v>168</v>
      </c>
      <c r="W253" s="7">
        <v>108803</v>
      </c>
      <c r="X253" s="7" t="s">
        <v>169</v>
      </c>
      <c r="Y253" s="7" t="s">
        <v>170</v>
      </c>
      <c r="AA253" s="7" t="s">
        <v>189</v>
      </c>
      <c r="AB253" s="7" t="s">
        <v>190</v>
      </c>
      <c r="AC253" s="7">
        <v>1584</v>
      </c>
      <c r="AF253" s="31" t="s">
        <v>173</v>
      </c>
      <c r="AG253" s="7" t="s">
        <v>170</v>
      </c>
      <c r="AH253" s="31"/>
      <c r="AI253" s="7" t="s">
        <v>174</v>
      </c>
      <c r="AK253" s="7">
        <v>2</v>
      </c>
      <c r="AL253" s="7">
        <v>1</v>
      </c>
      <c r="AM253" s="7">
        <v>8518.58</v>
      </c>
      <c r="AN253" s="7">
        <v>1743.65</v>
      </c>
      <c r="AP253" s="7">
        <v>2731.03</v>
      </c>
      <c r="AQ253" s="7">
        <v>9505.9599999999991</v>
      </c>
      <c r="AS253" s="7">
        <v>196.99</v>
      </c>
      <c r="AZ253" s="7">
        <v>98.5</v>
      </c>
      <c r="BG253" s="7">
        <v>196.99</v>
      </c>
      <c r="BO253" s="7">
        <v>98.5</v>
      </c>
      <c r="BS253" s="7">
        <v>1331.03</v>
      </c>
      <c r="BT253" s="7">
        <f t="shared" ref="BT253:BT255" si="247">+BS253+AM253</f>
        <v>9849.61</v>
      </c>
      <c r="BU253" s="144">
        <f t="shared" ref="BU253:BU255" si="248">+AS253/BT253</f>
        <v>1.9999776640902533E-2</v>
      </c>
    </row>
    <row r="254" spans="1:73" ht="15" hidden="1" customHeight="1" x14ac:dyDescent="0.2">
      <c r="A254" s="133">
        <f t="shared" si="237"/>
        <v>1</v>
      </c>
      <c r="B254" s="141">
        <v>45292</v>
      </c>
      <c r="C254" s="10" t="s">
        <v>102</v>
      </c>
      <c r="D254" s="42" t="str">
        <f t="shared" si="238"/>
        <v>NO</v>
      </c>
      <c r="E254" s="7">
        <v>335391</v>
      </c>
      <c r="F254" s="7" t="s">
        <v>806</v>
      </c>
      <c r="G254" s="7" t="s">
        <v>807</v>
      </c>
      <c r="H254" s="29">
        <v>45323</v>
      </c>
      <c r="I254" s="7">
        <v>40897135</v>
      </c>
      <c r="J254" s="7" t="s">
        <v>808</v>
      </c>
      <c r="K254" s="7" t="s">
        <v>809</v>
      </c>
      <c r="L254" s="7" t="s">
        <v>179</v>
      </c>
      <c r="M254" s="7"/>
      <c r="N254" s="29">
        <v>45263</v>
      </c>
      <c r="Q254" s="7" t="s">
        <v>157</v>
      </c>
      <c r="R254" s="7" t="s">
        <v>214</v>
      </c>
      <c r="S254" s="7" t="s">
        <v>126</v>
      </c>
      <c r="T254" s="7" t="s">
        <v>239</v>
      </c>
      <c r="U254" s="7" t="s">
        <v>167</v>
      </c>
      <c r="V254" s="7" t="s">
        <v>215</v>
      </c>
      <c r="W254" s="7">
        <v>108803</v>
      </c>
      <c r="X254" s="7" t="s">
        <v>169</v>
      </c>
      <c r="Y254" s="7" t="s">
        <v>170</v>
      </c>
      <c r="AA254" s="7" t="s">
        <v>171</v>
      </c>
      <c r="AB254" s="7" t="s">
        <v>172</v>
      </c>
      <c r="AC254" s="7">
        <v>1130</v>
      </c>
      <c r="AF254" s="31" t="s">
        <v>173</v>
      </c>
      <c r="AG254" s="7" t="s">
        <v>170</v>
      </c>
      <c r="AH254" s="31"/>
      <c r="AI254" s="7" t="s">
        <v>174</v>
      </c>
      <c r="AK254" s="7">
        <v>3</v>
      </c>
      <c r="AL254" s="7">
        <v>1</v>
      </c>
      <c r="AM254" s="7">
        <v>70758.84</v>
      </c>
      <c r="AN254" s="7">
        <v>14483.46</v>
      </c>
      <c r="AP254" s="7">
        <v>27768.57</v>
      </c>
      <c r="AQ254" s="7">
        <v>84043.95</v>
      </c>
      <c r="AS254" s="7">
        <v>1636.3</v>
      </c>
      <c r="AZ254" s="7">
        <v>818.15</v>
      </c>
      <c r="BG254" s="7">
        <v>1636.3</v>
      </c>
      <c r="BO254" s="7">
        <v>818.15</v>
      </c>
      <c r="BP254" s="7">
        <v>5000</v>
      </c>
      <c r="BS254" s="7">
        <v>11056.07</v>
      </c>
      <c r="BT254" s="7">
        <f t="shared" si="247"/>
        <v>81814.91</v>
      </c>
      <c r="BU254" s="144">
        <f t="shared" si="248"/>
        <v>2.0000022000879789E-2</v>
      </c>
    </row>
    <row r="255" spans="1:73" ht="15" hidden="1" customHeight="1" x14ac:dyDescent="0.2">
      <c r="A255" s="133">
        <f t="shared" si="237"/>
        <v>1</v>
      </c>
      <c r="B255" s="141">
        <v>45292</v>
      </c>
      <c r="C255" s="10" t="s">
        <v>102</v>
      </c>
      <c r="D255" s="42" t="str">
        <f t="shared" si="238"/>
        <v>NO</v>
      </c>
      <c r="E255" s="7">
        <v>310965</v>
      </c>
      <c r="F255" s="7" t="s">
        <v>810</v>
      </c>
      <c r="G255" s="7" t="s">
        <v>811</v>
      </c>
      <c r="H255" s="29">
        <v>45323</v>
      </c>
      <c r="I255" s="7">
        <v>35435756</v>
      </c>
      <c r="J255" s="7" t="s">
        <v>812</v>
      </c>
      <c r="K255" s="7" t="s">
        <v>813</v>
      </c>
      <c r="L255" s="7" t="s">
        <v>179</v>
      </c>
      <c r="M255" s="7"/>
      <c r="N255" s="29">
        <v>45138</v>
      </c>
      <c r="Q255" s="7" t="s">
        <v>157</v>
      </c>
      <c r="R255" s="7" t="s">
        <v>165</v>
      </c>
      <c r="S255" s="7" t="s">
        <v>126</v>
      </c>
      <c r="T255" s="7" t="s">
        <v>166</v>
      </c>
      <c r="U255" s="7" t="s">
        <v>167</v>
      </c>
      <c r="V255" s="7" t="s">
        <v>168</v>
      </c>
      <c r="W255" s="7">
        <v>126908</v>
      </c>
      <c r="X255" s="7" t="s">
        <v>365</v>
      </c>
      <c r="Y255" s="7" t="s">
        <v>170</v>
      </c>
      <c r="AA255" s="7" t="s">
        <v>171</v>
      </c>
      <c r="AB255" s="7" t="s">
        <v>172</v>
      </c>
      <c r="AC255" s="7">
        <v>1130</v>
      </c>
      <c r="AF255" s="31" t="s">
        <v>173</v>
      </c>
      <c r="AG255" s="7" t="s">
        <v>170</v>
      </c>
      <c r="AH255" s="31"/>
      <c r="AI255" s="7" t="s">
        <v>174</v>
      </c>
      <c r="AK255" s="7">
        <v>5</v>
      </c>
      <c r="AL255" s="7">
        <v>1</v>
      </c>
      <c r="AM255" s="7">
        <v>287107.21000000002</v>
      </c>
      <c r="AN255" s="7">
        <v>58140.2</v>
      </c>
      <c r="AP255" s="7">
        <v>49547.22</v>
      </c>
      <c r="AQ255" s="7">
        <v>278514.23</v>
      </c>
      <c r="AS255" s="7">
        <v>6221.3</v>
      </c>
      <c r="AX255" s="118"/>
      <c r="AZ255" s="7">
        <v>3110.66</v>
      </c>
      <c r="BG255" s="7">
        <v>6221.3</v>
      </c>
      <c r="BO255" s="7">
        <v>3110.66</v>
      </c>
      <c r="BP255" s="7">
        <v>10000</v>
      </c>
      <c r="BS255" s="7">
        <v>23958.34</v>
      </c>
      <c r="BT255" s="7">
        <f t="shared" si="247"/>
        <v>311065.55000000005</v>
      </c>
      <c r="BU255" s="144">
        <f t="shared" si="248"/>
        <v>1.9999964637678454E-2</v>
      </c>
    </row>
    <row r="256" spans="1:73" ht="11.25" hidden="1" x14ac:dyDescent="0.2">
      <c r="A256" s="133">
        <f t="shared" si="237"/>
        <v>2</v>
      </c>
      <c r="B256" s="141">
        <v>45323</v>
      </c>
      <c r="C256" s="10" t="s">
        <v>926</v>
      </c>
      <c r="D256" s="42" t="str">
        <f t="shared" si="238"/>
        <v>NO</v>
      </c>
      <c r="E256" s="7">
        <v>144950</v>
      </c>
      <c r="F256" s="7" t="s">
        <v>814</v>
      </c>
      <c r="G256" s="7" t="s">
        <v>815</v>
      </c>
      <c r="H256" s="7">
        <v>45356</v>
      </c>
      <c r="I256" s="7">
        <v>32564987</v>
      </c>
      <c r="J256" s="7" t="s">
        <v>816</v>
      </c>
      <c r="K256" s="7" t="s">
        <v>817</v>
      </c>
      <c r="L256" s="7" t="s">
        <v>179</v>
      </c>
      <c r="N256" s="29">
        <v>45291</v>
      </c>
      <c r="O256" s="29">
        <v>45338</v>
      </c>
      <c r="P256" s="29">
        <v>45338</v>
      </c>
      <c r="Q256" s="7" t="s">
        <v>157</v>
      </c>
      <c r="R256" s="7" t="s">
        <v>245</v>
      </c>
      <c r="S256" s="7" t="s">
        <v>126</v>
      </c>
      <c r="T256" s="7" t="s">
        <v>206</v>
      </c>
      <c r="U256" s="7" t="s">
        <v>167</v>
      </c>
      <c r="V256" s="7" t="s">
        <v>246</v>
      </c>
      <c r="W256" s="7">
        <v>108803</v>
      </c>
      <c r="X256" s="7" t="s">
        <v>169</v>
      </c>
      <c r="Y256" s="7" t="s">
        <v>170</v>
      </c>
      <c r="AA256" s="7" t="s">
        <v>208</v>
      </c>
      <c r="AB256" s="7" t="s">
        <v>209</v>
      </c>
      <c r="AC256" s="7">
        <v>1035</v>
      </c>
      <c r="AF256" s="7" t="s">
        <v>173</v>
      </c>
      <c r="AG256" s="7" t="s">
        <v>170</v>
      </c>
      <c r="AI256" s="7" t="s">
        <v>174</v>
      </c>
      <c r="AK256" s="7">
        <v>2</v>
      </c>
      <c r="AL256" s="7">
        <v>1</v>
      </c>
      <c r="AM256" s="7">
        <v>68527.87</v>
      </c>
      <c r="AN256" s="7">
        <v>14191.73</v>
      </c>
      <c r="AP256" s="7">
        <v>16205.68</v>
      </c>
      <c r="AQ256" s="30">
        <v>70541.820000000007</v>
      </c>
      <c r="AS256" s="7">
        <v>1694.67</v>
      </c>
      <c r="AZ256" s="7">
        <v>847.33</v>
      </c>
      <c r="BG256" s="7">
        <v>1694.67</v>
      </c>
      <c r="BO256" s="7">
        <v>847.33</v>
      </c>
      <c r="BR256" s="7">
        <v>5084</v>
      </c>
      <c r="BS256" s="7">
        <v>16205.68</v>
      </c>
      <c r="BT256" s="7">
        <f>+AM256+BS256</f>
        <v>84733.549999999988</v>
      </c>
    </row>
    <row r="257" spans="1:72" ht="11.25" hidden="1" x14ac:dyDescent="0.2">
      <c r="A257" s="133">
        <f t="shared" si="237"/>
        <v>2</v>
      </c>
      <c r="B257" s="141">
        <v>45323</v>
      </c>
      <c r="C257" s="10" t="s">
        <v>926</v>
      </c>
      <c r="D257" s="42" t="str">
        <f t="shared" si="238"/>
        <v>NO</v>
      </c>
      <c r="E257" s="7">
        <v>339863</v>
      </c>
      <c r="F257" s="7" t="s">
        <v>818</v>
      </c>
      <c r="G257" s="7" t="s">
        <v>819</v>
      </c>
      <c r="H257" s="7">
        <v>45356</v>
      </c>
      <c r="I257" s="7">
        <v>35217184</v>
      </c>
      <c r="J257" s="7" t="s">
        <v>820</v>
      </c>
      <c r="K257" s="7" t="s">
        <v>821</v>
      </c>
      <c r="L257" s="7" t="s">
        <v>179</v>
      </c>
      <c r="N257" s="29">
        <v>45339</v>
      </c>
      <c r="Q257" s="7" t="s">
        <v>157</v>
      </c>
      <c r="R257" s="7" t="s">
        <v>245</v>
      </c>
      <c r="S257" s="7" t="s">
        <v>126</v>
      </c>
      <c r="T257" s="7" t="s">
        <v>200</v>
      </c>
      <c r="U257" s="7" t="s">
        <v>167</v>
      </c>
      <c r="V257" s="7" t="s">
        <v>246</v>
      </c>
      <c r="W257" s="7">
        <v>108803</v>
      </c>
      <c r="X257" s="7" t="s">
        <v>169</v>
      </c>
      <c r="Y257" s="7" t="s">
        <v>170</v>
      </c>
      <c r="AA257" s="7" t="s">
        <v>189</v>
      </c>
      <c r="AB257" s="7" t="s">
        <v>190</v>
      </c>
      <c r="AC257" s="7">
        <v>1584</v>
      </c>
      <c r="AF257" s="7" t="s">
        <v>173</v>
      </c>
      <c r="AG257" s="7" t="s">
        <v>170</v>
      </c>
      <c r="AI257" s="7" t="s">
        <v>174</v>
      </c>
      <c r="AK257" s="7">
        <v>2</v>
      </c>
      <c r="AL257" s="7">
        <v>1</v>
      </c>
      <c r="AM257" s="7">
        <v>21757.38</v>
      </c>
      <c r="AN257" s="7">
        <v>4504.46</v>
      </c>
      <c r="AP257" s="7">
        <v>5099.38</v>
      </c>
      <c r="AQ257" s="30">
        <v>22352.3</v>
      </c>
      <c r="AS257" s="7">
        <v>537.14</v>
      </c>
      <c r="AZ257" s="7">
        <v>268.56</v>
      </c>
      <c r="BG257" s="7">
        <v>537.14</v>
      </c>
      <c r="BO257" s="7">
        <v>268.56</v>
      </c>
      <c r="BR257" s="7">
        <v>1611.4</v>
      </c>
      <c r="BS257" s="7">
        <v>5099.38</v>
      </c>
      <c r="BT257" s="7">
        <f t="shared" ref="BT257:BT260" si="249">+AM257+BS257</f>
        <v>26856.760000000002</v>
      </c>
    </row>
    <row r="258" spans="1:72" ht="11.25" hidden="1" x14ac:dyDescent="0.2">
      <c r="A258" s="133">
        <f t="shared" si="237"/>
        <v>2</v>
      </c>
      <c r="B258" s="141">
        <v>45323</v>
      </c>
      <c r="C258" s="10" t="s">
        <v>926</v>
      </c>
      <c r="D258" s="42" t="str">
        <f t="shared" si="238"/>
        <v>NO</v>
      </c>
      <c r="E258" s="7">
        <v>329020</v>
      </c>
      <c r="F258" s="7" t="s">
        <v>160</v>
      </c>
      <c r="G258" s="7" t="s">
        <v>161</v>
      </c>
      <c r="H258" s="7">
        <v>45350</v>
      </c>
      <c r="I258" s="7">
        <v>35204140</v>
      </c>
      <c r="J258" s="7" t="s">
        <v>162</v>
      </c>
      <c r="K258" s="7" t="s">
        <v>163</v>
      </c>
      <c r="L258" s="7" t="s">
        <v>164</v>
      </c>
      <c r="N258" s="29">
        <v>45155</v>
      </c>
      <c r="Q258" s="7" t="s">
        <v>157</v>
      </c>
      <c r="R258" s="7" t="s">
        <v>165</v>
      </c>
      <c r="S258" s="7" t="s">
        <v>126</v>
      </c>
      <c r="T258" s="7" t="s">
        <v>166</v>
      </c>
      <c r="U258" s="7" t="s">
        <v>167</v>
      </c>
      <c r="V258" s="7" t="s">
        <v>168</v>
      </c>
      <c r="W258" s="7">
        <v>108803</v>
      </c>
      <c r="X258" s="7" t="s">
        <v>169</v>
      </c>
      <c r="Y258" s="7" t="s">
        <v>170</v>
      </c>
      <c r="AA258" s="7" t="s">
        <v>171</v>
      </c>
      <c r="AB258" s="7" t="s">
        <v>172</v>
      </c>
      <c r="AC258" s="7">
        <v>1130</v>
      </c>
      <c r="AF258" s="7" t="s">
        <v>173</v>
      </c>
      <c r="AG258" s="7" t="s">
        <v>170</v>
      </c>
      <c r="AI258" s="7" t="s">
        <v>174</v>
      </c>
      <c r="AK258" s="7">
        <v>2</v>
      </c>
      <c r="AL258" s="7">
        <v>1</v>
      </c>
      <c r="AM258" s="7">
        <v>169010.54</v>
      </c>
      <c r="AN258" s="7">
        <v>34667.25</v>
      </c>
      <c r="AP258" s="7">
        <v>28838.75</v>
      </c>
      <c r="AQ258" s="30">
        <v>163182.04</v>
      </c>
      <c r="AS258" s="7">
        <v>3956.98</v>
      </c>
      <c r="AZ258" s="7">
        <v>1978.49</v>
      </c>
      <c r="BG258" s="7">
        <v>3956.98</v>
      </c>
      <c r="BO258" s="7">
        <v>1978.49</v>
      </c>
      <c r="BR258" s="7">
        <v>11870.94</v>
      </c>
      <c r="BS258" s="7">
        <v>28838.75</v>
      </c>
      <c r="BT258" s="7">
        <f t="shared" si="249"/>
        <v>197849.29</v>
      </c>
    </row>
    <row r="259" spans="1:72" ht="11.25" hidden="1" x14ac:dyDescent="0.2">
      <c r="A259" s="133">
        <f t="shared" si="237"/>
        <v>2</v>
      </c>
      <c r="B259" s="141">
        <v>45323</v>
      </c>
      <c r="C259" s="10" t="s">
        <v>926</v>
      </c>
      <c r="D259" s="42" t="str">
        <f t="shared" si="238"/>
        <v>NO</v>
      </c>
      <c r="E259" s="7">
        <v>329022</v>
      </c>
      <c r="F259" s="7" t="s">
        <v>181</v>
      </c>
      <c r="G259" s="7" t="s">
        <v>182</v>
      </c>
      <c r="H259" s="7">
        <v>45351</v>
      </c>
      <c r="I259" s="7">
        <v>42039302</v>
      </c>
      <c r="J259" s="7" t="s">
        <v>183</v>
      </c>
      <c r="K259" s="7" t="s">
        <v>184</v>
      </c>
      <c r="L259" s="7" t="s">
        <v>179</v>
      </c>
      <c r="N259" s="29">
        <v>45170</v>
      </c>
      <c r="Q259" s="7" t="s">
        <v>157</v>
      </c>
      <c r="R259" s="7" t="s">
        <v>165</v>
      </c>
      <c r="S259" s="7" t="s">
        <v>126</v>
      </c>
      <c r="T259" s="7" t="s">
        <v>180</v>
      </c>
      <c r="U259" s="7" t="s">
        <v>167</v>
      </c>
      <c r="V259" s="7" t="s">
        <v>168</v>
      </c>
      <c r="W259" s="7">
        <v>108803</v>
      </c>
      <c r="X259" s="7" t="s">
        <v>169</v>
      </c>
      <c r="Y259" s="7" t="s">
        <v>170</v>
      </c>
      <c r="AA259" s="7" t="s">
        <v>171</v>
      </c>
      <c r="AB259" s="7" t="s">
        <v>172</v>
      </c>
      <c r="AC259" s="7">
        <v>1130</v>
      </c>
      <c r="AF259" s="7" t="s">
        <v>173</v>
      </c>
      <c r="AG259" s="7" t="s">
        <v>170</v>
      </c>
      <c r="AI259" s="7" t="s">
        <v>174</v>
      </c>
      <c r="AK259" s="7">
        <v>2</v>
      </c>
      <c r="AL259" s="7">
        <v>1</v>
      </c>
      <c r="AM259" s="7">
        <v>145919.57</v>
      </c>
      <c r="AN259" s="7">
        <v>30102.33</v>
      </c>
      <c r="AP259" s="7">
        <v>30613.439999999999</v>
      </c>
      <c r="AQ259" s="30">
        <v>146430.68</v>
      </c>
      <c r="AS259" s="7">
        <v>3530.67</v>
      </c>
      <c r="AZ259" s="7">
        <v>1765.33</v>
      </c>
      <c r="BG259" s="7">
        <v>3530.67</v>
      </c>
      <c r="BO259" s="7">
        <v>1765.33</v>
      </c>
      <c r="BR259" s="7">
        <v>10592</v>
      </c>
      <c r="BS259" s="7">
        <v>30613.439999999999</v>
      </c>
      <c r="BT259" s="7">
        <f t="shared" si="249"/>
        <v>176533.01</v>
      </c>
    </row>
    <row r="260" spans="1:72" ht="11.25" hidden="1" x14ac:dyDescent="0.2">
      <c r="A260" s="133">
        <f t="shared" si="237"/>
        <v>2</v>
      </c>
      <c r="B260" s="141">
        <v>45323</v>
      </c>
      <c r="C260" s="10" t="s">
        <v>926</v>
      </c>
      <c r="D260" s="42" t="str">
        <f t="shared" si="238"/>
        <v>NO</v>
      </c>
      <c r="E260" s="7">
        <v>340188</v>
      </c>
      <c r="F260" s="7" t="s">
        <v>822</v>
      </c>
      <c r="G260" s="7" t="s">
        <v>823</v>
      </c>
      <c r="H260" s="7">
        <v>45350</v>
      </c>
      <c r="I260" s="7">
        <v>44963310</v>
      </c>
      <c r="J260" s="7" t="s">
        <v>824</v>
      </c>
      <c r="K260" s="7" t="s">
        <v>825</v>
      </c>
      <c r="L260" s="7" t="s">
        <v>179</v>
      </c>
      <c r="N260" s="29">
        <v>45346</v>
      </c>
      <c r="Q260" s="7" t="s">
        <v>157</v>
      </c>
      <c r="R260" s="7" t="s">
        <v>165</v>
      </c>
      <c r="S260" s="7" t="s">
        <v>126</v>
      </c>
      <c r="T260" s="7" t="s">
        <v>166</v>
      </c>
      <c r="U260" s="7" t="s">
        <v>167</v>
      </c>
      <c r="V260" s="7" t="s">
        <v>168</v>
      </c>
      <c r="W260" s="7">
        <v>108803</v>
      </c>
      <c r="X260" s="7" t="s">
        <v>169</v>
      </c>
      <c r="Y260" s="7" t="s">
        <v>170</v>
      </c>
      <c r="AA260" s="7" t="s">
        <v>189</v>
      </c>
      <c r="AB260" s="7" t="s">
        <v>190</v>
      </c>
      <c r="AC260" s="7">
        <v>1584</v>
      </c>
      <c r="AF260" s="7" t="s">
        <v>173</v>
      </c>
      <c r="AG260" s="7" t="s">
        <v>170</v>
      </c>
      <c r="AK260" s="7">
        <v>1</v>
      </c>
      <c r="AL260" s="7">
        <v>1</v>
      </c>
      <c r="AM260" s="7">
        <v>14446.2</v>
      </c>
      <c r="AN260" s="7">
        <v>2949.14</v>
      </c>
      <c r="AP260" s="7">
        <v>1996.53</v>
      </c>
      <c r="AQ260" s="30">
        <v>13493.59</v>
      </c>
      <c r="AS260" s="7">
        <v>328.85</v>
      </c>
      <c r="AZ260" s="7">
        <v>164.43</v>
      </c>
      <c r="BG260" s="7">
        <v>328.85</v>
      </c>
      <c r="BO260" s="7">
        <v>164.43</v>
      </c>
      <c r="BR260" s="7">
        <v>986.56</v>
      </c>
      <c r="BS260" s="7">
        <v>1996.53</v>
      </c>
      <c r="BT260" s="7">
        <f t="shared" si="249"/>
        <v>16442.73</v>
      </c>
    </row>
    <row r="261" spans="1:72" ht="11.25" hidden="1" x14ac:dyDescent="0.2">
      <c r="A261" s="133">
        <f t="shared" si="237"/>
        <v>2</v>
      </c>
      <c r="B261" s="141">
        <v>45323</v>
      </c>
      <c r="C261" s="10"/>
      <c r="D261" s="42" t="str">
        <f t="shared" si="238"/>
        <v>NO</v>
      </c>
      <c r="E261" s="7">
        <v>339040</v>
      </c>
      <c r="F261" s="7" t="s">
        <v>202</v>
      </c>
      <c r="G261" s="7" t="s">
        <v>203</v>
      </c>
      <c r="H261" s="7">
        <v>45331</v>
      </c>
      <c r="I261" s="7">
        <v>36262228</v>
      </c>
      <c r="J261" s="7" t="s">
        <v>204</v>
      </c>
      <c r="K261" s="7" t="s">
        <v>205</v>
      </c>
      <c r="L261" s="7" t="s">
        <v>179</v>
      </c>
      <c r="N261" s="29">
        <v>45308</v>
      </c>
      <c r="Q261" s="7" t="s">
        <v>157</v>
      </c>
      <c r="R261" s="7" t="s">
        <v>165</v>
      </c>
      <c r="S261" s="7" t="s">
        <v>126</v>
      </c>
      <c r="T261" s="7" t="s">
        <v>206</v>
      </c>
      <c r="U261" s="7" t="s">
        <v>167</v>
      </c>
      <c r="V261" s="7" t="s">
        <v>207</v>
      </c>
      <c r="W261" s="7">
        <v>108803</v>
      </c>
      <c r="X261" s="7" t="s">
        <v>169</v>
      </c>
      <c r="Y261" s="7" t="s">
        <v>170</v>
      </c>
      <c r="AA261" s="7" t="s">
        <v>208</v>
      </c>
      <c r="AB261" s="7" t="s">
        <v>209</v>
      </c>
      <c r="AC261" s="7">
        <v>1035</v>
      </c>
      <c r="AF261" s="7" t="s">
        <v>173</v>
      </c>
      <c r="AG261" s="7" t="s">
        <v>170</v>
      </c>
      <c r="AI261" s="7" t="s">
        <v>174</v>
      </c>
      <c r="AK261" s="7">
        <v>1</v>
      </c>
      <c r="AL261" s="7">
        <v>1</v>
      </c>
      <c r="AQ261" s="30"/>
      <c r="AS261" s="7"/>
      <c r="BJ261" s="7">
        <v>5000</v>
      </c>
      <c r="BR261" s="7">
        <v>5000</v>
      </c>
      <c r="BS261" s="7">
        <v>0</v>
      </c>
    </row>
    <row r="262" spans="1:72" ht="11.25" hidden="1" x14ac:dyDescent="0.2">
      <c r="A262" s="133">
        <f t="shared" si="237"/>
        <v>2</v>
      </c>
      <c r="B262" s="141">
        <v>45323</v>
      </c>
      <c r="C262" s="10"/>
      <c r="D262" s="42" t="str">
        <f t="shared" si="238"/>
        <v>NO</v>
      </c>
      <c r="E262" s="7">
        <v>336904</v>
      </c>
      <c r="F262" s="7" t="s">
        <v>210</v>
      </c>
      <c r="G262" s="7" t="s">
        <v>211</v>
      </c>
      <c r="H262" s="7">
        <v>45331</v>
      </c>
      <c r="I262" s="7">
        <v>36066280</v>
      </c>
      <c r="J262" s="7" t="s">
        <v>212</v>
      </c>
      <c r="K262" s="7" t="s">
        <v>213</v>
      </c>
      <c r="L262" s="7" t="s">
        <v>179</v>
      </c>
      <c r="N262" s="29">
        <v>45289</v>
      </c>
      <c r="Q262" s="7" t="s">
        <v>157</v>
      </c>
      <c r="R262" s="7" t="s">
        <v>214</v>
      </c>
      <c r="S262" s="7" t="s">
        <v>126</v>
      </c>
      <c r="T262" s="7" t="s">
        <v>200</v>
      </c>
      <c r="U262" s="7" t="s">
        <v>167</v>
      </c>
      <c r="V262" s="7" t="s">
        <v>215</v>
      </c>
      <c r="W262" s="7">
        <v>106609</v>
      </c>
      <c r="X262" s="7" t="s">
        <v>826</v>
      </c>
      <c r="Y262" s="7" t="s">
        <v>170</v>
      </c>
      <c r="AA262" s="7" t="s">
        <v>171</v>
      </c>
      <c r="AB262" s="7" t="s">
        <v>172</v>
      </c>
      <c r="AC262" s="7">
        <v>1130</v>
      </c>
      <c r="AF262" s="7" t="s">
        <v>173</v>
      </c>
      <c r="AG262" s="7" t="s">
        <v>170</v>
      </c>
      <c r="AI262" s="7" t="s">
        <v>174</v>
      </c>
      <c r="AK262" s="7">
        <v>1</v>
      </c>
      <c r="AL262" s="7">
        <v>1</v>
      </c>
      <c r="AQ262" s="30"/>
      <c r="AS262" s="7"/>
      <c r="BJ262" s="7">
        <v>5000</v>
      </c>
      <c r="BR262" s="7">
        <v>5000</v>
      </c>
      <c r="BS262" s="7">
        <v>4913.8100000000004</v>
      </c>
    </row>
    <row r="263" spans="1:72" ht="11.25" hidden="1" x14ac:dyDescent="0.2">
      <c r="A263" s="133">
        <f t="shared" si="237"/>
        <v>2</v>
      </c>
      <c r="B263" s="141">
        <v>45323</v>
      </c>
      <c r="C263" s="10" t="s">
        <v>926</v>
      </c>
      <c r="D263" s="42" t="str">
        <f t="shared" si="238"/>
        <v>NO</v>
      </c>
      <c r="E263" s="7">
        <v>299732</v>
      </c>
      <c r="F263" s="7" t="s">
        <v>225</v>
      </c>
      <c r="G263" s="7" t="s">
        <v>226</v>
      </c>
      <c r="H263" s="7">
        <v>45350</v>
      </c>
      <c r="I263" s="7">
        <v>40868166</v>
      </c>
      <c r="J263" s="7" t="s">
        <v>227</v>
      </c>
      <c r="K263" s="7" t="s">
        <v>228</v>
      </c>
      <c r="L263" s="7" t="s">
        <v>179</v>
      </c>
      <c r="N263" s="29">
        <v>45303</v>
      </c>
      <c r="Q263" s="7" t="s">
        <v>157</v>
      </c>
      <c r="R263" s="7" t="s">
        <v>165</v>
      </c>
      <c r="S263" s="7" t="s">
        <v>126</v>
      </c>
      <c r="T263" s="7" t="s">
        <v>166</v>
      </c>
      <c r="U263" s="7" t="s">
        <v>167</v>
      </c>
      <c r="V263" s="7" t="s">
        <v>229</v>
      </c>
      <c r="W263" s="7">
        <v>108803</v>
      </c>
      <c r="X263" s="7" t="s">
        <v>169</v>
      </c>
      <c r="Y263" s="7" t="s">
        <v>170</v>
      </c>
      <c r="AA263" s="7" t="s">
        <v>208</v>
      </c>
      <c r="AB263" s="7" t="s">
        <v>209</v>
      </c>
      <c r="AC263" s="7">
        <v>1035</v>
      </c>
      <c r="AF263" s="7" t="s">
        <v>173</v>
      </c>
      <c r="AG263" s="7" t="s">
        <v>170</v>
      </c>
      <c r="AK263" s="7">
        <v>1</v>
      </c>
      <c r="AL263" s="7">
        <v>1</v>
      </c>
      <c r="AM263" s="7">
        <v>85648.44</v>
      </c>
      <c r="AN263" s="7">
        <v>17668.740000000002</v>
      </c>
      <c r="AP263" s="7">
        <v>17968.759999999998</v>
      </c>
      <c r="AQ263" s="30">
        <v>85948.46</v>
      </c>
      <c r="AS263" s="7">
        <v>2072.34</v>
      </c>
      <c r="AZ263" s="7">
        <v>1036.17</v>
      </c>
      <c r="BG263" s="7">
        <v>2072.34</v>
      </c>
      <c r="BO263" s="7">
        <v>1036.17</v>
      </c>
      <c r="BR263" s="7">
        <v>6217.02</v>
      </c>
      <c r="BS263" s="7">
        <v>17968.760000000002</v>
      </c>
      <c r="BT263" s="7">
        <f t="shared" ref="BT263:BT272" si="250">+AM263+BS263</f>
        <v>103617.20000000001</v>
      </c>
    </row>
    <row r="264" spans="1:72" ht="11.25" hidden="1" x14ac:dyDescent="0.2">
      <c r="A264" s="133">
        <f t="shared" si="237"/>
        <v>2</v>
      </c>
      <c r="B264" s="141">
        <v>45323</v>
      </c>
      <c r="C264" s="10" t="s">
        <v>926</v>
      </c>
      <c r="D264" s="42" t="str">
        <f t="shared" si="238"/>
        <v>NO</v>
      </c>
      <c r="E264" s="7">
        <v>321482</v>
      </c>
      <c r="F264" s="7" t="s">
        <v>827</v>
      </c>
      <c r="G264" s="7" t="s">
        <v>828</v>
      </c>
      <c r="H264" s="7">
        <v>45356</v>
      </c>
      <c r="I264" s="7">
        <v>31858511</v>
      </c>
      <c r="J264" s="7" t="s">
        <v>829</v>
      </c>
      <c r="K264" s="7" t="s">
        <v>830</v>
      </c>
      <c r="L264" s="7" t="s">
        <v>179</v>
      </c>
      <c r="N264" s="29">
        <v>45346</v>
      </c>
      <c r="Q264" s="7" t="s">
        <v>157</v>
      </c>
      <c r="R264" s="7" t="s">
        <v>245</v>
      </c>
      <c r="S264" s="7" t="s">
        <v>126</v>
      </c>
      <c r="T264" s="7" t="s">
        <v>239</v>
      </c>
      <c r="U264" s="7" t="s">
        <v>167</v>
      </c>
      <c r="V264" s="7" t="s">
        <v>246</v>
      </c>
      <c r="W264" s="7">
        <v>125509</v>
      </c>
      <c r="X264" s="7" t="s">
        <v>831</v>
      </c>
      <c r="Y264" s="7" t="s">
        <v>170</v>
      </c>
      <c r="AA264" s="7" t="s">
        <v>171</v>
      </c>
      <c r="AB264" s="7" t="s">
        <v>172</v>
      </c>
      <c r="AC264" s="7">
        <v>1130</v>
      </c>
      <c r="AF264" s="7" t="s">
        <v>173</v>
      </c>
      <c r="AG264" s="7" t="s">
        <v>170</v>
      </c>
      <c r="AI264" s="7" t="s">
        <v>174</v>
      </c>
      <c r="AK264" s="7">
        <v>1</v>
      </c>
      <c r="AL264" s="7">
        <v>1</v>
      </c>
      <c r="AM264" s="7">
        <v>13598.37</v>
      </c>
      <c r="AN264" s="7">
        <v>2815.28</v>
      </c>
      <c r="AP264" s="7">
        <v>3187.11</v>
      </c>
      <c r="AQ264" s="30">
        <v>13970.2</v>
      </c>
      <c r="AS264" s="7">
        <v>335.71</v>
      </c>
      <c r="AZ264" s="7">
        <v>167.85</v>
      </c>
      <c r="BG264" s="7">
        <v>335.71</v>
      </c>
      <c r="BO264" s="7">
        <v>167.85</v>
      </c>
      <c r="BR264" s="7">
        <v>1007.12</v>
      </c>
      <c r="BS264" s="7">
        <v>3187.1099999999997</v>
      </c>
      <c r="BT264" s="7">
        <f t="shared" si="250"/>
        <v>16785.48</v>
      </c>
    </row>
    <row r="265" spans="1:72" ht="11.25" hidden="1" x14ac:dyDescent="0.2">
      <c r="A265" s="133">
        <f t="shared" si="237"/>
        <v>2</v>
      </c>
      <c r="B265" s="141">
        <v>45323</v>
      </c>
      <c r="C265" s="10" t="s">
        <v>926</v>
      </c>
      <c r="D265" s="42" t="str">
        <f t="shared" si="238"/>
        <v>NO</v>
      </c>
      <c r="E265" s="7">
        <v>289892</v>
      </c>
      <c r="F265" s="7" t="s">
        <v>241</v>
      </c>
      <c r="G265" s="7" t="s">
        <v>242</v>
      </c>
      <c r="H265" s="7">
        <v>45356</v>
      </c>
      <c r="I265" s="7">
        <v>96116024</v>
      </c>
      <c r="J265" s="7" t="s">
        <v>243</v>
      </c>
      <c r="K265" s="7" t="s">
        <v>244</v>
      </c>
      <c r="L265" s="7" t="s">
        <v>179</v>
      </c>
      <c r="N265" s="29">
        <v>45106</v>
      </c>
      <c r="O265" s="29">
        <v>45346</v>
      </c>
      <c r="Q265" s="7" t="s">
        <v>157</v>
      </c>
      <c r="R265" s="7" t="s">
        <v>245</v>
      </c>
      <c r="S265" s="7" t="s">
        <v>126</v>
      </c>
      <c r="T265" s="7" t="s">
        <v>200</v>
      </c>
      <c r="U265" s="7" t="s">
        <v>167</v>
      </c>
      <c r="V265" s="7" t="s">
        <v>246</v>
      </c>
      <c r="W265" s="7">
        <v>108803</v>
      </c>
      <c r="X265" s="7" t="s">
        <v>169</v>
      </c>
      <c r="Y265" s="7" t="s">
        <v>170</v>
      </c>
      <c r="AA265" s="7" t="s">
        <v>189</v>
      </c>
      <c r="AB265" s="7" t="s">
        <v>190</v>
      </c>
      <c r="AC265" s="7">
        <v>1584</v>
      </c>
      <c r="AF265" s="7" t="s">
        <v>173</v>
      </c>
      <c r="AG265" s="7" t="s">
        <v>170</v>
      </c>
      <c r="AI265" s="7" t="s">
        <v>174</v>
      </c>
      <c r="AK265" s="7">
        <v>2</v>
      </c>
      <c r="AL265" s="7">
        <v>1</v>
      </c>
      <c r="AM265" s="7">
        <v>180740.25</v>
      </c>
      <c r="AN265" s="7">
        <v>37416.519999999997</v>
      </c>
      <c r="AP265" s="7">
        <v>42282.38</v>
      </c>
      <c r="AQ265" s="30">
        <v>185606.11</v>
      </c>
      <c r="AS265" s="7">
        <v>4460.45</v>
      </c>
      <c r="AZ265" s="7">
        <v>2230.23</v>
      </c>
      <c r="BG265" s="7">
        <v>4460.45</v>
      </c>
      <c r="BO265" s="7">
        <v>2230.23</v>
      </c>
      <c r="BR265" s="7">
        <v>13381.36</v>
      </c>
      <c r="BS265" s="7">
        <v>42282.38</v>
      </c>
      <c r="BT265" s="7">
        <f t="shared" si="250"/>
        <v>223022.63</v>
      </c>
    </row>
    <row r="266" spans="1:72" ht="11.25" hidden="1" x14ac:dyDescent="0.2">
      <c r="A266" s="133">
        <f t="shared" si="237"/>
        <v>2</v>
      </c>
      <c r="B266" s="141">
        <v>45323</v>
      </c>
      <c r="C266" s="10" t="s">
        <v>926</v>
      </c>
      <c r="D266" s="42" t="str">
        <f t="shared" si="238"/>
        <v>NO</v>
      </c>
      <c r="E266" s="7">
        <v>340187</v>
      </c>
      <c r="F266" s="7" t="s">
        <v>832</v>
      </c>
      <c r="G266" s="7" t="s">
        <v>833</v>
      </c>
      <c r="H266" s="7">
        <v>45350</v>
      </c>
      <c r="I266" s="7">
        <v>35127927</v>
      </c>
      <c r="J266" s="7" t="s">
        <v>834</v>
      </c>
      <c r="K266" s="7" t="s">
        <v>835</v>
      </c>
      <c r="L266" s="7" t="s">
        <v>179</v>
      </c>
      <c r="N266" s="29">
        <v>45345</v>
      </c>
      <c r="Q266" s="7" t="s">
        <v>157</v>
      </c>
      <c r="R266" s="7" t="s">
        <v>165</v>
      </c>
      <c r="S266" s="7" t="s">
        <v>126</v>
      </c>
      <c r="T266" s="7" t="s">
        <v>166</v>
      </c>
      <c r="U266" s="7" t="s">
        <v>167</v>
      </c>
      <c r="V266" s="7" t="s">
        <v>168</v>
      </c>
      <c r="W266" s="7">
        <v>3009</v>
      </c>
      <c r="X266" s="7" t="s">
        <v>425</v>
      </c>
      <c r="Y266" s="7" t="s">
        <v>170</v>
      </c>
      <c r="AA266" s="7" t="s">
        <v>189</v>
      </c>
      <c r="AB266" s="7" t="s">
        <v>190</v>
      </c>
      <c r="AC266" s="7">
        <v>1584</v>
      </c>
      <c r="AF266" s="7" t="s">
        <v>173</v>
      </c>
      <c r="AG266" s="7" t="s">
        <v>170</v>
      </c>
      <c r="AK266" s="7">
        <v>1</v>
      </c>
      <c r="AL266" s="7">
        <v>1</v>
      </c>
      <c r="AM266" s="7">
        <v>23469.73</v>
      </c>
      <c r="AN266" s="7">
        <v>4813.74</v>
      </c>
      <c r="AP266" s="7">
        <v>3993.06</v>
      </c>
      <c r="AQ266" s="30">
        <v>22649.05</v>
      </c>
      <c r="AS266" s="7">
        <v>549.26</v>
      </c>
      <c r="AZ266" s="7">
        <v>274.63</v>
      </c>
      <c r="BG266" s="7">
        <v>549.26</v>
      </c>
      <c r="BO266" s="7">
        <v>274.63</v>
      </c>
      <c r="BR266" s="7">
        <v>1647.78</v>
      </c>
      <c r="BS266" s="7">
        <v>3993.06</v>
      </c>
      <c r="BT266" s="7">
        <f t="shared" si="250"/>
        <v>27462.79</v>
      </c>
    </row>
    <row r="267" spans="1:72" ht="11.25" hidden="1" x14ac:dyDescent="0.2">
      <c r="A267" s="133">
        <f t="shared" si="237"/>
        <v>2</v>
      </c>
      <c r="B267" s="141">
        <v>45323</v>
      </c>
      <c r="C267" s="10" t="s">
        <v>926</v>
      </c>
      <c r="D267" s="42" t="str">
        <f t="shared" si="238"/>
        <v>NO</v>
      </c>
      <c r="E267" s="7">
        <v>311836</v>
      </c>
      <c r="F267" s="7" t="s">
        <v>255</v>
      </c>
      <c r="G267" s="7" t="s">
        <v>256</v>
      </c>
      <c r="H267" s="7">
        <v>45350</v>
      </c>
      <c r="I267" s="7">
        <v>44709690</v>
      </c>
      <c r="J267" s="7" t="s">
        <v>257</v>
      </c>
      <c r="K267" s="7" t="s">
        <v>258</v>
      </c>
      <c r="L267" s="7" t="s">
        <v>164</v>
      </c>
      <c r="N267" s="29">
        <v>44893</v>
      </c>
      <c r="Q267" s="7" t="s">
        <v>157</v>
      </c>
      <c r="R267" s="7" t="s">
        <v>165</v>
      </c>
      <c r="S267" s="7" t="s">
        <v>126</v>
      </c>
      <c r="T267" s="7" t="s">
        <v>166</v>
      </c>
      <c r="U267" s="7" t="s">
        <v>167</v>
      </c>
      <c r="V267" s="7" t="s">
        <v>168</v>
      </c>
      <c r="W267" s="7">
        <v>108803</v>
      </c>
      <c r="X267" s="7" t="s">
        <v>169</v>
      </c>
      <c r="Y267" s="7" t="s">
        <v>170</v>
      </c>
      <c r="AA267" s="7" t="s">
        <v>189</v>
      </c>
      <c r="AB267" s="7" t="s">
        <v>190</v>
      </c>
      <c r="AC267" s="7">
        <v>1584</v>
      </c>
      <c r="AF267" s="7" t="s">
        <v>170</v>
      </c>
      <c r="AG267" s="7" t="s">
        <v>170</v>
      </c>
      <c r="AI267" s="7" t="s">
        <v>174</v>
      </c>
      <c r="AK267" s="7">
        <v>2</v>
      </c>
      <c r="AL267" s="7">
        <v>1</v>
      </c>
      <c r="AM267" s="7">
        <v>231104.99</v>
      </c>
      <c r="AN267" s="7">
        <v>46973.02</v>
      </c>
      <c r="AP267" s="7">
        <v>25067.52</v>
      </c>
      <c r="AQ267" s="30">
        <v>209199.49</v>
      </c>
      <c r="AS267" s="7">
        <v>5123.45</v>
      </c>
      <c r="AZ267" s="7">
        <v>2561.7199999999998</v>
      </c>
      <c r="BG267" s="7">
        <v>5123.45</v>
      </c>
      <c r="BO267" s="7">
        <v>2561.7199999999998</v>
      </c>
      <c r="BR267" s="7">
        <v>15370.34</v>
      </c>
      <c r="BS267" s="7">
        <v>25067.52</v>
      </c>
      <c r="BT267" s="7">
        <f t="shared" si="250"/>
        <v>256172.50999999998</v>
      </c>
    </row>
    <row r="268" spans="1:72" ht="11.25" hidden="1" x14ac:dyDescent="0.2">
      <c r="A268" s="133">
        <f t="shared" si="237"/>
        <v>2</v>
      </c>
      <c r="B268" s="141">
        <v>45323</v>
      </c>
      <c r="C268" s="10" t="s">
        <v>926</v>
      </c>
      <c r="D268" s="42" t="str">
        <f t="shared" si="238"/>
        <v>NO</v>
      </c>
      <c r="E268" s="7">
        <v>340350</v>
      </c>
      <c r="F268" s="7" t="s">
        <v>836</v>
      </c>
      <c r="G268" s="7" t="s">
        <v>837</v>
      </c>
      <c r="H268" s="7">
        <v>45356</v>
      </c>
      <c r="I268" s="7">
        <v>35402851</v>
      </c>
      <c r="J268" s="7" t="s">
        <v>838</v>
      </c>
      <c r="K268" s="7" t="s">
        <v>839</v>
      </c>
      <c r="L268" s="7" t="s">
        <v>179</v>
      </c>
      <c r="N268" s="29">
        <v>45339</v>
      </c>
      <c r="Q268" s="7" t="s">
        <v>157</v>
      </c>
      <c r="R268" s="7" t="s">
        <v>245</v>
      </c>
      <c r="S268" s="7" t="s">
        <v>126</v>
      </c>
      <c r="T268" s="7" t="s">
        <v>206</v>
      </c>
      <c r="U268" s="7" t="s">
        <v>167</v>
      </c>
      <c r="V268" s="7" t="s">
        <v>246</v>
      </c>
      <c r="W268" s="7">
        <v>111209</v>
      </c>
      <c r="X268" s="7" t="s">
        <v>840</v>
      </c>
      <c r="Y268" s="7" t="s">
        <v>170</v>
      </c>
      <c r="AA268" s="7" t="s">
        <v>208</v>
      </c>
      <c r="AB268" s="7" t="s">
        <v>209</v>
      </c>
      <c r="AC268" s="7">
        <v>1035</v>
      </c>
      <c r="AF268" s="7" t="s">
        <v>173</v>
      </c>
      <c r="AG268" s="7" t="s">
        <v>170</v>
      </c>
      <c r="AI268" s="7" t="s">
        <v>174</v>
      </c>
      <c r="AK268" s="7">
        <v>1</v>
      </c>
      <c r="AL268" s="7">
        <v>1</v>
      </c>
      <c r="AM268" s="7">
        <v>14504.91</v>
      </c>
      <c r="AN268" s="7">
        <v>3002.98</v>
      </c>
      <c r="AP268" s="7">
        <v>3399.59</v>
      </c>
      <c r="AQ268" s="30">
        <v>14901.52</v>
      </c>
      <c r="AS268" s="7">
        <v>358.09</v>
      </c>
      <c r="AZ268" s="7">
        <v>179.05</v>
      </c>
      <c r="BG268" s="7">
        <v>358.09</v>
      </c>
      <c r="BO268" s="7">
        <v>179.05</v>
      </c>
      <c r="BR268" s="7">
        <v>1074.28</v>
      </c>
      <c r="BS268" s="7">
        <v>3399.59</v>
      </c>
      <c r="BT268" s="7">
        <f t="shared" si="250"/>
        <v>17904.5</v>
      </c>
    </row>
    <row r="269" spans="1:72" ht="11.25" hidden="1" x14ac:dyDescent="0.2">
      <c r="A269" s="133">
        <f t="shared" si="237"/>
        <v>2</v>
      </c>
      <c r="B269" s="141">
        <v>45323</v>
      </c>
      <c r="C269" s="10" t="s">
        <v>926</v>
      </c>
      <c r="D269" s="42" t="str">
        <f t="shared" si="238"/>
        <v>NO</v>
      </c>
      <c r="E269" s="7">
        <v>333138</v>
      </c>
      <c r="F269" s="7" t="s">
        <v>841</v>
      </c>
      <c r="G269" s="7" t="s">
        <v>842</v>
      </c>
      <c r="H269" s="7">
        <v>45356</v>
      </c>
      <c r="I269" s="7">
        <v>41199371</v>
      </c>
      <c r="J269" s="7" t="s">
        <v>843</v>
      </c>
      <c r="K269" s="7" t="s">
        <v>844</v>
      </c>
      <c r="L269" s="7" t="s">
        <v>164</v>
      </c>
      <c r="N269" s="29">
        <v>45347</v>
      </c>
      <c r="Q269" s="7" t="s">
        <v>157</v>
      </c>
      <c r="R269" s="7" t="s">
        <v>238</v>
      </c>
      <c r="S269" s="7" t="s">
        <v>126</v>
      </c>
      <c r="T269" s="7" t="s">
        <v>200</v>
      </c>
      <c r="U269" s="7" t="s">
        <v>167</v>
      </c>
      <c r="V269" s="7" t="s">
        <v>240</v>
      </c>
      <c r="W269" s="7">
        <v>108803</v>
      </c>
      <c r="X269" s="7" t="s">
        <v>169</v>
      </c>
      <c r="Y269" s="7" t="s">
        <v>170</v>
      </c>
      <c r="AA269" s="7" t="s">
        <v>189</v>
      </c>
      <c r="AB269" s="7" t="s">
        <v>190</v>
      </c>
      <c r="AC269" s="7">
        <v>1584</v>
      </c>
      <c r="AF269" s="7" t="s">
        <v>173</v>
      </c>
      <c r="AG269" s="7" t="s">
        <v>170</v>
      </c>
      <c r="AI269" s="7" t="s">
        <v>174</v>
      </c>
      <c r="AK269" s="7">
        <v>2</v>
      </c>
      <c r="AL269" s="7">
        <v>1</v>
      </c>
      <c r="AM269" s="7">
        <v>22320.240000000002</v>
      </c>
      <c r="AN269" s="7">
        <v>4632.09</v>
      </c>
      <c r="AP269" s="7">
        <v>5786.13</v>
      </c>
      <c r="AQ269" s="30">
        <v>23474.28</v>
      </c>
      <c r="AS269" s="7">
        <v>562.13</v>
      </c>
      <c r="AZ269" s="7">
        <v>275.51</v>
      </c>
      <c r="BG269" s="7">
        <v>562.13</v>
      </c>
      <c r="BO269" s="7">
        <v>281.06</v>
      </c>
      <c r="BR269" s="7">
        <v>1680.83</v>
      </c>
      <c r="BS269" s="7">
        <v>5231.3099999999995</v>
      </c>
      <c r="BT269" s="7">
        <f t="shared" si="250"/>
        <v>27551.550000000003</v>
      </c>
    </row>
    <row r="270" spans="1:72" ht="11.25" hidden="1" x14ac:dyDescent="0.2">
      <c r="A270" s="133">
        <f t="shared" si="237"/>
        <v>2</v>
      </c>
      <c r="B270" s="141">
        <v>45323</v>
      </c>
      <c r="C270" s="10" t="s">
        <v>926</v>
      </c>
      <c r="D270" s="42" t="str">
        <f t="shared" si="238"/>
        <v>NO</v>
      </c>
      <c r="E270" s="7">
        <v>311855</v>
      </c>
      <c r="F270" s="7" t="s">
        <v>259</v>
      </c>
      <c r="G270" s="7" t="s">
        <v>260</v>
      </c>
      <c r="H270" s="7">
        <v>45356</v>
      </c>
      <c r="I270" s="7">
        <v>23804102</v>
      </c>
      <c r="J270" s="7" t="s">
        <v>261</v>
      </c>
      <c r="K270" s="7" t="s">
        <v>262</v>
      </c>
      <c r="L270" s="7" t="s">
        <v>164</v>
      </c>
      <c r="N270" s="29">
        <v>45281</v>
      </c>
      <c r="Q270" s="7" t="s">
        <v>157</v>
      </c>
      <c r="R270" s="7" t="s">
        <v>238</v>
      </c>
      <c r="S270" s="7" t="s">
        <v>126</v>
      </c>
      <c r="T270" s="7" t="s">
        <v>206</v>
      </c>
      <c r="U270" s="7" t="s">
        <v>167</v>
      </c>
      <c r="V270" s="7" t="s">
        <v>240</v>
      </c>
      <c r="W270" s="7">
        <v>108803</v>
      </c>
      <c r="X270" s="7" t="s">
        <v>169</v>
      </c>
      <c r="Y270" s="7" t="s">
        <v>170</v>
      </c>
      <c r="AA270" s="7" t="s">
        <v>208</v>
      </c>
      <c r="AB270" s="7" t="s">
        <v>209</v>
      </c>
      <c r="AC270" s="7">
        <v>1035</v>
      </c>
      <c r="AF270" s="7" t="s">
        <v>173</v>
      </c>
      <c r="AG270" s="7" t="s">
        <v>170</v>
      </c>
      <c r="AI270" s="7" t="s">
        <v>174</v>
      </c>
      <c r="AK270" s="7">
        <v>2</v>
      </c>
      <c r="AL270" s="7">
        <v>1</v>
      </c>
      <c r="AM270" s="7">
        <v>15218.54</v>
      </c>
      <c r="AN270" s="7">
        <v>3150.72</v>
      </c>
      <c r="AP270" s="7">
        <v>3566.85</v>
      </c>
      <c r="AQ270" s="30">
        <v>15634.67</v>
      </c>
      <c r="AS270" s="7">
        <v>375.71</v>
      </c>
      <c r="AZ270" s="7">
        <v>187.85</v>
      </c>
      <c r="BG270" s="7">
        <v>375.71</v>
      </c>
      <c r="BJ270" s="7">
        <v>5000</v>
      </c>
      <c r="BO270" s="7">
        <v>187.85</v>
      </c>
      <c r="BR270" s="7">
        <v>6127.12</v>
      </c>
      <c r="BS270" s="7">
        <v>3566.8500000000004</v>
      </c>
      <c r="BT270" s="7">
        <f t="shared" si="250"/>
        <v>18785.39</v>
      </c>
    </row>
    <row r="271" spans="1:72" ht="11.25" hidden="1" x14ac:dyDescent="0.2">
      <c r="A271" s="133">
        <f t="shared" si="237"/>
        <v>2</v>
      </c>
      <c r="B271" s="141">
        <v>45323</v>
      </c>
      <c r="C271" s="10" t="s">
        <v>926</v>
      </c>
      <c r="D271" s="42" t="str">
        <f t="shared" si="238"/>
        <v>NO</v>
      </c>
      <c r="E271" s="7">
        <v>334129</v>
      </c>
      <c r="F271" s="7" t="s">
        <v>263</v>
      </c>
      <c r="G271" s="7" t="s">
        <v>264</v>
      </c>
      <c r="H271" s="7">
        <v>45356</v>
      </c>
      <c r="I271" s="7">
        <v>40080070</v>
      </c>
      <c r="J271" s="7" t="s">
        <v>265</v>
      </c>
      <c r="K271" s="7" t="s">
        <v>266</v>
      </c>
      <c r="L271" s="7" t="s">
        <v>179</v>
      </c>
      <c r="N271" s="29">
        <v>45241</v>
      </c>
      <c r="Q271" s="7" t="s">
        <v>157</v>
      </c>
      <c r="R271" s="7" t="s">
        <v>165</v>
      </c>
      <c r="S271" s="7" t="s">
        <v>126</v>
      </c>
      <c r="T271" s="7" t="s">
        <v>239</v>
      </c>
      <c r="U271" s="7" t="s">
        <v>167</v>
      </c>
      <c r="V271" s="7" t="s">
        <v>168</v>
      </c>
      <c r="W271" s="7">
        <v>111605</v>
      </c>
      <c r="X271" s="7" t="s">
        <v>267</v>
      </c>
      <c r="Y271" s="7" t="s">
        <v>170</v>
      </c>
      <c r="AA271" s="7" t="s">
        <v>171</v>
      </c>
      <c r="AB271" s="7" t="s">
        <v>172</v>
      </c>
      <c r="AC271" s="7">
        <v>1130</v>
      </c>
      <c r="AF271" s="7" t="s">
        <v>173</v>
      </c>
      <c r="AG271" s="7" t="s">
        <v>170</v>
      </c>
      <c r="AI271" s="7" t="s">
        <v>174</v>
      </c>
      <c r="AK271" s="7">
        <v>2</v>
      </c>
      <c r="AL271" s="7">
        <v>1</v>
      </c>
      <c r="AM271" s="7">
        <v>12777.87</v>
      </c>
      <c r="AN271" s="7">
        <v>2645.43</v>
      </c>
      <c r="AP271" s="7">
        <v>2994.81</v>
      </c>
      <c r="AQ271" s="30">
        <v>13127.25</v>
      </c>
      <c r="AS271" s="7">
        <v>315.45</v>
      </c>
      <c r="AZ271" s="7">
        <v>157.72999999999999</v>
      </c>
      <c r="BG271" s="7">
        <v>315.45</v>
      </c>
      <c r="BJ271" s="7">
        <v>5000</v>
      </c>
      <c r="BO271" s="7">
        <v>157.72999999999999</v>
      </c>
      <c r="BR271" s="7">
        <v>5946.36</v>
      </c>
      <c r="BS271" s="7">
        <v>2994.81</v>
      </c>
      <c r="BT271" s="7">
        <f t="shared" si="250"/>
        <v>15772.68</v>
      </c>
    </row>
    <row r="272" spans="1:72" ht="11.25" hidden="1" x14ac:dyDescent="0.2">
      <c r="A272" s="133">
        <f t="shared" si="237"/>
        <v>2</v>
      </c>
      <c r="B272" s="141">
        <v>45323</v>
      </c>
      <c r="C272" s="10" t="s">
        <v>926</v>
      </c>
      <c r="D272" s="42" t="str">
        <f t="shared" si="238"/>
        <v>NO</v>
      </c>
      <c r="E272" s="7">
        <v>308931</v>
      </c>
      <c r="F272" s="7" t="s">
        <v>276</v>
      </c>
      <c r="G272" s="7" t="s">
        <v>277</v>
      </c>
      <c r="H272" s="7">
        <v>45356</v>
      </c>
      <c r="I272" s="7">
        <v>94598200</v>
      </c>
      <c r="J272" s="7" t="s">
        <v>278</v>
      </c>
      <c r="K272" s="7" t="s">
        <v>279</v>
      </c>
      <c r="L272" s="7" t="s">
        <v>164</v>
      </c>
      <c r="N272" s="29">
        <v>45338</v>
      </c>
      <c r="Q272" s="7" t="s">
        <v>157</v>
      </c>
      <c r="R272" s="7" t="s">
        <v>214</v>
      </c>
      <c r="S272" s="7" t="s">
        <v>126</v>
      </c>
      <c r="T272" s="7" t="s">
        <v>239</v>
      </c>
      <c r="U272" s="7" t="s">
        <v>167</v>
      </c>
      <c r="V272" s="7" t="s">
        <v>215</v>
      </c>
      <c r="W272" s="7">
        <v>108803</v>
      </c>
      <c r="X272" s="7" t="s">
        <v>169</v>
      </c>
      <c r="Y272" s="7" t="s">
        <v>170</v>
      </c>
      <c r="AA272" s="7" t="s">
        <v>171</v>
      </c>
      <c r="AB272" s="7" t="s">
        <v>172</v>
      </c>
      <c r="AC272" s="7">
        <v>1130</v>
      </c>
      <c r="AF272" s="7" t="s">
        <v>173</v>
      </c>
      <c r="AG272" s="7" t="s">
        <v>170</v>
      </c>
      <c r="AI272" s="7" t="s">
        <v>174</v>
      </c>
      <c r="AK272" s="7">
        <v>1</v>
      </c>
      <c r="AL272" s="7">
        <v>1</v>
      </c>
      <c r="AM272" s="7">
        <v>62896.75</v>
      </c>
      <c r="AN272" s="7">
        <v>13021.58</v>
      </c>
      <c r="AP272" s="7">
        <v>14741.43</v>
      </c>
      <c r="AQ272" s="30">
        <v>64616.6</v>
      </c>
      <c r="AS272" s="7">
        <v>1552.76</v>
      </c>
      <c r="AZ272" s="7">
        <v>776.38</v>
      </c>
      <c r="BG272" s="7">
        <v>1552.76</v>
      </c>
      <c r="BO272" s="7">
        <v>776.38</v>
      </c>
      <c r="BR272" s="7">
        <v>4658.28</v>
      </c>
      <c r="BS272" s="7">
        <v>14741.43</v>
      </c>
      <c r="BT272" s="7">
        <f t="shared" si="250"/>
        <v>77638.179999999993</v>
      </c>
    </row>
    <row r="273" spans="1:72" ht="11.25" hidden="1" x14ac:dyDescent="0.2">
      <c r="A273" s="133">
        <f t="shared" si="237"/>
        <v>2</v>
      </c>
      <c r="B273" s="141">
        <v>45323</v>
      </c>
      <c r="C273" s="10"/>
      <c r="D273" s="42" t="str">
        <f t="shared" si="238"/>
        <v>NO</v>
      </c>
      <c r="E273" s="7">
        <v>235528</v>
      </c>
      <c r="F273" s="7" t="s">
        <v>284</v>
      </c>
      <c r="G273" s="7" t="s">
        <v>285</v>
      </c>
      <c r="H273" s="7">
        <v>45331</v>
      </c>
      <c r="I273" s="7">
        <v>41757894</v>
      </c>
      <c r="J273" s="7" t="s">
        <v>286</v>
      </c>
      <c r="K273" s="7" t="s">
        <v>287</v>
      </c>
      <c r="L273" s="7" t="s">
        <v>164</v>
      </c>
      <c r="N273" s="29">
        <v>45291</v>
      </c>
      <c r="Q273" s="7" t="s">
        <v>157</v>
      </c>
      <c r="R273" s="7" t="s">
        <v>165</v>
      </c>
      <c r="S273" s="7" t="s">
        <v>126</v>
      </c>
      <c r="T273" s="7" t="s">
        <v>200</v>
      </c>
      <c r="U273" s="7" t="s">
        <v>167</v>
      </c>
      <c r="V273" s="7" t="s">
        <v>168</v>
      </c>
      <c r="W273" s="7">
        <v>108803</v>
      </c>
      <c r="X273" s="7" t="s">
        <v>169</v>
      </c>
      <c r="Y273" s="7" t="s">
        <v>170</v>
      </c>
      <c r="AA273" s="7" t="s">
        <v>189</v>
      </c>
      <c r="AB273" s="7" t="s">
        <v>190</v>
      </c>
      <c r="AC273" s="7">
        <v>1584</v>
      </c>
      <c r="AF273" s="7" t="s">
        <v>173</v>
      </c>
      <c r="AG273" s="7" t="s">
        <v>170</v>
      </c>
      <c r="AI273" s="7" t="s">
        <v>174</v>
      </c>
      <c r="AK273" s="7">
        <v>1</v>
      </c>
      <c r="AL273" s="7">
        <v>1</v>
      </c>
      <c r="AQ273" s="30"/>
      <c r="AS273" s="7"/>
      <c r="BJ273" s="7">
        <v>5000</v>
      </c>
      <c r="BR273" s="7">
        <v>5000</v>
      </c>
      <c r="BS273" s="7">
        <v>0</v>
      </c>
    </row>
    <row r="274" spans="1:72" ht="11.25" hidden="1" x14ac:dyDescent="0.2">
      <c r="A274" s="133">
        <f t="shared" si="237"/>
        <v>2</v>
      </c>
      <c r="B274" s="141">
        <v>45323</v>
      </c>
      <c r="C274" s="10" t="s">
        <v>926</v>
      </c>
      <c r="D274" s="42" t="str">
        <f t="shared" si="238"/>
        <v>NO</v>
      </c>
      <c r="E274" s="7">
        <v>327586</v>
      </c>
      <c r="F274" s="7" t="s">
        <v>288</v>
      </c>
      <c r="G274" s="7" t="s">
        <v>289</v>
      </c>
      <c r="H274" s="7">
        <v>45350</v>
      </c>
      <c r="I274" s="7">
        <v>41585266</v>
      </c>
      <c r="J274" s="7" t="s">
        <v>290</v>
      </c>
      <c r="K274" s="7" t="s">
        <v>291</v>
      </c>
      <c r="L274" s="7" t="s">
        <v>164</v>
      </c>
      <c r="N274" s="29">
        <v>45138</v>
      </c>
      <c r="Q274" s="7" t="s">
        <v>157</v>
      </c>
      <c r="R274" s="7" t="s">
        <v>165</v>
      </c>
      <c r="S274" s="7" t="s">
        <v>126</v>
      </c>
      <c r="T274" s="7" t="s">
        <v>166</v>
      </c>
      <c r="U274" s="7" t="s">
        <v>167</v>
      </c>
      <c r="V274" s="7" t="s">
        <v>168</v>
      </c>
      <c r="W274" s="7">
        <v>108803</v>
      </c>
      <c r="X274" s="7" t="s">
        <v>169</v>
      </c>
      <c r="Y274" s="7" t="s">
        <v>170</v>
      </c>
      <c r="AA274" s="7" t="s">
        <v>171</v>
      </c>
      <c r="AB274" s="7" t="s">
        <v>172</v>
      </c>
      <c r="AC274" s="7">
        <v>1130</v>
      </c>
      <c r="AF274" s="7" t="s">
        <v>173</v>
      </c>
      <c r="AG274" s="7" t="s">
        <v>170</v>
      </c>
      <c r="AI274" s="7" t="s">
        <v>174</v>
      </c>
      <c r="AK274" s="7">
        <v>3</v>
      </c>
      <c r="AL274" s="7">
        <v>1</v>
      </c>
      <c r="AM274" s="7">
        <v>81733.119999999995</v>
      </c>
      <c r="AN274" s="7">
        <v>16612.849999999999</v>
      </c>
      <c r="AP274" s="7">
        <v>8873.4599999999991</v>
      </c>
      <c r="AQ274" s="30">
        <v>73993.73</v>
      </c>
      <c r="AS274" s="7">
        <v>1812.13</v>
      </c>
      <c r="AZ274" s="7">
        <v>906.07</v>
      </c>
      <c r="BG274" s="7">
        <v>1812.13</v>
      </c>
      <c r="BJ274" s="7">
        <v>5000</v>
      </c>
      <c r="BO274" s="7">
        <v>906.07</v>
      </c>
      <c r="BR274" s="7">
        <v>10436.4</v>
      </c>
      <c r="BS274" s="7">
        <v>8873.4600000000009</v>
      </c>
      <c r="BT274" s="7">
        <f>+AM274+BS274</f>
        <v>90606.58</v>
      </c>
    </row>
    <row r="275" spans="1:72" ht="11.25" hidden="1" x14ac:dyDescent="0.2">
      <c r="A275" s="133">
        <f t="shared" si="237"/>
        <v>2</v>
      </c>
      <c r="B275" s="141">
        <v>45323</v>
      </c>
      <c r="C275" s="10"/>
      <c r="D275" s="42" t="str">
        <f t="shared" si="238"/>
        <v>NO</v>
      </c>
      <c r="E275" s="7">
        <v>333993</v>
      </c>
      <c r="F275" s="7" t="s">
        <v>292</v>
      </c>
      <c r="G275" s="7" t="s">
        <v>293</v>
      </c>
      <c r="H275" s="7">
        <v>45331</v>
      </c>
      <c r="I275" s="7">
        <v>32906978</v>
      </c>
      <c r="J275" s="7" t="s">
        <v>294</v>
      </c>
      <c r="K275" s="7" t="s">
        <v>295</v>
      </c>
      <c r="L275" s="7" t="s">
        <v>179</v>
      </c>
      <c r="N275" s="29">
        <v>45238</v>
      </c>
      <c r="Q275" s="7" t="s">
        <v>157</v>
      </c>
      <c r="R275" s="7" t="s">
        <v>165</v>
      </c>
      <c r="S275" s="7" t="s">
        <v>126</v>
      </c>
      <c r="T275" s="7" t="s">
        <v>166</v>
      </c>
      <c r="U275" s="7" t="s">
        <v>167</v>
      </c>
      <c r="V275" s="7" t="s">
        <v>168</v>
      </c>
      <c r="W275" s="7">
        <v>108803</v>
      </c>
      <c r="X275" s="7" t="s">
        <v>169</v>
      </c>
      <c r="Y275" s="7" t="s">
        <v>170</v>
      </c>
      <c r="AA275" s="7" t="s">
        <v>189</v>
      </c>
      <c r="AB275" s="7" t="s">
        <v>190</v>
      </c>
      <c r="AC275" s="7">
        <v>1584</v>
      </c>
      <c r="AF275" s="7" t="s">
        <v>170</v>
      </c>
      <c r="AG275" s="7" t="s">
        <v>170</v>
      </c>
      <c r="AI275" s="7" t="s">
        <v>174</v>
      </c>
      <c r="AK275" s="7">
        <v>1</v>
      </c>
      <c r="AL275" s="7">
        <v>1</v>
      </c>
      <c r="AQ275" s="30"/>
      <c r="AS275" s="7"/>
      <c r="BJ275" s="7">
        <v>5000</v>
      </c>
      <c r="BR275" s="7">
        <v>5000</v>
      </c>
      <c r="BS275" s="7">
        <v>0</v>
      </c>
    </row>
    <row r="276" spans="1:72" ht="11.25" hidden="1" x14ac:dyDescent="0.2">
      <c r="A276" s="133">
        <f t="shared" si="237"/>
        <v>2</v>
      </c>
      <c r="B276" s="141">
        <v>45323</v>
      </c>
      <c r="C276" s="10"/>
      <c r="D276" s="42" t="str">
        <f t="shared" si="238"/>
        <v>NO</v>
      </c>
      <c r="E276" s="7">
        <v>318526</v>
      </c>
      <c r="F276" s="7" t="s">
        <v>300</v>
      </c>
      <c r="G276" s="7" t="s">
        <v>301</v>
      </c>
      <c r="H276" s="7">
        <v>45331</v>
      </c>
      <c r="I276" s="7">
        <v>36286453</v>
      </c>
      <c r="J276" s="7" t="s">
        <v>302</v>
      </c>
      <c r="K276" s="7" t="s">
        <v>303</v>
      </c>
      <c r="L276" s="7" t="s">
        <v>179</v>
      </c>
      <c r="N276" s="29">
        <v>45279</v>
      </c>
      <c r="Q276" s="7" t="s">
        <v>157</v>
      </c>
      <c r="R276" s="7" t="s">
        <v>214</v>
      </c>
      <c r="S276" s="7" t="s">
        <v>126</v>
      </c>
      <c r="T276" s="7" t="s">
        <v>239</v>
      </c>
      <c r="U276" s="7" t="s">
        <v>167</v>
      </c>
      <c r="V276" s="7" t="s">
        <v>215</v>
      </c>
      <c r="W276" s="7">
        <v>108803</v>
      </c>
      <c r="X276" s="7" t="s">
        <v>169</v>
      </c>
      <c r="Y276" s="7" t="s">
        <v>170</v>
      </c>
      <c r="AA276" s="7" t="s">
        <v>171</v>
      </c>
      <c r="AB276" s="7" t="s">
        <v>172</v>
      </c>
      <c r="AC276" s="7">
        <v>1130</v>
      </c>
      <c r="AF276" s="7" t="s">
        <v>173</v>
      </c>
      <c r="AG276" s="7" t="s">
        <v>170</v>
      </c>
      <c r="AI276" s="7" t="s">
        <v>174</v>
      </c>
      <c r="AK276" s="7">
        <v>1</v>
      </c>
      <c r="AL276" s="7">
        <v>1</v>
      </c>
      <c r="AQ276" s="30"/>
      <c r="AS276" s="7"/>
      <c r="BJ276" s="7">
        <v>5000</v>
      </c>
      <c r="BR276" s="7">
        <v>5000</v>
      </c>
      <c r="BS276" s="7">
        <v>0</v>
      </c>
    </row>
    <row r="277" spans="1:72" ht="11.25" hidden="1" x14ac:dyDescent="0.2">
      <c r="A277" s="133">
        <f t="shared" si="237"/>
        <v>2</v>
      </c>
      <c r="B277" s="141">
        <v>45323</v>
      </c>
      <c r="C277" s="10" t="s">
        <v>926</v>
      </c>
      <c r="D277" s="42" t="str">
        <f t="shared" si="238"/>
        <v>SI</v>
      </c>
      <c r="E277" s="7">
        <v>301937</v>
      </c>
      <c r="F277" s="7" t="s">
        <v>304</v>
      </c>
      <c r="G277" s="7" t="s">
        <v>305</v>
      </c>
      <c r="H277" s="7">
        <v>45351</v>
      </c>
      <c r="I277" s="7">
        <v>39209574</v>
      </c>
      <c r="J277" s="7" t="s">
        <v>306</v>
      </c>
      <c r="K277" s="7" t="s">
        <v>307</v>
      </c>
      <c r="L277" s="7" t="s">
        <v>164</v>
      </c>
      <c r="N277" s="29">
        <v>44716</v>
      </c>
      <c r="Q277" s="7" t="s">
        <v>157</v>
      </c>
      <c r="R277" s="7" t="s">
        <v>165</v>
      </c>
      <c r="S277" s="7" t="s">
        <v>126</v>
      </c>
      <c r="T277" s="7" t="s">
        <v>180</v>
      </c>
      <c r="U277" s="7" t="s">
        <v>167</v>
      </c>
      <c r="V277" s="7" t="s">
        <v>168</v>
      </c>
      <c r="W277" s="7">
        <v>108803</v>
      </c>
      <c r="X277" s="7" t="s">
        <v>169</v>
      </c>
      <c r="Y277" s="7" t="s">
        <v>170</v>
      </c>
      <c r="AA277" s="7" t="s">
        <v>171</v>
      </c>
      <c r="AB277" s="7" t="s">
        <v>172</v>
      </c>
      <c r="AC277" s="7">
        <v>1130</v>
      </c>
      <c r="AF277" s="7" t="s">
        <v>173</v>
      </c>
      <c r="AG277" s="7" t="s">
        <v>170</v>
      </c>
      <c r="AI277" s="7" t="s">
        <v>174</v>
      </c>
      <c r="AK277" s="7">
        <v>2</v>
      </c>
      <c r="AL277" s="7">
        <v>1</v>
      </c>
      <c r="AM277" s="7">
        <v>289096.32000000001</v>
      </c>
      <c r="AN277" s="7">
        <v>60965.13</v>
      </c>
      <c r="AP277" s="7">
        <v>48582.19</v>
      </c>
      <c r="AQ277" s="30">
        <v>276713.38</v>
      </c>
      <c r="AR277" s="7">
        <v>8441.9699999999993</v>
      </c>
      <c r="AS277" s="7"/>
      <c r="AZ277" s="7">
        <v>3376.79</v>
      </c>
      <c r="BG277" s="7">
        <v>6753.57</v>
      </c>
      <c r="BO277" s="7">
        <v>3376.79</v>
      </c>
      <c r="BR277" s="7">
        <v>21949.119999999999</v>
      </c>
      <c r="BS277" s="7">
        <v>48582.19</v>
      </c>
      <c r="BT277" s="7">
        <f t="shared" ref="BT277:BT281" si="251">+AM277+BS277</f>
        <v>337678.51</v>
      </c>
    </row>
    <row r="278" spans="1:72" ht="11.25" hidden="1" x14ac:dyDescent="0.2">
      <c r="A278" s="133">
        <f t="shared" si="237"/>
        <v>2</v>
      </c>
      <c r="B278" s="141">
        <v>45323</v>
      </c>
      <c r="C278" s="10" t="s">
        <v>926</v>
      </c>
      <c r="D278" s="42" t="str">
        <f t="shared" si="238"/>
        <v>NO</v>
      </c>
      <c r="E278" s="7">
        <v>335977</v>
      </c>
      <c r="F278" s="7" t="s">
        <v>316</v>
      </c>
      <c r="G278" s="7" t="s">
        <v>317</v>
      </c>
      <c r="H278" s="7">
        <v>45356</v>
      </c>
      <c r="I278" s="7">
        <v>43105562</v>
      </c>
      <c r="J278" s="7" t="s">
        <v>318</v>
      </c>
      <c r="K278" s="7" t="s">
        <v>319</v>
      </c>
      <c r="L278" s="7" t="s">
        <v>179</v>
      </c>
      <c r="N278" s="29">
        <v>45278</v>
      </c>
      <c r="Q278" s="7" t="s">
        <v>157</v>
      </c>
      <c r="R278" s="7" t="s">
        <v>165</v>
      </c>
      <c r="S278" s="7" t="s">
        <v>126</v>
      </c>
      <c r="T278" s="7" t="s">
        <v>206</v>
      </c>
      <c r="U278" s="7" t="s">
        <v>167</v>
      </c>
      <c r="V278" s="7" t="s">
        <v>168</v>
      </c>
      <c r="W278" s="7">
        <v>108803</v>
      </c>
      <c r="X278" s="7" t="s">
        <v>169</v>
      </c>
      <c r="Y278" s="7" t="s">
        <v>170</v>
      </c>
      <c r="AA278" s="7" t="s">
        <v>171</v>
      </c>
      <c r="AB278" s="7" t="s">
        <v>172</v>
      </c>
      <c r="AC278" s="7">
        <v>1130</v>
      </c>
      <c r="AF278" s="7" t="s">
        <v>173</v>
      </c>
      <c r="AG278" s="7" t="s">
        <v>170</v>
      </c>
      <c r="AI278" s="7" t="s">
        <v>174</v>
      </c>
      <c r="AK278" s="7">
        <v>2</v>
      </c>
      <c r="AL278" s="7">
        <v>1</v>
      </c>
      <c r="AM278" s="7">
        <v>100511.34</v>
      </c>
      <c r="AN278" s="7">
        <v>20741.150000000001</v>
      </c>
      <c r="AP278" s="7">
        <v>21296.32</v>
      </c>
      <c r="AQ278" s="30">
        <v>101066.51</v>
      </c>
      <c r="AS278" s="7">
        <v>2436.15</v>
      </c>
      <c r="AZ278" s="7">
        <v>1218.08</v>
      </c>
      <c r="BG278" s="7">
        <v>2436.15</v>
      </c>
      <c r="BO278" s="7">
        <v>1218.08</v>
      </c>
      <c r="BR278" s="7">
        <v>7308.46</v>
      </c>
      <c r="BS278" s="7">
        <v>21296.32</v>
      </c>
      <c r="BT278" s="7">
        <f t="shared" si="251"/>
        <v>121807.66</v>
      </c>
    </row>
    <row r="279" spans="1:72" ht="11.25" hidden="1" x14ac:dyDescent="0.2">
      <c r="A279" s="133">
        <f t="shared" si="237"/>
        <v>2</v>
      </c>
      <c r="B279" s="141">
        <v>45323</v>
      </c>
      <c r="C279" s="10" t="s">
        <v>926</v>
      </c>
      <c r="D279" s="42" t="str">
        <f t="shared" si="238"/>
        <v>NO</v>
      </c>
      <c r="E279" s="7">
        <v>337360</v>
      </c>
      <c r="F279" s="7" t="s">
        <v>325</v>
      </c>
      <c r="G279" s="7" t="s">
        <v>326</v>
      </c>
      <c r="H279" s="7">
        <v>45356</v>
      </c>
      <c r="I279" s="7">
        <v>96247143</v>
      </c>
      <c r="J279" s="7" t="s">
        <v>327</v>
      </c>
      <c r="K279" s="7" t="s">
        <v>328</v>
      </c>
      <c r="L279" s="7" t="s">
        <v>179</v>
      </c>
      <c r="N279" s="29">
        <v>45291</v>
      </c>
      <c r="Q279" s="7" t="s">
        <v>157</v>
      </c>
      <c r="R279" s="7" t="s">
        <v>165</v>
      </c>
      <c r="S279" s="7" t="s">
        <v>126</v>
      </c>
      <c r="T279" s="7" t="s">
        <v>200</v>
      </c>
      <c r="U279" s="7" t="s">
        <v>167</v>
      </c>
      <c r="V279" s="7" t="s">
        <v>168</v>
      </c>
      <c r="W279" s="7">
        <v>108803</v>
      </c>
      <c r="X279" s="7" t="s">
        <v>169</v>
      </c>
      <c r="Y279" s="7" t="s">
        <v>170</v>
      </c>
      <c r="AA279" s="7" t="s">
        <v>189</v>
      </c>
      <c r="AB279" s="7" t="s">
        <v>190</v>
      </c>
      <c r="AC279" s="7">
        <v>1584</v>
      </c>
      <c r="AF279" s="7" t="s">
        <v>173</v>
      </c>
      <c r="AG279" s="7" t="s">
        <v>170</v>
      </c>
      <c r="AI279" s="7" t="s">
        <v>174</v>
      </c>
      <c r="AK279" s="7">
        <v>2</v>
      </c>
      <c r="AL279" s="7">
        <v>1</v>
      </c>
      <c r="AM279" s="7">
        <v>8518.58</v>
      </c>
      <c r="AN279" s="7">
        <v>1763.61</v>
      </c>
      <c r="AP279" s="7">
        <v>1996.54</v>
      </c>
      <c r="AQ279" s="30">
        <v>8751.51</v>
      </c>
      <c r="AS279" s="7">
        <v>210.3</v>
      </c>
      <c r="AZ279" s="7">
        <v>105.15</v>
      </c>
      <c r="BG279" s="7">
        <v>210.3</v>
      </c>
      <c r="BJ279" s="7">
        <v>5000</v>
      </c>
      <c r="BO279" s="7">
        <v>105.15</v>
      </c>
      <c r="BR279" s="7">
        <v>5630.9</v>
      </c>
      <c r="BS279" s="7">
        <v>1996.54</v>
      </c>
      <c r="BT279" s="7">
        <f t="shared" si="251"/>
        <v>10515.119999999999</v>
      </c>
    </row>
    <row r="280" spans="1:72" ht="11.25" hidden="1" x14ac:dyDescent="0.2">
      <c r="A280" s="133">
        <f t="shared" si="237"/>
        <v>2</v>
      </c>
      <c r="B280" s="141">
        <v>45323</v>
      </c>
      <c r="C280" s="10" t="s">
        <v>926</v>
      </c>
      <c r="D280" s="42" t="str">
        <f t="shared" si="238"/>
        <v>NO</v>
      </c>
      <c r="E280" s="7">
        <v>333329</v>
      </c>
      <c r="F280" s="7" t="s">
        <v>329</v>
      </c>
      <c r="G280" s="7" t="s">
        <v>330</v>
      </c>
      <c r="H280" s="7">
        <v>45356</v>
      </c>
      <c r="I280" s="7">
        <v>44503771</v>
      </c>
      <c r="J280" s="7" t="s">
        <v>331</v>
      </c>
      <c r="K280" s="7" t="s">
        <v>332</v>
      </c>
      <c r="L280" s="7" t="s">
        <v>179</v>
      </c>
      <c r="N280" s="29">
        <v>45295</v>
      </c>
      <c r="Q280" s="7" t="s">
        <v>157</v>
      </c>
      <c r="R280" s="7" t="s">
        <v>165</v>
      </c>
      <c r="S280" s="7" t="s">
        <v>126</v>
      </c>
      <c r="T280" s="7" t="s">
        <v>206</v>
      </c>
      <c r="U280" s="7" t="s">
        <v>167</v>
      </c>
      <c r="V280" s="7" t="s">
        <v>168</v>
      </c>
      <c r="W280" s="7">
        <v>108803</v>
      </c>
      <c r="X280" s="7" t="s">
        <v>169</v>
      </c>
      <c r="Y280" s="7" t="s">
        <v>170</v>
      </c>
      <c r="AA280" s="7" t="s">
        <v>208</v>
      </c>
      <c r="AB280" s="7" t="s">
        <v>209</v>
      </c>
      <c r="AC280" s="7">
        <v>1035</v>
      </c>
      <c r="AF280" s="7" t="s">
        <v>173</v>
      </c>
      <c r="AG280" s="7" t="s">
        <v>170</v>
      </c>
      <c r="AI280" s="7" t="s">
        <v>174</v>
      </c>
      <c r="AK280" s="7">
        <v>5</v>
      </c>
      <c r="AL280" s="7">
        <v>1</v>
      </c>
      <c r="AM280" s="7">
        <v>259620.95</v>
      </c>
      <c r="AN280" s="7">
        <v>53957.05</v>
      </c>
      <c r="AP280" s="7">
        <v>71516.86</v>
      </c>
      <c r="AQ280" s="30">
        <v>277180.76</v>
      </c>
      <c r="AS280" s="7">
        <v>6622.75</v>
      </c>
      <c r="AZ280" s="7">
        <v>3198.72</v>
      </c>
      <c r="BG280" s="7">
        <v>6622.75</v>
      </c>
      <c r="BO280" s="7">
        <v>3311.37</v>
      </c>
      <c r="BR280" s="7">
        <v>19755.59</v>
      </c>
      <c r="BS280" s="7">
        <v>60250.93</v>
      </c>
      <c r="BT280" s="7">
        <f t="shared" si="251"/>
        <v>319871.88</v>
      </c>
    </row>
    <row r="281" spans="1:72" ht="11.25" hidden="1" x14ac:dyDescent="0.2">
      <c r="A281" s="133">
        <f t="shared" si="237"/>
        <v>2</v>
      </c>
      <c r="B281" s="141">
        <v>45323</v>
      </c>
      <c r="C281" s="10" t="s">
        <v>926</v>
      </c>
      <c r="D281" s="42" t="str">
        <f t="shared" si="238"/>
        <v>NO</v>
      </c>
      <c r="E281" s="7">
        <v>332636</v>
      </c>
      <c r="F281" s="7" t="s">
        <v>333</v>
      </c>
      <c r="G281" s="7" t="s">
        <v>334</v>
      </c>
      <c r="H281" s="7">
        <v>45356</v>
      </c>
      <c r="I281" s="7">
        <v>38126615</v>
      </c>
      <c r="J281" s="7" t="s">
        <v>335</v>
      </c>
      <c r="K281" s="7" t="s">
        <v>336</v>
      </c>
      <c r="L281" s="7" t="s">
        <v>179</v>
      </c>
      <c r="N281" s="29">
        <v>45229</v>
      </c>
      <c r="Q281" s="7" t="s">
        <v>157</v>
      </c>
      <c r="R281" s="7" t="s">
        <v>199</v>
      </c>
      <c r="S281" s="7" t="s">
        <v>126</v>
      </c>
      <c r="T281" s="7" t="s">
        <v>239</v>
      </c>
      <c r="U281" s="7" t="s">
        <v>167</v>
      </c>
      <c r="V281" s="7" t="s">
        <v>337</v>
      </c>
      <c r="W281" s="7">
        <v>108803</v>
      </c>
      <c r="X281" s="7" t="s">
        <v>169</v>
      </c>
      <c r="Y281" s="7" t="s">
        <v>170</v>
      </c>
      <c r="AA281" s="7" t="s">
        <v>171</v>
      </c>
      <c r="AB281" s="7" t="s">
        <v>172</v>
      </c>
      <c r="AC281" s="7">
        <v>1130</v>
      </c>
      <c r="AF281" s="7" t="s">
        <v>173</v>
      </c>
      <c r="AG281" s="7" t="s">
        <v>170</v>
      </c>
      <c r="AI281" s="7" t="s">
        <v>174</v>
      </c>
      <c r="AK281" s="7">
        <v>1</v>
      </c>
      <c r="AL281" s="7">
        <v>1</v>
      </c>
      <c r="AM281" s="7">
        <v>13978.68</v>
      </c>
      <c r="AN281" s="7">
        <v>2894.02</v>
      </c>
      <c r="AP281" s="7">
        <v>3276.25</v>
      </c>
      <c r="AQ281" s="30">
        <v>14360.91</v>
      </c>
      <c r="AS281" s="7">
        <v>345.1</v>
      </c>
      <c r="AZ281" s="7">
        <v>172.55</v>
      </c>
      <c r="BG281" s="7">
        <v>345.1</v>
      </c>
      <c r="BO281" s="7">
        <v>172.55</v>
      </c>
      <c r="BR281" s="7">
        <v>1035.3</v>
      </c>
      <c r="BS281" s="7">
        <v>3276.25</v>
      </c>
      <c r="BT281" s="7">
        <f t="shared" si="251"/>
        <v>17254.93</v>
      </c>
    </row>
    <row r="282" spans="1:72" ht="11.25" hidden="1" x14ac:dyDescent="0.2">
      <c r="A282" s="133">
        <f t="shared" si="237"/>
        <v>2</v>
      </c>
      <c r="B282" s="141">
        <v>45323</v>
      </c>
      <c r="C282" s="10"/>
      <c r="D282" s="42" t="str">
        <f t="shared" si="238"/>
        <v>NO</v>
      </c>
      <c r="E282" s="7">
        <v>337685</v>
      </c>
      <c r="F282" s="7" t="s">
        <v>342</v>
      </c>
      <c r="G282" s="7" t="s">
        <v>343</v>
      </c>
      <c r="H282" s="7">
        <v>45331</v>
      </c>
      <c r="I282" s="7">
        <v>95528161</v>
      </c>
      <c r="J282" s="7" t="s">
        <v>344</v>
      </c>
      <c r="K282" s="7" t="s">
        <v>345</v>
      </c>
      <c r="L282" s="7" t="s">
        <v>179</v>
      </c>
      <c r="N282" s="29">
        <v>45298</v>
      </c>
      <c r="Q282" s="7" t="s">
        <v>157</v>
      </c>
      <c r="R282" s="7" t="s">
        <v>245</v>
      </c>
      <c r="S282" s="7" t="s">
        <v>126</v>
      </c>
      <c r="T282" s="7" t="s">
        <v>200</v>
      </c>
      <c r="U282" s="7" t="s">
        <v>167</v>
      </c>
      <c r="V282" s="7" t="s">
        <v>337</v>
      </c>
      <c r="W282" s="7">
        <v>108803</v>
      </c>
      <c r="X282" s="7" t="s">
        <v>169</v>
      </c>
      <c r="Y282" s="7" t="s">
        <v>170</v>
      </c>
      <c r="AA282" s="7" t="s">
        <v>189</v>
      </c>
      <c r="AB282" s="7" t="s">
        <v>190</v>
      </c>
      <c r="AC282" s="7">
        <v>1584</v>
      </c>
      <c r="AF282" s="7" t="s">
        <v>173</v>
      </c>
      <c r="AG282" s="7" t="s">
        <v>170</v>
      </c>
      <c r="AI282" s="7" t="s">
        <v>174</v>
      </c>
      <c r="AK282" s="7">
        <v>1</v>
      </c>
      <c r="AL282" s="7">
        <v>1</v>
      </c>
      <c r="AQ282" s="30"/>
      <c r="AS282" s="7"/>
      <c r="BJ282" s="7">
        <v>5000</v>
      </c>
      <c r="BR282" s="7">
        <v>5000</v>
      </c>
      <c r="BS282" s="7">
        <v>0</v>
      </c>
    </row>
    <row r="283" spans="1:72" ht="11.25" hidden="1" x14ac:dyDescent="0.2">
      <c r="A283" s="133">
        <f t="shared" si="237"/>
        <v>2</v>
      </c>
      <c r="B283" s="141">
        <v>45323</v>
      </c>
      <c r="C283" s="10" t="s">
        <v>926</v>
      </c>
      <c r="D283" s="42" t="str">
        <f t="shared" si="238"/>
        <v>NO</v>
      </c>
      <c r="E283" s="7">
        <v>339536</v>
      </c>
      <c r="F283" s="7" t="s">
        <v>845</v>
      </c>
      <c r="G283" s="7" t="s">
        <v>846</v>
      </c>
      <c r="H283" s="7">
        <v>45356</v>
      </c>
      <c r="I283" s="7">
        <v>34089295</v>
      </c>
      <c r="J283" s="7" t="s">
        <v>847</v>
      </c>
      <c r="K283" s="7" t="s">
        <v>848</v>
      </c>
      <c r="L283" s="7" t="s">
        <v>179</v>
      </c>
      <c r="N283" s="29">
        <v>45339</v>
      </c>
      <c r="Q283" s="7" t="s">
        <v>157</v>
      </c>
      <c r="R283" s="7" t="s">
        <v>245</v>
      </c>
      <c r="S283" s="7" t="s">
        <v>126</v>
      </c>
      <c r="T283" s="7" t="s">
        <v>206</v>
      </c>
      <c r="U283" s="7" t="s">
        <v>167</v>
      </c>
      <c r="V283" s="7" t="s">
        <v>246</v>
      </c>
      <c r="W283" s="7">
        <v>108803</v>
      </c>
      <c r="X283" s="7" t="s">
        <v>169</v>
      </c>
      <c r="Y283" s="7" t="s">
        <v>170</v>
      </c>
      <c r="AA283" s="7" t="s">
        <v>208</v>
      </c>
      <c r="AB283" s="7" t="s">
        <v>209</v>
      </c>
      <c r="AC283" s="7">
        <v>1035</v>
      </c>
      <c r="AF283" s="7" t="s">
        <v>173</v>
      </c>
      <c r="AG283" s="7" t="s">
        <v>170</v>
      </c>
      <c r="AI283" s="7" t="s">
        <v>174</v>
      </c>
      <c r="AK283" s="7">
        <v>2</v>
      </c>
      <c r="AL283" s="7">
        <v>1</v>
      </c>
      <c r="AM283" s="7">
        <v>43400.82</v>
      </c>
      <c r="AN283" s="7">
        <v>8996.0400000000009</v>
      </c>
      <c r="AP283" s="7">
        <v>10906.99</v>
      </c>
      <c r="AQ283" s="30">
        <v>45311.77</v>
      </c>
      <c r="AS283" s="7">
        <v>1086.1600000000001</v>
      </c>
      <c r="AZ283" s="7">
        <v>531.75</v>
      </c>
      <c r="BG283" s="7">
        <v>1086.1600000000001</v>
      </c>
      <c r="BO283" s="7">
        <v>543.08000000000004</v>
      </c>
      <c r="BR283" s="7">
        <v>3247.15</v>
      </c>
      <c r="BS283" s="7">
        <v>9773.7999999999993</v>
      </c>
      <c r="BT283" s="7">
        <f t="shared" ref="BT283:BT284" si="252">+AM283+BS283</f>
        <v>53174.619999999995</v>
      </c>
    </row>
    <row r="284" spans="1:72" ht="11.25" hidden="1" x14ac:dyDescent="0.2">
      <c r="A284" s="133">
        <f t="shared" si="237"/>
        <v>2</v>
      </c>
      <c r="B284" s="141">
        <v>45323</v>
      </c>
      <c r="C284" s="10" t="s">
        <v>926</v>
      </c>
      <c r="D284" s="42" t="str">
        <f t="shared" si="238"/>
        <v>NO</v>
      </c>
      <c r="E284" s="7">
        <v>319632</v>
      </c>
      <c r="F284" s="7" t="s">
        <v>346</v>
      </c>
      <c r="G284" s="7" t="s">
        <v>347</v>
      </c>
      <c r="H284" s="7">
        <v>45351</v>
      </c>
      <c r="I284" s="7">
        <v>31101133</v>
      </c>
      <c r="J284" s="7" t="s">
        <v>348</v>
      </c>
      <c r="K284" s="7" t="s">
        <v>349</v>
      </c>
      <c r="L284" s="7" t="s">
        <v>179</v>
      </c>
      <c r="N284" s="29">
        <v>45122</v>
      </c>
      <c r="Q284" s="7" t="s">
        <v>157</v>
      </c>
      <c r="R284" s="7" t="s">
        <v>165</v>
      </c>
      <c r="S284" s="7" t="s">
        <v>126</v>
      </c>
      <c r="T284" s="7" t="s">
        <v>180</v>
      </c>
      <c r="U284" s="7" t="s">
        <v>167</v>
      </c>
      <c r="V284" s="7" t="s">
        <v>168</v>
      </c>
      <c r="W284" s="7">
        <v>108803</v>
      </c>
      <c r="X284" s="7" t="s">
        <v>169</v>
      </c>
      <c r="Y284" s="7" t="s">
        <v>170</v>
      </c>
      <c r="AA284" s="7" t="s">
        <v>171</v>
      </c>
      <c r="AB284" s="7" t="s">
        <v>172</v>
      </c>
      <c r="AC284" s="7">
        <v>1130</v>
      </c>
      <c r="AF284" s="7" t="s">
        <v>173</v>
      </c>
      <c r="AG284" s="7" t="s">
        <v>170</v>
      </c>
      <c r="AI284" s="7" t="s">
        <v>174</v>
      </c>
      <c r="AK284" s="7">
        <v>2</v>
      </c>
      <c r="AL284" s="7">
        <v>1</v>
      </c>
      <c r="AM284" s="7">
        <v>234740.16</v>
      </c>
      <c r="AN284" s="7">
        <v>48425.45</v>
      </c>
      <c r="AP284" s="7">
        <v>49247.71</v>
      </c>
      <c r="AQ284" s="30">
        <v>235562.42</v>
      </c>
      <c r="AS284" s="7">
        <v>5679.75</v>
      </c>
      <c r="AZ284" s="7">
        <v>2839.88</v>
      </c>
      <c r="BG284" s="7">
        <v>5679.75</v>
      </c>
      <c r="BO284" s="7">
        <v>2839.88</v>
      </c>
      <c r="BR284" s="7">
        <v>17039.259999999998</v>
      </c>
      <c r="BS284" s="7">
        <v>49247.710000000006</v>
      </c>
      <c r="BT284" s="7">
        <f t="shared" si="252"/>
        <v>283987.87</v>
      </c>
    </row>
    <row r="285" spans="1:72" ht="11.25" hidden="1" x14ac:dyDescent="0.2">
      <c r="A285" s="133">
        <f t="shared" si="237"/>
        <v>2</v>
      </c>
      <c r="B285" s="141">
        <v>45323</v>
      </c>
      <c r="C285" s="10"/>
      <c r="D285" s="42" t="str">
        <f t="shared" si="238"/>
        <v>NO</v>
      </c>
      <c r="E285" s="7">
        <v>337376</v>
      </c>
      <c r="F285" s="7" t="s">
        <v>361</v>
      </c>
      <c r="G285" s="7" t="s">
        <v>362</v>
      </c>
      <c r="H285" s="7">
        <v>45331</v>
      </c>
      <c r="I285" s="7">
        <v>44157646</v>
      </c>
      <c r="J285" s="7" t="s">
        <v>363</v>
      </c>
      <c r="K285" s="7" t="s">
        <v>849</v>
      </c>
      <c r="L285" s="7" t="s">
        <v>179</v>
      </c>
      <c r="N285" s="29">
        <v>45291</v>
      </c>
      <c r="Q285" s="7" t="s">
        <v>157</v>
      </c>
      <c r="R285" s="7" t="s">
        <v>165</v>
      </c>
      <c r="S285" s="7" t="s">
        <v>126</v>
      </c>
      <c r="T285" s="7" t="s">
        <v>200</v>
      </c>
      <c r="U285" s="7" t="s">
        <v>167</v>
      </c>
      <c r="V285" s="7" t="s">
        <v>168</v>
      </c>
      <c r="W285" s="7">
        <v>126908</v>
      </c>
      <c r="X285" s="7" t="s">
        <v>365</v>
      </c>
      <c r="Y285" s="7" t="s">
        <v>170</v>
      </c>
      <c r="AA285" s="7" t="s">
        <v>189</v>
      </c>
      <c r="AB285" s="7" t="s">
        <v>190</v>
      </c>
      <c r="AC285" s="7">
        <v>1584</v>
      </c>
      <c r="AF285" s="7" t="s">
        <v>173</v>
      </c>
      <c r="AG285" s="7" t="s">
        <v>170</v>
      </c>
      <c r="AI285" s="7" t="s">
        <v>174</v>
      </c>
      <c r="AK285" s="7">
        <v>1</v>
      </c>
      <c r="AL285" s="7">
        <v>1</v>
      </c>
      <c r="AQ285" s="30"/>
      <c r="AS285" s="7"/>
      <c r="BJ285" s="7">
        <v>5000</v>
      </c>
      <c r="BR285" s="7">
        <v>5000</v>
      </c>
      <c r="BS285" s="7">
        <v>0</v>
      </c>
    </row>
    <row r="286" spans="1:72" ht="11.25" hidden="1" x14ac:dyDescent="0.2">
      <c r="A286" s="133">
        <f t="shared" si="237"/>
        <v>2</v>
      </c>
      <c r="B286" s="141">
        <v>45323</v>
      </c>
      <c r="C286" s="10" t="s">
        <v>926</v>
      </c>
      <c r="D286" s="42" t="str">
        <f t="shared" si="238"/>
        <v>NO</v>
      </c>
      <c r="E286" s="7">
        <v>340186</v>
      </c>
      <c r="F286" s="7" t="s">
        <v>850</v>
      </c>
      <c r="G286" s="7" t="s">
        <v>851</v>
      </c>
      <c r="H286" s="7">
        <v>45350</v>
      </c>
      <c r="I286" s="7">
        <v>40535516</v>
      </c>
      <c r="J286" s="7" t="s">
        <v>368</v>
      </c>
      <c r="K286" s="7" t="s">
        <v>852</v>
      </c>
      <c r="L286" s="7" t="s">
        <v>179</v>
      </c>
      <c r="N286" s="29">
        <v>45345</v>
      </c>
      <c r="Q286" s="7" t="s">
        <v>157</v>
      </c>
      <c r="R286" s="7" t="s">
        <v>165</v>
      </c>
      <c r="S286" s="7" t="s">
        <v>126</v>
      </c>
      <c r="T286" s="7" t="s">
        <v>166</v>
      </c>
      <c r="U286" s="7" t="s">
        <v>167</v>
      </c>
      <c r="V286" s="7" t="s">
        <v>168</v>
      </c>
      <c r="W286" s="7">
        <v>108803</v>
      </c>
      <c r="X286" s="7" t="s">
        <v>169</v>
      </c>
      <c r="Y286" s="7" t="s">
        <v>170</v>
      </c>
      <c r="AA286" s="7" t="s">
        <v>189</v>
      </c>
      <c r="AB286" s="7" t="s">
        <v>190</v>
      </c>
      <c r="AC286" s="7">
        <v>1584</v>
      </c>
      <c r="AF286" s="7" t="s">
        <v>173</v>
      </c>
      <c r="AG286" s="7" t="s">
        <v>170</v>
      </c>
      <c r="AK286" s="7">
        <v>1</v>
      </c>
      <c r="AL286" s="7">
        <v>1</v>
      </c>
      <c r="AM286" s="7">
        <v>39823.51</v>
      </c>
      <c r="AN286" s="7">
        <v>8184.33</v>
      </c>
      <c r="AP286" s="7">
        <v>7320.6</v>
      </c>
      <c r="AQ286" s="30">
        <v>38959.78</v>
      </c>
      <c r="AS286" s="7">
        <v>942.88</v>
      </c>
      <c r="AZ286" s="7">
        <v>471.44</v>
      </c>
      <c r="BG286" s="7">
        <v>942.88</v>
      </c>
      <c r="BO286" s="7">
        <v>471.44</v>
      </c>
      <c r="BR286" s="7">
        <v>2828.64</v>
      </c>
      <c r="BS286" s="7">
        <v>7320.5999999999995</v>
      </c>
      <c r="BT286" s="7">
        <f t="shared" ref="BT286:BT291" si="253">+AM286+BS286</f>
        <v>47144.11</v>
      </c>
    </row>
    <row r="287" spans="1:72" ht="11.25" hidden="1" x14ac:dyDescent="0.2">
      <c r="A287" s="133">
        <f t="shared" ref="A287:A350" si="254">IF(B287="","",VALUE(MONTH(B287)))</f>
        <v>2</v>
      </c>
      <c r="B287" s="141">
        <v>45323</v>
      </c>
      <c r="C287" s="10" t="s">
        <v>926</v>
      </c>
      <c r="D287" s="42" t="str">
        <f t="shared" si="238"/>
        <v>NO</v>
      </c>
      <c r="E287" s="7">
        <v>339225</v>
      </c>
      <c r="F287" s="7" t="s">
        <v>853</v>
      </c>
      <c r="G287" s="7" t="s">
        <v>854</v>
      </c>
      <c r="H287" s="7">
        <v>45356</v>
      </c>
      <c r="I287" s="7">
        <v>41245085</v>
      </c>
      <c r="J287" s="7" t="s">
        <v>855</v>
      </c>
      <c r="K287" s="7" t="s">
        <v>856</v>
      </c>
      <c r="L287" s="7" t="s">
        <v>179</v>
      </c>
      <c r="N287" s="29">
        <v>45339</v>
      </c>
      <c r="Q287" s="7" t="s">
        <v>157</v>
      </c>
      <c r="R287" s="7" t="s">
        <v>354</v>
      </c>
      <c r="S287" s="7" t="s">
        <v>126</v>
      </c>
      <c r="T287" s="7" t="s">
        <v>239</v>
      </c>
      <c r="U287" s="7" t="s">
        <v>167</v>
      </c>
      <c r="V287" s="7" t="s">
        <v>355</v>
      </c>
      <c r="W287" s="7">
        <v>108803</v>
      </c>
      <c r="X287" s="7" t="s">
        <v>169</v>
      </c>
      <c r="Y287" s="7" t="s">
        <v>170</v>
      </c>
      <c r="AA287" s="7" t="s">
        <v>171</v>
      </c>
      <c r="AB287" s="7" t="s">
        <v>172</v>
      </c>
      <c r="AC287" s="7">
        <v>1130</v>
      </c>
      <c r="AF287" s="7" t="s">
        <v>173</v>
      </c>
      <c r="AG287" s="7" t="s">
        <v>170</v>
      </c>
      <c r="AI287" s="7" t="s">
        <v>174</v>
      </c>
      <c r="AK287" s="7">
        <v>2</v>
      </c>
      <c r="AL287" s="7">
        <v>1</v>
      </c>
      <c r="AM287" s="7">
        <v>40466.730000000003</v>
      </c>
      <c r="AN287" s="7">
        <v>8425.14</v>
      </c>
      <c r="AP287" s="7">
        <v>11847.5</v>
      </c>
      <c r="AQ287" s="30">
        <v>43889.09</v>
      </c>
      <c r="AS287" s="7">
        <v>1046.29</v>
      </c>
      <c r="AZ287" s="7">
        <v>499.51</v>
      </c>
      <c r="BG287" s="7">
        <v>1046.29</v>
      </c>
      <c r="BO287" s="7">
        <v>523.14</v>
      </c>
      <c r="BR287" s="7">
        <v>3115.23</v>
      </c>
      <c r="BS287" s="7">
        <v>9484.39</v>
      </c>
      <c r="BT287" s="7">
        <f t="shared" si="253"/>
        <v>49951.12</v>
      </c>
    </row>
    <row r="288" spans="1:72" ht="11.25" hidden="1" x14ac:dyDescent="0.2">
      <c r="A288" s="133">
        <f t="shared" si="254"/>
        <v>2</v>
      </c>
      <c r="B288" s="141">
        <v>45323</v>
      </c>
      <c r="C288" s="10" t="s">
        <v>926</v>
      </c>
      <c r="D288" s="42" t="str">
        <f t="shared" si="238"/>
        <v>NO</v>
      </c>
      <c r="E288" s="7">
        <v>340190</v>
      </c>
      <c r="F288" s="7" t="s">
        <v>857</v>
      </c>
      <c r="G288" s="7" t="s">
        <v>858</v>
      </c>
      <c r="H288" s="7">
        <v>45350</v>
      </c>
      <c r="I288" s="7">
        <v>43731839</v>
      </c>
      <c r="J288" s="7" t="s">
        <v>859</v>
      </c>
      <c r="K288" s="7" t="s">
        <v>860</v>
      </c>
      <c r="L288" s="7" t="s">
        <v>179</v>
      </c>
      <c r="N288" s="29">
        <v>45346</v>
      </c>
      <c r="Q288" s="7" t="s">
        <v>157</v>
      </c>
      <c r="R288" s="7" t="s">
        <v>165</v>
      </c>
      <c r="S288" s="7" t="s">
        <v>126</v>
      </c>
      <c r="T288" s="7" t="s">
        <v>166</v>
      </c>
      <c r="U288" s="7" t="s">
        <v>167</v>
      </c>
      <c r="V288" s="7" t="s">
        <v>168</v>
      </c>
      <c r="W288" s="7">
        <v>3009</v>
      </c>
      <c r="X288" s="7" t="s">
        <v>425</v>
      </c>
      <c r="Y288" s="7" t="s">
        <v>170</v>
      </c>
      <c r="AA288" s="7" t="s">
        <v>189</v>
      </c>
      <c r="AB288" s="7" t="s">
        <v>190</v>
      </c>
      <c r="AC288" s="7">
        <v>1584</v>
      </c>
      <c r="AF288" s="7" t="s">
        <v>173</v>
      </c>
      <c r="AG288" s="7" t="s">
        <v>170</v>
      </c>
      <c r="AK288" s="7">
        <v>1</v>
      </c>
      <c r="AL288" s="7">
        <v>1</v>
      </c>
      <c r="AM288" s="7">
        <v>28192.240000000002</v>
      </c>
      <c r="AN288" s="7">
        <v>5784.87</v>
      </c>
      <c r="AP288" s="7">
        <v>4880.3999999999996</v>
      </c>
      <c r="AQ288" s="30">
        <v>27287.77</v>
      </c>
      <c r="AS288" s="7">
        <v>661.45</v>
      </c>
      <c r="AZ288" s="7">
        <v>330.73</v>
      </c>
      <c r="BG288" s="7">
        <v>661.45</v>
      </c>
      <c r="BO288" s="7">
        <v>330.73</v>
      </c>
      <c r="BR288" s="7">
        <v>1984.36</v>
      </c>
      <c r="BS288" s="7">
        <v>4880.3999999999996</v>
      </c>
      <c r="BT288" s="7">
        <f t="shared" si="253"/>
        <v>33072.639999999999</v>
      </c>
    </row>
    <row r="289" spans="1:72" ht="11.25" hidden="1" x14ac:dyDescent="0.2">
      <c r="A289" s="133">
        <f t="shared" si="254"/>
        <v>2</v>
      </c>
      <c r="B289" s="141">
        <v>45323</v>
      </c>
      <c r="C289" s="10" t="s">
        <v>926</v>
      </c>
      <c r="D289" s="42" t="str">
        <f t="shared" si="238"/>
        <v>NO</v>
      </c>
      <c r="E289" s="7">
        <v>334649</v>
      </c>
      <c r="F289" s="7" t="s">
        <v>378</v>
      </c>
      <c r="G289" s="7" t="s">
        <v>379</v>
      </c>
      <c r="H289" s="7">
        <v>45356</v>
      </c>
      <c r="I289" s="7">
        <v>43804456</v>
      </c>
      <c r="J289" s="7" t="s">
        <v>380</v>
      </c>
      <c r="K289" s="7" t="s">
        <v>381</v>
      </c>
      <c r="L289" s="7" t="s">
        <v>179</v>
      </c>
      <c r="N289" s="29">
        <v>45256</v>
      </c>
      <c r="Q289" s="7" t="s">
        <v>157</v>
      </c>
      <c r="R289" s="7" t="s">
        <v>238</v>
      </c>
      <c r="S289" s="7" t="s">
        <v>126</v>
      </c>
      <c r="T289" s="7" t="s">
        <v>206</v>
      </c>
      <c r="U289" s="7" t="s">
        <v>167</v>
      </c>
      <c r="V289" s="7" t="s">
        <v>240</v>
      </c>
      <c r="W289" s="7">
        <v>108803</v>
      </c>
      <c r="X289" s="7" t="s">
        <v>169</v>
      </c>
      <c r="Y289" s="7" t="s">
        <v>170</v>
      </c>
      <c r="AA289" s="7" t="s">
        <v>208</v>
      </c>
      <c r="AB289" s="7" t="s">
        <v>209</v>
      </c>
      <c r="AC289" s="7">
        <v>1035</v>
      </c>
      <c r="AF289" s="7" t="s">
        <v>173</v>
      </c>
      <c r="AG289" s="7" t="s">
        <v>170</v>
      </c>
      <c r="AI289" s="7" t="s">
        <v>174</v>
      </c>
      <c r="AK289" s="7">
        <v>1</v>
      </c>
      <c r="AL289" s="7">
        <v>1</v>
      </c>
      <c r="AM289" s="7">
        <v>60874.13</v>
      </c>
      <c r="AN289" s="7">
        <v>12602.84</v>
      </c>
      <c r="AP289" s="7">
        <v>14267.37</v>
      </c>
      <c r="AQ289" s="30">
        <v>62538.66</v>
      </c>
      <c r="AS289" s="7">
        <v>1502.83</v>
      </c>
      <c r="AZ289" s="7">
        <v>751.42</v>
      </c>
      <c r="BG289" s="7">
        <v>1502.83</v>
      </c>
      <c r="BO289" s="7">
        <v>751.42</v>
      </c>
      <c r="BR289" s="7">
        <v>4508.5</v>
      </c>
      <c r="BS289" s="7">
        <v>14267.369999999999</v>
      </c>
      <c r="BT289" s="7">
        <f t="shared" si="253"/>
        <v>75141.5</v>
      </c>
    </row>
    <row r="290" spans="1:72" ht="11.25" hidden="1" x14ac:dyDescent="0.2">
      <c r="A290" s="133">
        <f t="shared" si="254"/>
        <v>2</v>
      </c>
      <c r="B290" s="141">
        <v>45323</v>
      </c>
      <c r="C290" s="10" t="s">
        <v>926</v>
      </c>
      <c r="D290" s="42" t="str">
        <f t="shared" si="238"/>
        <v>NO</v>
      </c>
      <c r="E290" s="7">
        <v>336989</v>
      </c>
      <c r="F290" s="7" t="s">
        <v>392</v>
      </c>
      <c r="G290" s="7" t="s">
        <v>393</v>
      </c>
      <c r="H290" s="7">
        <v>45356</v>
      </c>
      <c r="I290" s="7">
        <v>35617376</v>
      </c>
      <c r="J290" s="7" t="s">
        <v>384</v>
      </c>
      <c r="K290" s="7" t="s">
        <v>394</v>
      </c>
      <c r="L290" s="7" t="s">
        <v>179</v>
      </c>
      <c r="N290" s="29">
        <v>45293</v>
      </c>
      <c r="Q290" s="7" t="s">
        <v>157</v>
      </c>
      <c r="R290" s="7" t="s">
        <v>199</v>
      </c>
      <c r="S290" s="7" t="s">
        <v>126</v>
      </c>
      <c r="T290" s="7" t="s">
        <v>200</v>
      </c>
      <c r="U290" s="7" t="s">
        <v>167</v>
      </c>
      <c r="V290" s="7" t="s">
        <v>395</v>
      </c>
      <c r="W290" s="7">
        <v>121002</v>
      </c>
      <c r="X290" s="7" t="s">
        <v>396</v>
      </c>
      <c r="Y290" s="7" t="s">
        <v>170</v>
      </c>
      <c r="AA290" s="7" t="s">
        <v>189</v>
      </c>
      <c r="AB290" s="7" t="s">
        <v>190</v>
      </c>
      <c r="AC290" s="7">
        <v>1584</v>
      </c>
      <c r="AF290" s="7" t="s">
        <v>173</v>
      </c>
      <c r="AG290" s="7" t="s">
        <v>170</v>
      </c>
      <c r="AI290" s="7" t="s">
        <v>174</v>
      </c>
      <c r="AK290" s="7">
        <v>1</v>
      </c>
      <c r="AL290" s="7">
        <v>1</v>
      </c>
      <c r="AM290" s="7">
        <v>55914.7</v>
      </c>
      <c r="AN290" s="7">
        <v>11576.09</v>
      </c>
      <c r="AP290" s="7">
        <v>13105.01</v>
      </c>
      <c r="AQ290" s="30">
        <v>57443.62</v>
      </c>
      <c r="AS290" s="7">
        <v>1380.39</v>
      </c>
      <c r="AZ290" s="7">
        <v>690.2</v>
      </c>
      <c r="BG290" s="7">
        <v>1380.39</v>
      </c>
      <c r="BO290" s="7">
        <v>690.2</v>
      </c>
      <c r="BR290" s="7">
        <v>4141.18</v>
      </c>
      <c r="BS290" s="7">
        <v>13105.01</v>
      </c>
      <c r="BT290" s="7">
        <f t="shared" si="253"/>
        <v>69019.709999999992</v>
      </c>
    </row>
    <row r="291" spans="1:72" ht="11.25" hidden="1" x14ac:dyDescent="0.2">
      <c r="A291" s="133">
        <f t="shared" si="254"/>
        <v>2</v>
      </c>
      <c r="B291" s="141">
        <v>45323</v>
      </c>
      <c r="C291" s="10" t="s">
        <v>926</v>
      </c>
      <c r="D291" s="42" t="str">
        <f t="shared" si="238"/>
        <v>NO</v>
      </c>
      <c r="E291" s="7">
        <v>340192</v>
      </c>
      <c r="F291" s="7" t="s">
        <v>861</v>
      </c>
      <c r="G291" s="7" t="s">
        <v>862</v>
      </c>
      <c r="H291" s="7">
        <v>45350</v>
      </c>
      <c r="I291" s="7">
        <v>45495640</v>
      </c>
      <c r="J291" s="7" t="s">
        <v>384</v>
      </c>
      <c r="K291" s="7" t="s">
        <v>863</v>
      </c>
      <c r="L291" s="7" t="s">
        <v>179</v>
      </c>
      <c r="N291" s="29">
        <v>45346</v>
      </c>
      <c r="Q291" s="7" t="s">
        <v>157</v>
      </c>
      <c r="R291" s="7" t="s">
        <v>165</v>
      </c>
      <c r="S291" s="7" t="s">
        <v>126</v>
      </c>
      <c r="T291" s="7" t="s">
        <v>166</v>
      </c>
      <c r="U291" s="7" t="s">
        <v>167</v>
      </c>
      <c r="V291" s="7" t="s">
        <v>168</v>
      </c>
      <c r="W291" s="7">
        <v>108803</v>
      </c>
      <c r="X291" s="7" t="s">
        <v>169</v>
      </c>
      <c r="Y291" s="7" t="s">
        <v>170</v>
      </c>
      <c r="AA291" s="7" t="s">
        <v>189</v>
      </c>
      <c r="AB291" s="7" t="s">
        <v>190</v>
      </c>
      <c r="AC291" s="7">
        <v>1584</v>
      </c>
      <c r="AF291" s="7" t="s">
        <v>173</v>
      </c>
      <c r="AG291" s="7" t="s">
        <v>170</v>
      </c>
      <c r="AK291" s="7">
        <v>1</v>
      </c>
      <c r="AL291" s="7">
        <v>1</v>
      </c>
      <c r="AM291" s="7">
        <v>4436.7299999999996</v>
      </c>
      <c r="AN291" s="7">
        <v>887.34</v>
      </c>
      <c r="AQ291" s="30">
        <v>3549.39</v>
      </c>
      <c r="AS291" s="7">
        <v>88.73</v>
      </c>
      <c r="AZ291" s="7">
        <v>44.37</v>
      </c>
      <c r="BG291" s="7">
        <v>88.73</v>
      </c>
      <c r="BO291" s="7">
        <v>44.37</v>
      </c>
      <c r="BR291" s="7">
        <v>266.2</v>
      </c>
      <c r="BS291" s="7">
        <v>0</v>
      </c>
      <c r="BT291" s="7">
        <f t="shared" si="253"/>
        <v>4436.7299999999996</v>
      </c>
    </row>
    <row r="292" spans="1:72" ht="11.25" hidden="1" x14ac:dyDescent="0.2">
      <c r="A292" s="133">
        <f t="shared" si="254"/>
        <v>2</v>
      </c>
      <c r="B292" s="141">
        <v>45323</v>
      </c>
      <c r="C292" s="10"/>
      <c r="D292" s="42" t="str">
        <f t="shared" si="238"/>
        <v>NO</v>
      </c>
      <c r="E292" s="7">
        <v>307938</v>
      </c>
      <c r="F292" s="7" t="s">
        <v>413</v>
      </c>
      <c r="G292" s="7" t="s">
        <v>414</v>
      </c>
      <c r="H292" s="7">
        <v>45330</v>
      </c>
      <c r="I292" s="7">
        <v>33294533</v>
      </c>
      <c r="J292" s="7" t="s">
        <v>415</v>
      </c>
      <c r="K292" s="7" t="s">
        <v>416</v>
      </c>
      <c r="L292" s="7" t="s">
        <v>164</v>
      </c>
      <c r="N292" s="29">
        <v>44834</v>
      </c>
      <c r="P292" s="29">
        <v>45077</v>
      </c>
      <c r="Q292" s="7" t="s">
        <v>157</v>
      </c>
      <c r="R292" s="7" t="s">
        <v>214</v>
      </c>
      <c r="S292" s="7" t="s">
        <v>126</v>
      </c>
      <c r="T292" s="7" t="s">
        <v>206</v>
      </c>
      <c r="U292" s="7" t="s">
        <v>167</v>
      </c>
      <c r="V292" s="7" t="s">
        <v>215</v>
      </c>
      <c r="W292" s="7">
        <v>108803</v>
      </c>
      <c r="X292" s="7" t="s">
        <v>169</v>
      </c>
      <c r="Y292" s="7" t="s">
        <v>170</v>
      </c>
      <c r="AA292" s="7" t="s">
        <v>208</v>
      </c>
      <c r="AB292" s="7" t="s">
        <v>209</v>
      </c>
      <c r="AC292" s="7">
        <v>1035</v>
      </c>
      <c r="AF292" s="7" t="s">
        <v>173</v>
      </c>
      <c r="AG292" s="7" t="s">
        <v>170</v>
      </c>
      <c r="AI292" s="7" t="s">
        <v>174</v>
      </c>
      <c r="AK292" s="7">
        <v>1</v>
      </c>
      <c r="AL292" s="7">
        <v>1</v>
      </c>
      <c r="AM292" s="7">
        <v>15724.18</v>
      </c>
      <c r="AN292" s="7">
        <v>3218.55</v>
      </c>
      <c r="AP292" s="7">
        <v>2456.9</v>
      </c>
      <c r="AQ292" s="30">
        <v>14962.53</v>
      </c>
      <c r="AS292" s="7">
        <v>363.62</v>
      </c>
      <c r="AZ292" s="7">
        <v>181.81</v>
      </c>
      <c r="BG292" s="7">
        <v>363.62</v>
      </c>
      <c r="BO292" s="7">
        <v>181.81</v>
      </c>
      <c r="BR292" s="7">
        <v>1090.8599999999999</v>
      </c>
      <c r="BS292" s="7">
        <v>2456.9</v>
      </c>
    </row>
    <row r="293" spans="1:72" ht="11.25" hidden="1" x14ac:dyDescent="0.2">
      <c r="A293" s="133">
        <f t="shared" si="254"/>
        <v>2</v>
      </c>
      <c r="B293" s="141">
        <v>45323</v>
      </c>
      <c r="C293" s="10" t="s">
        <v>926</v>
      </c>
      <c r="D293" s="42" t="str">
        <f t="shared" si="238"/>
        <v>NO</v>
      </c>
      <c r="E293" s="7">
        <v>340189</v>
      </c>
      <c r="F293" s="7" t="s">
        <v>864</v>
      </c>
      <c r="G293" s="7" t="s">
        <v>865</v>
      </c>
      <c r="H293" s="7">
        <v>45350</v>
      </c>
      <c r="I293" s="7">
        <v>41551382</v>
      </c>
      <c r="J293" s="7" t="s">
        <v>866</v>
      </c>
      <c r="K293" s="7" t="s">
        <v>867</v>
      </c>
      <c r="L293" s="7" t="s">
        <v>179</v>
      </c>
      <c r="N293" s="29">
        <v>45346</v>
      </c>
      <c r="Q293" s="7" t="s">
        <v>157</v>
      </c>
      <c r="R293" s="7" t="s">
        <v>165</v>
      </c>
      <c r="S293" s="7" t="s">
        <v>126</v>
      </c>
      <c r="T293" s="7" t="s">
        <v>166</v>
      </c>
      <c r="U293" s="7" t="s">
        <v>167</v>
      </c>
      <c r="V293" s="7" t="s">
        <v>168</v>
      </c>
      <c r="W293" s="7">
        <v>108803</v>
      </c>
      <c r="X293" s="7" t="s">
        <v>169</v>
      </c>
      <c r="Y293" s="7" t="s">
        <v>170</v>
      </c>
      <c r="AA293" s="7" t="s">
        <v>189</v>
      </c>
      <c r="AB293" s="7" t="s">
        <v>190</v>
      </c>
      <c r="AC293" s="7">
        <v>1584</v>
      </c>
      <c r="AF293" s="7" t="s">
        <v>173</v>
      </c>
      <c r="AG293" s="7" t="s">
        <v>170</v>
      </c>
      <c r="AK293" s="7">
        <v>1</v>
      </c>
      <c r="AL293" s="7">
        <v>1</v>
      </c>
      <c r="AM293" s="7">
        <v>14446.2</v>
      </c>
      <c r="AN293" s="7">
        <v>2949.14</v>
      </c>
      <c r="AP293" s="7">
        <v>1996.53</v>
      </c>
      <c r="AQ293" s="30">
        <v>13493.59</v>
      </c>
      <c r="AS293" s="7">
        <v>328.85</v>
      </c>
      <c r="AZ293" s="7">
        <v>164.43</v>
      </c>
      <c r="BG293" s="7">
        <v>328.85</v>
      </c>
      <c r="BO293" s="7">
        <v>164.43</v>
      </c>
      <c r="BR293" s="7">
        <v>986.56</v>
      </c>
      <c r="BS293" s="7">
        <v>1996.53</v>
      </c>
      <c r="BT293" s="7">
        <f t="shared" ref="BT293:BT298" si="255">+AM293+BS293</f>
        <v>16442.73</v>
      </c>
    </row>
    <row r="294" spans="1:72" ht="11.25" hidden="1" x14ac:dyDescent="0.2">
      <c r="A294" s="133">
        <f t="shared" si="254"/>
        <v>2</v>
      </c>
      <c r="B294" s="141">
        <v>45323</v>
      </c>
      <c r="C294" s="10" t="s">
        <v>926</v>
      </c>
      <c r="D294" s="42" t="str">
        <f t="shared" si="238"/>
        <v>NO</v>
      </c>
      <c r="E294" s="7">
        <v>339944</v>
      </c>
      <c r="F294" s="7" t="s">
        <v>868</v>
      </c>
      <c r="G294" s="7" t="s">
        <v>869</v>
      </c>
      <c r="H294" s="7">
        <v>45351</v>
      </c>
      <c r="I294" s="7">
        <v>45752480</v>
      </c>
      <c r="J294" s="7" t="s">
        <v>428</v>
      </c>
      <c r="K294" s="7" t="s">
        <v>870</v>
      </c>
      <c r="L294" s="7" t="s">
        <v>179</v>
      </c>
      <c r="N294" s="29">
        <v>45341</v>
      </c>
      <c r="Q294" s="7" t="s">
        <v>157</v>
      </c>
      <c r="R294" s="7" t="s">
        <v>165</v>
      </c>
      <c r="S294" s="7" t="s">
        <v>126</v>
      </c>
      <c r="T294" s="7" t="s">
        <v>180</v>
      </c>
      <c r="U294" s="7" t="s">
        <v>167</v>
      </c>
      <c r="V294" s="7" t="s">
        <v>168</v>
      </c>
      <c r="W294" s="7">
        <v>108803</v>
      </c>
      <c r="X294" s="7" t="s">
        <v>169</v>
      </c>
      <c r="Y294" s="7" t="s">
        <v>170</v>
      </c>
      <c r="AA294" s="7" t="s">
        <v>171</v>
      </c>
      <c r="AB294" s="7" t="s">
        <v>172</v>
      </c>
      <c r="AC294" s="7">
        <v>1130</v>
      </c>
      <c r="AF294" s="7" t="s">
        <v>173</v>
      </c>
      <c r="AG294" s="7" t="s">
        <v>170</v>
      </c>
      <c r="AK294" s="7">
        <v>1</v>
      </c>
      <c r="AL294" s="7">
        <v>1</v>
      </c>
      <c r="AM294" s="7">
        <v>51812.02</v>
      </c>
      <c r="AN294" s="7">
        <v>10688.5</v>
      </c>
      <c r="AP294" s="7">
        <v>10869.99</v>
      </c>
      <c r="AQ294" s="30">
        <v>51993.51</v>
      </c>
      <c r="AS294" s="7">
        <v>1253.6400000000001</v>
      </c>
      <c r="AZ294" s="7">
        <v>626.82000000000005</v>
      </c>
      <c r="BG294" s="7">
        <v>1253.6400000000001</v>
      </c>
      <c r="BO294" s="7">
        <v>626.82000000000005</v>
      </c>
      <c r="BR294" s="7">
        <v>3760.92</v>
      </c>
      <c r="BS294" s="7">
        <v>10869.99</v>
      </c>
      <c r="BT294" s="7">
        <f t="shared" si="255"/>
        <v>62682.009999999995</v>
      </c>
    </row>
    <row r="295" spans="1:72" ht="11.25" hidden="1" x14ac:dyDescent="0.2">
      <c r="A295" s="133">
        <f t="shared" si="254"/>
        <v>2</v>
      </c>
      <c r="B295" s="141">
        <v>45323</v>
      </c>
      <c r="C295" s="10" t="s">
        <v>926</v>
      </c>
      <c r="D295" s="42" t="str">
        <f t="shared" ref="D295:D358" si="256">IF(AR295="","NO","SI")</f>
        <v>NO</v>
      </c>
      <c r="E295" s="7">
        <v>235280</v>
      </c>
      <c r="F295" s="7" t="s">
        <v>426</v>
      </c>
      <c r="G295" s="7" t="s">
        <v>427</v>
      </c>
      <c r="H295" s="7">
        <v>45356</v>
      </c>
      <c r="I295" s="7">
        <v>41352660</v>
      </c>
      <c r="J295" s="7" t="s">
        <v>428</v>
      </c>
      <c r="K295" s="7" t="s">
        <v>429</v>
      </c>
      <c r="L295" s="7" t="s">
        <v>164</v>
      </c>
      <c r="N295" s="29">
        <v>44800</v>
      </c>
      <c r="Q295" s="7" t="s">
        <v>157</v>
      </c>
      <c r="R295" s="7" t="s">
        <v>165</v>
      </c>
      <c r="S295" s="7" t="s">
        <v>126</v>
      </c>
      <c r="T295" s="7" t="s">
        <v>239</v>
      </c>
      <c r="U295" s="7" t="s">
        <v>167</v>
      </c>
      <c r="V295" s="7" t="s">
        <v>324</v>
      </c>
      <c r="W295" s="7">
        <v>108803</v>
      </c>
      <c r="X295" s="7" t="s">
        <v>169</v>
      </c>
      <c r="Y295" s="7" t="s">
        <v>170</v>
      </c>
      <c r="AA295" s="7" t="s">
        <v>171</v>
      </c>
      <c r="AB295" s="7" t="s">
        <v>172</v>
      </c>
      <c r="AC295" s="7">
        <v>1130</v>
      </c>
      <c r="AF295" s="7" t="s">
        <v>173</v>
      </c>
      <c r="AG295" s="7" t="s">
        <v>170</v>
      </c>
      <c r="AI295" s="7" t="s">
        <v>174</v>
      </c>
      <c r="AK295" s="7">
        <v>2</v>
      </c>
      <c r="AL295" s="7">
        <v>1</v>
      </c>
      <c r="AM295" s="7">
        <v>71823.77</v>
      </c>
      <c r="AN295" s="7">
        <v>14840.59</v>
      </c>
      <c r="AP295" s="7">
        <v>15861.37</v>
      </c>
      <c r="AQ295" s="30">
        <v>72844.55</v>
      </c>
      <c r="AS295" s="7">
        <v>1753.71</v>
      </c>
      <c r="AZ295" s="7">
        <v>876.85</v>
      </c>
      <c r="BG295" s="7">
        <v>1753.71</v>
      </c>
      <c r="BO295" s="7">
        <v>876.85</v>
      </c>
      <c r="BR295" s="7">
        <v>5261.12</v>
      </c>
      <c r="BS295" s="7">
        <v>15861.369999999999</v>
      </c>
      <c r="BT295" s="7">
        <f t="shared" si="255"/>
        <v>87685.14</v>
      </c>
    </row>
    <row r="296" spans="1:72" ht="11.25" hidden="1" x14ac:dyDescent="0.2">
      <c r="A296" s="133">
        <f t="shared" si="254"/>
        <v>2</v>
      </c>
      <c r="B296" s="141">
        <v>45323</v>
      </c>
      <c r="C296" s="10" t="s">
        <v>926</v>
      </c>
      <c r="D296" s="42" t="str">
        <f t="shared" si="256"/>
        <v>NO</v>
      </c>
      <c r="E296" s="7">
        <v>339532</v>
      </c>
      <c r="F296" s="7" t="s">
        <v>871</v>
      </c>
      <c r="G296" s="7" t="s">
        <v>872</v>
      </c>
      <c r="H296" s="7">
        <v>45356</v>
      </c>
      <c r="I296" s="7">
        <v>35860524</v>
      </c>
      <c r="J296" s="7" t="s">
        <v>436</v>
      </c>
      <c r="K296" s="7" t="s">
        <v>873</v>
      </c>
      <c r="L296" s="7" t="s">
        <v>164</v>
      </c>
      <c r="N296" s="29">
        <v>45332</v>
      </c>
      <c r="Q296" s="7" t="s">
        <v>157</v>
      </c>
      <c r="R296" s="7" t="s">
        <v>214</v>
      </c>
      <c r="S296" s="7" t="s">
        <v>126</v>
      </c>
      <c r="T296" s="7" t="s">
        <v>239</v>
      </c>
      <c r="U296" s="7" t="s">
        <v>167</v>
      </c>
      <c r="V296" s="7" t="s">
        <v>215</v>
      </c>
      <c r="W296" s="7">
        <v>2808</v>
      </c>
      <c r="X296" s="7" t="s">
        <v>874</v>
      </c>
      <c r="Y296" s="7" t="s">
        <v>170</v>
      </c>
      <c r="AA296" s="7" t="s">
        <v>171</v>
      </c>
      <c r="AB296" s="7" t="s">
        <v>172</v>
      </c>
      <c r="AC296" s="7">
        <v>1130</v>
      </c>
      <c r="AF296" s="7" t="s">
        <v>173</v>
      </c>
      <c r="AG296" s="7" t="s">
        <v>170</v>
      </c>
      <c r="AI296" s="7" t="s">
        <v>174</v>
      </c>
      <c r="AK296" s="7">
        <v>1</v>
      </c>
      <c r="AL296" s="7">
        <v>1</v>
      </c>
      <c r="AM296" s="7">
        <v>47172.54</v>
      </c>
      <c r="AN296" s="7">
        <v>9766.2000000000007</v>
      </c>
      <c r="AP296" s="7">
        <v>11056.07</v>
      </c>
      <c r="AQ296" s="30">
        <v>48462.41</v>
      </c>
      <c r="AS296" s="7">
        <v>1164.57</v>
      </c>
      <c r="AZ296" s="7">
        <v>582.29</v>
      </c>
      <c r="BG296" s="7">
        <v>1164.57</v>
      </c>
      <c r="BO296" s="7">
        <v>582.29</v>
      </c>
      <c r="BR296" s="7">
        <v>3493.72</v>
      </c>
      <c r="BS296" s="7">
        <v>11056.07</v>
      </c>
      <c r="BT296" s="7">
        <f t="shared" si="255"/>
        <v>58228.61</v>
      </c>
    </row>
    <row r="297" spans="1:72" ht="11.25" hidden="1" x14ac:dyDescent="0.2">
      <c r="A297" s="133">
        <f t="shared" si="254"/>
        <v>2</v>
      </c>
      <c r="B297" s="141">
        <v>45323</v>
      </c>
      <c r="C297" s="10" t="s">
        <v>926</v>
      </c>
      <c r="D297" s="42" t="str">
        <f t="shared" si="256"/>
        <v>NO</v>
      </c>
      <c r="E297" s="7">
        <v>321553</v>
      </c>
      <c r="F297" s="7" t="s">
        <v>434</v>
      </c>
      <c r="G297" s="7" t="s">
        <v>435</v>
      </c>
      <c r="H297" s="7">
        <v>45356</v>
      </c>
      <c r="I297" s="7">
        <v>39756303</v>
      </c>
      <c r="J297" s="7" t="s">
        <v>436</v>
      </c>
      <c r="K297" s="7" t="s">
        <v>437</v>
      </c>
      <c r="L297" s="7" t="s">
        <v>179</v>
      </c>
      <c r="N297" s="29">
        <v>45244</v>
      </c>
      <c r="Q297" s="7" t="s">
        <v>157</v>
      </c>
      <c r="R297" s="7" t="s">
        <v>199</v>
      </c>
      <c r="S297" s="7" t="s">
        <v>126</v>
      </c>
      <c r="T297" s="7" t="s">
        <v>200</v>
      </c>
      <c r="U297" s="7" t="s">
        <v>167</v>
      </c>
      <c r="V297" s="7" t="s">
        <v>201</v>
      </c>
      <c r="W297" s="7">
        <v>108803</v>
      </c>
      <c r="X297" s="7" t="s">
        <v>169</v>
      </c>
      <c r="Y297" s="7" t="s">
        <v>170</v>
      </c>
      <c r="AA297" s="7" t="s">
        <v>171</v>
      </c>
      <c r="AB297" s="7" t="s">
        <v>172</v>
      </c>
      <c r="AC297" s="7">
        <v>1130</v>
      </c>
      <c r="AF297" s="7" t="s">
        <v>173</v>
      </c>
      <c r="AG297" s="7" t="s">
        <v>170</v>
      </c>
      <c r="AI297" s="7" t="s">
        <v>174</v>
      </c>
      <c r="AK297" s="7">
        <v>2</v>
      </c>
      <c r="AL297" s="7">
        <v>1</v>
      </c>
      <c r="AM297" s="7">
        <v>171238.77</v>
      </c>
      <c r="AN297" s="7">
        <v>35451.769999999997</v>
      </c>
      <c r="AP297" s="7">
        <v>40134.089999999997</v>
      </c>
      <c r="AQ297" s="30">
        <v>175921.09</v>
      </c>
      <c r="AS297" s="7">
        <v>4227.46</v>
      </c>
      <c r="AZ297" s="7">
        <v>2113.73</v>
      </c>
      <c r="BG297" s="7">
        <v>4227.46</v>
      </c>
      <c r="BJ297" s="7">
        <v>5000</v>
      </c>
      <c r="BO297" s="7">
        <v>2113.73</v>
      </c>
      <c r="BR297" s="7">
        <v>17682.38</v>
      </c>
      <c r="BS297" s="7">
        <v>40134.090000000004</v>
      </c>
      <c r="BT297" s="7">
        <f t="shared" si="255"/>
        <v>211372.86</v>
      </c>
    </row>
    <row r="298" spans="1:72" ht="11.25" hidden="1" x14ac:dyDescent="0.2">
      <c r="A298" s="133">
        <f t="shared" si="254"/>
        <v>2</v>
      </c>
      <c r="B298" s="141">
        <v>45323</v>
      </c>
      <c r="C298" s="10" t="s">
        <v>926</v>
      </c>
      <c r="D298" s="42" t="str">
        <f t="shared" si="256"/>
        <v>NO</v>
      </c>
      <c r="E298" s="7">
        <v>313916</v>
      </c>
      <c r="F298" s="7" t="s">
        <v>454</v>
      </c>
      <c r="G298" s="7" t="s">
        <v>455</v>
      </c>
      <c r="H298" s="7">
        <v>45356</v>
      </c>
      <c r="I298" s="7">
        <v>36624954</v>
      </c>
      <c r="J298" s="7" t="s">
        <v>456</v>
      </c>
      <c r="K298" s="7" t="s">
        <v>457</v>
      </c>
      <c r="L298" s="7" t="s">
        <v>179</v>
      </c>
      <c r="N298" s="29">
        <v>45155</v>
      </c>
      <c r="Q298" s="7" t="s">
        <v>157</v>
      </c>
      <c r="R298" s="7" t="s">
        <v>199</v>
      </c>
      <c r="S298" s="7" t="s">
        <v>126</v>
      </c>
      <c r="T298" s="7" t="s">
        <v>200</v>
      </c>
      <c r="U298" s="7" t="s">
        <v>167</v>
      </c>
      <c r="V298" s="7" t="s">
        <v>360</v>
      </c>
      <c r="W298" s="7">
        <v>108803</v>
      </c>
      <c r="X298" s="7" t="s">
        <v>169</v>
      </c>
      <c r="Y298" s="7" t="s">
        <v>170</v>
      </c>
      <c r="AA298" s="7" t="s">
        <v>208</v>
      </c>
      <c r="AB298" s="7" t="s">
        <v>209</v>
      </c>
      <c r="AC298" s="7">
        <v>1035</v>
      </c>
      <c r="AF298" s="7" t="s">
        <v>173</v>
      </c>
      <c r="AG298" s="7" t="s">
        <v>170</v>
      </c>
      <c r="AI298" s="7" t="s">
        <v>174</v>
      </c>
      <c r="AK298" s="7">
        <v>3</v>
      </c>
      <c r="AL298" s="7">
        <v>1</v>
      </c>
      <c r="AM298" s="7">
        <v>89987.72</v>
      </c>
      <c r="AN298" s="7">
        <v>18433.689999999999</v>
      </c>
      <c r="AP298" s="7">
        <v>14538.37</v>
      </c>
      <c r="AQ298" s="30">
        <v>86092.4</v>
      </c>
      <c r="AS298" s="7">
        <v>2090.52</v>
      </c>
      <c r="AZ298" s="7">
        <v>1045.26</v>
      </c>
      <c r="BG298" s="7">
        <v>2090.52</v>
      </c>
      <c r="BO298" s="7">
        <v>1045.26</v>
      </c>
      <c r="BR298" s="7">
        <v>6271.56</v>
      </c>
      <c r="BS298" s="7">
        <v>14538.369999999999</v>
      </c>
      <c r="BT298" s="7">
        <f t="shared" si="255"/>
        <v>104526.09</v>
      </c>
    </row>
    <row r="299" spans="1:72" ht="11.25" hidden="1" x14ac:dyDescent="0.2">
      <c r="A299" s="133">
        <f t="shared" si="254"/>
        <v>2</v>
      </c>
      <c r="B299" s="141">
        <v>45323</v>
      </c>
      <c r="C299" s="10"/>
      <c r="D299" s="42" t="str">
        <f t="shared" si="256"/>
        <v>NO</v>
      </c>
      <c r="E299" s="7">
        <v>329774</v>
      </c>
      <c r="F299" s="7" t="s">
        <v>462</v>
      </c>
      <c r="G299" s="7" t="s">
        <v>463</v>
      </c>
      <c r="H299" s="7">
        <v>45331</v>
      </c>
      <c r="I299" s="7">
        <v>45503827</v>
      </c>
      <c r="J299" s="7" t="s">
        <v>464</v>
      </c>
      <c r="K299" s="7" t="s">
        <v>465</v>
      </c>
      <c r="L299" s="7" t="s">
        <v>179</v>
      </c>
      <c r="N299" s="29">
        <v>45231</v>
      </c>
      <c r="Q299" s="7" t="s">
        <v>157</v>
      </c>
      <c r="R299" s="7" t="s">
        <v>165</v>
      </c>
      <c r="S299" s="7" t="s">
        <v>126</v>
      </c>
      <c r="T299" s="7" t="s">
        <v>180</v>
      </c>
      <c r="U299" s="7" t="s">
        <v>167</v>
      </c>
      <c r="V299" s="7" t="s">
        <v>168</v>
      </c>
      <c r="W299" s="7">
        <v>108803</v>
      </c>
      <c r="X299" s="7" t="s">
        <v>169</v>
      </c>
      <c r="Y299" s="7" t="s">
        <v>170</v>
      </c>
      <c r="AA299" s="7" t="s">
        <v>171</v>
      </c>
      <c r="AB299" s="7" t="s">
        <v>172</v>
      </c>
      <c r="AC299" s="7">
        <v>1130</v>
      </c>
      <c r="AF299" s="7" t="s">
        <v>173</v>
      </c>
      <c r="AG299" s="7" t="s">
        <v>170</v>
      </c>
      <c r="AI299" s="7" t="s">
        <v>174</v>
      </c>
      <c r="AK299" s="7">
        <v>1</v>
      </c>
      <c r="AL299" s="7">
        <v>1</v>
      </c>
      <c r="AQ299" s="30"/>
      <c r="AS299" s="7"/>
      <c r="BJ299" s="7">
        <v>5000</v>
      </c>
      <c r="BR299" s="7">
        <v>5000</v>
      </c>
      <c r="BS299" s="7">
        <v>0</v>
      </c>
    </row>
    <row r="300" spans="1:72" ht="11.25" hidden="1" x14ac:dyDescent="0.2">
      <c r="A300" s="133">
        <f t="shared" si="254"/>
        <v>2</v>
      </c>
      <c r="B300" s="141">
        <v>45323</v>
      </c>
      <c r="C300" s="10" t="s">
        <v>926</v>
      </c>
      <c r="D300" s="42" t="str">
        <f t="shared" si="256"/>
        <v>NO</v>
      </c>
      <c r="E300" s="7">
        <v>49660</v>
      </c>
      <c r="F300" s="7" t="s">
        <v>466</v>
      </c>
      <c r="G300" s="7" t="s">
        <v>467</v>
      </c>
      <c r="H300" s="7">
        <v>45356</v>
      </c>
      <c r="I300" s="7">
        <v>22669935</v>
      </c>
      <c r="J300" s="7" t="s">
        <v>468</v>
      </c>
      <c r="K300" s="7" t="s">
        <v>469</v>
      </c>
      <c r="L300" s="7" t="s">
        <v>164</v>
      </c>
      <c r="N300" s="29">
        <v>45231</v>
      </c>
      <c r="Q300" s="7" t="s">
        <v>157</v>
      </c>
      <c r="R300" s="7" t="s">
        <v>214</v>
      </c>
      <c r="S300" s="7" t="s">
        <v>126</v>
      </c>
      <c r="T300" s="7" t="s">
        <v>239</v>
      </c>
      <c r="U300" s="7" t="s">
        <v>167</v>
      </c>
      <c r="V300" s="7" t="s">
        <v>215</v>
      </c>
      <c r="W300" s="7">
        <v>108803</v>
      </c>
      <c r="X300" s="7" t="s">
        <v>169</v>
      </c>
      <c r="Y300" s="7" t="s">
        <v>170</v>
      </c>
      <c r="AA300" s="7" t="s">
        <v>208</v>
      </c>
      <c r="AB300" s="7" t="s">
        <v>209</v>
      </c>
      <c r="AC300" s="7">
        <v>1035</v>
      </c>
      <c r="AF300" s="7" t="s">
        <v>173</v>
      </c>
      <c r="AG300" s="7" t="s">
        <v>170</v>
      </c>
      <c r="AI300" s="7" t="s">
        <v>174</v>
      </c>
      <c r="AK300" s="7">
        <v>1</v>
      </c>
      <c r="AL300" s="7">
        <v>1</v>
      </c>
      <c r="AM300" s="7">
        <v>51103.62</v>
      </c>
      <c r="AN300" s="7">
        <v>10580.05</v>
      </c>
      <c r="AP300" s="7">
        <v>11977.41</v>
      </c>
      <c r="AQ300" s="30">
        <v>52500.98</v>
      </c>
      <c r="AS300" s="7">
        <v>1261.6199999999999</v>
      </c>
      <c r="AZ300" s="7">
        <v>630.80999999999995</v>
      </c>
      <c r="BG300" s="7">
        <v>1261.6199999999999</v>
      </c>
      <c r="BO300" s="7">
        <v>630.80999999999995</v>
      </c>
      <c r="BR300" s="7">
        <v>3784.86</v>
      </c>
      <c r="BS300" s="7">
        <v>11977.41</v>
      </c>
      <c r="BT300" s="7">
        <f t="shared" ref="BT300:BT302" si="257">+AM300+BS300</f>
        <v>63081.03</v>
      </c>
    </row>
    <row r="301" spans="1:72" ht="11.25" hidden="1" x14ac:dyDescent="0.2">
      <c r="A301" s="133">
        <f t="shared" si="254"/>
        <v>2</v>
      </c>
      <c r="B301" s="141">
        <v>45323</v>
      </c>
      <c r="C301" s="10" t="s">
        <v>926</v>
      </c>
      <c r="D301" s="42" t="str">
        <f t="shared" si="256"/>
        <v>SI</v>
      </c>
      <c r="E301" s="7">
        <v>95403</v>
      </c>
      <c r="F301" s="7" t="s">
        <v>470</v>
      </c>
      <c r="G301" s="7" t="s">
        <v>471</v>
      </c>
      <c r="H301" s="7">
        <v>45356</v>
      </c>
      <c r="I301" s="7">
        <v>19105903</v>
      </c>
      <c r="J301" s="7" t="s">
        <v>472</v>
      </c>
      <c r="K301" s="7" t="s">
        <v>473</v>
      </c>
      <c r="L301" s="7" t="s">
        <v>179</v>
      </c>
      <c r="N301" s="29">
        <v>45231</v>
      </c>
      <c r="O301" s="29">
        <v>45355</v>
      </c>
      <c r="P301" s="29">
        <v>45355</v>
      </c>
      <c r="Q301" s="7" t="s">
        <v>157</v>
      </c>
      <c r="R301" s="7" t="s">
        <v>165</v>
      </c>
      <c r="S301" s="7" t="s">
        <v>126</v>
      </c>
      <c r="T301" s="7" t="s">
        <v>239</v>
      </c>
      <c r="U301" s="7" t="s">
        <v>167</v>
      </c>
      <c r="V301" s="7" t="s">
        <v>168</v>
      </c>
      <c r="W301" s="7">
        <v>108803</v>
      </c>
      <c r="X301" s="7" t="s">
        <v>169</v>
      </c>
      <c r="Y301" s="7" t="s">
        <v>170</v>
      </c>
      <c r="AA301" s="7" t="s">
        <v>171</v>
      </c>
      <c r="AB301" s="7" t="s">
        <v>172</v>
      </c>
      <c r="AC301" s="7">
        <v>1130</v>
      </c>
      <c r="AF301" s="7" t="s">
        <v>173</v>
      </c>
      <c r="AG301" s="7" t="s">
        <v>170</v>
      </c>
      <c r="AI301" s="7" t="s">
        <v>174</v>
      </c>
      <c r="AK301" s="7">
        <v>2</v>
      </c>
      <c r="AL301" s="7">
        <v>1</v>
      </c>
      <c r="AM301" s="7">
        <v>211520.51</v>
      </c>
      <c r="AN301" s="7">
        <v>45050.43</v>
      </c>
      <c r="AP301" s="7">
        <v>48249.69</v>
      </c>
      <c r="AQ301" s="30">
        <v>214719.77</v>
      </c>
      <c r="AR301" s="7">
        <v>6494.25</v>
      </c>
      <c r="AS301" s="7"/>
      <c r="AZ301" s="7">
        <v>2597.6999999999998</v>
      </c>
      <c r="BG301" s="7">
        <v>5195.41</v>
      </c>
      <c r="BO301" s="7">
        <v>2597.6999999999998</v>
      </c>
      <c r="BR301" s="7">
        <v>16885.060000000001</v>
      </c>
      <c r="BS301" s="7">
        <v>48249.69</v>
      </c>
      <c r="BT301" s="7">
        <f t="shared" si="257"/>
        <v>259770.2</v>
      </c>
    </row>
    <row r="302" spans="1:72" ht="11.25" hidden="1" x14ac:dyDescent="0.2">
      <c r="A302" s="133">
        <f t="shared" si="254"/>
        <v>2</v>
      </c>
      <c r="B302" s="141">
        <v>45323</v>
      </c>
      <c r="C302" s="10" t="s">
        <v>926</v>
      </c>
      <c r="D302" s="42" t="str">
        <f t="shared" si="256"/>
        <v>NO</v>
      </c>
      <c r="E302" s="7">
        <v>336783</v>
      </c>
      <c r="F302" s="7" t="s">
        <v>474</v>
      </c>
      <c r="G302" s="7" t="s">
        <v>475</v>
      </c>
      <c r="H302" s="7">
        <v>45356</v>
      </c>
      <c r="I302" s="7">
        <v>32224278</v>
      </c>
      <c r="J302" s="7" t="s">
        <v>476</v>
      </c>
      <c r="K302" s="7" t="s">
        <v>477</v>
      </c>
      <c r="L302" s="7" t="s">
        <v>179</v>
      </c>
      <c r="N302" s="29">
        <v>45292</v>
      </c>
      <c r="Q302" s="7" t="s">
        <v>157</v>
      </c>
      <c r="R302" s="7" t="s">
        <v>354</v>
      </c>
      <c r="S302" s="7" t="s">
        <v>126</v>
      </c>
      <c r="T302" s="7" t="s">
        <v>200</v>
      </c>
      <c r="U302" s="7" t="s">
        <v>167</v>
      </c>
      <c r="V302" s="7" t="s">
        <v>355</v>
      </c>
      <c r="W302" s="7">
        <v>103105</v>
      </c>
      <c r="X302" s="7" t="s">
        <v>478</v>
      </c>
      <c r="Y302" s="7" t="s">
        <v>170</v>
      </c>
      <c r="AA302" s="7" t="s">
        <v>171</v>
      </c>
      <c r="AB302" s="7" t="s">
        <v>172</v>
      </c>
      <c r="AC302" s="7">
        <v>1130</v>
      </c>
      <c r="AF302" s="7" t="s">
        <v>173</v>
      </c>
      <c r="AG302" s="7" t="s">
        <v>170</v>
      </c>
      <c r="AI302" s="7" t="s">
        <v>174</v>
      </c>
      <c r="AK302" s="7">
        <v>5</v>
      </c>
      <c r="AL302" s="7">
        <v>1</v>
      </c>
      <c r="AM302" s="7">
        <v>237040.28</v>
      </c>
      <c r="AN302" s="7">
        <v>49092.26</v>
      </c>
      <c r="AP302" s="7">
        <v>56530.27</v>
      </c>
      <c r="AQ302" s="30">
        <v>244478.29</v>
      </c>
      <c r="AS302" s="7">
        <v>5871.42</v>
      </c>
      <c r="AZ302" s="7">
        <v>2923.99</v>
      </c>
      <c r="BG302" s="7">
        <v>5871.42</v>
      </c>
      <c r="BH302" s="7">
        <v>506.32</v>
      </c>
      <c r="BJ302" s="7">
        <v>5000</v>
      </c>
      <c r="BO302" s="7">
        <v>2429.38</v>
      </c>
      <c r="BR302" s="7">
        <v>22602.53</v>
      </c>
      <c r="BS302" s="7">
        <v>45905.25</v>
      </c>
      <c r="BT302" s="7">
        <f t="shared" si="257"/>
        <v>282945.53000000003</v>
      </c>
    </row>
    <row r="303" spans="1:72" ht="11.25" hidden="1" x14ac:dyDescent="0.2">
      <c r="A303" s="133">
        <f t="shared" si="254"/>
        <v>2</v>
      </c>
      <c r="B303" s="141">
        <v>45323</v>
      </c>
      <c r="C303" s="10"/>
      <c r="D303" s="42" t="str">
        <f t="shared" si="256"/>
        <v>NO</v>
      </c>
      <c r="E303" s="7">
        <v>316836</v>
      </c>
      <c r="F303" s="7" t="s">
        <v>487</v>
      </c>
      <c r="G303" s="7" t="s">
        <v>488</v>
      </c>
      <c r="H303" s="7">
        <v>45331</v>
      </c>
      <c r="I303" s="7">
        <v>36701419</v>
      </c>
      <c r="J303" s="7" t="s">
        <v>489</v>
      </c>
      <c r="K303" s="7" t="s">
        <v>490</v>
      </c>
      <c r="L303" s="7" t="s">
        <v>179</v>
      </c>
      <c r="N303" s="29">
        <v>45302</v>
      </c>
      <c r="Q303" s="7" t="s">
        <v>157</v>
      </c>
      <c r="R303" s="7" t="s">
        <v>199</v>
      </c>
      <c r="S303" s="7" t="s">
        <v>126</v>
      </c>
      <c r="T303" s="7" t="s">
        <v>206</v>
      </c>
      <c r="U303" s="7" t="s">
        <v>167</v>
      </c>
      <c r="V303" s="7" t="s">
        <v>201</v>
      </c>
      <c r="W303" s="7">
        <v>108803</v>
      </c>
      <c r="X303" s="7" t="s">
        <v>169</v>
      </c>
      <c r="Y303" s="7" t="s">
        <v>170</v>
      </c>
      <c r="AA303" s="7" t="s">
        <v>208</v>
      </c>
      <c r="AB303" s="7" t="s">
        <v>209</v>
      </c>
      <c r="AC303" s="7">
        <v>1035</v>
      </c>
      <c r="AF303" s="7" t="s">
        <v>173</v>
      </c>
      <c r="AG303" s="7" t="s">
        <v>170</v>
      </c>
      <c r="AI303" s="7" t="s">
        <v>174</v>
      </c>
      <c r="AK303" s="7">
        <v>1</v>
      </c>
      <c r="AL303" s="7">
        <v>1</v>
      </c>
      <c r="AQ303" s="30"/>
      <c r="AS303" s="7"/>
      <c r="BJ303" s="7">
        <v>5000</v>
      </c>
      <c r="BR303" s="7">
        <v>5000</v>
      </c>
      <c r="BS303" s="7">
        <v>0</v>
      </c>
    </row>
    <row r="304" spans="1:72" ht="11.25" hidden="1" x14ac:dyDescent="0.2">
      <c r="A304" s="133">
        <f t="shared" si="254"/>
        <v>2</v>
      </c>
      <c r="B304" s="141">
        <v>45323</v>
      </c>
      <c r="C304" s="10" t="s">
        <v>926</v>
      </c>
      <c r="D304" s="42" t="str">
        <f t="shared" si="256"/>
        <v>NO</v>
      </c>
      <c r="E304" s="7">
        <v>328929</v>
      </c>
      <c r="F304" s="7" t="s">
        <v>504</v>
      </c>
      <c r="G304" s="7" t="s">
        <v>505</v>
      </c>
      <c r="H304" s="7">
        <v>45350</v>
      </c>
      <c r="I304" s="7">
        <v>42435403</v>
      </c>
      <c r="J304" s="7" t="s">
        <v>506</v>
      </c>
      <c r="K304" s="7" t="s">
        <v>507</v>
      </c>
      <c r="L304" s="7" t="s">
        <v>164</v>
      </c>
      <c r="N304" s="29">
        <v>45155</v>
      </c>
      <c r="Q304" s="7" t="s">
        <v>157</v>
      </c>
      <c r="R304" s="7" t="s">
        <v>165</v>
      </c>
      <c r="S304" s="7" t="s">
        <v>126</v>
      </c>
      <c r="T304" s="7" t="s">
        <v>166</v>
      </c>
      <c r="U304" s="7" t="s">
        <v>167</v>
      </c>
      <c r="V304" s="7" t="s">
        <v>168</v>
      </c>
      <c r="W304" s="7">
        <v>108803</v>
      </c>
      <c r="X304" s="7" t="s">
        <v>169</v>
      </c>
      <c r="Y304" s="7" t="s">
        <v>170</v>
      </c>
      <c r="AA304" s="7" t="s">
        <v>189</v>
      </c>
      <c r="AB304" s="7" t="s">
        <v>190</v>
      </c>
      <c r="AC304" s="7">
        <v>1584</v>
      </c>
      <c r="AF304" s="7" t="s">
        <v>173</v>
      </c>
      <c r="AG304" s="7" t="s">
        <v>170</v>
      </c>
      <c r="AI304" s="7" t="s">
        <v>174</v>
      </c>
      <c r="AK304" s="7">
        <v>1</v>
      </c>
      <c r="AL304" s="7">
        <v>1</v>
      </c>
      <c r="AM304" s="7">
        <v>97279.7</v>
      </c>
      <c r="AN304" s="7">
        <v>20068.21</v>
      </c>
      <c r="AP304" s="7">
        <v>20408.96</v>
      </c>
      <c r="AQ304" s="30">
        <v>97620.45</v>
      </c>
      <c r="AS304" s="7">
        <v>2353.77</v>
      </c>
      <c r="AZ304" s="7">
        <v>1176.8900000000001</v>
      </c>
      <c r="BG304" s="7">
        <v>2353.77</v>
      </c>
      <c r="BO304" s="7">
        <v>1176.8900000000001</v>
      </c>
      <c r="BR304" s="7">
        <v>7061.32</v>
      </c>
      <c r="BS304" s="7">
        <v>20408.96</v>
      </c>
      <c r="BT304" s="7">
        <f t="shared" ref="BT304:BT307" si="258">+AM304+BS304</f>
        <v>117688.66</v>
      </c>
    </row>
    <row r="305" spans="1:72" ht="11.25" hidden="1" x14ac:dyDescent="0.2">
      <c r="A305" s="133">
        <f t="shared" si="254"/>
        <v>2</v>
      </c>
      <c r="B305" s="141">
        <v>45323</v>
      </c>
      <c r="C305" s="10" t="s">
        <v>926</v>
      </c>
      <c r="D305" s="42" t="str">
        <f t="shared" si="256"/>
        <v>NO</v>
      </c>
      <c r="E305" s="7">
        <v>297802</v>
      </c>
      <c r="F305" s="7" t="s">
        <v>508</v>
      </c>
      <c r="G305" s="7" t="s">
        <v>509</v>
      </c>
      <c r="H305" s="7">
        <v>45356</v>
      </c>
      <c r="I305" s="7">
        <v>37428328</v>
      </c>
      <c r="J305" s="7" t="s">
        <v>510</v>
      </c>
      <c r="K305" s="7" t="s">
        <v>511</v>
      </c>
      <c r="L305" s="7" t="s">
        <v>164</v>
      </c>
      <c r="N305" s="29">
        <v>44639</v>
      </c>
      <c r="Q305" s="7" t="s">
        <v>157</v>
      </c>
      <c r="R305" s="7" t="s">
        <v>165</v>
      </c>
      <c r="S305" s="7" t="s">
        <v>126</v>
      </c>
      <c r="T305" s="7" t="s">
        <v>239</v>
      </c>
      <c r="U305" s="7" t="s">
        <v>167</v>
      </c>
      <c r="V305" s="7" t="s">
        <v>168</v>
      </c>
      <c r="W305" s="7">
        <v>108803</v>
      </c>
      <c r="X305" s="7" t="s">
        <v>169</v>
      </c>
      <c r="Y305" s="7" t="s">
        <v>170</v>
      </c>
      <c r="AA305" s="7" t="s">
        <v>189</v>
      </c>
      <c r="AB305" s="7" t="s">
        <v>190</v>
      </c>
      <c r="AC305" s="7">
        <v>1584</v>
      </c>
      <c r="AF305" s="7" t="s">
        <v>173</v>
      </c>
      <c r="AG305" s="7" t="s">
        <v>170</v>
      </c>
      <c r="AI305" s="7" t="s">
        <v>174</v>
      </c>
      <c r="AK305" s="7">
        <v>3</v>
      </c>
      <c r="AL305" s="7">
        <v>1</v>
      </c>
      <c r="AM305" s="7">
        <v>110663.55</v>
      </c>
      <c r="AN305" s="7">
        <v>22554.48</v>
      </c>
      <c r="AP305" s="7">
        <v>14058.91</v>
      </c>
      <c r="AQ305" s="30">
        <v>102167.98</v>
      </c>
      <c r="AS305" s="7">
        <v>2494.4499999999998</v>
      </c>
      <c r="AZ305" s="7">
        <v>1247.22</v>
      </c>
      <c r="BG305" s="7">
        <v>2494.4499999999998</v>
      </c>
      <c r="BO305" s="7">
        <v>1247.22</v>
      </c>
      <c r="BR305" s="7">
        <v>7483.34</v>
      </c>
      <c r="BS305" s="7">
        <v>14058.91</v>
      </c>
      <c r="BT305" s="7">
        <f t="shared" si="258"/>
        <v>124722.46</v>
      </c>
    </row>
    <row r="306" spans="1:72" ht="11.25" hidden="1" x14ac:dyDescent="0.2">
      <c r="A306" s="133">
        <f t="shared" si="254"/>
        <v>2</v>
      </c>
      <c r="B306" s="141">
        <v>45323</v>
      </c>
      <c r="C306" s="10" t="s">
        <v>926</v>
      </c>
      <c r="D306" s="42" t="str">
        <f t="shared" si="256"/>
        <v>NO</v>
      </c>
      <c r="E306" s="7">
        <v>302686</v>
      </c>
      <c r="F306" s="7" t="s">
        <v>516</v>
      </c>
      <c r="G306" s="7" t="s">
        <v>517</v>
      </c>
      <c r="H306" s="7">
        <v>45351</v>
      </c>
      <c r="I306" s="7">
        <v>96054258</v>
      </c>
      <c r="J306" s="7" t="s">
        <v>518</v>
      </c>
      <c r="K306" s="7" t="s">
        <v>519</v>
      </c>
      <c r="L306" s="7" t="s">
        <v>179</v>
      </c>
      <c r="N306" s="29">
        <v>45253</v>
      </c>
      <c r="Q306" s="7" t="s">
        <v>157</v>
      </c>
      <c r="R306" s="7" t="s">
        <v>165</v>
      </c>
      <c r="S306" s="7" t="s">
        <v>126</v>
      </c>
      <c r="T306" s="7" t="s">
        <v>180</v>
      </c>
      <c r="U306" s="7" t="s">
        <v>167</v>
      </c>
      <c r="V306" s="7" t="s">
        <v>168</v>
      </c>
      <c r="W306" s="7">
        <v>108803</v>
      </c>
      <c r="X306" s="7" t="s">
        <v>169</v>
      </c>
      <c r="Y306" s="7" t="s">
        <v>170</v>
      </c>
      <c r="AA306" s="7" t="s">
        <v>171</v>
      </c>
      <c r="AB306" s="7" t="s">
        <v>172</v>
      </c>
      <c r="AC306" s="7">
        <v>1130</v>
      </c>
      <c r="AF306" s="7" t="s">
        <v>173</v>
      </c>
      <c r="AG306" s="7" t="s">
        <v>170</v>
      </c>
      <c r="AI306" s="7" t="s">
        <v>174</v>
      </c>
      <c r="AK306" s="7">
        <v>2</v>
      </c>
      <c r="AL306" s="7">
        <v>1</v>
      </c>
      <c r="AM306" s="7">
        <v>45467.69</v>
      </c>
      <c r="AN306" s="7">
        <v>9379.7099999999991</v>
      </c>
      <c r="AP306" s="7">
        <v>9538.9699999999993</v>
      </c>
      <c r="AQ306" s="30">
        <v>45626.95</v>
      </c>
      <c r="AS306" s="7">
        <v>1100.1300000000001</v>
      </c>
      <c r="AZ306" s="7">
        <v>550.07000000000005</v>
      </c>
      <c r="BG306" s="7">
        <v>1100.1300000000001</v>
      </c>
      <c r="BJ306" s="7">
        <v>5000</v>
      </c>
      <c r="BO306" s="7">
        <v>550.07000000000005</v>
      </c>
      <c r="BR306" s="7">
        <v>8300.4</v>
      </c>
      <c r="BS306" s="7">
        <v>9538.9700000000012</v>
      </c>
      <c r="BT306" s="7">
        <f t="shared" si="258"/>
        <v>55006.66</v>
      </c>
    </row>
    <row r="307" spans="1:72" ht="11.25" hidden="1" x14ac:dyDescent="0.2">
      <c r="A307" s="133">
        <f t="shared" si="254"/>
        <v>2</v>
      </c>
      <c r="B307" s="141">
        <v>45323</v>
      </c>
      <c r="C307" s="10" t="s">
        <v>926</v>
      </c>
      <c r="D307" s="42" t="str">
        <f t="shared" si="256"/>
        <v>NO</v>
      </c>
      <c r="E307" s="7">
        <v>336915</v>
      </c>
      <c r="F307" s="7" t="s">
        <v>520</v>
      </c>
      <c r="G307" s="7" t="s">
        <v>521</v>
      </c>
      <c r="H307" s="7">
        <v>45356</v>
      </c>
      <c r="I307" s="7">
        <v>38465944</v>
      </c>
      <c r="J307" s="7" t="s">
        <v>522</v>
      </c>
      <c r="K307" s="7" t="s">
        <v>523</v>
      </c>
      <c r="L307" s="7" t="s">
        <v>179</v>
      </c>
      <c r="N307" s="29">
        <v>45288</v>
      </c>
      <c r="Q307" s="7" t="s">
        <v>157</v>
      </c>
      <c r="R307" s="7" t="s">
        <v>199</v>
      </c>
      <c r="S307" s="7" t="s">
        <v>126</v>
      </c>
      <c r="T307" s="7" t="s">
        <v>200</v>
      </c>
      <c r="U307" s="7" t="s">
        <v>167</v>
      </c>
      <c r="V307" s="7" t="s">
        <v>524</v>
      </c>
      <c r="W307" s="7">
        <v>108803</v>
      </c>
      <c r="X307" s="7" t="s">
        <v>169</v>
      </c>
      <c r="Y307" s="7" t="s">
        <v>170</v>
      </c>
      <c r="AA307" s="7" t="s">
        <v>189</v>
      </c>
      <c r="AB307" s="7" t="s">
        <v>190</v>
      </c>
      <c r="AC307" s="7">
        <v>1584</v>
      </c>
      <c r="AF307" s="7" t="s">
        <v>173</v>
      </c>
      <c r="AG307" s="7" t="s">
        <v>170</v>
      </c>
      <c r="AI307" s="7" t="s">
        <v>174</v>
      </c>
      <c r="AK307" s="7">
        <v>1</v>
      </c>
      <c r="AL307" s="7">
        <v>1</v>
      </c>
      <c r="AM307" s="7">
        <v>75135.38</v>
      </c>
      <c r="AN307" s="7">
        <v>15555.36</v>
      </c>
      <c r="AP307" s="7">
        <v>17609.849999999999</v>
      </c>
      <c r="AQ307" s="30">
        <v>77189.87</v>
      </c>
      <c r="AS307" s="7">
        <v>1854.9</v>
      </c>
      <c r="AZ307" s="7">
        <v>927.45</v>
      </c>
      <c r="BG307" s="7">
        <v>1854.9</v>
      </c>
      <c r="BO307" s="7">
        <v>927.45</v>
      </c>
      <c r="BR307" s="7">
        <v>5564.7</v>
      </c>
      <c r="BS307" s="7">
        <v>17609.849999999999</v>
      </c>
      <c r="BT307" s="7">
        <f t="shared" si="258"/>
        <v>92745.23000000001</v>
      </c>
    </row>
    <row r="308" spans="1:72" ht="11.25" hidden="1" x14ac:dyDescent="0.2">
      <c r="A308" s="133">
        <f t="shared" si="254"/>
        <v>2</v>
      </c>
      <c r="B308" s="141">
        <v>45323</v>
      </c>
      <c r="C308" s="10"/>
      <c r="D308" s="42" t="str">
        <f t="shared" si="256"/>
        <v>NO</v>
      </c>
      <c r="E308" s="7">
        <v>239151</v>
      </c>
      <c r="F308" s="7" t="s">
        <v>525</v>
      </c>
      <c r="G308" s="7" t="s">
        <v>526</v>
      </c>
      <c r="H308" s="7">
        <v>45331</v>
      </c>
      <c r="I308" s="7">
        <v>95961998</v>
      </c>
      <c r="J308" s="7" t="s">
        <v>527</v>
      </c>
      <c r="K308" s="7" t="s">
        <v>528</v>
      </c>
      <c r="L308" s="7" t="s">
        <v>164</v>
      </c>
      <c r="N308" s="29">
        <v>45278</v>
      </c>
      <c r="Q308" s="7" t="s">
        <v>157</v>
      </c>
      <c r="R308" s="7" t="s">
        <v>214</v>
      </c>
      <c r="S308" s="7" t="s">
        <v>126</v>
      </c>
      <c r="T308" s="7" t="s">
        <v>239</v>
      </c>
      <c r="U308" s="7" t="s">
        <v>167</v>
      </c>
      <c r="V308" s="7" t="s">
        <v>215</v>
      </c>
      <c r="W308" s="7">
        <v>108803</v>
      </c>
      <c r="X308" s="7" t="s">
        <v>169</v>
      </c>
      <c r="Y308" s="7" t="s">
        <v>170</v>
      </c>
      <c r="AA308" s="7" t="s">
        <v>171</v>
      </c>
      <c r="AB308" s="7" t="s">
        <v>172</v>
      </c>
      <c r="AC308" s="7">
        <v>1130</v>
      </c>
      <c r="AF308" s="7" t="s">
        <v>173</v>
      </c>
      <c r="AG308" s="7" t="s">
        <v>170</v>
      </c>
      <c r="AI308" s="7" t="s">
        <v>174</v>
      </c>
      <c r="AK308" s="7">
        <v>1</v>
      </c>
      <c r="AL308" s="7">
        <v>1</v>
      </c>
      <c r="AQ308" s="30"/>
      <c r="AS308" s="7"/>
      <c r="BJ308" s="7">
        <v>5000</v>
      </c>
      <c r="BR308" s="7">
        <v>5000</v>
      </c>
      <c r="BS308" s="7">
        <v>0</v>
      </c>
    </row>
    <row r="309" spans="1:72" ht="11.25" hidden="1" x14ac:dyDescent="0.2">
      <c r="A309" s="133">
        <f t="shared" si="254"/>
        <v>2</v>
      </c>
      <c r="B309" s="141">
        <v>45323</v>
      </c>
      <c r="C309" s="10" t="s">
        <v>926</v>
      </c>
      <c r="D309" s="42" t="str">
        <f t="shared" si="256"/>
        <v>NO</v>
      </c>
      <c r="E309" s="7">
        <v>265332</v>
      </c>
      <c r="F309" s="7" t="s">
        <v>544</v>
      </c>
      <c r="G309" s="7" t="s">
        <v>545</v>
      </c>
      <c r="H309" s="7">
        <v>45356</v>
      </c>
      <c r="I309" s="7">
        <v>42090007</v>
      </c>
      <c r="J309" s="7" t="s">
        <v>546</v>
      </c>
      <c r="K309" s="7" t="s">
        <v>547</v>
      </c>
      <c r="L309" s="7" t="s">
        <v>179</v>
      </c>
      <c r="N309" s="29">
        <v>45296</v>
      </c>
      <c r="Q309" s="7" t="s">
        <v>157</v>
      </c>
      <c r="R309" s="7" t="s">
        <v>199</v>
      </c>
      <c r="S309" s="7" t="s">
        <v>126</v>
      </c>
      <c r="T309" s="7" t="s">
        <v>239</v>
      </c>
      <c r="U309" s="7" t="s">
        <v>167</v>
      </c>
      <c r="V309" s="7" t="s">
        <v>201</v>
      </c>
      <c r="W309" s="7">
        <v>108803</v>
      </c>
      <c r="X309" s="7" t="s">
        <v>169</v>
      </c>
      <c r="Y309" s="7" t="s">
        <v>170</v>
      </c>
      <c r="AA309" s="7" t="s">
        <v>171</v>
      </c>
      <c r="AB309" s="7" t="s">
        <v>172</v>
      </c>
      <c r="AC309" s="7">
        <v>1130</v>
      </c>
      <c r="AF309" s="7" t="s">
        <v>173</v>
      </c>
      <c r="AG309" s="7" t="s">
        <v>170</v>
      </c>
      <c r="AI309" s="7" t="s">
        <v>174</v>
      </c>
      <c r="AK309" s="7">
        <v>1</v>
      </c>
      <c r="AL309" s="7">
        <v>1</v>
      </c>
      <c r="AM309" s="7">
        <v>197448.79</v>
      </c>
      <c r="AN309" s="7">
        <v>40878.07</v>
      </c>
      <c r="AP309" s="7">
        <v>46277.06</v>
      </c>
      <c r="AQ309" s="30">
        <v>202847.78</v>
      </c>
      <c r="AS309" s="7">
        <v>4874.5200000000004</v>
      </c>
      <c r="AZ309" s="7">
        <v>2437.2600000000002</v>
      </c>
      <c r="BG309" s="7">
        <v>4874.5200000000004</v>
      </c>
      <c r="BO309" s="7">
        <v>2437.2600000000002</v>
      </c>
      <c r="BR309" s="7">
        <v>14623.56</v>
      </c>
      <c r="BS309" s="7">
        <v>46277.06</v>
      </c>
      <c r="BT309" s="7">
        <f t="shared" ref="BT309:BT318" si="259">+AM309+BS309</f>
        <v>243725.85</v>
      </c>
    </row>
    <row r="310" spans="1:72" ht="11.25" hidden="1" x14ac:dyDescent="0.2">
      <c r="A310" s="133">
        <f t="shared" si="254"/>
        <v>2</v>
      </c>
      <c r="B310" s="141">
        <v>45323</v>
      </c>
      <c r="C310" s="10" t="s">
        <v>926</v>
      </c>
      <c r="D310" s="42" t="str">
        <f t="shared" si="256"/>
        <v>NO</v>
      </c>
      <c r="E310" s="7">
        <v>319126</v>
      </c>
      <c r="F310" s="7" t="s">
        <v>552</v>
      </c>
      <c r="G310" s="7" t="s">
        <v>553</v>
      </c>
      <c r="H310" s="7">
        <v>45356</v>
      </c>
      <c r="I310" s="7">
        <v>92946872</v>
      </c>
      <c r="J310" s="7" t="s">
        <v>554</v>
      </c>
      <c r="K310" s="7" t="s">
        <v>555</v>
      </c>
      <c r="L310" s="7" t="s">
        <v>179</v>
      </c>
      <c r="N310" s="29">
        <v>45000</v>
      </c>
      <c r="O310" s="29">
        <v>45338</v>
      </c>
      <c r="P310" s="29">
        <v>45338</v>
      </c>
      <c r="Q310" s="7" t="s">
        <v>157</v>
      </c>
      <c r="R310" s="7" t="s">
        <v>238</v>
      </c>
      <c r="S310" s="7" t="s">
        <v>126</v>
      </c>
      <c r="T310" s="7" t="s">
        <v>200</v>
      </c>
      <c r="U310" s="7" t="s">
        <v>167</v>
      </c>
      <c r="V310" s="7" t="s">
        <v>240</v>
      </c>
      <c r="W310" s="7">
        <v>108803</v>
      </c>
      <c r="X310" s="7" t="s">
        <v>169</v>
      </c>
      <c r="Y310" s="7" t="s">
        <v>170</v>
      </c>
      <c r="AA310" s="7" t="s">
        <v>189</v>
      </c>
      <c r="AB310" s="7" t="s">
        <v>190</v>
      </c>
      <c r="AC310" s="7">
        <v>1584</v>
      </c>
      <c r="AF310" s="7" t="s">
        <v>173</v>
      </c>
      <c r="AG310" s="7" t="s">
        <v>170</v>
      </c>
      <c r="AI310" s="7" t="s">
        <v>174</v>
      </c>
      <c r="AK310" s="7">
        <v>1</v>
      </c>
      <c r="AL310" s="7">
        <v>1</v>
      </c>
      <c r="AM310" s="7">
        <v>224473.41</v>
      </c>
      <c r="AN310" s="7">
        <v>46473.01</v>
      </c>
      <c r="AP310" s="7">
        <v>52610.95</v>
      </c>
      <c r="AQ310" s="30">
        <v>230611.35</v>
      </c>
      <c r="AS310" s="7">
        <v>5541.69</v>
      </c>
      <c r="AZ310" s="7">
        <v>2770.84</v>
      </c>
      <c r="BG310" s="7">
        <v>5541.69</v>
      </c>
      <c r="BO310" s="7">
        <v>2770.84</v>
      </c>
      <c r="BR310" s="7">
        <v>16625.060000000001</v>
      </c>
      <c r="BS310" s="7">
        <v>52610.95</v>
      </c>
      <c r="BT310" s="7">
        <f t="shared" si="259"/>
        <v>277084.36</v>
      </c>
    </row>
    <row r="311" spans="1:72" ht="11.25" hidden="1" x14ac:dyDescent="0.2">
      <c r="A311" s="133">
        <f t="shared" si="254"/>
        <v>2</v>
      </c>
      <c r="B311" s="141">
        <v>45323</v>
      </c>
      <c r="C311" s="10" t="s">
        <v>926</v>
      </c>
      <c r="D311" s="42" t="str">
        <f t="shared" si="256"/>
        <v>NO</v>
      </c>
      <c r="E311" s="7">
        <v>335649</v>
      </c>
      <c r="F311" s="7" t="s">
        <v>560</v>
      </c>
      <c r="G311" s="7" t="s">
        <v>561</v>
      </c>
      <c r="H311" s="7">
        <v>45356</v>
      </c>
      <c r="I311" s="7">
        <v>38886787</v>
      </c>
      <c r="J311" s="7" t="s">
        <v>562</v>
      </c>
      <c r="K311" s="7" t="s">
        <v>563</v>
      </c>
      <c r="L311" s="7" t="s">
        <v>179</v>
      </c>
      <c r="N311" s="29">
        <v>45269</v>
      </c>
      <c r="Q311" s="7" t="s">
        <v>157</v>
      </c>
      <c r="R311" s="7" t="s">
        <v>354</v>
      </c>
      <c r="S311" s="7" t="s">
        <v>126</v>
      </c>
      <c r="T311" s="7" t="s">
        <v>200</v>
      </c>
      <c r="U311" s="7" t="s">
        <v>167</v>
      </c>
      <c r="V311" s="7" t="s">
        <v>355</v>
      </c>
      <c r="W311" s="7">
        <v>108803</v>
      </c>
      <c r="X311" s="7" t="s">
        <v>169</v>
      </c>
      <c r="Y311" s="7" t="s">
        <v>170</v>
      </c>
      <c r="AA311" s="7" t="s">
        <v>171</v>
      </c>
      <c r="AB311" s="7" t="s">
        <v>172</v>
      </c>
      <c r="AC311" s="7">
        <v>1130</v>
      </c>
      <c r="AF311" s="7" t="s">
        <v>173</v>
      </c>
      <c r="AG311" s="7" t="s">
        <v>170</v>
      </c>
      <c r="AI311" s="7" t="s">
        <v>174</v>
      </c>
      <c r="AK311" s="7">
        <v>3</v>
      </c>
      <c r="AL311" s="7">
        <v>1</v>
      </c>
      <c r="AM311" s="7">
        <v>55182.11</v>
      </c>
      <c r="AN311" s="7">
        <v>11424.44</v>
      </c>
      <c r="AP311" s="7">
        <v>12933.32</v>
      </c>
      <c r="AQ311" s="30">
        <v>56690.99</v>
      </c>
      <c r="AS311" s="7">
        <v>1362.3</v>
      </c>
      <c r="AZ311" s="7">
        <v>681.16</v>
      </c>
      <c r="BG311" s="7">
        <v>1362.3</v>
      </c>
      <c r="BJ311" s="7">
        <v>5000</v>
      </c>
      <c r="BO311" s="7">
        <v>681.16</v>
      </c>
      <c r="BR311" s="7">
        <v>9086.92</v>
      </c>
      <c r="BS311" s="7">
        <v>12933.32</v>
      </c>
      <c r="BT311" s="7">
        <f t="shared" si="259"/>
        <v>68115.429999999993</v>
      </c>
    </row>
    <row r="312" spans="1:72" ht="11.25" hidden="1" x14ac:dyDescent="0.2">
      <c r="A312" s="133">
        <f t="shared" si="254"/>
        <v>2</v>
      </c>
      <c r="B312" s="141">
        <v>45323</v>
      </c>
      <c r="C312" s="10" t="s">
        <v>926</v>
      </c>
      <c r="D312" s="42" t="str">
        <f t="shared" si="256"/>
        <v>NO</v>
      </c>
      <c r="E312" s="7">
        <v>300381</v>
      </c>
      <c r="F312" s="7" t="s">
        <v>564</v>
      </c>
      <c r="G312" s="7" t="s">
        <v>565</v>
      </c>
      <c r="H312" s="7">
        <v>45356</v>
      </c>
      <c r="I312" s="7">
        <v>40303328</v>
      </c>
      <c r="J312" s="7" t="s">
        <v>566</v>
      </c>
      <c r="K312" s="7" t="s">
        <v>567</v>
      </c>
      <c r="L312" s="7" t="s">
        <v>164</v>
      </c>
      <c r="N312" s="29">
        <v>44986</v>
      </c>
      <c r="O312" s="29">
        <v>45349</v>
      </c>
      <c r="P312" s="29">
        <v>45349</v>
      </c>
      <c r="Q312" s="7" t="s">
        <v>157</v>
      </c>
      <c r="R312" s="7" t="s">
        <v>165</v>
      </c>
      <c r="S312" s="7" t="s">
        <v>126</v>
      </c>
      <c r="T312" s="7" t="s">
        <v>239</v>
      </c>
      <c r="U312" s="7" t="s">
        <v>167</v>
      </c>
      <c r="V312" s="7" t="s">
        <v>168</v>
      </c>
      <c r="W312" s="7">
        <v>108803</v>
      </c>
      <c r="X312" s="7" t="s">
        <v>169</v>
      </c>
      <c r="Y312" s="7" t="s">
        <v>170</v>
      </c>
      <c r="AA312" s="7" t="s">
        <v>171</v>
      </c>
      <c r="AB312" s="7" t="s">
        <v>172</v>
      </c>
      <c r="AC312" s="7">
        <v>1130</v>
      </c>
      <c r="AF312" s="7" t="s">
        <v>173</v>
      </c>
      <c r="AG312" s="7" t="s">
        <v>170</v>
      </c>
      <c r="AI312" s="7" t="s">
        <v>174</v>
      </c>
      <c r="AK312" s="7">
        <v>3</v>
      </c>
      <c r="AL312" s="7">
        <v>1</v>
      </c>
      <c r="AM312" s="7">
        <v>225630.54</v>
      </c>
      <c r="AN312" s="7">
        <v>46217.56</v>
      </c>
      <c r="AP312" s="7">
        <v>36381.22</v>
      </c>
      <c r="AQ312" s="30">
        <v>215794.2</v>
      </c>
      <c r="AS312" s="7">
        <v>5240.24</v>
      </c>
      <c r="AZ312" s="7">
        <v>2620.12</v>
      </c>
      <c r="BG312" s="7">
        <v>5240.24</v>
      </c>
      <c r="BO312" s="7">
        <v>2620.12</v>
      </c>
      <c r="BR312" s="7">
        <v>15720.72</v>
      </c>
      <c r="BS312" s="7">
        <v>36381.22</v>
      </c>
      <c r="BT312" s="7">
        <f t="shared" si="259"/>
        <v>262011.76</v>
      </c>
    </row>
    <row r="313" spans="1:72" ht="11.25" hidden="1" x14ac:dyDescent="0.2">
      <c r="A313" s="133">
        <f t="shared" si="254"/>
        <v>2</v>
      </c>
      <c r="B313" s="141">
        <v>45323</v>
      </c>
      <c r="C313" s="10" t="s">
        <v>926</v>
      </c>
      <c r="D313" s="42" t="str">
        <f t="shared" si="256"/>
        <v>NO</v>
      </c>
      <c r="E313" s="7">
        <v>286185</v>
      </c>
      <c r="F313" s="7" t="s">
        <v>875</v>
      </c>
      <c r="G313" s="7" t="s">
        <v>876</v>
      </c>
      <c r="H313" s="7">
        <v>45356</v>
      </c>
      <c r="I313" s="7">
        <v>27037184</v>
      </c>
      <c r="J313" s="7" t="s">
        <v>877</v>
      </c>
      <c r="K313" s="7" t="s">
        <v>878</v>
      </c>
      <c r="L313" s="7" t="s">
        <v>179</v>
      </c>
      <c r="N313" s="29">
        <v>45346</v>
      </c>
      <c r="Q313" s="7" t="s">
        <v>157</v>
      </c>
      <c r="R313" s="7" t="s">
        <v>199</v>
      </c>
      <c r="S313" s="7" t="s">
        <v>126</v>
      </c>
      <c r="T313" s="7" t="s">
        <v>200</v>
      </c>
      <c r="U313" s="7" t="s">
        <v>167</v>
      </c>
      <c r="V313" s="7" t="s">
        <v>201</v>
      </c>
      <c r="W313" s="7">
        <v>108803</v>
      </c>
      <c r="X313" s="7" t="s">
        <v>169</v>
      </c>
      <c r="Y313" s="7" t="s">
        <v>170</v>
      </c>
      <c r="AA313" s="7" t="s">
        <v>189</v>
      </c>
      <c r="AB313" s="7" t="s">
        <v>190</v>
      </c>
      <c r="AC313" s="7">
        <v>1584</v>
      </c>
      <c r="AF313" s="7" t="s">
        <v>173</v>
      </c>
      <c r="AG313" s="7" t="s">
        <v>170</v>
      </c>
      <c r="AI313" s="7" t="s">
        <v>174</v>
      </c>
      <c r="AK313" s="7">
        <v>1</v>
      </c>
      <c r="AL313" s="7">
        <v>1</v>
      </c>
      <c r="AM313" s="7">
        <v>26210.02</v>
      </c>
      <c r="AN313" s="7">
        <v>5426.29</v>
      </c>
      <c r="AP313" s="7">
        <v>6142.98</v>
      </c>
      <c r="AQ313" s="30">
        <v>26926.71</v>
      </c>
      <c r="AS313" s="7">
        <v>647.05999999999995</v>
      </c>
      <c r="AZ313" s="7">
        <v>323.52999999999997</v>
      </c>
      <c r="BG313" s="7">
        <v>647.05999999999995</v>
      </c>
      <c r="BO313" s="7">
        <v>323.52999999999997</v>
      </c>
      <c r="BR313" s="7">
        <v>1941.18</v>
      </c>
      <c r="BS313" s="7">
        <v>6142.9800000000005</v>
      </c>
      <c r="BT313" s="7">
        <f t="shared" si="259"/>
        <v>32353</v>
      </c>
    </row>
    <row r="314" spans="1:72" ht="11.25" hidden="1" x14ac:dyDescent="0.2">
      <c r="A314" s="133">
        <f t="shared" si="254"/>
        <v>2</v>
      </c>
      <c r="B314" s="141">
        <v>45323</v>
      </c>
      <c r="C314" s="10" t="s">
        <v>926</v>
      </c>
      <c r="D314" s="42" t="str">
        <f t="shared" si="256"/>
        <v>NO</v>
      </c>
      <c r="E314" s="7">
        <v>317849</v>
      </c>
      <c r="F314" s="7" t="s">
        <v>580</v>
      </c>
      <c r="G314" s="7" t="s">
        <v>581</v>
      </c>
      <c r="H314" s="7">
        <v>45356</v>
      </c>
      <c r="I314" s="7">
        <v>40758869</v>
      </c>
      <c r="J314" s="7" t="s">
        <v>582</v>
      </c>
      <c r="K314" s="7" t="s">
        <v>583</v>
      </c>
      <c r="L314" s="7" t="s">
        <v>179</v>
      </c>
      <c r="N314" s="29">
        <v>45249</v>
      </c>
      <c r="O314" s="29">
        <v>45346</v>
      </c>
      <c r="P314" s="29">
        <v>45346</v>
      </c>
      <c r="Q314" s="7" t="s">
        <v>157</v>
      </c>
      <c r="R314" s="7" t="s">
        <v>165</v>
      </c>
      <c r="S314" s="7" t="s">
        <v>126</v>
      </c>
      <c r="T314" s="7" t="s">
        <v>239</v>
      </c>
      <c r="U314" s="7" t="s">
        <v>167</v>
      </c>
      <c r="V314" s="7" t="s">
        <v>168</v>
      </c>
      <c r="W314" s="7">
        <v>108803</v>
      </c>
      <c r="X314" s="7" t="s">
        <v>169</v>
      </c>
      <c r="Y314" s="7" t="s">
        <v>170</v>
      </c>
      <c r="AA314" s="7" t="s">
        <v>171</v>
      </c>
      <c r="AB314" s="7" t="s">
        <v>172</v>
      </c>
      <c r="AC314" s="7">
        <v>1130</v>
      </c>
      <c r="AF314" s="7" t="s">
        <v>173</v>
      </c>
      <c r="AG314" s="7" t="s">
        <v>170</v>
      </c>
      <c r="AI314" s="7" t="s">
        <v>174</v>
      </c>
      <c r="AK314" s="7">
        <v>4</v>
      </c>
      <c r="AL314" s="7">
        <v>1</v>
      </c>
      <c r="AM314" s="7">
        <v>197967.77</v>
      </c>
      <c r="AN314" s="7">
        <v>40836.42</v>
      </c>
      <c r="AP314" s="7">
        <v>41428.230000000003</v>
      </c>
      <c r="AQ314" s="30">
        <v>198559.58</v>
      </c>
      <c r="AS314" s="7">
        <v>4787.92</v>
      </c>
      <c r="AZ314" s="7">
        <v>2393.96</v>
      </c>
      <c r="BG314" s="7">
        <v>4787.92</v>
      </c>
      <c r="BO314" s="7">
        <v>2393.96</v>
      </c>
      <c r="BR314" s="7">
        <v>14363.76</v>
      </c>
      <c r="BS314" s="7">
        <v>41428.229999999996</v>
      </c>
      <c r="BT314" s="7">
        <f t="shared" si="259"/>
        <v>239396</v>
      </c>
    </row>
    <row r="315" spans="1:72" ht="11.25" hidden="1" x14ac:dyDescent="0.2">
      <c r="A315" s="133">
        <f t="shared" si="254"/>
        <v>2</v>
      </c>
      <c r="B315" s="141">
        <v>45323</v>
      </c>
      <c r="C315" s="10" t="s">
        <v>926</v>
      </c>
      <c r="D315" s="42" t="str">
        <f t="shared" si="256"/>
        <v>NO</v>
      </c>
      <c r="E315" s="7">
        <v>308675</v>
      </c>
      <c r="F315" s="7" t="s">
        <v>584</v>
      </c>
      <c r="G315" s="7" t="s">
        <v>585</v>
      </c>
      <c r="H315" s="7">
        <v>45356</v>
      </c>
      <c r="I315" s="7">
        <v>19000508</v>
      </c>
      <c r="J315" s="7" t="s">
        <v>586</v>
      </c>
      <c r="K315" s="7" t="s">
        <v>587</v>
      </c>
      <c r="L315" s="7" t="s">
        <v>164</v>
      </c>
      <c r="N315" s="29">
        <v>45267</v>
      </c>
      <c r="Q315" s="7" t="s">
        <v>157</v>
      </c>
      <c r="R315" s="7" t="s">
        <v>214</v>
      </c>
      <c r="S315" s="7" t="s">
        <v>126</v>
      </c>
      <c r="T315" s="7" t="s">
        <v>200</v>
      </c>
      <c r="U315" s="7" t="s">
        <v>167</v>
      </c>
      <c r="V315" s="7" t="s">
        <v>215</v>
      </c>
      <c r="W315" s="7">
        <v>106005</v>
      </c>
      <c r="X315" s="7" t="s">
        <v>588</v>
      </c>
      <c r="Y315" s="7" t="s">
        <v>170</v>
      </c>
      <c r="AA315" s="7" t="s">
        <v>208</v>
      </c>
      <c r="AB315" s="7" t="s">
        <v>209</v>
      </c>
      <c r="AC315" s="7">
        <v>1035</v>
      </c>
      <c r="AF315" s="7" t="s">
        <v>173</v>
      </c>
      <c r="AG315" s="7" t="s">
        <v>170</v>
      </c>
      <c r="AI315" s="7" t="s">
        <v>174</v>
      </c>
      <c r="AK315" s="7">
        <v>1</v>
      </c>
      <c r="AL315" s="7">
        <v>1</v>
      </c>
      <c r="AM315" s="7">
        <v>314483.71000000002</v>
      </c>
      <c r="AN315" s="7">
        <v>65107.96</v>
      </c>
      <c r="AP315" s="7">
        <v>73707.12</v>
      </c>
      <c r="AQ315" s="30">
        <v>323082.87</v>
      </c>
      <c r="AS315" s="7">
        <v>7763.82</v>
      </c>
      <c r="AZ315" s="7">
        <v>3881.91</v>
      </c>
      <c r="BG315" s="7">
        <v>7763.82</v>
      </c>
      <c r="BO315" s="7">
        <v>3881.91</v>
      </c>
      <c r="BR315" s="7">
        <v>23291.46</v>
      </c>
      <c r="BS315" s="7">
        <v>73707.12</v>
      </c>
      <c r="BT315" s="7">
        <f t="shared" si="259"/>
        <v>388190.83</v>
      </c>
    </row>
    <row r="316" spans="1:72" ht="11.25" hidden="1" x14ac:dyDescent="0.2">
      <c r="A316" s="133">
        <f t="shared" si="254"/>
        <v>2</v>
      </c>
      <c r="B316" s="141">
        <v>45323</v>
      </c>
      <c r="C316" s="10" t="s">
        <v>926</v>
      </c>
      <c r="D316" s="42" t="str">
        <f t="shared" si="256"/>
        <v>NO</v>
      </c>
      <c r="E316" s="7">
        <v>321447</v>
      </c>
      <c r="F316" s="7" t="s">
        <v>594</v>
      </c>
      <c r="G316" s="7" t="s">
        <v>595</v>
      </c>
      <c r="H316" s="7">
        <v>45350</v>
      </c>
      <c r="I316" s="7">
        <v>42829457</v>
      </c>
      <c r="J316" s="7" t="s">
        <v>596</v>
      </c>
      <c r="K316" s="7" t="s">
        <v>597</v>
      </c>
      <c r="L316" s="7" t="s">
        <v>179</v>
      </c>
      <c r="N316" s="29">
        <v>45042</v>
      </c>
      <c r="Q316" s="7" t="s">
        <v>157</v>
      </c>
      <c r="R316" s="7" t="s">
        <v>165</v>
      </c>
      <c r="S316" s="7" t="s">
        <v>126</v>
      </c>
      <c r="T316" s="7" t="s">
        <v>166</v>
      </c>
      <c r="U316" s="7" t="s">
        <v>167</v>
      </c>
      <c r="V316" s="7" t="s">
        <v>168</v>
      </c>
      <c r="W316" s="7">
        <v>108803</v>
      </c>
      <c r="X316" s="7" t="s">
        <v>169</v>
      </c>
      <c r="Y316" s="7" t="s">
        <v>170</v>
      </c>
      <c r="AA316" s="7" t="s">
        <v>171</v>
      </c>
      <c r="AB316" s="7" t="s">
        <v>172</v>
      </c>
      <c r="AC316" s="7">
        <v>1130</v>
      </c>
      <c r="AF316" s="7" t="s">
        <v>173</v>
      </c>
      <c r="AG316" s="7" t="s">
        <v>170</v>
      </c>
      <c r="AI316" s="7" t="s">
        <v>174</v>
      </c>
      <c r="AK316" s="7">
        <v>2</v>
      </c>
      <c r="AL316" s="7">
        <v>1</v>
      </c>
      <c r="AM316" s="7">
        <v>351938.68</v>
      </c>
      <c r="AN316" s="7">
        <v>72404.23</v>
      </c>
      <c r="AP316" s="7">
        <v>67216.460000000006</v>
      </c>
      <c r="AQ316" s="30">
        <v>346750.91</v>
      </c>
      <c r="AS316" s="7">
        <v>8383.1</v>
      </c>
      <c r="AZ316" s="7">
        <v>4191.55</v>
      </c>
      <c r="BG316" s="7">
        <v>8383.1</v>
      </c>
      <c r="BO316" s="7">
        <v>4191.55</v>
      </c>
      <c r="BR316" s="7">
        <v>25149.3</v>
      </c>
      <c r="BS316" s="7">
        <v>67216.460000000006</v>
      </c>
      <c r="BT316" s="7">
        <f t="shared" si="259"/>
        <v>419155.14</v>
      </c>
    </row>
    <row r="317" spans="1:72" ht="11.25" hidden="1" x14ac:dyDescent="0.2">
      <c r="A317" s="133">
        <f t="shared" si="254"/>
        <v>2</v>
      </c>
      <c r="B317" s="141">
        <v>45323</v>
      </c>
      <c r="C317" s="10" t="s">
        <v>926</v>
      </c>
      <c r="D317" s="42" t="str">
        <f t="shared" si="256"/>
        <v>SI</v>
      </c>
      <c r="E317" s="7">
        <v>289432</v>
      </c>
      <c r="F317" s="7" t="s">
        <v>598</v>
      </c>
      <c r="G317" s="7" t="s">
        <v>599</v>
      </c>
      <c r="H317" s="7">
        <v>45357</v>
      </c>
      <c r="I317" s="7">
        <v>35273997</v>
      </c>
      <c r="J317" s="7" t="s">
        <v>600</v>
      </c>
      <c r="K317" s="7" t="s">
        <v>295</v>
      </c>
      <c r="L317" s="7" t="s">
        <v>164</v>
      </c>
      <c r="N317" s="29">
        <v>45231</v>
      </c>
      <c r="Q317" s="7" t="s">
        <v>157</v>
      </c>
      <c r="R317" s="7" t="s">
        <v>165</v>
      </c>
      <c r="S317" s="7" t="s">
        <v>126</v>
      </c>
      <c r="T317" s="7" t="s">
        <v>206</v>
      </c>
      <c r="U317" s="7" t="s">
        <v>167</v>
      </c>
      <c r="V317" s="7" t="s">
        <v>168</v>
      </c>
      <c r="W317" s="7">
        <v>108803</v>
      </c>
      <c r="X317" s="7" t="s">
        <v>169</v>
      </c>
      <c r="Y317" s="7" t="s">
        <v>170</v>
      </c>
      <c r="AA317" s="7" t="s">
        <v>171</v>
      </c>
      <c r="AB317" s="7" t="s">
        <v>172</v>
      </c>
      <c r="AC317" s="7">
        <v>1130</v>
      </c>
      <c r="AF317" s="7" t="s">
        <v>173</v>
      </c>
      <c r="AG317" s="7" t="s">
        <v>170</v>
      </c>
      <c r="AI317" s="7" t="s">
        <v>174</v>
      </c>
      <c r="AK317" s="7">
        <v>5</v>
      </c>
      <c r="AL317" s="7">
        <v>1</v>
      </c>
      <c r="AM317" s="7">
        <v>115035.37</v>
      </c>
      <c r="AN317" s="7">
        <v>24407.200000000001</v>
      </c>
      <c r="AP317" s="7">
        <v>23570.28</v>
      </c>
      <c r="AQ317" s="30">
        <v>114198.45</v>
      </c>
      <c r="AR317" s="7">
        <v>3465.14</v>
      </c>
      <c r="AS317" s="7"/>
      <c r="AZ317" s="7">
        <v>1386.05</v>
      </c>
      <c r="BG317" s="7">
        <v>2772.12</v>
      </c>
      <c r="BO317" s="7">
        <v>1386.05</v>
      </c>
      <c r="BR317" s="7">
        <v>9009.36</v>
      </c>
      <c r="BS317" s="7">
        <v>23570.28</v>
      </c>
      <c r="BT317" s="7">
        <f t="shared" si="259"/>
        <v>138605.65</v>
      </c>
    </row>
    <row r="318" spans="1:72" ht="11.25" hidden="1" x14ac:dyDescent="0.2">
      <c r="A318" s="133">
        <f t="shared" si="254"/>
        <v>2</v>
      </c>
      <c r="B318" s="141">
        <v>45323</v>
      </c>
      <c r="C318" s="10" t="s">
        <v>926</v>
      </c>
      <c r="D318" s="42" t="str">
        <f t="shared" si="256"/>
        <v>NO</v>
      </c>
      <c r="E318" s="7">
        <v>250994</v>
      </c>
      <c r="F318" s="7" t="s">
        <v>879</v>
      </c>
      <c r="G318" s="7" t="s">
        <v>880</v>
      </c>
      <c r="H318" s="7">
        <v>45350</v>
      </c>
      <c r="I318" s="7">
        <v>34059151</v>
      </c>
      <c r="J318" s="7" t="s">
        <v>881</v>
      </c>
      <c r="K318" s="7" t="s">
        <v>882</v>
      </c>
      <c r="L318" s="7" t="s">
        <v>164</v>
      </c>
      <c r="N318" s="29">
        <v>45346</v>
      </c>
      <c r="Q318" s="7" t="s">
        <v>157</v>
      </c>
      <c r="R318" s="7" t="s">
        <v>165</v>
      </c>
      <c r="S318" s="7" t="s">
        <v>126</v>
      </c>
      <c r="T318" s="7" t="s">
        <v>166</v>
      </c>
      <c r="U318" s="7" t="s">
        <v>167</v>
      </c>
      <c r="V318" s="7" t="s">
        <v>168</v>
      </c>
      <c r="W318" s="7">
        <v>400503</v>
      </c>
      <c r="X318" s="7" t="s">
        <v>883</v>
      </c>
      <c r="Y318" s="7" t="s">
        <v>170</v>
      </c>
      <c r="AA318" s="7" t="s">
        <v>189</v>
      </c>
      <c r="AB318" s="7" t="s">
        <v>190</v>
      </c>
      <c r="AC318" s="7">
        <v>1584</v>
      </c>
      <c r="AF318" s="7" t="s">
        <v>173</v>
      </c>
      <c r="AG318" s="7" t="s">
        <v>170</v>
      </c>
      <c r="AK318" s="7">
        <v>1</v>
      </c>
      <c r="AL318" s="7">
        <v>1</v>
      </c>
      <c r="AM318" s="7">
        <v>20226.11</v>
      </c>
      <c r="AN318" s="7">
        <v>4138.3900000000003</v>
      </c>
      <c r="AP318" s="7">
        <v>3105.71</v>
      </c>
      <c r="AQ318" s="30">
        <v>19193.43</v>
      </c>
      <c r="AS318" s="7">
        <v>466.64</v>
      </c>
      <c r="AZ318" s="7">
        <v>233.32</v>
      </c>
      <c r="BG318" s="7">
        <v>466.64</v>
      </c>
      <c r="BO318" s="7">
        <v>233.32</v>
      </c>
      <c r="BR318" s="7">
        <v>1399.92</v>
      </c>
      <c r="BS318" s="7">
        <v>3105.71</v>
      </c>
      <c r="BT318" s="7">
        <f t="shared" si="259"/>
        <v>23331.82</v>
      </c>
    </row>
    <row r="319" spans="1:72" ht="11.25" hidden="1" x14ac:dyDescent="0.2">
      <c r="A319" s="133">
        <f t="shared" si="254"/>
        <v>2</v>
      </c>
      <c r="B319" s="141">
        <v>45323</v>
      </c>
      <c r="C319" s="10"/>
      <c r="D319" s="42" t="str">
        <f t="shared" si="256"/>
        <v>NO</v>
      </c>
      <c r="E319" s="7">
        <v>322096</v>
      </c>
      <c r="F319" s="7" t="s">
        <v>617</v>
      </c>
      <c r="G319" s="7" t="s">
        <v>618</v>
      </c>
      <c r="H319" s="7">
        <v>45356</v>
      </c>
      <c r="I319" s="7">
        <v>33288107</v>
      </c>
      <c r="J319" s="7" t="s">
        <v>619</v>
      </c>
      <c r="K319" s="7" t="s">
        <v>620</v>
      </c>
      <c r="L319" s="7" t="s">
        <v>179</v>
      </c>
      <c r="N319" s="29">
        <v>45213</v>
      </c>
      <c r="P319" s="29">
        <v>45229</v>
      </c>
      <c r="Q319" s="7" t="s">
        <v>157</v>
      </c>
      <c r="R319" s="7" t="s">
        <v>354</v>
      </c>
      <c r="S319" s="7" t="s">
        <v>126</v>
      </c>
      <c r="T319" s="7" t="s">
        <v>239</v>
      </c>
      <c r="U319" s="7" t="s">
        <v>167</v>
      </c>
      <c r="V319" s="7" t="s">
        <v>355</v>
      </c>
      <c r="W319" s="7">
        <v>106005</v>
      </c>
      <c r="X319" s="7" t="s">
        <v>588</v>
      </c>
      <c r="Y319" s="7" t="s">
        <v>170</v>
      </c>
      <c r="AA319" s="7" t="s">
        <v>171</v>
      </c>
      <c r="AB319" s="7" t="s">
        <v>172</v>
      </c>
      <c r="AC319" s="7">
        <v>1130</v>
      </c>
      <c r="AF319" s="7" t="s">
        <v>173</v>
      </c>
      <c r="AG319" s="7" t="s">
        <v>170</v>
      </c>
      <c r="AI319" s="7" t="s">
        <v>174</v>
      </c>
      <c r="AK319" s="7">
        <v>1</v>
      </c>
      <c r="AL319" s="7">
        <v>1</v>
      </c>
      <c r="AM319" s="7">
        <v>32700.51</v>
      </c>
      <c r="AN319" s="7">
        <v>6770.04</v>
      </c>
      <c r="AP319" s="7">
        <v>7664.19</v>
      </c>
      <c r="AQ319" s="30">
        <v>33594.660000000003</v>
      </c>
      <c r="AS319" s="7">
        <v>807.29</v>
      </c>
      <c r="AZ319" s="7">
        <v>403.65</v>
      </c>
      <c r="BG319" s="7">
        <v>807.29</v>
      </c>
      <c r="BO319" s="7">
        <v>403.65</v>
      </c>
      <c r="BR319" s="7">
        <v>2421.88</v>
      </c>
      <c r="BS319" s="7">
        <v>10218.92</v>
      </c>
    </row>
    <row r="320" spans="1:72" ht="11.25" hidden="1" x14ac:dyDescent="0.2">
      <c r="A320" s="133">
        <f t="shared" si="254"/>
        <v>2</v>
      </c>
      <c r="B320" s="141">
        <v>45323</v>
      </c>
      <c r="C320" s="10"/>
      <c r="D320" s="42" t="str">
        <f t="shared" si="256"/>
        <v>NO</v>
      </c>
      <c r="E320" s="7">
        <v>336403</v>
      </c>
      <c r="F320" s="7" t="s">
        <v>621</v>
      </c>
      <c r="G320" s="7" t="s">
        <v>622</v>
      </c>
      <c r="H320" s="7">
        <v>45331</v>
      </c>
      <c r="I320" s="7">
        <v>41587286</v>
      </c>
      <c r="J320" s="7" t="s">
        <v>623</v>
      </c>
      <c r="K320" s="7" t="s">
        <v>624</v>
      </c>
      <c r="L320" s="7" t="s">
        <v>179</v>
      </c>
      <c r="N320" s="29">
        <v>45311</v>
      </c>
      <c r="Q320" s="7" t="s">
        <v>157</v>
      </c>
      <c r="R320" s="7" t="s">
        <v>354</v>
      </c>
      <c r="S320" s="7" t="s">
        <v>126</v>
      </c>
      <c r="T320" s="7" t="s">
        <v>239</v>
      </c>
      <c r="U320" s="7" t="s">
        <v>167</v>
      </c>
      <c r="V320" s="7" t="s">
        <v>355</v>
      </c>
      <c r="W320" s="7">
        <v>108803</v>
      </c>
      <c r="X320" s="7" t="s">
        <v>169</v>
      </c>
      <c r="Y320" s="7" t="s">
        <v>170</v>
      </c>
      <c r="AA320" s="7" t="s">
        <v>171</v>
      </c>
      <c r="AB320" s="7" t="s">
        <v>172</v>
      </c>
      <c r="AC320" s="7">
        <v>1130</v>
      </c>
      <c r="AF320" s="7" t="s">
        <v>173</v>
      </c>
      <c r="AG320" s="7" t="s">
        <v>170</v>
      </c>
      <c r="AI320" s="7" t="s">
        <v>174</v>
      </c>
      <c r="AK320" s="7">
        <v>1</v>
      </c>
      <c r="AL320" s="7">
        <v>1</v>
      </c>
      <c r="AQ320" s="30"/>
      <c r="AS320" s="7"/>
      <c r="BJ320" s="7">
        <v>5000</v>
      </c>
      <c r="BR320" s="7">
        <v>5000</v>
      </c>
      <c r="BS320" s="7">
        <v>0</v>
      </c>
    </row>
    <row r="321" spans="1:72" ht="11.25" hidden="1" x14ac:dyDescent="0.2">
      <c r="A321" s="133">
        <f t="shared" si="254"/>
        <v>2</v>
      </c>
      <c r="B321" s="141">
        <v>45323</v>
      </c>
      <c r="C321" s="10" t="s">
        <v>926</v>
      </c>
      <c r="D321" s="42" t="str">
        <f t="shared" si="256"/>
        <v>SI</v>
      </c>
      <c r="E321" s="7">
        <v>320277</v>
      </c>
      <c r="F321" s="7" t="s">
        <v>625</v>
      </c>
      <c r="G321" s="7" t="s">
        <v>626</v>
      </c>
      <c r="H321" s="7">
        <v>45356</v>
      </c>
      <c r="I321" s="7">
        <v>32359782</v>
      </c>
      <c r="J321" s="7" t="s">
        <v>627</v>
      </c>
      <c r="K321" s="7" t="s">
        <v>628</v>
      </c>
      <c r="L321" s="7" t="s">
        <v>164</v>
      </c>
      <c r="N321" s="29">
        <v>45047</v>
      </c>
      <c r="Q321" s="7" t="s">
        <v>157</v>
      </c>
      <c r="R321" s="7" t="s">
        <v>165</v>
      </c>
      <c r="S321" s="7" t="s">
        <v>126</v>
      </c>
      <c r="T321" s="7" t="s">
        <v>200</v>
      </c>
      <c r="U321" s="7" t="s">
        <v>167</v>
      </c>
      <c r="V321" s="7" t="s">
        <v>207</v>
      </c>
      <c r="W321" s="7">
        <v>108803</v>
      </c>
      <c r="X321" s="7" t="s">
        <v>169</v>
      </c>
      <c r="Y321" s="7" t="s">
        <v>170</v>
      </c>
      <c r="AA321" s="7" t="s">
        <v>171</v>
      </c>
      <c r="AB321" s="7" t="s">
        <v>172</v>
      </c>
      <c r="AC321" s="7">
        <v>1130</v>
      </c>
      <c r="AF321" s="7" t="s">
        <v>173</v>
      </c>
      <c r="AG321" s="7" t="s">
        <v>170</v>
      </c>
      <c r="AI321" s="7" t="s">
        <v>174</v>
      </c>
      <c r="AK321" s="7">
        <v>1</v>
      </c>
      <c r="AL321" s="7">
        <v>1</v>
      </c>
      <c r="AM321" s="7">
        <v>88380.27</v>
      </c>
      <c r="AN321" s="7">
        <v>18842.95</v>
      </c>
      <c r="AP321" s="7">
        <v>20714.13</v>
      </c>
      <c r="AQ321" s="30">
        <v>90251.45</v>
      </c>
      <c r="AR321" s="7">
        <v>2727.36</v>
      </c>
      <c r="AS321" s="7"/>
      <c r="AZ321" s="7">
        <v>1090.94</v>
      </c>
      <c r="BG321" s="7">
        <v>2181.89</v>
      </c>
      <c r="BO321" s="7">
        <v>1090.94</v>
      </c>
      <c r="BR321" s="7">
        <v>7091.13</v>
      </c>
      <c r="BS321" s="7">
        <v>20714.13</v>
      </c>
      <c r="BT321" s="7">
        <f t="shared" ref="BT321:BT331" si="260">+AM321+BS321</f>
        <v>109094.40000000001</v>
      </c>
    </row>
    <row r="322" spans="1:72" ht="11.25" hidden="1" x14ac:dyDescent="0.2">
      <c r="A322" s="133">
        <f t="shared" si="254"/>
        <v>2</v>
      </c>
      <c r="B322" s="141">
        <v>45323</v>
      </c>
      <c r="C322" s="10" t="s">
        <v>926</v>
      </c>
      <c r="D322" s="42" t="str">
        <f t="shared" si="256"/>
        <v>NO</v>
      </c>
      <c r="E322" s="7">
        <v>317848</v>
      </c>
      <c r="F322" s="7" t="s">
        <v>629</v>
      </c>
      <c r="G322" s="7" t="s">
        <v>630</v>
      </c>
      <c r="H322" s="7">
        <v>45351</v>
      </c>
      <c r="I322" s="7">
        <v>95094319</v>
      </c>
      <c r="J322" s="7" t="s">
        <v>631</v>
      </c>
      <c r="K322" s="7" t="s">
        <v>632</v>
      </c>
      <c r="L322" s="7" t="s">
        <v>179</v>
      </c>
      <c r="N322" s="29">
        <v>44982</v>
      </c>
      <c r="Q322" s="7" t="s">
        <v>157</v>
      </c>
      <c r="R322" s="7" t="s">
        <v>165</v>
      </c>
      <c r="S322" s="7" t="s">
        <v>126</v>
      </c>
      <c r="T322" s="7" t="s">
        <v>180</v>
      </c>
      <c r="U322" s="7" t="s">
        <v>167</v>
      </c>
      <c r="V322" s="7" t="s">
        <v>168</v>
      </c>
      <c r="W322" s="7">
        <v>108803</v>
      </c>
      <c r="X322" s="7" t="s">
        <v>169</v>
      </c>
      <c r="Y322" s="7" t="s">
        <v>170</v>
      </c>
      <c r="AA322" s="7" t="s">
        <v>171</v>
      </c>
      <c r="AB322" s="7" t="s">
        <v>172</v>
      </c>
      <c r="AC322" s="7">
        <v>1130</v>
      </c>
      <c r="AF322" s="7" t="s">
        <v>173</v>
      </c>
      <c r="AG322" s="7" t="s">
        <v>170</v>
      </c>
      <c r="AI322" s="7" t="s">
        <v>174</v>
      </c>
      <c r="AK322" s="7">
        <v>1</v>
      </c>
      <c r="AL322" s="7">
        <v>1</v>
      </c>
      <c r="AM322" s="7">
        <v>155922.46</v>
      </c>
      <c r="AN322" s="7">
        <v>32156.13</v>
      </c>
      <c r="AP322" s="7">
        <v>32388.13</v>
      </c>
      <c r="AQ322" s="30">
        <v>156154.46</v>
      </c>
      <c r="AS322" s="7">
        <v>3766.21</v>
      </c>
      <c r="AZ322" s="7">
        <v>1883.11</v>
      </c>
      <c r="BG322" s="7">
        <v>3766.21</v>
      </c>
      <c r="BO322" s="7">
        <v>1883.11</v>
      </c>
      <c r="BR322" s="7">
        <v>11298.64</v>
      </c>
      <c r="BS322" s="7">
        <v>32388.13</v>
      </c>
      <c r="BT322" s="7">
        <f t="shared" si="260"/>
        <v>188310.59</v>
      </c>
    </row>
    <row r="323" spans="1:72" ht="11.25" hidden="1" x14ac:dyDescent="0.2">
      <c r="A323" s="133">
        <f t="shared" si="254"/>
        <v>2</v>
      </c>
      <c r="B323" s="141">
        <v>45323</v>
      </c>
      <c r="C323" s="10" t="s">
        <v>926</v>
      </c>
      <c r="D323" s="42" t="str">
        <f t="shared" si="256"/>
        <v>NO</v>
      </c>
      <c r="E323" s="7">
        <v>335982</v>
      </c>
      <c r="F323" s="7" t="s">
        <v>884</v>
      </c>
      <c r="G323" s="7" t="s">
        <v>885</v>
      </c>
      <c r="H323" s="7">
        <v>45356</v>
      </c>
      <c r="I323" s="7">
        <v>36686837</v>
      </c>
      <c r="J323" s="7" t="s">
        <v>886</v>
      </c>
      <c r="K323" s="7" t="s">
        <v>887</v>
      </c>
      <c r="L323" s="7" t="s">
        <v>179</v>
      </c>
      <c r="N323" s="29">
        <v>45345</v>
      </c>
      <c r="Q323" s="7" t="s">
        <v>157</v>
      </c>
      <c r="R323" s="7" t="s">
        <v>165</v>
      </c>
      <c r="S323" s="7" t="s">
        <v>126</v>
      </c>
      <c r="T323" s="7" t="s">
        <v>200</v>
      </c>
      <c r="U323" s="7" t="s">
        <v>167</v>
      </c>
      <c r="V323" s="7" t="s">
        <v>168</v>
      </c>
      <c r="W323" s="7">
        <v>108803</v>
      </c>
      <c r="X323" s="7" t="s">
        <v>169</v>
      </c>
      <c r="Y323" s="7" t="s">
        <v>170</v>
      </c>
      <c r="AA323" s="7" t="s">
        <v>189</v>
      </c>
      <c r="AB323" s="7" t="s">
        <v>190</v>
      </c>
      <c r="AC323" s="7">
        <v>1584</v>
      </c>
      <c r="AF323" s="7" t="s">
        <v>173</v>
      </c>
      <c r="AG323" s="7" t="s">
        <v>170</v>
      </c>
      <c r="AI323" s="7" t="s">
        <v>174</v>
      </c>
      <c r="AK323" s="7">
        <v>1</v>
      </c>
      <c r="AL323" s="7">
        <v>1</v>
      </c>
      <c r="AM323" s="7">
        <v>7453.76</v>
      </c>
      <c r="AN323" s="7">
        <v>1543.15</v>
      </c>
      <c r="AP323" s="7">
        <v>1746.98</v>
      </c>
      <c r="AQ323" s="30">
        <v>7657.59</v>
      </c>
      <c r="AS323" s="7">
        <v>184.01</v>
      </c>
      <c r="AZ323" s="7">
        <v>92.01</v>
      </c>
      <c r="BG323" s="7">
        <v>184.01</v>
      </c>
      <c r="BO323" s="7">
        <v>92.01</v>
      </c>
      <c r="BR323" s="7">
        <v>552.04</v>
      </c>
      <c r="BS323" s="7">
        <v>1746.98</v>
      </c>
      <c r="BT323" s="7">
        <f t="shared" si="260"/>
        <v>9200.74</v>
      </c>
    </row>
    <row r="324" spans="1:72" ht="11.25" hidden="1" x14ac:dyDescent="0.2">
      <c r="A324" s="133">
        <f t="shared" si="254"/>
        <v>2</v>
      </c>
      <c r="B324" s="141">
        <v>45323</v>
      </c>
      <c r="C324" s="10" t="s">
        <v>926</v>
      </c>
      <c r="D324" s="42" t="str">
        <f t="shared" si="256"/>
        <v>SI</v>
      </c>
      <c r="E324" s="7">
        <v>296296</v>
      </c>
      <c r="F324" s="7" t="s">
        <v>637</v>
      </c>
      <c r="G324" s="7" t="s">
        <v>638</v>
      </c>
      <c r="H324" s="7">
        <v>45351</v>
      </c>
      <c r="I324" s="7">
        <v>31447548</v>
      </c>
      <c r="J324" s="7" t="s">
        <v>639</v>
      </c>
      <c r="K324" s="7" t="s">
        <v>640</v>
      </c>
      <c r="L324" s="7" t="s">
        <v>179</v>
      </c>
      <c r="N324" s="29">
        <v>44972</v>
      </c>
      <c r="Q324" s="7" t="s">
        <v>157</v>
      </c>
      <c r="R324" s="7" t="s">
        <v>165</v>
      </c>
      <c r="S324" s="7" t="s">
        <v>126</v>
      </c>
      <c r="T324" s="7" t="s">
        <v>180</v>
      </c>
      <c r="U324" s="7" t="s">
        <v>167</v>
      </c>
      <c r="V324" s="7" t="s">
        <v>168</v>
      </c>
      <c r="W324" s="7">
        <v>108803</v>
      </c>
      <c r="X324" s="7" t="s">
        <v>169</v>
      </c>
      <c r="Y324" s="7" t="s">
        <v>170</v>
      </c>
      <c r="AA324" s="7" t="s">
        <v>171</v>
      </c>
      <c r="AB324" s="7" t="s">
        <v>172</v>
      </c>
      <c r="AC324" s="7">
        <v>1130</v>
      </c>
      <c r="AF324" s="7" t="s">
        <v>173</v>
      </c>
      <c r="AG324" s="7" t="s">
        <v>170</v>
      </c>
      <c r="AI324" s="7" t="s">
        <v>174</v>
      </c>
      <c r="AK324" s="7">
        <v>2</v>
      </c>
      <c r="AL324" s="7">
        <v>1</v>
      </c>
      <c r="AM324" s="7">
        <v>65145.68</v>
      </c>
      <c r="AN324" s="7">
        <v>13828.48</v>
      </c>
      <c r="AP324" s="7">
        <v>13532.03</v>
      </c>
      <c r="AQ324" s="30">
        <v>64849.23</v>
      </c>
      <c r="AR324" s="7">
        <v>1966.94</v>
      </c>
      <c r="AS324" s="7"/>
      <c r="AZ324" s="7">
        <v>786.78</v>
      </c>
      <c r="BG324" s="7">
        <v>1573.55</v>
      </c>
      <c r="BJ324" s="7">
        <v>5000</v>
      </c>
      <c r="BO324" s="7">
        <v>786.78</v>
      </c>
      <c r="BR324" s="7">
        <v>10114.049999999999</v>
      </c>
      <c r="BS324" s="7">
        <v>13532.03</v>
      </c>
      <c r="BT324" s="7">
        <f t="shared" si="260"/>
        <v>78677.710000000006</v>
      </c>
    </row>
    <row r="325" spans="1:72" ht="11.25" hidden="1" x14ac:dyDescent="0.2">
      <c r="A325" s="133">
        <f t="shared" si="254"/>
        <v>2</v>
      </c>
      <c r="B325" s="141">
        <v>45323</v>
      </c>
      <c r="C325" s="10" t="s">
        <v>926</v>
      </c>
      <c r="D325" s="42" t="str">
        <f t="shared" si="256"/>
        <v>NO</v>
      </c>
      <c r="E325" s="7">
        <v>335924</v>
      </c>
      <c r="F325" s="7" t="s">
        <v>641</v>
      </c>
      <c r="G325" s="7" t="s">
        <v>642</v>
      </c>
      <c r="H325" s="7">
        <v>45356</v>
      </c>
      <c r="I325" s="7">
        <v>43799620</v>
      </c>
      <c r="J325" s="7" t="s">
        <v>643</v>
      </c>
      <c r="K325" s="7" t="s">
        <v>644</v>
      </c>
      <c r="L325" s="7" t="s">
        <v>179</v>
      </c>
      <c r="N325" s="29">
        <v>45300</v>
      </c>
      <c r="Q325" s="7" t="s">
        <v>157</v>
      </c>
      <c r="R325" s="7" t="s">
        <v>238</v>
      </c>
      <c r="S325" s="7" t="s">
        <v>126</v>
      </c>
      <c r="T325" s="7" t="s">
        <v>206</v>
      </c>
      <c r="U325" s="7" t="s">
        <v>167</v>
      </c>
      <c r="V325" s="7" t="s">
        <v>240</v>
      </c>
      <c r="W325" s="7">
        <v>108803</v>
      </c>
      <c r="X325" s="7" t="s">
        <v>169</v>
      </c>
      <c r="Y325" s="7" t="s">
        <v>170</v>
      </c>
      <c r="AA325" s="7" t="s">
        <v>208</v>
      </c>
      <c r="AB325" s="7" t="s">
        <v>209</v>
      </c>
      <c r="AC325" s="7">
        <v>1035</v>
      </c>
      <c r="AF325" s="7" t="s">
        <v>173</v>
      </c>
      <c r="AG325" s="7" t="s">
        <v>170</v>
      </c>
      <c r="AI325" s="7" t="s">
        <v>174</v>
      </c>
      <c r="AK325" s="7">
        <v>2</v>
      </c>
      <c r="AL325" s="7">
        <v>1</v>
      </c>
      <c r="AM325" s="7">
        <v>105998.8</v>
      </c>
      <c r="AN325" s="7">
        <v>21995.03</v>
      </c>
      <c r="AP325" s="7">
        <v>28270.49</v>
      </c>
      <c r="AQ325" s="30">
        <v>112274.26</v>
      </c>
      <c r="AS325" s="7">
        <v>2685.39</v>
      </c>
      <c r="AZ325" s="7">
        <v>1289.8499999999999</v>
      </c>
      <c r="BG325" s="7">
        <v>2685.39</v>
      </c>
      <c r="BO325" s="7">
        <v>1342.7</v>
      </c>
      <c r="BR325" s="7">
        <v>8003.33</v>
      </c>
      <c r="BS325" s="7">
        <v>22986.29</v>
      </c>
      <c r="BT325" s="7">
        <f t="shared" si="260"/>
        <v>128985.09</v>
      </c>
    </row>
    <row r="326" spans="1:72" ht="11.25" hidden="1" x14ac:dyDescent="0.2">
      <c r="A326" s="133">
        <f t="shared" si="254"/>
        <v>2</v>
      </c>
      <c r="B326" s="141">
        <v>45323</v>
      </c>
      <c r="C326" s="10" t="s">
        <v>926</v>
      </c>
      <c r="D326" s="42" t="str">
        <f t="shared" si="256"/>
        <v>NO</v>
      </c>
      <c r="E326" s="7">
        <v>323693</v>
      </c>
      <c r="F326" s="7" t="s">
        <v>645</v>
      </c>
      <c r="G326" s="7" t="s">
        <v>646</v>
      </c>
      <c r="H326" s="7">
        <v>45356</v>
      </c>
      <c r="I326" s="7">
        <v>43498449</v>
      </c>
      <c r="J326" s="7" t="s">
        <v>647</v>
      </c>
      <c r="K326" s="7" t="s">
        <v>648</v>
      </c>
      <c r="L326" s="7" t="s">
        <v>179</v>
      </c>
      <c r="N326" s="29">
        <v>45248</v>
      </c>
      <c r="Q326" s="7" t="s">
        <v>157</v>
      </c>
      <c r="R326" s="7" t="s">
        <v>165</v>
      </c>
      <c r="S326" s="7" t="s">
        <v>126</v>
      </c>
      <c r="T326" s="7" t="s">
        <v>239</v>
      </c>
      <c r="U326" s="7" t="s">
        <v>167</v>
      </c>
      <c r="V326" s="7" t="s">
        <v>168</v>
      </c>
      <c r="W326" s="7">
        <v>108803</v>
      </c>
      <c r="X326" s="7" t="s">
        <v>169</v>
      </c>
      <c r="Y326" s="7" t="s">
        <v>170</v>
      </c>
      <c r="AA326" s="7" t="s">
        <v>171</v>
      </c>
      <c r="AB326" s="7" t="s">
        <v>172</v>
      </c>
      <c r="AC326" s="7">
        <v>1130</v>
      </c>
      <c r="AF326" s="7" t="s">
        <v>173</v>
      </c>
      <c r="AG326" s="7" t="s">
        <v>170</v>
      </c>
      <c r="AI326" s="7" t="s">
        <v>174</v>
      </c>
      <c r="AK326" s="7">
        <v>5</v>
      </c>
      <c r="AL326" s="7">
        <v>1</v>
      </c>
      <c r="AM326" s="7">
        <v>391436.86</v>
      </c>
      <c r="AN326" s="7">
        <v>81226.94</v>
      </c>
      <c r="AP326" s="7">
        <v>101418.04</v>
      </c>
      <c r="AQ326" s="30">
        <v>411627.96</v>
      </c>
      <c r="AS326" s="7">
        <v>9857.1</v>
      </c>
      <c r="AZ326" s="7">
        <v>4825.57</v>
      </c>
      <c r="BG326" s="7">
        <v>9857.1</v>
      </c>
      <c r="BO326" s="7">
        <v>4928.5600000000004</v>
      </c>
      <c r="BR326" s="7">
        <v>29468.33</v>
      </c>
      <c r="BS326" s="7">
        <v>91119.290000000008</v>
      </c>
      <c r="BT326" s="7">
        <f t="shared" si="260"/>
        <v>482556.15</v>
      </c>
    </row>
    <row r="327" spans="1:72" ht="11.25" hidden="1" x14ac:dyDescent="0.2">
      <c r="A327" s="133">
        <f t="shared" si="254"/>
        <v>2</v>
      </c>
      <c r="B327" s="141">
        <v>45323</v>
      </c>
      <c r="C327" s="10" t="s">
        <v>926</v>
      </c>
      <c r="D327" s="42" t="str">
        <f t="shared" si="256"/>
        <v>NO</v>
      </c>
      <c r="E327" s="7">
        <v>216499</v>
      </c>
      <c r="F327" s="7" t="s">
        <v>653</v>
      </c>
      <c r="G327" s="7" t="s">
        <v>654</v>
      </c>
      <c r="H327" s="7">
        <v>45356</v>
      </c>
      <c r="I327" s="7">
        <v>34135340</v>
      </c>
      <c r="J327" s="7" t="s">
        <v>651</v>
      </c>
      <c r="K327" s="7" t="s">
        <v>655</v>
      </c>
      <c r="L327" s="7" t="s">
        <v>164</v>
      </c>
      <c r="N327" s="29">
        <v>45262</v>
      </c>
      <c r="Q327" s="7" t="s">
        <v>157</v>
      </c>
      <c r="R327" s="7" t="s">
        <v>214</v>
      </c>
      <c r="S327" s="7" t="s">
        <v>126</v>
      </c>
      <c r="T327" s="7" t="s">
        <v>200</v>
      </c>
      <c r="U327" s="7" t="s">
        <v>167</v>
      </c>
      <c r="V327" s="7" t="s">
        <v>215</v>
      </c>
      <c r="W327" s="7">
        <v>108803</v>
      </c>
      <c r="X327" s="7" t="s">
        <v>169</v>
      </c>
      <c r="Y327" s="7" t="s">
        <v>170</v>
      </c>
      <c r="AA327" s="7" t="s">
        <v>189</v>
      </c>
      <c r="AB327" s="7" t="s">
        <v>190</v>
      </c>
      <c r="AC327" s="7">
        <v>1584</v>
      </c>
      <c r="AF327" s="7" t="s">
        <v>173</v>
      </c>
      <c r="AG327" s="7" t="s">
        <v>170</v>
      </c>
      <c r="AI327" s="7" t="s">
        <v>174</v>
      </c>
      <c r="AK327" s="7">
        <v>2</v>
      </c>
      <c r="AL327" s="7">
        <v>1</v>
      </c>
      <c r="AM327" s="7">
        <v>204414.41</v>
      </c>
      <c r="AN327" s="7">
        <v>42320.2</v>
      </c>
      <c r="AP327" s="7">
        <v>47909.62</v>
      </c>
      <c r="AQ327" s="30">
        <v>210003.83</v>
      </c>
      <c r="AS327" s="7">
        <v>5046.4799999999996</v>
      </c>
      <c r="AZ327" s="7">
        <v>2523.25</v>
      </c>
      <c r="BG327" s="7">
        <v>5046.4799999999996</v>
      </c>
      <c r="BO327" s="7">
        <v>2523.25</v>
      </c>
      <c r="BR327" s="7">
        <v>15139.46</v>
      </c>
      <c r="BS327" s="7">
        <v>47909.62</v>
      </c>
      <c r="BT327" s="7">
        <f t="shared" si="260"/>
        <v>252324.03</v>
      </c>
    </row>
    <row r="328" spans="1:72" ht="11.25" hidden="1" x14ac:dyDescent="0.2">
      <c r="A328" s="133">
        <f t="shared" si="254"/>
        <v>2</v>
      </c>
      <c r="B328" s="141">
        <v>45323</v>
      </c>
      <c r="C328" s="10" t="s">
        <v>926</v>
      </c>
      <c r="D328" s="42" t="str">
        <f t="shared" si="256"/>
        <v>NO</v>
      </c>
      <c r="E328" s="7">
        <v>318789</v>
      </c>
      <c r="F328" s="7" t="s">
        <v>656</v>
      </c>
      <c r="G328" s="7" t="s">
        <v>657</v>
      </c>
      <c r="H328" s="7">
        <v>45350</v>
      </c>
      <c r="I328" s="7">
        <v>44080028</v>
      </c>
      <c r="J328" s="7" t="s">
        <v>651</v>
      </c>
      <c r="K328" s="7" t="s">
        <v>658</v>
      </c>
      <c r="L328" s="7" t="s">
        <v>164</v>
      </c>
      <c r="N328" s="29">
        <v>45008</v>
      </c>
      <c r="Q328" s="7" t="s">
        <v>157</v>
      </c>
      <c r="R328" s="7" t="s">
        <v>165</v>
      </c>
      <c r="S328" s="7" t="s">
        <v>126</v>
      </c>
      <c r="T328" s="7" t="s">
        <v>166</v>
      </c>
      <c r="U328" s="7" t="s">
        <v>167</v>
      </c>
      <c r="V328" s="7" t="s">
        <v>168</v>
      </c>
      <c r="W328" s="7">
        <v>108803</v>
      </c>
      <c r="X328" s="7" t="s">
        <v>169</v>
      </c>
      <c r="Y328" s="7" t="s">
        <v>170</v>
      </c>
      <c r="AA328" s="7" t="s">
        <v>171</v>
      </c>
      <c r="AB328" s="7" t="s">
        <v>172</v>
      </c>
      <c r="AC328" s="7">
        <v>1130</v>
      </c>
      <c r="AF328" s="7" t="s">
        <v>173</v>
      </c>
      <c r="AG328" s="7" t="s">
        <v>170</v>
      </c>
      <c r="AI328" s="7" t="s">
        <v>174</v>
      </c>
      <c r="AK328" s="7">
        <v>1</v>
      </c>
      <c r="AL328" s="7">
        <v>1</v>
      </c>
      <c r="AM328" s="7">
        <v>246371.43</v>
      </c>
      <c r="AN328" s="7">
        <v>50824.92</v>
      </c>
      <c r="AP328" s="7">
        <v>51687.9</v>
      </c>
      <c r="AQ328" s="30">
        <v>247234.41</v>
      </c>
      <c r="AS328" s="7">
        <v>5961.19</v>
      </c>
      <c r="AZ328" s="7">
        <v>2980.59</v>
      </c>
      <c r="BG328" s="7">
        <v>5961.19</v>
      </c>
      <c r="BO328" s="7">
        <v>2980.59</v>
      </c>
      <c r="BR328" s="7">
        <v>17883.560000000001</v>
      </c>
      <c r="BS328" s="7">
        <v>51687.899999999994</v>
      </c>
      <c r="BT328" s="7">
        <f t="shared" si="260"/>
        <v>298059.32999999996</v>
      </c>
    </row>
    <row r="329" spans="1:72" ht="11.25" hidden="1" x14ac:dyDescent="0.2">
      <c r="A329" s="133">
        <f t="shared" si="254"/>
        <v>2</v>
      </c>
      <c r="B329" s="141">
        <v>45323</v>
      </c>
      <c r="C329" s="10" t="s">
        <v>926</v>
      </c>
      <c r="D329" s="42" t="str">
        <f t="shared" si="256"/>
        <v>NO</v>
      </c>
      <c r="E329" s="7">
        <v>333526</v>
      </c>
      <c r="F329" s="7" t="s">
        <v>659</v>
      </c>
      <c r="G329" s="7" t="s">
        <v>660</v>
      </c>
      <c r="H329" s="7">
        <v>45356</v>
      </c>
      <c r="I329" s="7">
        <v>40756225</v>
      </c>
      <c r="J329" s="7" t="s">
        <v>661</v>
      </c>
      <c r="K329" s="7" t="s">
        <v>662</v>
      </c>
      <c r="L329" s="7" t="s">
        <v>179</v>
      </c>
      <c r="N329" s="29">
        <v>45342</v>
      </c>
      <c r="Q329" s="7" t="s">
        <v>157</v>
      </c>
      <c r="R329" s="7" t="s">
        <v>238</v>
      </c>
      <c r="S329" s="7" t="s">
        <v>126</v>
      </c>
      <c r="T329" s="7" t="s">
        <v>200</v>
      </c>
      <c r="U329" s="7" t="s">
        <v>167</v>
      </c>
      <c r="V329" s="7" t="s">
        <v>240</v>
      </c>
      <c r="W329" s="7">
        <v>110404</v>
      </c>
      <c r="X329" s="7" t="s">
        <v>888</v>
      </c>
      <c r="Y329" s="7" t="s">
        <v>170</v>
      </c>
      <c r="AA329" s="7" t="s">
        <v>189</v>
      </c>
      <c r="AB329" s="7" t="s">
        <v>190</v>
      </c>
      <c r="AC329" s="7">
        <v>1584</v>
      </c>
      <c r="AF329" s="7" t="s">
        <v>173</v>
      </c>
      <c r="AG329" s="7" t="s">
        <v>170</v>
      </c>
      <c r="AI329" s="7" t="s">
        <v>174</v>
      </c>
      <c r="AK329" s="7">
        <v>2</v>
      </c>
      <c r="AL329" s="7">
        <v>1</v>
      </c>
      <c r="AM329" s="7">
        <v>61825.3</v>
      </c>
      <c r="AN329" s="7">
        <v>12799.77</v>
      </c>
      <c r="AP329" s="7">
        <v>14490.3</v>
      </c>
      <c r="AQ329" s="30">
        <v>63515.83</v>
      </c>
      <c r="AS329" s="7">
        <v>1526.31</v>
      </c>
      <c r="AZ329" s="7">
        <v>763.16</v>
      </c>
      <c r="BG329" s="7">
        <v>1526.31</v>
      </c>
      <c r="BJ329" s="7">
        <v>5000</v>
      </c>
      <c r="BO329" s="7">
        <v>763.16</v>
      </c>
      <c r="BR329" s="7">
        <v>9578.94</v>
      </c>
      <c r="BS329" s="7">
        <v>14490.300000000001</v>
      </c>
      <c r="BT329" s="7">
        <f t="shared" si="260"/>
        <v>76315.600000000006</v>
      </c>
    </row>
    <row r="330" spans="1:72" ht="11.25" hidden="1" x14ac:dyDescent="0.2">
      <c r="A330" s="133">
        <f t="shared" si="254"/>
        <v>2</v>
      </c>
      <c r="B330" s="141">
        <v>45323</v>
      </c>
      <c r="C330" s="10" t="s">
        <v>926</v>
      </c>
      <c r="D330" s="42" t="str">
        <f t="shared" si="256"/>
        <v>NO</v>
      </c>
      <c r="E330" s="7">
        <v>311044</v>
      </c>
      <c r="F330" s="7" t="s">
        <v>664</v>
      </c>
      <c r="G330" s="7" t="s">
        <v>665</v>
      </c>
      <c r="H330" s="7">
        <v>45356</v>
      </c>
      <c r="I330" s="7">
        <v>43869056</v>
      </c>
      <c r="J330" s="7" t="s">
        <v>666</v>
      </c>
      <c r="K330" s="7" t="s">
        <v>667</v>
      </c>
      <c r="L330" s="7" t="s">
        <v>179</v>
      </c>
      <c r="N330" s="29">
        <v>44876</v>
      </c>
      <c r="Q330" s="7" t="s">
        <v>157</v>
      </c>
      <c r="R330" s="7" t="s">
        <v>199</v>
      </c>
      <c r="S330" s="7" t="s">
        <v>126</v>
      </c>
      <c r="T330" s="7" t="s">
        <v>239</v>
      </c>
      <c r="U330" s="7" t="s">
        <v>167</v>
      </c>
      <c r="V330" s="7" t="s">
        <v>201</v>
      </c>
      <c r="W330" s="7">
        <v>108803</v>
      </c>
      <c r="X330" s="7" t="s">
        <v>169</v>
      </c>
      <c r="Y330" s="7" t="s">
        <v>170</v>
      </c>
      <c r="AA330" s="7" t="s">
        <v>171</v>
      </c>
      <c r="AB330" s="7" t="s">
        <v>172</v>
      </c>
      <c r="AC330" s="7">
        <v>1130</v>
      </c>
      <c r="AF330" s="7" t="s">
        <v>173</v>
      </c>
      <c r="AG330" s="7" t="s">
        <v>170</v>
      </c>
      <c r="AI330" s="7" t="s">
        <v>174</v>
      </c>
      <c r="AK330" s="7">
        <v>1</v>
      </c>
      <c r="AL330" s="7">
        <v>1</v>
      </c>
      <c r="AM330" s="7">
        <v>14118.47</v>
      </c>
      <c r="AN330" s="7">
        <v>2921.97</v>
      </c>
      <c r="AP330" s="7">
        <v>3276.25</v>
      </c>
      <c r="AQ330" s="30">
        <v>14472.75</v>
      </c>
      <c r="AS330" s="7">
        <v>347.89</v>
      </c>
      <c r="AZ330" s="7">
        <v>173.95</v>
      </c>
      <c r="BG330" s="7">
        <v>347.89</v>
      </c>
      <c r="BO330" s="7">
        <v>173.95</v>
      </c>
      <c r="BR330" s="7">
        <v>1043.68</v>
      </c>
      <c r="BS330" s="7">
        <v>3276.25</v>
      </c>
      <c r="BT330" s="7">
        <f t="shared" si="260"/>
        <v>17394.72</v>
      </c>
    </row>
    <row r="331" spans="1:72" ht="11.25" hidden="1" x14ac:dyDescent="0.2">
      <c r="A331" s="133">
        <f t="shared" si="254"/>
        <v>2</v>
      </c>
      <c r="B331" s="141">
        <v>45323</v>
      </c>
      <c r="C331" s="10" t="s">
        <v>926</v>
      </c>
      <c r="D331" s="42" t="str">
        <f t="shared" si="256"/>
        <v>NO</v>
      </c>
      <c r="E331" s="7">
        <v>339534</v>
      </c>
      <c r="F331" s="7" t="s">
        <v>889</v>
      </c>
      <c r="G331" s="7" t="s">
        <v>890</v>
      </c>
      <c r="H331" s="7">
        <v>45356</v>
      </c>
      <c r="I331" s="7">
        <v>44789588</v>
      </c>
      <c r="J331" s="7" t="s">
        <v>666</v>
      </c>
      <c r="K331" s="7" t="s">
        <v>891</v>
      </c>
      <c r="L331" s="7" t="s">
        <v>179</v>
      </c>
      <c r="N331" s="29">
        <v>45333</v>
      </c>
      <c r="Q331" s="7" t="s">
        <v>157</v>
      </c>
      <c r="R331" s="7" t="s">
        <v>199</v>
      </c>
      <c r="S331" s="7" t="s">
        <v>126</v>
      </c>
      <c r="T331" s="7" t="s">
        <v>200</v>
      </c>
      <c r="U331" s="7" t="s">
        <v>167</v>
      </c>
      <c r="V331" s="7" t="s">
        <v>892</v>
      </c>
      <c r="W331" s="7">
        <v>108803</v>
      </c>
      <c r="X331" s="7" t="s">
        <v>169</v>
      </c>
      <c r="Y331" s="7" t="s">
        <v>170</v>
      </c>
      <c r="AA331" s="7" t="s">
        <v>189</v>
      </c>
      <c r="AB331" s="7" t="s">
        <v>190</v>
      </c>
      <c r="AC331" s="7">
        <v>1584</v>
      </c>
      <c r="AF331" s="7" t="s">
        <v>173</v>
      </c>
      <c r="AG331" s="7" t="s">
        <v>170</v>
      </c>
      <c r="AI331" s="7" t="s">
        <v>174</v>
      </c>
      <c r="AK331" s="7">
        <v>1</v>
      </c>
      <c r="AL331" s="7">
        <v>1</v>
      </c>
      <c r="AM331" s="7">
        <v>8736.67</v>
      </c>
      <c r="AN331" s="7">
        <v>1808.76</v>
      </c>
      <c r="AP331" s="7">
        <v>2047.66</v>
      </c>
      <c r="AQ331" s="30">
        <v>8975.57</v>
      </c>
      <c r="AS331" s="7">
        <v>215.69</v>
      </c>
      <c r="AZ331" s="7">
        <v>107.84</v>
      </c>
      <c r="BG331" s="7">
        <v>215.69</v>
      </c>
      <c r="BO331" s="7">
        <v>107.84</v>
      </c>
      <c r="BR331" s="7">
        <v>647.05999999999995</v>
      </c>
      <c r="BS331" s="7">
        <v>2047.6599999999999</v>
      </c>
      <c r="BT331" s="7">
        <f t="shared" si="260"/>
        <v>10784.33</v>
      </c>
    </row>
    <row r="332" spans="1:72" ht="11.25" hidden="1" x14ac:dyDescent="0.2">
      <c r="A332" s="133">
        <f t="shared" si="254"/>
        <v>2</v>
      </c>
      <c r="B332" s="141">
        <v>45323</v>
      </c>
      <c r="C332" s="10"/>
      <c r="D332" s="42" t="str">
        <f t="shared" si="256"/>
        <v>NO</v>
      </c>
      <c r="E332" s="7">
        <v>327599</v>
      </c>
      <c r="F332" s="7" t="s">
        <v>676</v>
      </c>
      <c r="G332" s="7" t="s">
        <v>677</v>
      </c>
      <c r="H332" s="7">
        <v>45331</v>
      </c>
      <c r="I332" s="7">
        <v>39031373</v>
      </c>
      <c r="J332" s="7" t="s">
        <v>678</v>
      </c>
      <c r="K332" s="7" t="s">
        <v>679</v>
      </c>
      <c r="L332" s="7" t="s">
        <v>164</v>
      </c>
      <c r="N332" s="29">
        <v>45227</v>
      </c>
      <c r="Q332" s="7" t="s">
        <v>157</v>
      </c>
      <c r="R332" s="7" t="s">
        <v>165</v>
      </c>
      <c r="S332" s="7" t="s">
        <v>126</v>
      </c>
      <c r="T332" s="7" t="s">
        <v>239</v>
      </c>
      <c r="U332" s="7" t="s">
        <v>167</v>
      </c>
      <c r="V332" s="7" t="s">
        <v>168</v>
      </c>
      <c r="W332" s="7">
        <v>108803</v>
      </c>
      <c r="X332" s="7" t="s">
        <v>169</v>
      </c>
      <c r="Y332" s="7" t="s">
        <v>170</v>
      </c>
      <c r="AA332" s="7" t="s">
        <v>171</v>
      </c>
      <c r="AB332" s="7" t="s">
        <v>172</v>
      </c>
      <c r="AC332" s="7">
        <v>1130</v>
      </c>
      <c r="AF332" s="7" t="s">
        <v>173</v>
      </c>
      <c r="AG332" s="7" t="s">
        <v>170</v>
      </c>
      <c r="AI332" s="7" t="s">
        <v>174</v>
      </c>
      <c r="AK332" s="7">
        <v>1</v>
      </c>
      <c r="AL332" s="7">
        <v>1</v>
      </c>
      <c r="AQ332" s="30"/>
      <c r="AS332" s="7"/>
      <c r="BJ332" s="7">
        <v>5000</v>
      </c>
      <c r="BR332" s="7">
        <v>5000</v>
      </c>
      <c r="BS332" s="7">
        <v>0</v>
      </c>
    </row>
    <row r="333" spans="1:72" ht="11.25" hidden="1" x14ac:dyDescent="0.2">
      <c r="A333" s="133">
        <f t="shared" si="254"/>
        <v>2</v>
      </c>
      <c r="B333" s="141">
        <v>45323</v>
      </c>
      <c r="C333" s="10" t="s">
        <v>926</v>
      </c>
      <c r="D333" s="42" t="str">
        <f t="shared" si="256"/>
        <v>NO</v>
      </c>
      <c r="E333" s="7">
        <v>327443</v>
      </c>
      <c r="F333" s="7" t="s">
        <v>680</v>
      </c>
      <c r="G333" s="7" t="s">
        <v>681</v>
      </c>
      <c r="H333" s="7">
        <v>45356</v>
      </c>
      <c r="I333" s="7">
        <v>33001368</v>
      </c>
      <c r="J333" s="7" t="s">
        <v>682</v>
      </c>
      <c r="K333" s="7" t="s">
        <v>683</v>
      </c>
      <c r="L333" s="7" t="s">
        <v>164</v>
      </c>
      <c r="N333" s="29">
        <v>45348</v>
      </c>
      <c r="Q333" s="7" t="s">
        <v>157</v>
      </c>
      <c r="R333" s="7" t="s">
        <v>165</v>
      </c>
      <c r="S333" s="7" t="s">
        <v>126</v>
      </c>
      <c r="T333" s="7" t="s">
        <v>200</v>
      </c>
      <c r="U333" s="7" t="s">
        <v>167</v>
      </c>
      <c r="V333" s="7" t="s">
        <v>207</v>
      </c>
      <c r="W333" s="7">
        <v>108803</v>
      </c>
      <c r="X333" s="7" t="s">
        <v>169</v>
      </c>
      <c r="Y333" s="7" t="s">
        <v>170</v>
      </c>
      <c r="AA333" s="7" t="s">
        <v>189</v>
      </c>
      <c r="AB333" s="7" t="s">
        <v>190</v>
      </c>
      <c r="AC333" s="7">
        <v>1584</v>
      </c>
      <c r="AF333" s="7" t="s">
        <v>173</v>
      </c>
      <c r="AG333" s="7" t="s">
        <v>170</v>
      </c>
      <c r="AI333" s="7" t="s">
        <v>174</v>
      </c>
      <c r="AK333" s="7">
        <v>1</v>
      </c>
      <c r="AL333" s="7">
        <v>1</v>
      </c>
      <c r="AM333" s="7">
        <v>10648.22</v>
      </c>
      <c r="AN333" s="7">
        <v>2204.52</v>
      </c>
      <c r="AP333" s="7">
        <v>2495.6799999999998</v>
      </c>
      <c r="AQ333" s="30">
        <v>10939.38</v>
      </c>
      <c r="AS333" s="7">
        <v>262.88</v>
      </c>
      <c r="AZ333" s="7">
        <v>131.44</v>
      </c>
      <c r="BG333" s="7">
        <v>262.88</v>
      </c>
      <c r="BO333" s="7">
        <v>131.44</v>
      </c>
      <c r="BR333" s="7">
        <v>788.64</v>
      </c>
      <c r="BS333" s="7">
        <v>2495.6799999999998</v>
      </c>
      <c r="BT333" s="7">
        <f t="shared" ref="BT333:BT345" si="261">+AM333+BS333</f>
        <v>13143.9</v>
      </c>
    </row>
    <row r="334" spans="1:72" ht="11.25" hidden="1" x14ac:dyDescent="0.2">
      <c r="A334" s="133">
        <f t="shared" si="254"/>
        <v>2</v>
      </c>
      <c r="B334" s="141">
        <v>45323</v>
      </c>
      <c r="C334" s="10" t="s">
        <v>926</v>
      </c>
      <c r="D334" s="42" t="str">
        <f t="shared" si="256"/>
        <v>NO</v>
      </c>
      <c r="E334" s="7">
        <v>340191</v>
      </c>
      <c r="F334" s="7" t="s">
        <v>893</v>
      </c>
      <c r="G334" s="7" t="s">
        <v>894</v>
      </c>
      <c r="H334" s="7">
        <v>45350</v>
      </c>
      <c r="I334" s="7">
        <v>43912717</v>
      </c>
      <c r="J334" s="7" t="s">
        <v>895</v>
      </c>
      <c r="K334" s="7" t="s">
        <v>896</v>
      </c>
      <c r="L334" s="7" t="s">
        <v>179</v>
      </c>
      <c r="N334" s="29">
        <v>45346</v>
      </c>
      <c r="Q334" s="7" t="s">
        <v>157</v>
      </c>
      <c r="R334" s="7" t="s">
        <v>165</v>
      </c>
      <c r="S334" s="7" t="s">
        <v>126</v>
      </c>
      <c r="T334" s="7" t="s">
        <v>166</v>
      </c>
      <c r="U334" s="7" t="s">
        <v>167</v>
      </c>
      <c r="V334" s="7" t="s">
        <v>168</v>
      </c>
      <c r="W334" s="7">
        <v>108803</v>
      </c>
      <c r="X334" s="7" t="s">
        <v>169</v>
      </c>
      <c r="Y334" s="7" t="s">
        <v>170</v>
      </c>
      <c r="AA334" s="7" t="s">
        <v>171</v>
      </c>
      <c r="AB334" s="7" t="s">
        <v>172</v>
      </c>
      <c r="AC334" s="7">
        <v>1130</v>
      </c>
      <c r="AF334" s="7" t="s">
        <v>173</v>
      </c>
      <c r="AG334" s="7" t="s">
        <v>170</v>
      </c>
      <c r="AK334" s="7">
        <v>1</v>
      </c>
      <c r="AL334" s="7">
        <v>1</v>
      </c>
      <c r="AM334" s="7">
        <v>28192.240000000002</v>
      </c>
      <c r="AN334" s="7">
        <v>5784.87</v>
      </c>
      <c r="AP334" s="7">
        <v>4880.3999999999996</v>
      </c>
      <c r="AQ334" s="30">
        <v>27287.77</v>
      </c>
      <c r="AS334" s="7">
        <v>661.45</v>
      </c>
      <c r="AZ334" s="7">
        <v>330.73</v>
      </c>
      <c r="BG334" s="7">
        <v>661.45</v>
      </c>
      <c r="BO334" s="7">
        <v>330.73</v>
      </c>
      <c r="BR334" s="7">
        <v>1984.36</v>
      </c>
      <c r="BS334" s="7">
        <v>4880.3999999999996</v>
      </c>
      <c r="BT334" s="7">
        <f t="shared" si="261"/>
        <v>33072.639999999999</v>
      </c>
    </row>
    <row r="335" spans="1:72" ht="11.25" hidden="1" x14ac:dyDescent="0.2">
      <c r="A335" s="133">
        <f t="shared" si="254"/>
        <v>2</v>
      </c>
      <c r="B335" s="141">
        <v>45323</v>
      </c>
      <c r="C335" s="10" t="s">
        <v>926</v>
      </c>
      <c r="D335" s="42" t="str">
        <f t="shared" si="256"/>
        <v>NO</v>
      </c>
      <c r="E335" s="7">
        <v>311358</v>
      </c>
      <c r="F335" s="7" t="s">
        <v>688</v>
      </c>
      <c r="G335" s="7" t="s">
        <v>689</v>
      </c>
      <c r="H335" s="7">
        <v>45356</v>
      </c>
      <c r="I335" s="7">
        <v>96197430</v>
      </c>
      <c r="J335" s="7" t="s">
        <v>690</v>
      </c>
      <c r="K335" s="7" t="s">
        <v>691</v>
      </c>
      <c r="L335" s="7" t="s">
        <v>179</v>
      </c>
      <c r="N335" s="29">
        <v>45234</v>
      </c>
      <c r="Q335" s="7" t="s">
        <v>157</v>
      </c>
      <c r="R335" s="7" t="s">
        <v>245</v>
      </c>
      <c r="S335" s="7" t="s">
        <v>126</v>
      </c>
      <c r="T335" s="7" t="s">
        <v>200</v>
      </c>
      <c r="U335" s="7" t="s">
        <v>167</v>
      </c>
      <c r="V335" s="7" t="s">
        <v>246</v>
      </c>
      <c r="W335" s="7">
        <v>108803</v>
      </c>
      <c r="X335" s="7" t="s">
        <v>169</v>
      </c>
      <c r="Y335" s="7" t="s">
        <v>170</v>
      </c>
      <c r="AA335" s="7" t="s">
        <v>189</v>
      </c>
      <c r="AB335" s="7" t="s">
        <v>190</v>
      </c>
      <c r="AC335" s="7">
        <v>1584</v>
      </c>
      <c r="AF335" s="7" t="s">
        <v>173</v>
      </c>
      <c r="AG335" s="7" t="s">
        <v>170</v>
      </c>
      <c r="AI335" s="7" t="s">
        <v>174</v>
      </c>
      <c r="AK335" s="7">
        <v>1</v>
      </c>
      <c r="AL335" s="7">
        <v>1</v>
      </c>
      <c r="AM335" s="7">
        <v>221199.86</v>
      </c>
      <c r="AN335" s="7">
        <v>45795.29</v>
      </c>
      <c r="AP335" s="7">
        <v>51843.72</v>
      </c>
      <c r="AQ335" s="30">
        <v>227248.29</v>
      </c>
      <c r="AS335" s="7">
        <v>5460.87</v>
      </c>
      <c r="AZ335" s="7">
        <v>2730.44</v>
      </c>
      <c r="BG335" s="7">
        <v>5460.87</v>
      </c>
      <c r="BO335" s="7">
        <v>2730.44</v>
      </c>
      <c r="BR335" s="7">
        <v>16382.62</v>
      </c>
      <c r="BS335" s="7">
        <v>51843.72</v>
      </c>
      <c r="BT335" s="7">
        <f t="shared" si="261"/>
        <v>273043.57999999996</v>
      </c>
    </row>
    <row r="336" spans="1:72" ht="11.25" hidden="1" x14ac:dyDescent="0.2">
      <c r="A336" s="133">
        <f t="shared" si="254"/>
        <v>2</v>
      </c>
      <c r="B336" s="141">
        <v>45323</v>
      </c>
      <c r="C336" s="10" t="s">
        <v>926</v>
      </c>
      <c r="D336" s="42" t="str">
        <f t="shared" si="256"/>
        <v>NO</v>
      </c>
      <c r="E336" s="7">
        <v>329395</v>
      </c>
      <c r="F336" s="7" t="s">
        <v>697</v>
      </c>
      <c r="G336" s="7" t="s">
        <v>698</v>
      </c>
      <c r="H336" s="7">
        <v>45356</v>
      </c>
      <c r="I336" s="7">
        <v>40885508</v>
      </c>
      <c r="J336" s="7" t="s">
        <v>699</v>
      </c>
      <c r="K336" s="7" t="s">
        <v>700</v>
      </c>
      <c r="L336" s="7" t="s">
        <v>164</v>
      </c>
      <c r="N336" s="29">
        <v>45346</v>
      </c>
      <c r="Q336" s="7" t="s">
        <v>157</v>
      </c>
      <c r="R336" s="7" t="s">
        <v>199</v>
      </c>
      <c r="S336" s="7" t="s">
        <v>126</v>
      </c>
      <c r="T336" s="7" t="s">
        <v>200</v>
      </c>
      <c r="U336" s="7" t="s">
        <v>167</v>
      </c>
      <c r="V336" s="7" t="s">
        <v>201</v>
      </c>
      <c r="W336" s="7">
        <v>108803</v>
      </c>
      <c r="X336" s="7" t="s">
        <v>169</v>
      </c>
      <c r="Y336" s="7" t="s">
        <v>170</v>
      </c>
      <c r="AA336" s="7" t="s">
        <v>189</v>
      </c>
      <c r="AB336" s="7" t="s">
        <v>190</v>
      </c>
      <c r="AC336" s="7">
        <v>1584</v>
      </c>
      <c r="AF336" s="7" t="s">
        <v>173</v>
      </c>
      <c r="AG336" s="7" t="s">
        <v>170</v>
      </c>
      <c r="AI336" s="7" t="s">
        <v>174</v>
      </c>
      <c r="AK336" s="7">
        <v>1</v>
      </c>
      <c r="AL336" s="7">
        <v>1</v>
      </c>
      <c r="AM336" s="7">
        <v>15726.02</v>
      </c>
      <c r="AN336" s="7">
        <v>3255.78</v>
      </c>
      <c r="AP336" s="7">
        <v>3685.78</v>
      </c>
      <c r="AQ336" s="30">
        <v>16156.02</v>
      </c>
      <c r="AS336" s="7">
        <v>388.24</v>
      </c>
      <c r="AZ336" s="7">
        <v>194.12</v>
      </c>
      <c r="BG336" s="7">
        <v>388.24</v>
      </c>
      <c r="BO336" s="7">
        <v>194.12</v>
      </c>
      <c r="BR336" s="7">
        <v>1164.72</v>
      </c>
      <c r="BS336" s="7">
        <v>3685.7799999999997</v>
      </c>
      <c r="BT336" s="7">
        <f t="shared" si="261"/>
        <v>19411.8</v>
      </c>
    </row>
    <row r="337" spans="1:72" ht="11.25" hidden="1" x14ac:dyDescent="0.2">
      <c r="A337" s="133">
        <f t="shared" si="254"/>
        <v>2</v>
      </c>
      <c r="B337" s="141">
        <v>45323</v>
      </c>
      <c r="C337" s="10" t="s">
        <v>926</v>
      </c>
      <c r="D337" s="42" t="str">
        <f t="shared" si="256"/>
        <v>NO</v>
      </c>
      <c r="E337" s="7">
        <v>340193</v>
      </c>
      <c r="F337" s="7" t="s">
        <v>897</v>
      </c>
      <c r="G337" s="7" t="s">
        <v>898</v>
      </c>
      <c r="H337" s="7">
        <v>45350</v>
      </c>
      <c r="I337" s="7">
        <v>40345654</v>
      </c>
      <c r="J337" s="7" t="s">
        <v>899</v>
      </c>
      <c r="K337" s="7" t="s">
        <v>900</v>
      </c>
      <c r="L337" s="7" t="s">
        <v>179</v>
      </c>
      <c r="N337" s="29">
        <v>45346</v>
      </c>
      <c r="Q337" s="7" t="s">
        <v>157</v>
      </c>
      <c r="R337" s="7" t="s">
        <v>165</v>
      </c>
      <c r="S337" s="7" t="s">
        <v>126</v>
      </c>
      <c r="T337" s="7" t="s">
        <v>166</v>
      </c>
      <c r="U337" s="7" t="s">
        <v>167</v>
      </c>
      <c r="V337" s="7" t="s">
        <v>168</v>
      </c>
      <c r="W337" s="7">
        <v>108803</v>
      </c>
      <c r="X337" s="7" t="s">
        <v>169</v>
      </c>
      <c r="Y337" s="7" t="s">
        <v>170</v>
      </c>
      <c r="AA337" s="7" t="s">
        <v>171</v>
      </c>
      <c r="AB337" s="7" t="s">
        <v>172</v>
      </c>
      <c r="AC337" s="7">
        <v>1130</v>
      </c>
      <c r="AF337" s="7" t="s">
        <v>173</v>
      </c>
      <c r="AG337" s="7" t="s">
        <v>170</v>
      </c>
      <c r="AK337" s="7">
        <v>1</v>
      </c>
      <c r="AL337" s="7">
        <v>1</v>
      </c>
      <c r="AM337" s="7">
        <v>29742.59</v>
      </c>
      <c r="AN337" s="7">
        <v>6101.59</v>
      </c>
      <c r="AP337" s="7">
        <v>5102.24</v>
      </c>
      <c r="AQ337" s="30">
        <v>28743.24</v>
      </c>
      <c r="AS337" s="7">
        <v>696.9</v>
      </c>
      <c r="AZ337" s="7">
        <v>348.45</v>
      </c>
      <c r="BG337" s="7">
        <v>696.9</v>
      </c>
      <c r="BO337" s="7">
        <v>348.45</v>
      </c>
      <c r="BR337" s="7">
        <v>2090.6999999999998</v>
      </c>
      <c r="BS337" s="7">
        <v>5102.24</v>
      </c>
      <c r="BT337" s="7">
        <f t="shared" si="261"/>
        <v>34844.83</v>
      </c>
    </row>
    <row r="338" spans="1:72" ht="11.25" hidden="1" x14ac:dyDescent="0.2">
      <c r="A338" s="133">
        <f t="shared" si="254"/>
        <v>2</v>
      </c>
      <c r="B338" s="141">
        <v>45323</v>
      </c>
      <c r="C338" s="10" t="s">
        <v>926</v>
      </c>
      <c r="D338" s="42" t="str">
        <f t="shared" si="256"/>
        <v>NO</v>
      </c>
      <c r="E338" s="7">
        <v>340194</v>
      </c>
      <c r="F338" s="7" t="s">
        <v>901</v>
      </c>
      <c r="G338" s="7" t="s">
        <v>902</v>
      </c>
      <c r="H338" s="7">
        <v>45350</v>
      </c>
      <c r="I338" s="7">
        <v>38517224</v>
      </c>
      <c r="J338" s="7" t="s">
        <v>903</v>
      </c>
      <c r="K338" s="7" t="s">
        <v>904</v>
      </c>
      <c r="L338" s="7" t="s">
        <v>179</v>
      </c>
      <c r="N338" s="29">
        <v>45346</v>
      </c>
      <c r="Q338" s="7" t="s">
        <v>157</v>
      </c>
      <c r="R338" s="7" t="s">
        <v>165</v>
      </c>
      <c r="S338" s="7" t="s">
        <v>126</v>
      </c>
      <c r="T338" s="7" t="s">
        <v>166</v>
      </c>
      <c r="U338" s="7" t="s">
        <v>167</v>
      </c>
      <c r="V338" s="7" t="s">
        <v>168</v>
      </c>
      <c r="W338" s="7">
        <v>108803</v>
      </c>
      <c r="X338" s="7" t="s">
        <v>169</v>
      </c>
      <c r="Y338" s="7" t="s">
        <v>170</v>
      </c>
      <c r="AA338" s="7" t="s">
        <v>171</v>
      </c>
      <c r="AB338" s="7" t="s">
        <v>172</v>
      </c>
      <c r="AC338" s="7">
        <v>1130</v>
      </c>
      <c r="AF338" s="7" t="s">
        <v>173</v>
      </c>
      <c r="AG338" s="7" t="s">
        <v>170</v>
      </c>
      <c r="AK338" s="7">
        <v>1</v>
      </c>
      <c r="AL338" s="7">
        <v>1</v>
      </c>
      <c r="AM338" s="7">
        <v>29814.04</v>
      </c>
      <c r="AN338" s="7">
        <v>6122.52</v>
      </c>
      <c r="AP338" s="7">
        <v>5324.07</v>
      </c>
      <c r="AQ338" s="30">
        <v>29015.59</v>
      </c>
      <c r="AS338" s="7">
        <v>702.76</v>
      </c>
      <c r="AZ338" s="7">
        <v>351.38</v>
      </c>
      <c r="BG338" s="7">
        <v>702.76</v>
      </c>
      <c r="BO338" s="7">
        <v>351.38</v>
      </c>
      <c r="BR338" s="7">
        <v>2108.2800000000002</v>
      </c>
      <c r="BS338" s="7">
        <v>5324.07</v>
      </c>
      <c r="BT338" s="7">
        <f t="shared" si="261"/>
        <v>35138.11</v>
      </c>
    </row>
    <row r="339" spans="1:72" ht="11.25" hidden="1" x14ac:dyDescent="0.2">
      <c r="A339" s="133">
        <f t="shared" si="254"/>
        <v>2</v>
      </c>
      <c r="B339" s="141">
        <v>45323</v>
      </c>
      <c r="C339" s="10" t="s">
        <v>926</v>
      </c>
      <c r="D339" s="42" t="str">
        <f t="shared" si="256"/>
        <v>NO</v>
      </c>
      <c r="E339" s="7">
        <v>318313</v>
      </c>
      <c r="F339" s="7" t="s">
        <v>701</v>
      </c>
      <c r="G339" s="7" t="s">
        <v>702</v>
      </c>
      <c r="H339" s="7">
        <v>45356</v>
      </c>
      <c r="I339" s="7">
        <v>31965756</v>
      </c>
      <c r="J339" s="7" t="s">
        <v>703</v>
      </c>
      <c r="K339" s="7" t="s">
        <v>704</v>
      </c>
      <c r="L339" s="7" t="s">
        <v>164</v>
      </c>
      <c r="N339" s="29">
        <v>45341</v>
      </c>
      <c r="Q339" s="7" t="s">
        <v>157</v>
      </c>
      <c r="R339" s="7" t="s">
        <v>199</v>
      </c>
      <c r="S339" s="7" t="s">
        <v>126</v>
      </c>
      <c r="T339" s="7" t="s">
        <v>239</v>
      </c>
      <c r="U339" s="7" t="s">
        <v>167</v>
      </c>
      <c r="V339" s="7" t="s">
        <v>201</v>
      </c>
      <c r="W339" s="7">
        <v>108803</v>
      </c>
      <c r="X339" s="7" t="s">
        <v>169</v>
      </c>
      <c r="Y339" s="7" t="s">
        <v>170</v>
      </c>
      <c r="AA339" s="7" t="s">
        <v>171</v>
      </c>
      <c r="AB339" s="7" t="s">
        <v>172</v>
      </c>
      <c r="AC339" s="7">
        <v>1130</v>
      </c>
      <c r="AF339" s="7" t="s">
        <v>173</v>
      </c>
      <c r="AG339" s="7" t="s">
        <v>170</v>
      </c>
      <c r="AI339" s="7" t="s">
        <v>174</v>
      </c>
      <c r="AK339" s="7">
        <v>1</v>
      </c>
      <c r="AL339" s="7">
        <v>1</v>
      </c>
      <c r="AM339" s="7">
        <v>27957.34</v>
      </c>
      <c r="AN339" s="7">
        <v>5788.05</v>
      </c>
      <c r="AP339" s="7">
        <v>6552.51</v>
      </c>
      <c r="AQ339" s="30">
        <v>28721.8</v>
      </c>
      <c r="AS339" s="7">
        <v>690.2</v>
      </c>
      <c r="AZ339" s="7">
        <v>345.1</v>
      </c>
      <c r="BG339" s="7">
        <v>690.2</v>
      </c>
      <c r="BO339" s="7">
        <v>345.1</v>
      </c>
      <c r="BR339" s="7">
        <v>2070.6</v>
      </c>
      <c r="BS339" s="7">
        <v>6552.51</v>
      </c>
      <c r="BT339" s="7">
        <f t="shared" si="261"/>
        <v>34509.85</v>
      </c>
    </row>
    <row r="340" spans="1:72" ht="11.25" hidden="1" x14ac:dyDescent="0.2">
      <c r="A340" s="133">
        <f t="shared" si="254"/>
        <v>2</v>
      </c>
      <c r="B340" s="141">
        <v>45323</v>
      </c>
      <c r="C340" s="10" t="s">
        <v>926</v>
      </c>
      <c r="D340" s="42" t="str">
        <f t="shared" si="256"/>
        <v>SI</v>
      </c>
      <c r="E340" s="7">
        <v>314990</v>
      </c>
      <c r="F340" s="7" t="s">
        <v>705</v>
      </c>
      <c r="G340" s="7" t="s">
        <v>706</v>
      </c>
      <c r="H340" s="7">
        <v>45356</v>
      </c>
      <c r="I340" s="7">
        <v>20526373</v>
      </c>
      <c r="J340" s="7" t="s">
        <v>707</v>
      </c>
      <c r="K340" s="7" t="s">
        <v>708</v>
      </c>
      <c r="L340" s="7" t="s">
        <v>164</v>
      </c>
      <c r="N340" s="29">
        <v>45269</v>
      </c>
      <c r="Q340" s="7" t="s">
        <v>157</v>
      </c>
      <c r="R340" s="7" t="s">
        <v>165</v>
      </c>
      <c r="S340" s="7" t="s">
        <v>126</v>
      </c>
      <c r="T340" s="7" t="s">
        <v>200</v>
      </c>
      <c r="U340" s="7" t="s">
        <v>167</v>
      </c>
      <c r="V340" s="7" t="s">
        <v>207</v>
      </c>
      <c r="W340" s="7">
        <v>108803</v>
      </c>
      <c r="X340" s="7" t="s">
        <v>169</v>
      </c>
      <c r="Y340" s="7" t="s">
        <v>170</v>
      </c>
      <c r="AA340" s="7" t="s">
        <v>189</v>
      </c>
      <c r="AB340" s="7" t="s">
        <v>190</v>
      </c>
      <c r="AC340" s="7">
        <v>1584</v>
      </c>
      <c r="AF340" s="7" t="s">
        <v>173</v>
      </c>
      <c r="AG340" s="7" t="s">
        <v>170</v>
      </c>
      <c r="AI340" s="7" t="s">
        <v>174</v>
      </c>
      <c r="AK340" s="7">
        <v>2</v>
      </c>
      <c r="AL340" s="7">
        <v>1</v>
      </c>
      <c r="AM340" s="7">
        <v>17037.150000000001</v>
      </c>
      <c r="AN340" s="7">
        <v>3632.37</v>
      </c>
      <c r="AP340" s="7">
        <v>3993.09</v>
      </c>
      <c r="AQ340" s="30">
        <v>17397.87</v>
      </c>
      <c r="AR340" s="7">
        <v>525.76</v>
      </c>
      <c r="AS340" s="7"/>
      <c r="AZ340" s="7">
        <v>210.3</v>
      </c>
      <c r="BG340" s="7">
        <v>420.6</v>
      </c>
      <c r="BJ340" s="7">
        <v>5000</v>
      </c>
      <c r="BO340" s="7">
        <v>210.3</v>
      </c>
      <c r="BR340" s="7">
        <v>6366.96</v>
      </c>
      <c r="BS340" s="7">
        <v>3993.09</v>
      </c>
      <c r="BT340" s="7">
        <f t="shared" si="261"/>
        <v>21030.240000000002</v>
      </c>
    </row>
    <row r="341" spans="1:72" ht="11.25" hidden="1" x14ac:dyDescent="0.2">
      <c r="A341" s="133">
        <f t="shared" si="254"/>
        <v>2</v>
      </c>
      <c r="B341" s="141">
        <v>45323</v>
      </c>
      <c r="C341" s="10" t="s">
        <v>926</v>
      </c>
      <c r="D341" s="42" t="str">
        <f t="shared" si="256"/>
        <v>NO</v>
      </c>
      <c r="E341" s="7">
        <v>219717</v>
      </c>
      <c r="F341" s="7" t="s">
        <v>905</v>
      </c>
      <c r="G341" s="7" t="s">
        <v>906</v>
      </c>
      <c r="H341" s="7">
        <v>45356</v>
      </c>
      <c r="I341" s="7">
        <v>28365897</v>
      </c>
      <c r="J341" s="7" t="s">
        <v>715</v>
      </c>
      <c r="K341" s="7" t="s">
        <v>907</v>
      </c>
      <c r="L341" s="7" t="s">
        <v>179</v>
      </c>
      <c r="N341" s="29">
        <v>45346</v>
      </c>
      <c r="Q341" s="7" t="s">
        <v>157</v>
      </c>
      <c r="R341" s="7" t="s">
        <v>199</v>
      </c>
      <c r="S341" s="7" t="s">
        <v>126</v>
      </c>
      <c r="T341" s="7" t="s">
        <v>239</v>
      </c>
      <c r="U341" s="7" t="s">
        <v>167</v>
      </c>
      <c r="V341" s="7" t="s">
        <v>201</v>
      </c>
      <c r="W341" s="7">
        <v>111605</v>
      </c>
      <c r="X341" s="7" t="s">
        <v>267</v>
      </c>
      <c r="Y341" s="7" t="s">
        <v>170</v>
      </c>
      <c r="AA341" s="7" t="s">
        <v>171</v>
      </c>
      <c r="AB341" s="7" t="s">
        <v>172</v>
      </c>
      <c r="AC341" s="7">
        <v>1130</v>
      </c>
      <c r="AF341" s="7" t="s">
        <v>173</v>
      </c>
      <c r="AG341" s="7" t="s">
        <v>170</v>
      </c>
      <c r="AI341" s="7" t="s">
        <v>174</v>
      </c>
      <c r="AK341" s="7">
        <v>1</v>
      </c>
      <c r="AL341" s="7">
        <v>1</v>
      </c>
      <c r="AM341" s="7">
        <v>13978.68</v>
      </c>
      <c r="AN341" s="7">
        <v>2894.02</v>
      </c>
      <c r="AP341" s="7">
        <v>3276.25</v>
      </c>
      <c r="AQ341" s="30">
        <v>14360.91</v>
      </c>
      <c r="AS341" s="7">
        <v>345.1</v>
      </c>
      <c r="AZ341" s="7">
        <v>172.55</v>
      </c>
      <c r="BG341" s="7">
        <v>345.1</v>
      </c>
      <c r="BO341" s="7">
        <v>172.55</v>
      </c>
      <c r="BR341" s="7">
        <v>1035.3</v>
      </c>
      <c r="BS341" s="7">
        <v>3276.25</v>
      </c>
      <c r="BT341" s="7">
        <f t="shared" si="261"/>
        <v>17254.93</v>
      </c>
    </row>
    <row r="342" spans="1:72" ht="11.25" hidden="1" x14ac:dyDescent="0.2">
      <c r="A342" s="133">
        <f t="shared" si="254"/>
        <v>2</v>
      </c>
      <c r="B342" s="141">
        <v>45323</v>
      </c>
      <c r="C342" s="10" t="s">
        <v>926</v>
      </c>
      <c r="D342" s="42" t="str">
        <f t="shared" si="256"/>
        <v>NO</v>
      </c>
      <c r="E342" s="7">
        <v>290707</v>
      </c>
      <c r="F342" s="7" t="s">
        <v>721</v>
      </c>
      <c r="G342" s="7" t="s">
        <v>722</v>
      </c>
      <c r="H342" s="7">
        <v>45351</v>
      </c>
      <c r="I342" s="7">
        <v>37558457</v>
      </c>
      <c r="J342" s="7" t="s">
        <v>723</v>
      </c>
      <c r="K342" s="7" t="s">
        <v>724</v>
      </c>
      <c r="L342" s="7" t="s">
        <v>179</v>
      </c>
      <c r="N342" s="29">
        <v>45143</v>
      </c>
      <c r="Q342" s="7" t="s">
        <v>157</v>
      </c>
      <c r="R342" s="7" t="s">
        <v>165</v>
      </c>
      <c r="S342" s="7" t="s">
        <v>126</v>
      </c>
      <c r="T342" s="7" t="s">
        <v>180</v>
      </c>
      <c r="U342" s="7" t="s">
        <v>167</v>
      </c>
      <c r="V342" s="7" t="s">
        <v>168</v>
      </c>
      <c r="W342" s="7">
        <v>108803</v>
      </c>
      <c r="X342" s="7" t="s">
        <v>169</v>
      </c>
      <c r="Y342" s="7" t="s">
        <v>170</v>
      </c>
      <c r="AA342" s="7" t="s">
        <v>171</v>
      </c>
      <c r="AB342" s="7" t="s">
        <v>172</v>
      </c>
      <c r="AC342" s="7">
        <v>1130</v>
      </c>
      <c r="AF342" s="7" t="s">
        <v>173</v>
      </c>
      <c r="AG342" s="7" t="s">
        <v>170</v>
      </c>
      <c r="AI342" s="7" t="s">
        <v>174</v>
      </c>
      <c r="AK342" s="7">
        <v>1</v>
      </c>
      <c r="AL342" s="7">
        <v>1</v>
      </c>
      <c r="AM342" s="7">
        <v>228395.83</v>
      </c>
      <c r="AN342" s="7">
        <v>47116.66</v>
      </c>
      <c r="AP342" s="7">
        <v>47916.69</v>
      </c>
      <c r="AQ342" s="30">
        <v>229195.86</v>
      </c>
      <c r="AS342" s="7">
        <v>5526.25</v>
      </c>
      <c r="AZ342" s="7">
        <v>2763.13</v>
      </c>
      <c r="BG342" s="7">
        <v>5526.25</v>
      </c>
      <c r="BO342" s="7">
        <v>2763.13</v>
      </c>
      <c r="BR342" s="7">
        <v>16578.759999999998</v>
      </c>
      <c r="BS342" s="7">
        <v>47916.69</v>
      </c>
      <c r="BT342" s="7">
        <f t="shared" si="261"/>
        <v>276312.52</v>
      </c>
    </row>
    <row r="343" spans="1:72" ht="11.25" hidden="1" x14ac:dyDescent="0.2">
      <c r="A343" s="133">
        <f t="shared" si="254"/>
        <v>2</v>
      </c>
      <c r="B343" s="141">
        <v>45323</v>
      </c>
      <c r="C343" s="10" t="s">
        <v>926</v>
      </c>
      <c r="D343" s="42" t="str">
        <f t="shared" si="256"/>
        <v>NO</v>
      </c>
      <c r="E343" s="7">
        <v>340576</v>
      </c>
      <c r="F343" s="7" t="s">
        <v>908</v>
      </c>
      <c r="G343" s="7" t="s">
        <v>909</v>
      </c>
      <c r="H343" s="7">
        <v>45356</v>
      </c>
      <c r="I343" s="7">
        <v>42915102</v>
      </c>
      <c r="J343" s="7" t="s">
        <v>910</v>
      </c>
      <c r="K343" s="7" t="s">
        <v>911</v>
      </c>
      <c r="L343" s="7" t="s">
        <v>164</v>
      </c>
      <c r="N343" s="29">
        <v>45325</v>
      </c>
      <c r="Q343" s="7" t="s">
        <v>157</v>
      </c>
      <c r="R343" s="7" t="s">
        <v>165</v>
      </c>
      <c r="S343" s="7" t="s">
        <v>126</v>
      </c>
      <c r="T343" s="7" t="s">
        <v>206</v>
      </c>
      <c r="U343" s="7" t="s">
        <v>167</v>
      </c>
      <c r="V343" s="7" t="s">
        <v>168</v>
      </c>
      <c r="W343" s="7">
        <v>108803</v>
      </c>
      <c r="X343" s="7" t="s">
        <v>169</v>
      </c>
      <c r="Y343" s="7" t="s">
        <v>170</v>
      </c>
      <c r="AA343" s="7" t="s">
        <v>208</v>
      </c>
      <c r="AB343" s="7" t="s">
        <v>209</v>
      </c>
      <c r="AC343" s="7">
        <v>1035</v>
      </c>
      <c r="AF343" s="7" t="s">
        <v>173</v>
      </c>
      <c r="AG343" s="7" t="s">
        <v>170</v>
      </c>
      <c r="AI343" s="7" t="s">
        <v>174</v>
      </c>
      <c r="AK343" s="7">
        <v>1</v>
      </c>
      <c r="AL343" s="7">
        <v>1</v>
      </c>
      <c r="AM343" s="7">
        <v>8518.58</v>
      </c>
      <c r="AN343" s="7">
        <v>1763.61</v>
      </c>
      <c r="AP343" s="7">
        <v>1996.54</v>
      </c>
      <c r="AQ343" s="30">
        <v>8751.51</v>
      </c>
      <c r="AS343" s="7">
        <v>210.3</v>
      </c>
      <c r="AZ343" s="7">
        <v>105.15</v>
      </c>
      <c r="BG343" s="7">
        <v>210.3</v>
      </c>
      <c r="BO343" s="7">
        <v>105.15</v>
      </c>
      <c r="BR343" s="7">
        <v>630.9</v>
      </c>
      <c r="BS343" s="7">
        <v>1996.54</v>
      </c>
      <c r="BT343" s="7">
        <f t="shared" si="261"/>
        <v>10515.119999999999</v>
      </c>
    </row>
    <row r="344" spans="1:72" ht="11.25" hidden="1" x14ac:dyDescent="0.2">
      <c r="A344" s="133">
        <f t="shared" si="254"/>
        <v>2</v>
      </c>
      <c r="B344" s="141">
        <v>45323</v>
      </c>
      <c r="C344" s="10" t="s">
        <v>926</v>
      </c>
      <c r="D344" s="42" t="str">
        <f t="shared" si="256"/>
        <v>NO</v>
      </c>
      <c r="E344" s="7">
        <v>328877</v>
      </c>
      <c r="F344" s="7" t="s">
        <v>729</v>
      </c>
      <c r="G344" s="7" t="s">
        <v>730</v>
      </c>
      <c r="H344" s="7">
        <v>45350</v>
      </c>
      <c r="I344" s="7">
        <v>45618762</v>
      </c>
      <c r="J344" s="7" t="s">
        <v>731</v>
      </c>
      <c r="K344" s="7" t="s">
        <v>732</v>
      </c>
      <c r="L344" s="7" t="s">
        <v>164</v>
      </c>
      <c r="N344" s="29">
        <v>45159</v>
      </c>
      <c r="Q344" s="7" t="s">
        <v>157</v>
      </c>
      <c r="R344" s="7" t="s">
        <v>165</v>
      </c>
      <c r="S344" s="7" t="s">
        <v>126</v>
      </c>
      <c r="T344" s="7" t="s">
        <v>166</v>
      </c>
      <c r="U344" s="7" t="s">
        <v>167</v>
      </c>
      <c r="V344" s="7" t="s">
        <v>168</v>
      </c>
      <c r="W344" s="7">
        <v>108803</v>
      </c>
      <c r="X344" s="7" t="s">
        <v>169</v>
      </c>
      <c r="Y344" s="7" t="s">
        <v>170</v>
      </c>
      <c r="AA344" s="7" t="s">
        <v>171</v>
      </c>
      <c r="AB344" s="7" t="s">
        <v>172</v>
      </c>
      <c r="AC344" s="7">
        <v>1130</v>
      </c>
      <c r="AF344" s="7" t="s">
        <v>173</v>
      </c>
      <c r="AG344" s="7" t="s">
        <v>170</v>
      </c>
      <c r="AI344" s="7" t="s">
        <v>174</v>
      </c>
      <c r="AK344" s="7">
        <v>1</v>
      </c>
      <c r="AL344" s="7">
        <v>1</v>
      </c>
      <c r="AM344" s="7">
        <v>155436.04999999999</v>
      </c>
      <c r="AN344" s="7">
        <v>32065.51</v>
      </c>
      <c r="AP344" s="7">
        <v>32609.97</v>
      </c>
      <c r="AQ344" s="30">
        <v>155980.51</v>
      </c>
      <c r="AS344" s="7">
        <v>3760.92</v>
      </c>
      <c r="AZ344" s="7">
        <v>1880.46</v>
      </c>
      <c r="BG344" s="7">
        <v>3760.92</v>
      </c>
      <c r="BO344" s="7">
        <v>1880.46</v>
      </c>
      <c r="BR344" s="7">
        <v>11282.76</v>
      </c>
      <c r="BS344" s="7">
        <v>32609.97</v>
      </c>
      <c r="BT344" s="7">
        <f t="shared" si="261"/>
        <v>188046.02</v>
      </c>
    </row>
    <row r="345" spans="1:72" ht="11.25" hidden="1" x14ac:dyDescent="0.2">
      <c r="A345" s="133">
        <f t="shared" si="254"/>
        <v>2</v>
      </c>
      <c r="B345" s="141">
        <v>45323</v>
      </c>
      <c r="C345" s="10" t="s">
        <v>926</v>
      </c>
      <c r="D345" s="42" t="str">
        <f t="shared" si="256"/>
        <v>NO</v>
      </c>
      <c r="E345" s="7">
        <v>317842</v>
      </c>
      <c r="F345" s="7" t="s">
        <v>737</v>
      </c>
      <c r="G345" s="7" t="s">
        <v>738</v>
      </c>
      <c r="H345" s="7">
        <v>45350</v>
      </c>
      <c r="I345" s="7">
        <v>45228377</v>
      </c>
      <c r="J345" s="7" t="s">
        <v>735</v>
      </c>
      <c r="K345" s="7" t="s">
        <v>739</v>
      </c>
      <c r="L345" s="7" t="s">
        <v>164</v>
      </c>
      <c r="N345" s="29">
        <v>44982</v>
      </c>
      <c r="Q345" s="7" t="s">
        <v>157</v>
      </c>
      <c r="R345" s="7" t="s">
        <v>165</v>
      </c>
      <c r="S345" s="7" t="s">
        <v>126</v>
      </c>
      <c r="T345" s="7" t="s">
        <v>166</v>
      </c>
      <c r="U345" s="7" t="s">
        <v>167</v>
      </c>
      <c r="V345" s="7" t="s">
        <v>168</v>
      </c>
      <c r="W345" s="7">
        <v>108803</v>
      </c>
      <c r="X345" s="7" t="s">
        <v>169</v>
      </c>
      <c r="Y345" s="7" t="s">
        <v>170</v>
      </c>
      <c r="AA345" s="7" t="s">
        <v>171</v>
      </c>
      <c r="AB345" s="7" t="s">
        <v>172</v>
      </c>
      <c r="AC345" s="7">
        <v>1130</v>
      </c>
      <c r="AF345" s="7" t="s">
        <v>173</v>
      </c>
      <c r="AG345" s="7" t="s">
        <v>170</v>
      </c>
      <c r="AI345" s="7" t="s">
        <v>174</v>
      </c>
      <c r="AK345" s="7">
        <v>1</v>
      </c>
      <c r="AL345" s="7">
        <v>1</v>
      </c>
      <c r="AM345" s="7">
        <v>236019.6</v>
      </c>
      <c r="AN345" s="7">
        <v>48674.7</v>
      </c>
      <c r="AP345" s="7">
        <v>49025.87</v>
      </c>
      <c r="AQ345" s="30">
        <v>236370.77</v>
      </c>
      <c r="AS345" s="7">
        <v>5700.91</v>
      </c>
      <c r="AZ345" s="7">
        <v>2850.45</v>
      </c>
      <c r="BG345" s="7">
        <v>5700.91</v>
      </c>
      <c r="BO345" s="7">
        <v>2850.45</v>
      </c>
      <c r="BR345" s="7">
        <v>17102.72</v>
      </c>
      <c r="BS345" s="7">
        <v>49025.869999999995</v>
      </c>
      <c r="BT345" s="7">
        <f t="shared" si="261"/>
        <v>285045.46999999997</v>
      </c>
    </row>
    <row r="346" spans="1:72" ht="11.25" hidden="1" x14ac:dyDescent="0.2">
      <c r="A346" s="133">
        <f t="shared" si="254"/>
        <v>2</v>
      </c>
      <c r="B346" s="141">
        <v>45323</v>
      </c>
      <c r="C346" s="10"/>
      <c r="D346" s="42" t="str">
        <f t="shared" si="256"/>
        <v>NO</v>
      </c>
      <c r="E346" s="7">
        <v>337965</v>
      </c>
      <c r="F346" s="7" t="s">
        <v>740</v>
      </c>
      <c r="G346" s="7" t="s">
        <v>741</v>
      </c>
      <c r="H346" s="7">
        <v>45331</v>
      </c>
      <c r="I346" s="7">
        <v>44850797</v>
      </c>
      <c r="J346" s="7" t="s">
        <v>742</v>
      </c>
      <c r="K346" s="7" t="s">
        <v>743</v>
      </c>
      <c r="L346" s="7" t="s">
        <v>179</v>
      </c>
      <c r="N346" s="29">
        <v>45292</v>
      </c>
      <c r="Q346" s="7" t="s">
        <v>157</v>
      </c>
      <c r="R346" s="7" t="s">
        <v>165</v>
      </c>
      <c r="S346" s="7" t="s">
        <v>126</v>
      </c>
      <c r="T346" s="7" t="s">
        <v>239</v>
      </c>
      <c r="U346" s="7" t="s">
        <v>167</v>
      </c>
      <c r="V346" s="7" t="s">
        <v>324</v>
      </c>
      <c r="W346" s="7">
        <v>108803</v>
      </c>
      <c r="X346" s="7" t="s">
        <v>169</v>
      </c>
      <c r="Y346" s="7" t="s">
        <v>170</v>
      </c>
      <c r="AA346" s="7" t="s">
        <v>171</v>
      </c>
      <c r="AB346" s="7" t="s">
        <v>172</v>
      </c>
      <c r="AC346" s="7">
        <v>1130</v>
      </c>
      <c r="AF346" s="7" t="s">
        <v>173</v>
      </c>
      <c r="AG346" s="7" t="s">
        <v>170</v>
      </c>
      <c r="AI346" s="7" t="s">
        <v>174</v>
      </c>
      <c r="AK346" s="7">
        <v>1</v>
      </c>
      <c r="AL346" s="7">
        <v>1</v>
      </c>
      <c r="AQ346" s="30"/>
      <c r="AS346" s="7"/>
      <c r="BJ346" s="7">
        <v>5000</v>
      </c>
      <c r="BR346" s="7">
        <v>5000</v>
      </c>
      <c r="BS346" s="7">
        <v>2662.06</v>
      </c>
    </row>
    <row r="347" spans="1:72" ht="11.25" hidden="1" x14ac:dyDescent="0.2">
      <c r="A347" s="133">
        <f t="shared" si="254"/>
        <v>2</v>
      </c>
      <c r="B347" s="141">
        <v>45323</v>
      </c>
      <c r="C347" s="10" t="s">
        <v>926</v>
      </c>
      <c r="D347" s="42" t="str">
        <f t="shared" si="256"/>
        <v>NO</v>
      </c>
      <c r="E347" s="7">
        <v>327585</v>
      </c>
      <c r="F347" s="7" t="s">
        <v>744</v>
      </c>
      <c r="G347" s="7" t="s">
        <v>745</v>
      </c>
      <c r="H347" s="7">
        <v>45350</v>
      </c>
      <c r="I347" s="7">
        <v>42146193</v>
      </c>
      <c r="J347" s="7" t="s">
        <v>746</v>
      </c>
      <c r="K347" s="7" t="s">
        <v>747</v>
      </c>
      <c r="L347" s="7" t="s">
        <v>164</v>
      </c>
      <c r="N347" s="29">
        <v>45138</v>
      </c>
      <c r="Q347" s="7" t="s">
        <v>157</v>
      </c>
      <c r="R347" s="7" t="s">
        <v>165</v>
      </c>
      <c r="S347" s="7" t="s">
        <v>126</v>
      </c>
      <c r="T347" s="7" t="s">
        <v>166</v>
      </c>
      <c r="U347" s="7" t="s">
        <v>167</v>
      </c>
      <c r="V347" s="7" t="s">
        <v>168</v>
      </c>
      <c r="W347" s="7">
        <v>108803</v>
      </c>
      <c r="X347" s="7" t="s">
        <v>169</v>
      </c>
      <c r="Y347" s="7" t="s">
        <v>170</v>
      </c>
      <c r="AA347" s="7" t="s">
        <v>171</v>
      </c>
      <c r="AB347" s="7" t="s">
        <v>172</v>
      </c>
      <c r="AC347" s="7">
        <v>1130</v>
      </c>
      <c r="AF347" s="7" t="s">
        <v>173</v>
      </c>
      <c r="AG347" s="7" t="s">
        <v>170</v>
      </c>
      <c r="AI347" s="7" t="s">
        <v>174</v>
      </c>
      <c r="AK347" s="7">
        <v>2</v>
      </c>
      <c r="AL347" s="7">
        <v>1</v>
      </c>
      <c r="AM347" s="7">
        <v>192444.63</v>
      </c>
      <c r="AN347" s="7">
        <v>39700.160000000003</v>
      </c>
      <c r="AP347" s="7">
        <v>40374.239999999998</v>
      </c>
      <c r="AQ347" s="30">
        <v>193118.71</v>
      </c>
      <c r="AS347" s="7">
        <v>4656.38</v>
      </c>
      <c r="AZ347" s="7">
        <v>2328.19</v>
      </c>
      <c r="BG347" s="7">
        <v>4656.38</v>
      </c>
      <c r="BJ347" s="7">
        <v>5000</v>
      </c>
      <c r="BO347" s="7">
        <v>2328.19</v>
      </c>
      <c r="BR347" s="7">
        <v>18969.14</v>
      </c>
      <c r="BS347" s="7">
        <v>40374.239999999998</v>
      </c>
      <c r="BT347" s="7">
        <f t="shared" ref="BT347:BT352" si="262">+AM347+BS347</f>
        <v>232818.87</v>
      </c>
    </row>
    <row r="348" spans="1:72" ht="11.25" hidden="1" x14ac:dyDescent="0.2">
      <c r="A348" s="133">
        <f t="shared" si="254"/>
        <v>2</v>
      </c>
      <c r="B348" s="141">
        <v>45323</v>
      </c>
      <c r="C348" s="10" t="s">
        <v>926</v>
      </c>
      <c r="D348" s="42" t="str">
        <f t="shared" si="256"/>
        <v>NO</v>
      </c>
      <c r="E348" s="7">
        <v>224260</v>
      </c>
      <c r="F348" s="7" t="s">
        <v>912</v>
      </c>
      <c r="G348" s="7" t="s">
        <v>913</v>
      </c>
      <c r="H348" s="7">
        <v>45356</v>
      </c>
      <c r="I348" s="7">
        <v>33716419</v>
      </c>
      <c r="J348" s="7" t="s">
        <v>914</v>
      </c>
      <c r="K348" s="7" t="s">
        <v>915</v>
      </c>
      <c r="L348" s="7" t="s">
        <v>179</v>
      </c>
      <c r="N348" s="29">
        <v>45318</v>
      </c>
      <c r="Q348" s="7" t="s">
        <v>157</v>
      </c>
      <c r="R348" s="7" t="s">
        <v>354</v>
      </c>
      <c r="S348" s="7" t="s">
        <v>126</v>
      </c>
      <c r="T348" s="7" t="s">
        <v>239</v>
      </c>
      <c r="U348" s="7" t="s">
        <v>167</v>
      </c>
      <c r="V348" s="7" t="s">
        <v>355</v>
      </c>
      <c r="W348" s="7">
        <v>125707</v>
      </c>
      <c r="X348" s="7" t="s">
        <v>916</v>
      </c>
      <c r="Y348" s="7" t="s">
        <v>170</v>
      </c>
      <c r="AA348" s="7" t="s">
        <v>171</v>
      </c>
      <c r="AB348" s="7" t="s">
        <v>172</v>
      </c>
      <c r="AC348" s="7">
        <v>1130</v>
      </c>
      <c r="AF348" s="7" t="s">
        <v>173</v>
      </c>
      <c r="AG348" s="7" t="s">
        <v>170</v>
      </c>
      <c r="AI348" s="7" t="s">
        <v>174</v>
      </c>
      <c r="AK348" s="7">
        <v>1</v>
      </c>
      <c r="AL348" s="7">
        <v>1</v>
      </c>
      <c r="AM348" s="7">
        <v>28612.959999999999</v>
      </c>
      <c r="AN348" s="7">
        <v>5923.78</v>
      </c>
      <c r="AP348" s="7">
        <v>6706.16</v>
      </c>
      <c r="AQ348" s="30">
        <v>29395.34</v>
      </c>
      <c r="AS348" s="7">
        <v>706.38</v>
      </c>
      <c r="AZ348" s="7">
        <v>353.19</v>
      </c>
      <c r="BG348" s="7">
        <v>706.38</v>
      </c>
      <c r="BO348" s="7">
        <v>353.19</v>
      </c>
      <c r="BR348" s="7">
        <v>2119.14</v>
      </c>
      <c r="BS348" s="7">
        <v>6706.16</v>
      </c>
      <c r="BT348" s="7">
        <f t="shared" si="262"/>
        <v>35319.119999999995</v>
      </c>
    </row>
    <row r="349" spans="1:72" ht="11.25" hidden="1" x14ac:dyDescent="0.2">
      <c r="A349" s="133">
        <f t="shared" si="254"/>
        <v>2</v>
      </c>
      <c r="B349" s="141">
        <v>45323</v>
      </c>
      <c r="C349" s="10" t="s">
        <v>926</v>
      </c>
      <c r="D349" s="42" t="str">
        <f t="shared" si="256"/>
        <v>SI</v>
      </c>
      <c r="E349" s="7">
        <v>302687</v>
      </c>
      <c r="F349" s="7" t="s">
        <v>764</v>
      </c>
      <c r="G349" s="7" t="s">
        <v>158</v>
      </c>
      <c r="H349" s="7">
        <v>45356</v>
      </c>
      <c r="I349" s="7">
        <v>40132698</v>
      </c>
      <c r="J349" s="7" t="s">
        <v>762</v>
      </c>
      <c r="K349" s="7" t="s">
        <v>765</v>
      </c>
      <c r="L349" s="7" t="s">
        <v>179</v>
      </c>
      <c r="N349" s="29">
        <v>44728</v>
      </c>
      <c r="Q349" s="7" t="s">
        <v>157</v>
      </c>
      <c r="R349" s="7" t="s">
        <v>165</v>
      </c>
      <c r="S349" s="7" t="s">
        <v>126</v>
      </c>
      <c r="T349" s="7" t="s">
        <v>239</v>
      </c>
      <c r="U349" s="7" t="s">
        <v>167</v>
      </c>
      <c r="V349" s="7" t="s">
        <v>168</v>
      </c>
      <c r="W349" s="7">
        <v>108803</v>
      </c>
      <c r="X349" s="7" t="s">
        <v>169</v>
      </c>
      <c r="Y349" s="7" t="s">
        <v>170</v>
      </c>
      <c r="AA349" s="7" t="s">
        <v>189</v>
      </c>
      <c r="AB349" s="7" t="s">
        <v>190</v>
      </c>
      <c r="AC349" s="7">
        <v>1584</v>
      </c>
      <c r="AF349" s="7" t="s">
        <v>173</v>
      </c>
      <c r="AG349" s="7" t="s">
        <v>170</v>
      </c>
      <c r="AI349" s="7" t="s">
        <v>174</v>
      </c>
      <c r="AK349" s="7">
        <v>2</v>
      </c>
      <c r="AL349" s="7">
        <v>1</v>
      </c>
      <c r="AM349" s="7">
        <v>268169.37</v>
      </c>
      <c r="AN349" s="7">
        <v>57068.17</v>
      </c>
      <c r="AP349" s="7">
        <v>59812.93</v>
      </c>
      <c r="AQ349" s="30">
        <v>270914.13</v>
      </c>
      <c r="AR349" s="7">
        <v>8199.56</v>
      </c>
      <c r="AS349" s="7"/>
      <c r="AZ349" s="7">
        <v>3279.82</v>
      </c>
      <c r="BG349" s="7">
        <v>6559.65</v>
      </c>
      <c r="BO349" s="7">
        <v>3279.82</v>
      </c>
      <c r="BR349" s="7">
        <v>21318.85</v>
      </c>
      <c r="BS349" s="7">
        <v>59812.93</v>
      </c>
      <c r="BT349" s="7">
        <f t="shared" si="262"/>
        <v>327982.3</v>
      </c>
    </row>
    <row r="350" spans="1:72" ht="11.25" hidden="1" x14ac:dyDescent="0.2">
      <c r="A350" s="133">
        <f t="shared" si="254"/>
        <v>2</v>
      </c>
      <c r="B350" s="141">
        <v>45323</v>
      </c>
      <c r="C350" s="10" t="s">
        <v>926</v>
      </c>
      <c r="D350" s="42" t="str">
        <f t="shared" si="256"/>
        <v>NO</v>
      </c>
      <c r="E350" s="7">
        <v>279964</v>
      </c>
      <c r="F350" s="7" t="s">
        <v>766</v>
      </c>
      <c r="G350" s="7" t="s">
        <v>767</v>
      </c>
      <c r="H350" s="7">
        <v>45356</v>
      </c>
      <c r="I350" s="7">
        <v>41065854</v>
      </c>
      <c r="J350" s="7" t="s">
        <v>768</v>
      </c>
      <c r="K350" s="7" t="s">
        <v>769</v>
      </c>
      <c r="L350" s="7" t="s">
        <v>179</v>
      </c>
      <c r="N350" s="29">
        <v>45312</v>
      </c>
      <c r="Q350" s="7" t="s">
        <v>157</v>
      </c>
      <c r="R350" s="7" t="s">
        <v>245</v>
      </c>
      <c r="S350" s="7" t="s">
        <v>126</v>
      </c>
      <c r="T350" s="7" t="s">
        <v>206</v>
      </c>
      <c r="U350" s="7" t="s">
        <v>167</v>
      </c>
      <c r="V350" s="7" t="s">
        <v>246</v>
      </c>
      <c r="W350" s="7">
        <v>108803</v>
      </c>
      <c r="X350" s="7" t="s">
        <v>169</v>
      </c>
      <c r="Y350" s="7" t="s">
        <v>170</v>
      </c>
      <c r="AA350" s="7" t="s">
        <v>208</v>
      </c>
      <c r="AB350" s="7" t="s">
        <v>209</v>
      </c>
      <c r="AC350" s="7">
        <v>1035</v>
      </c>
      <c r="AF350" s="7" t="s">
        <v>173</v>
      </c>
      <c r="AG350" s="7" t="s">
        <v>170</v>
      </c>
      <c r="AI350" s="7" t="s">
        <v>174</v>
      </c>
      <c r="AK350" s="7">
        <v>5</v>
      </c>
      <c r="AL350" s="7">
        <v>1</v>
      </c>
      <c r="AM350" s="7">
        <v>130993.86</v>
      </c>
      <c r="AN350" s="7">
        <v>27267.73</v>
      </c>
      <c r="AP350" s="7">
        <v>38096.01</v>
      </c>
      <c r="AQ350" s="30">
        <v>141822.14000000001</v>
      </c>
      <c r="AS350" s="7">
        <v>3381.8</v>
      </c>
      <c r="AZ350" s="7">
        <v>1616.96</v>
      </c>
      <c r="BG350" s="7">
        <v>3381.8</v>
      </c>
      <c r="BJ350" s="7">
        <v>5000</v>
      </c>
      <c r="BO350" s="7">
        <v>1690.91</v>
      </c>
      <c r="BR350" s="7">
        <v>15071.47</v>
      </c>
      <c r="BS350" s="7">
        <v>30701.690000000002</v>
      </c>
      <c r="BT350" s="7">
        <f t="shared" si="262"/>
        <v>161695.54999999999</v>
      </c>
    </row>
    <row r="351" spans="1:72" ht="11.25" hidden="1" x14ac:dyDescent="0.2">
      <c r="A351" s="133">
        <f t="shared" ref="A351:A414" si="263">IF(B351="","",VALUE(MONTH(B351)))</f>
        <v>2</v>
      </c>
      <c r="B351" s="141">
        <v>45323</v>
      </c>
      <c r="C351" s="10" t="s">
        <v>926</v>
      </c>
      <c r="D351" s="42" t="str">
        <f t="shared" si="256"/>
        <v>NO</v>
      </c>
      <c r="E351" s="7">
        <v>335392</v>
      </c>
      <c r="F351" s="7" t="s">
        <v>770</v>
      </c>
      <c r="G351" s="7" t="s">
        <v>771</v>
      </c>
      <c r="H351" s="7">
        <v>45356</v>
      </c>
      <c r="I351" s="7">
        <v>41938072</v>
      </c>
      <c r="J351" s="7" t="s">
        <v>772</v>
      </c>
      <c r="K351" s="7" t="s">
        <v>773</v>
      </c>
      <c r="L351" s="7" t="s">
        <v>179</v>
      </c>
      <c r="N351" s="29">
        <v>45262</v>
      </c>
      <c r="Q351" s="7" t="s">
        <v>157</v>
      </c>
      <c r="R351" s="7" t="s">
        <v>199</v>
      </c>
      <c r="S351" s="7" t="s">
        <v>126</v>
      </c>
      <c r="T351" s="7" t="s">
        <v>200</v>
      </c>
      <c r="U351" s="7" t="s">
        <v>167</v>
      </c>
      <c r="V351" s="7" t="s">
        <v>360</v>
      </c>
      <c r="W351" s="7">
        <v>108803</v>
      </c>
      <c r="X351" s="7" t="s">
        <v>169</v>
      </c>
      <c r="Y351" s="7" t="s">
        <v>170</v>
      </c>
      <c r="AA351" s="7" t="s">
        <v>189</v>
      </c>
      <c r="AB351" s="7" t="s">
        <v>190</v>
      </c>
      <c r="AC351" s="7">
        <v>1584</v>
      </c>
      <c r="AF351" s="7" t="s">
        <v>173</v>
      </c>
      <c r="AG351" s="7" t="s">
        <v>170</v>
      </c>
      <c r="AI351" s="7" t="s">
        <v>174</v>
      </c>
      <c r="AK351" s="7">
        <v>2</v>
      </c>
      <c r="AL351" s="7">
        <v>1</v>
      </c>
      <c r="AM351" s="7">
        <v>27957.360000000001</v>
      </c>
      <c r="AN351" s="7">
        <v>5788.05</v>
      </c>
      <c r="AP351" s="7">
        <v>6552.5</v>
      </c>
      <c r="AQ351" s="30">
        <v>28721.81</v>
      </c>
      <c r="AS351" s="7">
        <v>690.2</v>
      </c>
      <c r="AZ351" s="7">
        <v>345.1</v>
      </c>
      <c r="BG351" s="7">
        <v>690.2</v>
      </c>
      <c r="BO351" s="7">
        <v>345.1</v>
      </c>
      <c r="BR351" s="7">
        <v>2070.6</v>
      </c>
      <c r="BS351" s="7">
        <v>6552.5</v>
      </c>
      <c r="BT351" s="7">
        <f t="shared" si="262"/>
        <v>34509.86</v>
      </c>
    </row>
    <row r="352" spans="1:72" ht="11.25" hidden="1" x14ac:dyDescent="0.2">
      <c r="A352" s="133">
        <f t="shared" si="263"/>
        <v>2</v>
      </c>
      <c r="B352" s="141">
        <v>45323</v>
      </c>
      <c r="C352" s="10" t="s">
        <v>926</v>
      </c>
      <c r="D352" s="42" t="str">
        <f t="shared" si="256"/>
        <v>NO</v>
      </c>
      <c r="E352" s="7">
        <v>328895</v>
      </c>
      <c r="F352" s="7" t="s">
        <v>774</v>
      </c>
      <c r="G352" s="7" t="s">
        <v>775</v>
      </c>
      <c r="H352" s="7">
        <v>45350</v>
      </c>
      <c r="I352" s="7">
        <v>95994665</v>
      </c>
      <c r="J352" s="7" t="s">
        <v>776</v>
      </c>
      <c r="K352" s="7" t="s">
        <v>777</v>
      </c>
      <c r="L352" s="7" t="s">
        <v>164</v>
      </c>
      <c r="N352" s="29">
        <v>45159</v>
      </c>
      <c r="Q352" s="7" t="s">
        <v>157</v>
      </c>
      <c r="R352" s="7" t="s">
        <v>165</v>
      </c>
      <c r="S352" s="7" t="s">
        <v>126</v>
      </c>
      <c r="T352" s="7" t="s">
        <v>166</v>
      </c>
      <c r="U352" s="7" t="s">
        <v>167</v>
      </c>
      <c r="V352" s="7" t="s">
        <v>168</v>
      </c>
      <c r="W352" s="7">
        <v>108803</v>
      </c>
      <c r="X352" s="7" t="s">
        <v>169</v>
      </c>
      <c r="Y352" s="7" t="s">
        <v>170</v>
      </c>
      <c r="AA352" s="7" t="s">
        <v>171</v>
      </c>
      <c r="AB352" s="7" t="s">
        <v>172</v>
      </c>
      <c r="AC352" s="7">
        <v>1130</v>
      </c>
      <c r="AF352" s="7" t="s">
        <v>173</v>
      </c>
      <c r="AG352" s="7" t="s">
        <v>170</v>
      </c>
      <c r="AI352" s="7" t="s">
        <v>174</v>
      </c>
      <c r="AK352" s="7">
        <v>1</v>
      </c>
      <c r="AL352" s="7">
        <v>1</v>
      </c>
      <c r="AM352" s="7">
        <v>208305.46</v>
      </c>
      <c r="AN352" s="7">
        <v>42972.14</v>
      </c>
      <c r="AP352" s="7">
        <v>43701.79</v>
      </c>
      <c r="AQ352" s="30">
        <v>209035.11</v>
      </c>
      <c r="AS352" s="7">
        <v>5040.1499999999996</v>
      </c>
      <c r="AZ352" s="7">
        <v>2520.0700000000002</v>
      </c>
      <c r="BG352" s="7">
        <v>5040.1499999999996</v>
      </c>
      <c r="BO352" s="7">
        <v>2520.0700000000002</v>
      </c>
      <c r="BR352" s="7">
        <v>15120.44</v>
      </c>
      <c r="BS352" s="7">
        <v>43701.79</v>
      </c>
      <c r="BT352" s="7">
        <f t="shared" si="262"/>
        <v>252007.25</v>
      </c>
    </row>
    <row r="353" spans="1:73" ht="11.25" hidden="1" x14ac:dyDescent="0.2">
      <c r="A353" s="133">
        <f t="shared" si="263"/>
        <v>2</v>
      </c>
      <c r="B353" s="141">
        <v>45323</v>
      </c>
      <c r="C353" s="10"/>
      <c r="D353" s="42" t="str">
        <f t="shared" si="256"/>
        <v>NO</v>
      </c>
      <c r="E353" s="7">
        <v>334959</v>
      </c>
      <c r="F353" s="7" t="s">
        <v>778</v>
      </c>
      <c r="G353" s="7" t="s">
        <v>779</v>
      </c>
      <c r="H353" s="7">
        <v>45331</v>
      </c>
      <c r="I353" s="7">
        <v>38189132</v>
      </c>
      <c r="J353" s="7" t="s">
        <v>780</v>
      </c>
      <c r="K353" s="7" t="s">
        <v>917</v>
      </c>
      <c r="L353" s="7" t="s">
        <v>179</v>
      </c>
      <c r="N353" s="29">
        <v>45259</v>
      </c>
      <c r="Q353" s="7" t="s">
        <v>157</v>
      </c>
      <c r="R353" s="7" t="s">
        <v>214</v>
      </c>
      <c r="S353" s="7" t="s">
        <v>126</v>
      </c>
      <c r="T353" s="7" t="s">
        <v>200</v>
      </c>
      <c r="U353" s="7" t="s">
        <v>167</v>
      </c>
      <c r="V353" s="7" t="s">
        <v>215</v>
      </c>
      <c r="W353" s="7">
        <v>108803</v>
      </c>
      <c r="X353" s="7" t="s">
        <v>169</v>
      </c>
      <c r="Y353" s="7" t="s">
        <v>170</v>
      </c>
      <c r="AA353" s="7" t="s">
        <v>208</v>
      </c>
      <c r="AB353" s="7" t="s">
        <v>209</v>
      </c>
      <c r="AC353" s="7">
        <v>1035</v>
      </c>
      <c r="AF353" s="7" t="s">
        <v>173</v>
      </c>
      <c r="AG353" s="7" t="s">
        <v>170</v>
      </c>
      <c r="AI353" s="7" t="s">
        <v>174</v>
      </c>
      <c r="AK353" s="7">
        <v>1</v>
      </c>
      <c r="AL353" s="7">
        <v>1</v>
      </c>
      <c r="AQ353" s="30"/>
      <c r="AS353" s="7"/>
      <c r="BJ353" s="7">
        <v>5000</v>
      </c>
      <c r="BR353" s="7">
        <v>5000</v>
      </c>
      <c r="BS353" s="7">
        <v>0</v>
      </c>
    </row>
    <row r="354" spans="1:73" ht="11.25" hidden="1" x14ac:dyDescent="0.2">
      <c r="A354" s="133">
        <f t="shared" si="263"/>
        <v>2</v>
      </c>
      <c r="B354" s="141">
        <v>45323</v>
      </c>
      <c r="C354" s="10" t="s">
        <v>926</v>
      </c>
      <c r="D354" s="42" t="str">
        <f t="shared" si="256"/>
        <v>NO</v>
      </c>
      <c r="E354" s="7">
        <v>203239</v>
      </c>
      <c r="F354" s="7" t="s">
        <v>782</v>
      </c>
      <c r="G354" s="7" t="s">
        <v>783</v>
      </c>
      <c r="H354" s="7">
        <v>45351</v>
      </c>
      <c r="I354" s="7">
        <v>93328378</v>
      </c>
      <c r="J354" s="7" t="s">
        <v>784</v>
      </c>
      <c r="K354" s="7" t="s">
        <v>785</v>
      </c>
      <c r="L354" s="7" t="s">
        <v>164</v>
      </c>
      <c r="N354" s="29">
        <v>45010</v>
      </c>
      <c r="Q354" s="7" t="s">
        <v>157</v>
      </c>
      <c r="R354" s="7" t="s">
        <v>165</v>
      </c>
      <c r="S354" s="7" t="s">
        <v>126</v>
      </c>
      <c r="T354" s="7" t="s">
        <v>180</v>
      </c>
      <c r="U354" s="7" t="s">
        <v>167</v>
      </c>
      <c r="V354" s="7" t="s">
        <v>168</v>
      </c>
      <c r="W354" s="7">
        <v>108803</v>
      </c>
      <c r="X354" s="7" t="s">
        <v>169</v>
      </c>
      <c r="Y354" s="7" t="s">
        <v>170</v>
      </c>
      <c r="AA354" s="7" t="s">
        <v>171</v>
      </c>
      <c r="AB354" s="7" t="s">
        <v>172</v>
      </c>
      <c r="AC354" s="7">
        <v>1130</v>
      </c>
      <c r="AF354" s="7" t="s">
        <v>173</v>
      </c>
      <c r="AG354" s="7" t="s">
        <v>170</v>
      </c>
      <c r="AI354" s="7" t="s">
        <v>174</v>
      </c>
      <c r="AK354" s="7">
        <v>1</v>
      </c>
      <c r="AL354" s="7">
        <v>1</v>
      </c>
      <c r="AM354" s="7">
        <v>56041.57</v>
      </c>
      <c r="AN354" s="7">
        <v>11561.04</v>
      </c>
      <c r="AP354" s="7">
        <v>11757.33</v>
      </c>
      <c r="AQ354" s="30">
        <v>56237.86</v>
      </c>
      <c r="AS354" s="7">
        <v>1355.98</v>
      </c>
      <c r="AZ354" s="7">
        <v>677.99</v>
      </c>
      <c r="BG354" s="7">
        <v>1355.98</v>
      </c>
      <c r="BO354" s="7">
        <v>677.99</v>
      </c>
      <c r="BR354" s="7">
        <v>4067.94</v>
      </c>
      <c r="BS354" s="7">
        <v>11757.33</v>
      </c>
      <c r="BT354" s="7">
        <f t="shared" ref="BT354:BT417" si="264">+AM354+BS354</f>
        <v>67798.899999999994</v>
      </c>
    </row>
    <row r="355" spans="1:73" ht="11.25" hidden="1" x14ac:dyDescent="0.2">
      <c r="A355" s="133">
        <f t="shared" si="263"/>
        <v>2</v>
      </c>
      <c r="B355" s="141">
        <v>45323</v>
      </c>
      <c r="C355" s="10" t="s">
        <v>926</v>
      </c>
      <c r="D355" s="42" t="str">
        <f t="shared" si="256"/>
        <v>NO</v>
      </c>
      <c r="E355" s="7">
        <v>328995</v>
      </c>
      <c r="F355" s="7" t="s">
        <v>794</v>
      </c>
      <c r="G355" s="7" t="s">
        <v>795</v>
      </c>
      <c r="H355" s="7">
        <v>45350</v>
      </c>
      <c r="I355" s="7">
        <v>37018114</v>
      </c>
      <c r="J355" s="7" t="s">
        <v>796</v>
      </c>
      <c r="K355" s="7" t="s">
        <v>797</v>
      </c>
      <c r="L355" s="7" t="s">
        <v>179</v>
      </c>
      <c r="N355" s="29">
        <v>45159</v>
      </c>
      <c r="Q355" s="7" t="s">
        <v>157</v>
      </c>
      <c r="R355" s="7" t="s">
        <v>165</v>
      </c>
      <c r="S355" s="7" t="s">
        <v>126</v>
      </c>
      <c r="T355" s="7" t="s">
        <v>166</v>
      </c>
      <c r="U355" s="7" t="s">
        <v>167</v>
      </c>
      <c r="V355" s="7" t="s">
        <v>168</v>
      </c>
      <c r="W355" s="7">
        <v>108803</v>
      </c>
      <c r="X355" s="7" t="s">
        <v>169</v>
      </c>
      <c r="Y355" s="7" t="s">
        <v>170</v>
      </c>
      <c r="AA355" s="7" t="s">
        <v>189</v>
      </c>
      <c r="AB355" s="7" t="s">
        <v>190</v>
      </c>
      <c r="AC355" s="7">
        <v>1584</v>
      </c>
      <c r="AF355" s="7" t="s">
        <v>173</v>
      </c>
      <c r="AG355" s="7" t="s">
        <v>170</v>
      </c>
      <c r="AI355" s="7" t="s">
        <v>174</v>
      </c>
      <c r="AK355" s="7">
        <v>1</v>
      </c>
      <c r="AL355" s="7">
        <v>1</v>
      </c>
      <c r="AM355" s="7">
        <v>8459.11</v>
      </c>
      <c r="AN355" s="7">
        <v>1745.06</v>
      </c>
      <c r="AP355" s="7">
        <v>1774.69</v>
      </c>
      <c r="AQ355" s="30">
        <v>8488.74</v>
      </c>
      <c r="AS355" s="7">
        <v>204.68</v>
      </c>
      <c r="AZ355" s="7">
        <v>102.34</v>
      </c>
      <c r="BG355" s="7">
        <v>204.68</v>
      </c>
      <c r="BO355" s="7">
        <v>102.34</v>
      </c>
      <c r="BR355" s="7">
        <v>614.04</v>
      </c>
      <c r="BS355" s="7">
        <v>1774.69</v>
      </c>
      <c r="BT355" s="7">
        <f t="shared" si="264"/>
        <v>10233.800000000001</v>
      </c>
    </row>
    <row r="356" spans="1:73" ht="11.25" hidden="1" x14ac:dyDescent="0.2">
      <c r="A356" s="133">
        <f t="shared" si="263"/>
        <v>2</v>
      </c>
      <c r="B356" s="141">
        <v>45323</v>
      </c>
      <c r="C356" s="10" t="s">
        <v>926</v>
      </c>
      <c r="D356" s="42" t="str">
        <f t="shared" si="256"/>
        <v>NO</v>
      </c>
      <c r="E356" s="7">
        <v>337378</v>
      </c>
      <c r="F356" s="7" t="s">
        <v>802</v>
      </c>
      <c r="G356" s="7" t="s">
        <v>803</v>
      </c>
      <c r="H356" s="7">
        <v>45356</v>
      </c>
      <c r="I356" s="7">
        <v>43815918</v>
      </c>
      <c r="J356" s="7" t="s">
        <v>804</v>
      </c>
      <c r="K356" s="7" t="s">
        <v>805</v>
      </c>
      <c r="L356" s="7" t="s">
        <v>179</v>
      </c>
      <c r="N356" s="29">
        <v>45291</v>
      </c>
      <c r="Q356" s="7" t="s">
        <v>157</v>
      </c>
      <c r="R356" s="7" t="s">
        <v>165</v>
      </c>
      <c r="S356" s="7" t="s">
        <v>126</v>
      </c>
      <c r="T356" s="7" t="s">
        <v>200</v>
      </c>
      <c r="U356" s="7" t="s">
        <v>167</v>
      </c>
      <c r="V356" s="7" t="s">
        <v>168</v>
      </c>
      <c r="W356" s="7">
        <v>108803</v>
      </c>
      <c r="X356" s="7" t="s">
        <v>169</v>
      </c>
      <c r="Y356" s="7" t="s">
        <v>170</v>
      </c>
      <c r="AA356" s="7" t="s">
        <v>189</v>
      </c>
      <c r="AB356" s="7" t="s">
        <v>190</v>
      </c>
      <c r="AC356" s="7">
        <v>1584</v>
      </c>
      <c r="AF356" s="7" t="s">
        <v>173</v>
      </c>
      <c r="AG356" s="7" t="s">
        <v>170</v>
      </c>
      <c r="AI356" s="7" t="s">
        <v>174</v>
      </c>
      <c r="AK356" s="7">
        <v>4</v>
      </c>
      <c r="AL356" s="7">
        <v>1</v>
      </c>
      <c r="AM356" s="7">
        <v>41416.550000000003</v>
      </c>
      <c r="AN356" s="7">
        <v>8562.7999999999993</v>
      </c>
      <c r="AP356" s="7">
        <v>9317.18</v>
      </c>
      <c r="AQ356" s="30">
        <v>42170.93</v>
      </c>
      <c r="AS356" s="7">
        <v>1014.67</v>
      </c>
      <c r="AZ356" s="7">
        <v>507.33</v>
      </c>
      <c r="BG356" s="7">
        <v>1014.67</v>
      </c>
      <c r="BJ356" s="7">
        <v>5000</v>
      </c>
      <c r="BO356" s="7">
        <v>507.33</v>
      </c>
      <c r="BR356" s="7">
        <v>8044</v>
      </c>
      <c r="BS356" s="7">
        <v>9317.18</v>
      </c>
      <c r="BT356" s="7">
        <f t="shared" si="264"/>
        <v>50733.73</v>
      </c>
    </row>
    <row r="357" spans="1:73" ht="11.25" hidden="1" x14ac:dyDescent="0.2">
      <c r="A357" s="133">
        <f t="shared" si="263"/>
        <v>2</v>
      </c>
      <c r="B357" s="141">
        <v>45323</v>
      </c>
      <c r="C357" s="10" t="s">
        <v>926</v>
      </c>
      <c r="D357" s="42" t="str">
        <f t="shared" si="256"/>
        <v>NO</v>
      </c>
      <c r="E357" s="7">
        <v>335391</v>
      </c>
      <c r="F357" s="7" t="s">
        <v>806</v>
      </c>
      <c r="G357" s="7" t="s">
        <v>807</v>
      </c>
      <c r="H357" s="7">
        <v>45356</v>
      </c>
      <c r="I357" s="7">
        <v>40897135</v>
      </c>
      <c r="J357" s="7" t="s">
        <v>808</v>
      </c>
      <c r="K357" s="7" t="s">
        <v>809</v>
      </c>
      <c r="L357" s="7" t="s">
        <v>179</v>
      </c>
      <c r="N357" s="29">
        <v>45263</v>
      </c>
      <c r="Q357" s="7" t="s">
        <v>157</v>
      </c>
      <c r="R357" s="7" t="s">
        <v>214</v>
      </c>
      <c r="S357" s="7" t="s">
        <v>126</v>
      </c>
      <c r="T357" s="7" t="s">
        <v>239</v>
      </c>
      <c r="U357" s="7" t="s">
        <v>167</v>
      </c>
      <c r="V357" s="7" t="s">
        <v>215</v>
      </c>
      <c r="W357" s="7">
        <v>108803</v>
      </c>
      <c r="X357" s="7" t="s">
        <v>169</v>
      </c>
      <c r="Y357" s="7" t="s">
        <v>170</v>
      </c>
      <c r="AA357" s="7" t="s">
        <v>171</v>
      </c>
      <c r="AB357" s="7" t="s">
        <v>172</v>
      </c>
      <c r="AC357" s="7">
        <v>1130</v>
      </c>
      <c r="AF357" s="7" t="s">
        <v>173</v>
      </c>
      <c r="AG357" s="7" t="s">
        <v>170</v>
      </c>
      <c r="AI357" s="7" t="s">
        <v>174</v>
      </c>
      <c r="AK357" s="7">
        <v>1</v>
      </c>
      <c r="AL357" s="7">
        <v>1</v>
      </c>
      <c r="AM357" s="7">
        <v>127759.01</v>
      </c>
      <c r="AN357" s="7">
        <v>26450.11</v>
      </c>
      <c r="AP357" s="7">
        <v>29943.52</v>
      </c>
      <c r="AQ357" s="30">
        <v>131252.42000000001</v>
      </c>
      <c r="AS357" s="7">
        <v>3154.05</v>
      </c>
      <c r="AZ357" s="7">
        <v>1577.03</v>
      </c>
      <c r="BG357" s="7">
        <v>3154.05</v>
      </c>
      <c r="BO357" s="7">
        <v>1577.03</v>
      </c>
      <c r="BR357" s="7">
        <v>9462.16</v>
      </c>
      <c r="BS357" s="7">
        <v>29943.519999999997</v>
      </c>
      <c r="BT357" s="7">
        <f t="shared" si="264"/>
        <v>157702.53</v>
      </c>
    </row>
    <row r="358" spans="1:73" ht="11.25" hidden="1" x14ac:dyDescent="0.2">
      <c r="A358" s="133">
        <f t="shared" si="263"/>
        <v>2</v>
      </c>
      <c r="B358" s="141">
        <v>45323</v>
      </c>
      <c r="C358" s="10" t="s">
        <v>926</v>
      </c>
      <c r="D358" s="42" t="str">
        <f t="shared" si="256"/>
        <v>NO</v>
      </c>
      <c r="E358" s="7">
        <v>144625</v>
      </c>
      <c r="F358" s="7" t="s">
        <v>918</v>
      </c>
      <c r="G358" s="7" t="s">
        <v>919</v>
      </c>
      <c r="H358" s="7">
        <v>45356</v>
      </c>
      <c r="I358" s="7">
        <v>31654913</v>
      </c>
      <c r="J358" s="7" t="s">
        <v>920</v>
      </c>
      <c r="K358" s="7" t="s">
        <v>921</v>
      </c>
      <c r="L358" s="7" t="s">
        <v>179</v>
      </c>
      <c r="N358" s="29">
        <v>45346</v>
      </c>
      <c r="Q358" s="7" t="s">
        <v>157</v>
      </c>
      <c r="R358" s="7" t="s">
        <v>199</v>
      </c>
      <c r="S358" s="7" t="s">
        <v>126</v>
      </c>
      <c r="T358" s="7" t="s">
        <v>200</v>
      </c>
      <c r="U358" s="7" t="s">
        <v>167</v>
      </c>
      <c r="V358" s="7" t="s">
        <v>201</v>
      </c>
      <c r="W358" s="7">
        <v>108803</v>
      </c>
      <c r="X358" s="7" t="s">
        <v>169</v>
      </c>
      <c r="Y358" s="7" t="s">
        <v>170</v>
      </c>
      <c r="AA358" s="7" t="s">
        <v>189</v>
      </c>
      <c r="AB358" s="7" t="s">
        <v>190</v>
      </c>
      <c r="AC358" s="7">
        <v>1584</v>
      </c>
      <c r="AF358" s="7" t="s">
        <v>173</v>
      </c>
      <c r="AG358" s="7" t="s">
        <v>170</v>
      </c>
      <c r="AI358" s="7" t="s">
        <v>174</v>
      </c>
      <c r="AK358" s="7">
        <v>1</v>
      </c>
      <c r="AL358" s="7">
        <v>1</v>
      </c>
      <c r="AM358" s="7">
        <v>13105.01</v>
      </c>
      <c r="AN358" s="7">
        <v>2713.15</v>
      </c>
      <c r="AP358" s="7">
        <v>3071.49</v>
      </c>
      <c r="AQ358" s="30">
        <v>13463.35</v>
      </c>
      <c r="AS358" s="7">
        <v>323.52999999999997</v>
      </c>
      <c r="AZ358" s="7">
        <v>161.77000000000001</v>
      </c>
      <c r="BG358" s="7">
        <v>323.52999999999997</v>
      </c>
      <c r="BO358" s="7">
        <v>161.77000000000001</v>
      </c>
      <c r="BR358" s="7">
        <v>970.6</v>
      </c>
      <c r="BS358" s="7">
        <v>3071.4900000000002</v>
      </c>
      <c r="BT358" s="7">
        <f t="shared" si="264"/>
        <v>16176.5</v>
      </c>
    </row>
    <row r="359" spans="1:73" ht="11.25" hidden="1" x14ac:dyDescent="0.2">
      <c r="A359" s="133">
        <f t="shared" si="263"/>
        <v>2</v>
      </c>
      <c r="B359" s="141">
        <v>45323</v>
      </c>
      <c r="C359" s="10" t="s">
        <v>926</v>
      </c>
      <c r="D359" s="42" t="str">
        <f t="shared" ref="D359:D422" si="265">IF(AR359="","NO","SI")</f>
        <v>NO</v>
      </c>
      <c r="E359" s="7">
        <v>310965</v>
      </c>
      <c r="F359" s="7" t="s">
        <v>810</v>
      </c>
      <c r="G359" s="7" t="s">
        <v>811</v>
      </c>
      <c r="H359" s="7">
        <v>45350</v>
      </c>
      <c r="I359" s="7">
        <v>35435756</v>
      </c>
      <c r="J359" s="7" t="s">
        <v>812</v>
      </c>
      <c r="K359" s="7" t="s">
        <v>813</v>
      </c>
      <c r="L359" s="7" t="s">
        <v>179</v>
      </c>
      <c r="N359" s="29">
        <v>45138</v>
      </c>
      <c r="Q359" s="7" t="s">
        <v>157</v>
      </c>
      <c r="R359" s="7" t="s">
        <v>165</v>
      </c>
      <c r="S359" s="7" t="s">
        <v>126</v>
      </c>
      <c r="T359" s="7" t="s">
        <v>166</v>
      </c>
      <c r="U359" s="7" t="s">
        <v>167</v>
      </c>
      <c r="V359" s="7" t="s">
        <v>168</v>
      </c>
      <c r="W359" s="7">
        <v>126908</v>
      </c>
      <c r="X359" s="7" t="s">
        <v>365</v>
      </c>
      <c r="Y359" s="7" t="s">
        <v>170</v>
      </c>
      <c r="AA359" s="7" t="s">
        <v>171</v>
      </c>
      <c r="AB359" s="7" t="s">
        <v>172</v>
      </c>
      <c r="AC359" s="7">
        <v>1130</v>
      </c>
      <c r="AF359" s="7" t="s">
        <v>173</v>
      </c>
      <c r="AG359" s="7" t="s">
        <v>170</v>
      </c>
      <c r="AI359" s="7" t="s">
        <v>174</v>
      </c>
      <c r="AK359" s="7">
        <v>1</v>
      </c>
      <c r="AL359" s="7">
        <v>1</v>
      </c>
      <c r="AM359" s="7">
        <v>263289.64</v>
      </c>
      <c r="AN359" s="7">
        <v>54315.05</v>
      </c>
      <c r="AP359" s="7">
        <v>55237.29</v>
      </c>
      <c r="AQ359" s="30">
        <v>264211.88</v>
      </c>
      <c r="AS359" s="7">
        <v>6370.54</v>
      </c>
      <c r="AZ359" s="7">
        <v>3185.27</v>
      </c>
      <c r="BG359" s="7">
        <v>6370.54</v>
      </c>
      <c r="BO359" s="7">
        <v>3185.27</v>
      </c>
      <c r="BR359" s="7">
        <v>19111.62</v>
      </c>
      <c r="BS359" s="7">
        <v>55237.29</v>
      </c>
      <c r="BT359" s="7">
        <f t="shared" si="264"/>
        <v>318526.93</v>
      </c>
    </row>
    <row r="360" spans="1:73" ht="11.25" hidden="1" x14ac:dyDescent="0.2">
      <c r="A360" s="133">
        <f t="shared" si="263"/>
        <v>2</v>
      </c>
      <c r="B360" s="141">
        <v>45323</v>
      </c>
      <c r="C360" s="10" t="s">
        <v>926</v>
      </c>
      <c r="D360" s="42" t="str">
        <f t="shared" si="265"/>
        <v>NO</v>
      </c>
      <c r="E360" s="7">
        <v>87659</v>
      </c>
      <c r="F360" s="7" t="s">
        <v>922</v>
      </c>
      <c r="G360" s="7" t="s">
        <v>923</v>
      </c>
      <c r="H360" s="7">
        <v>45357</v>
      </c>
      <c r="I360" s="7">
        <v>28920260</v>
      </c>
      <c r="J360" s="7" t="s">
        <v>924</v>
      </c>
      <c r="K360" s="7" t="s">
        <v>925</v>
      </c>
      <c r="L360" s="7" t="s">
        <v>164</v>
      </c>
      <c r="N360" s="29">
        <v>45334</v>
      </c>
      <c r="Q360" s="7" t="s">
        <v>157</v>
      </c>
      <c r="R360" s="7" t="s">
        <v>165</v>
      </c>
      <c r="S360" s="7" t="s">
        <v>126</v>
      </c>
      <c r="T360" s="7" t="s">
        <v>206</v>
      </c>
      <c r="U360" s="7" t="s">
        <v>167</v>
      </c>
      <c r="V360" s="7" t="s">
        <v>207</v>
      </c>
      <c r="W360" s="7">
        <v>108803</v>
      </c>
      <c r="X360" s="7" t="s">
        <v>169</v>
      </c>
      <c r="Y360" s="7" t="s">
        <v>170</v>
      </c>
      <c r="AA360" s="7" t="s">
        <v>208</v>
      </c>
      <c r="AB360" s="7" t="s">
        <v>209</v>
      </c>
      <c r="AC360" s="7">
        <v>1035</v>
      </c>
      <c r="AF360" s="7" t="s">
        <v>173</v>
      </c>
      <c r="AG360" s="7" t="s">
        <v>170</v>
      </c>
      <c r="AI360" s="7" t="s">
        <v>174</v>
      </c>
      <c r="AK360" s="7">
        <v>2</v>
      </c>
      <c r="AL360" s="7">
        <v>1</v>
      </c>
      <c r="AM360" s="7">
        <v>85185.79</v>
      </c>
      <c r="AN360" s="7">
        <v>17729.29</v>
      </c>
      <c r="AP360" s="7">
        <v>24624.02</v>
      </c>
      <c r="AQ360" s="30">
        <v>92080.52</v>
      </c>
      <c r="AS360" s="7">
        <v>2196.1999999999998</v>
      </c>
      <c r="AZ360" s="7">
        <v>1051.51</v>
      </c>
      <c r="BG360" s="7">
        <v>2196.1999999999998</v>
      </c>
      <c r="BO360" s="7">
        <v>1098.0899999999999</v>
      </c>
      <c r="BR360" s="7">
        <v>6542</v>
      </c>
      <c r="BS360" s="7">
        <v>19965.420000000002</v>
      </c>
      <c r="BT360" s="7">
        <f t="shared" si="264"/>
        <v>105151.20999999999</v>
      </c>
    </row>
    <row r="361" spans="1:73" ht="11.25" x14ac:dyDescent="0.2">
      <c r="A361" s="133">
        <f t="shared" si="263"/>
        <v>3</v>
      </c>
      <c r="B361" s="141">
        <v>45352</v>
      </c>
      <c r="C361" s="10" t="s">
        <v>102</v>
      </c>
      <c r="D361" s="42" t="str">
        <f t="shared" si="265"/>
        <v>NO</v>
      </c>
      <c r="E361" s="7">
        <v>332623</v>
      </c>
      <c r="F361" s="7" t="s">
        <v>927</v>
      </c>
      <c r="G361" s="7" t="s">
        <v>928</v>
      </c>
      <c r="H361" s="7">
        <v>45387</v>
      </c>
      <c r="I361" s="7">
        <v>40783656</v>
      </c>
      <c r="J361" s="7" t="s">
        <v>929</v>
      </c>
      <c r="K361" s="7" t="s">
        <v>930</v>
      </c>
      <c r="L361" s="7" t="s">
        <v>179</v>
      </c>
      <c r="N361" s="29">
        <v>45367</v>
      </c>
      <c r="Q361" s="7" t="s">
        <v>157</v>
      </c>
      <c r="R361" s="7" t="s">
        <v>165</v>
      </c>
      <c r="S361" s="7" t="s">
        <v>126</v>
      </c>
      <c r="T361" s="7" t="s">
        <v>180</v>
      </c>
      <c r="U361" s="7" t="s">
        <v>167</v>
      </c>
      <c r="V361" s="7" t="s">
        <v>168</v>
      </c>
      <c r="W361" s="7">
        <v>108803</v>
      </c>
      <c r="X361" s="7" t="s">
        <v>169</v>
      </c>
      <c r="Y361" s="7" t="s">
        <v>170</v>
      </c>
      <c r="AA361" s="7" t="s">
        <v>171</v>
      </c>
      <c r="AB361" s="7" t="s">
        <v>172</v>
      </c>
      <c r="AC361" s="7">
        <v>1130</v>
      </c>
      <c r="AF361" s="7" t="s">
        <v>173</v>
      </c>
      <c r="AG361" s="7" t="s">
        <v>170</v>
      </c>
      <c r="AI361" s="7" t="s">
        <v>174</v>
      </c>
      <c r="AK361" s="7">
        <v>3</v>
      </c>
      <c r="AL361" s="7">
        <v>1</v>
      </c>
      <c r="AM361" s="7">
        <v>42552.15</v>
      </c>
      <c r="AN361" s="7">
        <v>9075.3700000000008</v>
      </c>
      <c r="AP361" s="7">
        <v>23336.1</v>
      </c>
      <c r="AQ361" s="30">
        <v>56812.88</v>
      </c>
      <c r="AS361" s="7">
        <v>1317.76</v>
      </c>
      <c r="AZ361" s="7">
        <v>523.73</v>
      </c>
      <c r="BG361" s="7">
        <v>1317.76</v>
      </c>
      <c r="BO361" s="7">
        <v>658.88</v>
      </c>
      <c r="BP361" s="7">
        <v>10000</v>
      </c>
      <c r="BR361" s="7">
        <v>13818.13</v>
      </c>
      <c r="BS361" s="7">
        <v>23336.1</v>
      </c>
      <c r="BT361" s="7">
        <f t="shared" si="264"/>
        <v>65888.25</v>
      </c>
      <c r="BU361" s="144">
        <f>+AZ361/BT361</f>
        <v>7.9487617291398704E-3</v>
      </c>
    </row>
    <row r="362" spans="1:73" ht="11.25" x14ac:dyDescent="0.2">
      <c r="A362" s="133">
        <f t="shared" si="263"/>
        <v>3</v>
      </c>
      <c r="B362" s="141">
        <v>45352</v>
      </c>
      <c r="C362" s="10" t="s">
        <v>102</v>
      </c>
      <c r="D362" s="42" t="str">
        <f t="shared" si="265"/>
        <v>NO</v>
      </c>
      <c r="E362" s="7">
        <v>341642</v>
      </c>
      <c r="F362" s="7" t="s">
        <v>931</v>
      </c>
      <c r="G362" s="7" t="s">
        <v>932</v>
      </c>
      <c r="H362" s="7">
        <v>45387</v>
      </c>
      <c r="I362" s="7">
        <v>46361129</v>
      </c>
      <c r="J362" s="7" t="s">
        <v>933</v>
      </c>
      <c r="K362" s="7" t="s">
        <v>934</v>
      </c>
      <c r="L362" s="7" t="s">
        <v>179</v>
      </c>
      <c r="N362" s="29">
        <v>45368</v>
      </c>
      <c r="Q362" s="7" t="s">
        <v>157</v>
      </c>
      <c r="R362" s="7" t="s">
        <v>165</v>
      </c>
      <c r="S362" s="7" t="s">
        <v>126</v>
      </c>
      <c r="T362" s="7" t="s">
        <v>180</v>
      </c>
      <c r="U362" s="7" t="s">
        <v>167</v>
      </c>
      <c r="V362" s="7" t="s">
        <v>168</v>
      </c>
      <c r="W362" s="7">
        <v>108803</v>
      </c>
      <c r="X362" s="7" t="s">
        <v>169</v>
      </c>
      <c r="Y362" s="7" t="s">
        <v>170</v>
      </c>
      <c r="AA362" s="7" t="s">
        <v>171</v>
      </c>
      <c r="AB362" s="7" t="s">
        <v>172</v>
      </c>
      <c r="AC362" s="7">
        <v>1130</v>
      </c>
      <c r="AF362" s="7" t="s">
        <v>173</v>
      </c>
      <c r="AG362" s="7" t="s">
        <v>170</v>
      </c>
      <c r="AI362" s="7" t="s">
        <v>174</v>
      </c>
      <c r="AK362" s="7">
        <v>1</v>
      </c>
      <c r="AL362" s="7">
        <v>1</v>
      </c>
      <c r="AM362" s="7">
        <v>35951.199999999997</v>
      </c>
      <c r="AN362" s="7">
        <v>7517.09</v>
      </c>
      <c r="AP362" s="7">
        <v>12570.73</v>
      </c>
      <c r="AQ362" s="30">
        <v>41004.839999999997</v>
      </c>
      <c r="AS362" s="7">
        <v>970.44</v>
      </c>
      <c r="AZ362" s="7">
        <v>434.94</v>
      </c>
      <c r="BG362" s="7">
        <v>970.44</v>
      </c>
      <c r="BO362" s="7">
        <v>485.22</v>
      </c>
      <c r="BP362" s="7">
        <v>5000</v>
      </c>
      <c r="BR362" s="7">
        <v>7861.04</v>
      </c>
      <c r="BS362" s="7">
        <v>12570.73</v>
      </c>
      <c r="BT362" s="7">
        <f t="shared" si="264"/>
        <v>48521.929999999993</v>
      </c>
      <c r="BU362" s="144">
        <f t="shared" ref="BU362:BU363" si="266">+AZ362/BT362</f>
        <v>8.9637819435459398E-3</v>
      </c>
    </row>
    <row r="363" spans="1:73" ht="11.25" x14ac:dyDescent="0.2">
      <c r="A363" s="133">
        <f t="shared" si="263"/>
        <v>3</v>
      </c>
      <c r="B363" s="141">
        <v>45352</v>
      </c>
      <c r="C363" s="10" t="s">
        <v>102</v>
      </c>
      <c r="D363" s="42" t="str">
        <f t="shared" si="265"/>
        <v>NO</v>
      </c>
      <c r="E363" s="7">
        <v>341515</v>
      </c>
      <c r="F363" s="7" t="s">
        <v>935</v>
      </c>
      <c r="G363" s="7" t="s">
        <v>936</v>
      </c>
      <c r="H363" s="7">
        <v>45387</v>
      </c>
      <c r="I363" s="7">
        <v>41687514</v>
      </c>
      <c r="J363" s="7" t="s">
        <v>933</v>
      </c>
      <c r="K363" s="7" t="s">
        <v>930</v>
      </c>
      <c r="L363" s="7" t="s">
        <v>179</v>
      </c>
      <c r="N363" s="29">
        <v>45377</v>
      </c>
      <c r="Q363" s="7" t="s">
        <v>157</v>
      </c>
      <c r="R363" s="7" t="s">
        <v>199</v>
      </c>
      <c r="S363" s="7" t="s">
        <v>126</v>
      </c>
      <c r="T363" s="7" t="s">
        <v>200</v>
      </c>
      <c r="U363" s="7" t="s">
        <v>167</v>
      </c>
      <c r="V363" s="7" t="s">
        <v>201</v>
      </c>
      <c r="W363" s="7">
        <v>108803</v>
      </c>
      <c r="X363" s="7" t="s">
        <v>169</v>
      </c>
      <c r="Y363" s="7" t="s">
        <v>170</v>
      </c>
      <c r="AA363" s="7" t="s">
        <v>189</v>
      </c>
      <c r="AB363" s="7" t="s">
        <v>190</v>
      </c>
      <c r="AC363" s="7">
        <v>1584</v>
      </c>
      <c r="AF363" s="7" t="s">
        <v>173</v>
      </c>
      <c r="AG363" s="7" t="s">
        <v>170</v>
      </c>
      <c r="AI363" s="7" t="s">
        <v>174</v>
      </c>
      <c r="AK363" s="7">
        <v>1</v>
      </c>
      <c r="AL363" s="7">
        <v>1</v>
      </c>
      <c r="AM363" s="7">
        <v>13978.68</v>
      </c>
      <c r="AN363" s="7">
        <v>2937.7</v>
      </c>
      <c r="AP363" s="7">
        <v>5460.42</v>
      </c>
      <c r="AQ363" s="30">
        <v>16501.400000000001</v>
      </c>
      <c r="AS363" s="7">
        <v>388.78</v>
      </c>
      <c r="AZ363" s="7">
        <v>172.55</v>
      </c>
      <c r="BG363" s="7">
        <v>388.78</v>
      </c>
      <c r="BO363" s="7">
        <v>194.39</v>
      </c>
      <c r="BP363" s="7">
        <v>5000</v>
      </c>
      <c r="BR363" s="7">
        <v>6144.5</v>
      </c>
      <c r="BS363" s="7">
        <v>5460.42</v>
      </c>
      <c r="BT363" s="7">
        <f t="shared" si="264"/>
        <v>19439.099999999999</v>
      </c>
      <c r="BU363" s="144">
        <f t="shared" si="266"/>
        <v>8.8764397528692182E-3</v>
      </c>
    </row>
    <row r="364" spans="1:73" ht="11.25" hidden="1" x14ac:dyDescent="0.2">
      <c r="A364" s="133">
        <f t="shared" si="263"/>
        <v>3</v>
      </c>
      <c r="B364" s="141">
        <v>45352</v>
      </c>
      <c r="C364" s="10"/>
      <c r="D364" s="42" t="str">
        <f t="shared" si="265"/>
        <v>NO</v>
      </c>
      <c r="E364" s="7">
        <v>329020</v>
      </c>
      <c r="F364" s="7" t="s">
        <v>160</v>
      </c>
      <c r="G364" s="7" t="s">
        <v>161</v>
      </c>
      <c r="H364" s="7">
        <v>45369</v>
      </c>
      <c r="I364" s="7">
        <v>35204140</v>
      </c>
      <c r="J364" s="7" t="s">
        <v>162</v>
      </c>
      <c r="K364" s="7" t="s">
        <v>163</v>
      </c>
      <c r="L364" s="7" t="s">
        <v>164</v>
      </c>
      <c r="N364" s="29">
        <v>45155</v>
      </c>
      <c r="Q364" s="7" t="s">
        <v>157</v>
      </c>
      <c r="R364" s="7" t="s">
        <v>165</v>
      </c>
      <c r="S364" s="7" t="s">
        <v>126</v>
      </c>
      <c r="T364" s="7" t="s">
        <v>166</v>
      </c>
      <c r="U364" s="7" t="s">
        <v>167</v>
      </c>
      <c r="V364" s="7" t="s">
        <v>168</v>
      </c>
      <c r="W364" s="7">
        <v>108803</v>
      </c>
      <c r="X364" s="7" t="s">
        <v>169</v>
      </c>
      <c r="Y364" s="7" t="s">
        <v>170</v>
      </c>
      <c r="AA364" s="7" t="s">
        <v>171</v>
      </c>
      <c r="AB364" s="7" t="s">
        <v>172</v>
      </c>
      <c r="AC364" s="7">
        <v>1130</v>
      </c>
      <c r="AF364" s="7" t="s">
        <v>173</v>
      </c>
      <c r="AG364" s="7" t="s">
        <v>170</v>
      </c>
      <c r="AI364" s="7" t="s">
        <v>174</v>
      </c>
      <c r="AK364" s="7">
        <v>1</v>
      </c>
      <c r="AL364" s="7">
        <v>1</v>
      </c>
      <c r="AN364" s="7">
        <v>192.26</v>
      </c>
      <c r="AP364" s="7">
        <v>9612.92</v>
      </c>
      <c r="AQ364" s="30">
        <v>9420.66</v>
      </c>
      <c r="AS364" s="7">
        <v>192.26</v>
      </c>
      <c r="BG364" s="7">
        <v>192.26</v>
      </c>
      <c r="BO364" s="7">
        <v>96.13</v>
      </c>
      <c r="BR364" s="7">
        <v>480.65</v>
      </c>
      <c r="BS364" s="7">
        <v>9612.92</v>
      </c>
      <c r="BT364" s="7">
        <f t="shared" si="264"/>
        <v>9612.92</v>
      </c>
    </row>
    <row r="365" spans="1:73" ht="11.25" x14ac:dyDescent="0.2">
      <c r="A365" s="133">
        <f t="shared" si="263"/>
        <v>3</v>
      </c>
      <c r="B365" s="141">
        <v>45352</v>
      </c>
      <c r="C365" s="10" t="s">
        <v>102</v>
      </c>
      <c r="D365" s="42" t="str">
        <f t="shared" si="265"/>
        <v>NO</v>
      </c>
      <c r="E365" s="7">
        <v>329022</v>
      </c>
      <c r="F365" s="7" t="s">
        <v>181</v>
      </c>
      <c r="G365" s="7" t="s">
        <v>182</v>
      </c>
      <c r="H365" s="7">
        <v>45379</v>
      </c>
      <c r="I365" s="7">
        <v>42039302</v>
      </c>
      <c r="J365" s="7" t="s">
        <v>183</v>
      </c>
      <c r="K365" s="7" t="s">
        <v>184</v>
      </c>
      <c r="L365" s="7" t="s">
        <v>179</v>
      </c>
      <c r="N365" s="29">
        <v>45159</v>
      </c>
      <c r="Q365" s="7" t="s">
        <v>157</v>
      </c>
      <c r="R365" s="7" t="s">
        <v>165</v>
      </c>
      <c r="S365" s="7" t="s">
        <v>126</v>
      </c>
      <c r="T365" s="7" t="s">
        <v>166</v>
      </c>
      <c r="U365" s="7" t="s">
        <v>167</v>
      </c>
      <c r="V365" s="7" t="s">
        <v>168</v>
      </c>
      <c r="W365" s="7">
        <v>108803</v>
      </c>
      <c r="X365" s="7" t="s">
        <v>169</v>
      </c>
      <c r="Y365" s="7" t="s">
        <v>170</v>
      </c>
      <c r="AA365" s="7" t="s">
        <v>171</v>
      </c>
      <c r="AB365" s="7" t="s">
        <v>172</v>
      </c>
      <c r="AC365" s="7">
        <v>1130</v>
      </c>
      <c r="AF365" s="7" t="s">
        <v>173</v>
      </c>
      <c r="AG365" s="7" t="s">
        <v>170</v>
      </c>
      <c r="AI365" s="7" t="s">
        <v>174</v>
      </c>
      <c r="AK365" s="7">
        <v>3</v>
      </c>
      <c r="AL365" s="7">
        <v>1</v>
      </c>
      <c r="AM365" s="7">
        <v>162837.76999999999</v>
      </c>
      <c r="AN365" s="7">
        <v>34252.03</v>
      </c>
      <c r="AP365" s="7">
        <v>67142.509999999995</v>
      </c>
      <c r="AQ365" s="30">
        <v>195728.25</v>
      </c>
      <c r="AS365" s="7">
        <v>4599.6099999999997</v>
      </c>
      <c r="AZ365" s="7">
        <v>1970.01</v>
      </c>
      <c r="BG365" s="7">
        <v>4599.6099999999997</v>
      </c>
      <c r="BO365" s="7">
        <v>2299.8000000000002</v>
      </c>
      <c r="BP365" s="7">
        <v>5000</v>
      </c>
      <c r="BR365" s="7">
        <v>18469.03</v>
      </c>
      <c r="BS365" s="7">
        <v>67142.510000000009</v>
      </c>
      <c r="BT365" s="7">
        <f t="shared" si="264"/>
        <v>229980.28</v>
      </c>
      <c r="BU365" s="144">
        <f t="shared" ref="BU365:BU366" si="267">+AZ365/BT365</f>
        <v>8.5659953105544535E-3</v>
      </c>
    </row>
    <row r="366" spans="1:73" ht="11.25" x14ac:dyDescent="0.2">
      <c r="A366" s="133">
        <f t="shared" si="263"/>
        <v>3</v>
      </c>
      <c r="B366" s="141">
        <v>45352</v>
      </c>
      <c r="C366" s="10" t="s">
        <v>102</v>
      </c>
      <c r="D366" s="42" t="str">
        <f t="shared" si="265"/>
        <v>NO</v>
      </c>
      <c r="E366" s="7">
        <v>340188</v>
      </c>
      <c r="F366" s="7" t="s">
        <v>822</v>
      </c>
      <c r="G366" s="7" t="s">
        <v>823</v>
      </c>
      <c r="H366" s="7">
        <v>45379</v>
      </c>
      <c r="I366" s="7">
        <v>44963310</v>
      </c>
      <c r="J366" s="7" t="s">
        <v>824</v>
      </c>
      <c r="K366" s="7" t="s">
        <v>825</v>
      </c>
      <c r="L366" s="7" t="s">
        <v>179</v>
      </c>
      <c r="N366" s="29">
        <v>45346</v>
      </c>
      <c r="Q366" s="7" t="s">
        <v>157</v>
      </c>
      <c r="R366" s="7" t="s">
        <v>165</v>
      </c>
      <c r="S366" s="7" t="s">
        <v>126</v>
      </c>
      <c r="T366" s="7" t="s">
        <v>166</v>
      </c>
      <c r="U366" s="7" t="s">
        <v>167</v>
      </c>
      <c r="V366" s="7" t="s">
        <v>168</v>
      </c>
      <c r="W366" s="7">
        <v>108803</v>
      </c>
      <c r="X366" s="7" t="s">
        <v>169</v>
      </c>
      <c r="Y366" s="7" t="s">
        <v>170</v>
      </c>
      <c r="AA366" s="7" t="s">
        <v>189</v>
      </c>
      <c r="AB366" s="7" t="s">
        <v>190</v>
      </c>
      <c r="AC366" s="7">
        <v>1584</v>
      </c>
      <c r="AF366" s="7" t="s">
        <v>173</v>
      </c>
      <c r="AG366" s="7" t="s">
        <v>170</v>
      </c>
      <c r="AI366" s="7" t="s">
        <v>174</v>
      </c>
      <c r="AK366" s="7">
        <v>2</v>
      </c>
      <c r="AL366" s="7">
        <v>1</v>
      </c>
      <c r="AM366" s="7">
        <v>138517.84</v>
      </c>
      <c r="AN366" s="7">
        <v>28976.17</v>
      </c>
      <c r="AP366" s="7">
        <v>49099.81</v>
      </c>
      <c r="AQ366" s="30">
        <v>158641.48000000001</v>
      </c>
      <c r="AS366" s="7">
        <v>3752.35</v>
      </c>
      <c r="AZ366" s="7">
        <v>1675.78</v>
      </c>
      <c r="BG366" s="7">
        <v>3752.35</v>
      </c>
      <c r="BO366" s="7">
        <v>1876.18</v>
      </c>
      <c r="BP366" s="7">
        <v>5000</v>
      </c>
      <c r="BR366" s="7">
        <v>16056.66</v>
      </c>
      <c r="BS366" s="7">
        <v>49099.81</v>
      </c>
      <c r="BT366" s="7">
        <f t="shared" si="264"/>
        <v>187617.65</v>
      </c>
      <c r="BU366" s="144">
        <f t="shared" si="267"/>
        <v>8.931888870796538E-3</v>
      </c>
    </row>
    <row r="367" spans="1:73" ht="11.25" hidden="1" x14ac:dyDescent="0.2">
      <c r="A367" s="133">
        <f t="shared" si="263"/>
        <v>3</v>
      </c>
      <c r="B367" s="141">
        <v>45352</v>
      </c>
      <c r="C367" s="10"/>
      <c r="D367" s="42" t="str">
        <f t="shared" si="265"/>
        <v>NO</v>
      </c>
      <c r="E367" s="7">
        <v>299732</v>
      </c>
      <c r="F367" s="7" t="s">
        <v>225</v>
      </c>
      <c r="G367" s="7" t="s">
        <v>226</v>
      </c>
      <c r="H367" s="7">
        <v>45369</v>
      </c>
      <c r="I367" s="7">
        <v>40868166</v>
      </c>
      <c r="J367" s="7" t="s">
        <v>227</v>
      </c>
      <c r="K367" s="7" t="s">
        <v>228</v>
      </c>
      <c r="L367" s="7" t="s">
        <v>179</v>
      </c>
      <c r="N367" s="29">
        <v>45303</v>
      </c>
      <c r="Q367" s="7" t="s">
        <v>157</v>
      </c>
      <c r="R367" s="7" t="s">
        <v>165</v>
      </c>
      <c r="S367" s="7" t="s">
        <v>126</v>
      </c>
      <c r="T367" s="7" t="s">
        <v>166</v>
      </c>
      <c r="U367" s="7" t="s">
        <v>167</v>
      </c>
      <c r="V367" s="7" t="s">
        <v>229</v>
      </c>
      <c r="W367" s="7">
        <v>108803</v>
      </c>
      <c r="X367" s="7" t="s">
        <v>169</v>
      </c>
      <c r="Y367" s="7" t="s">
        <v>170</v>
      </c>
      <c r="AA367" s="7" t="s">
        <v>208</v>
      </c>
      <c r="AB367" s="7" t="s">
        <v>209</v>
      </c>
      <c r="AC367" s="7">
        <v>1035</v>
      </c>
      <c r="AF367" s="7" t="s">
        <v>173</v>
      </c>
      <c r="AG367" s="7" t="s">
        <v>170</v>
      </c>
      <c r="AI367" s="7" t="s">
        <v>174</v>
      </c>
      <c r="AK367" s="7">
        <v>1</v>
      </c>
      <c r="AL367" s="7">
        <v>1</v>
      </c>
      <c r="AN367" s="7">
        <v>119.79</v>
      </c>
      <c r="AP367" s="7">
        <v>5989.59</v>
      </c>
      <c r="AQ367" s="30">
        <v>5869.8</v>
      </c>
      <c r="AS367" s="7">
        <v>119.79</v>
      </c>
      <c r="BG367" s="7">
        <v>119.79</v>
      </c>
      <c r="BO367" s="7">
        <v>59.9</v>
      </c>
      <c r="BR367" s="7">
        <v>299.48</v>
      </c>
      <c r="BS367" s="7">
        <v>5989.59</v>
      </c>
      <c r="BT367" s="7">
        <f t="shared" si="264"/>
        <v>5989.59</v>
      </c>
    </row>
    <row r="368" spans="1:73" ht="11.25" hidden="1" x14ac:dyDescent="0.2">
      <c r="A368" s="133">
        <f t="shared" si="263"/>
        <v>3</v>
      </c>
      <c r="B368" s="141">
        <v>45352</v>
      </c>
      <c r="C368" s="10"/>
      <c r="D368" s="42" t="str">
        <f t="shared" si="265"/>
        <v>NO</v>
      </c>
      <c r="E368" s="7">
        <v>289892</v>
      </c>
      <c r="F368" s="7" t="s">
        <v>241</v>
      </c>
      <c r="G368" s="7" t="s">
        <v>242</v>
      </c>
      <c r="H368" s="7">
        <v>45369</v>
      </c>
      <c r="I368" s="7">
        <v>96116024</v>
      </c>
      <c r="J368" s="7" t="s">
        <v>243</v>
      </c>
      <c r="K368" s="7" t="s">
        <v>244</v>
      </c>
      <c r="L368" s="7" t="s">
        <v>179</v>
      </c>
      <c r="N368" s="29">
        <v>45106</v>
      </c>
      <c r="O368" s="29">
        <v>45346</v>
      </c>
      <c r="Q368" s="7" t="s">
        <v>157</v>
      </c>
      <c r="R368" s="7" t="s">
        <v>245</v>
      </c>
      <c r="S368" s="7" t="s">
        <v>126</v>
      </c>
      <c r="T368" s="7" t="s">
        <v>200</v>
      </c>
      <c r="U368" s="7" t="s">
        <v>167</v>
      </c>
      <c r="V368" s="7" t="s">
        <v>246</v>
      </c>
      <c r="W368" s="7">
        <v>108803</v>
      </c>
      <c r="X368" s="7" t="s">
        <v>169</v>
      </c>
      <c r="Y368" s="7" t="s">
        <v>170</v>
      </c>
      <c r="AA368" s="7" t="s">
        <v>189</v>
      </c>
      <c r="AB368" s="7" t="s">
        <v>190</v>
      </c>
      <c r="AC368" s="7">
        <v>1584</v>
      </c>
      <c r="AF368" s="7" t="s">
        <v>173</v>
      </c>
      <c r="AG368" s="7" t="s">
        <v>170</v>
      </c>
      <c r="AI368" s="7" t="s">
        <v>174</v>
      </c>
      <c r="AK368" s="7">
        <v>2</v>
      </c>
      <c r="AL368" s="7">
        <v>1</v>
      </c>
      <c r="AN368" s="7">
        <v>281.88</v>
      </c>
      <c r="AP368" s="7">
        <v>14094.13</v>
      </c>
      <c r="AQ368" s="30">
        <v>13812.25</v>
      </c>
      <c r="AS368" s="7">
        <v>281.88</v>
      </c>
      <c r="BG368" s="7">
        <v>281.88</v>
      </c>
      <c r="BO368" s="7">
        <v>140.94999999999999</v>
      </c>
      <c r="BR368" s="7">
        <v>704.71</v>
      </c>
      <c r="BS368" s="7">
        <v>14094.13</v>
      </c>
      <c r="BT368" s="7">
        <f t="shared" si="264"/>
        <v>14094.13</v>
      </c>
    </row>
    <row r="369" spans="1:73" ht="11.25" hidden="1" x14ac:dyDescent="0.2">
      <c r="A369" s="133">
        <f t="shared" si="263"/>
        <v>3</v>
      </c>
      <c r="B369" s="141">
        <v>45352</v>
      </c>
      <c r="C369" s="10"/>
      <c r="D369" s="42" t="str">
        <f t="shared" si="265"/>
        <v>NO</v>
      </c>
      <c r="E369" s="7">
        <v>145511</v>
      </c>
      <c r="F369" s="7" t="s">
        <v>247</v>
      </c>
      <c r="G369" s="7" t="s">
        <v>248</v>
      </c>
      <c r="H369" s="7">
        <v>45369</v>
      </c>
      <c r="I369" s="7">
        <v>26978446</v>
      </c>
      <c r="J369" s="7" t="s">
        <v>249</v>
      </c>
      <c r="K369" s="7" t="s">
        <v>250</v>
      </c>
      <c r="L369" s="7" t="s">
        <v>179</v>
      </c>
      <c r="N369" s="29">
        <v>45007</v>
      </c>
      <c r="O369" s="29">
        <v>45322</v>
      </c>
      <c r="Q369" s="7" t="s">
        <v>157</v>
      </c>
      <c r="R369" s="7" t="s">
        <v>238</v>
      </c>
      <c r="S369" s="7" t="s">
        <v>126</v>
      </c>
      <c r="T369" s="7" t="s">
        <v>200</v>
      </c>
      <c r="U369" s="7" t="s">
        <v>167</v>
      </c>
      <c r="V369" s="7" t="s">
        <v>240</v>
      </c>
      <c r="W369" s="7">
        <v>108803</v>
      </c>
      <c r="X369" s="7" t="s">
        <v>169</v>
      </c>
      <c r="Y369" s="7" t="s">
        <v>170</v>
      </c>
      <c r="AA369" s="7" t="s">
        <v>189</v>
      </c>
      <c r="AB369" s="7" t="s">
        <v>190</v>
      </c>
      <c r="AC369" s="7">
        <v>1584</v>
      </c>
      <c r="AF369" s="7" t="s">
        <v>173</v>
      </c>
      <c r="AG369" s="7" t="s">
        <v>170</v>
      </c>
      <c r="AI369" s="7" t="s">
        <v>174</v>
      </c>
      <c r="AK369" s="7">
        <v>1</v>
      </c>
      <c r="AL369" s="7">
        <v>1</v>
      </c>
      <c r="AN369" s="7">
        <v>47.56</v>
      </c>
      <c r="AP369" s="7">
        <v>2377.9</v>
      </c>
      <c r="AQ369" s="30">
        <v>2330.34</v>
      </c>
      <c r="AS369" s="7">
        <v>47.56</v>
      </c>
      <c r="BG369" s="7">
        <v>47.56</v>
      </c>
      <c r="BO369" s="7">
        <v>23.78</v>
      </c>
      <c r="BR369" s="7">
        <v>118.9</v>
      </c>
      <c r="BS369" s="7">
        <v>9511.59</v>
      </c>
      <c r="BT369" s="7">
        <f t="shared" si="264"/>
        <v>9511.59</v>
      </c>
    </row>
    <row r="370" spans="1:73" ht="11.25" x14ac:dyDescent="0.2">
      <c r="A370" s="133">
        <f t="shared" si="263"/>
        <v>3</v>
      </c>
      <c r="B370" s="141">
        <v>45352</v>
      </c>
      <c r="C370" s="10" t="s">
        <v>102</v>
      </c>
      <c r="D370" s="42" t="str">
        <f t="shared" si="265"/>
        <v>NO</v>
      </c>
      <c r="E370" s="7">
        <v>340802</v>
      </c>
      <c r="F370" s="7" t="s">
        <v>937</v>
      </c>
      <c r="G370" s="7" t="s">
        <v>938</v>
      </c>
      <c r="H370" s="7">
        <v>45387</v>
      </c>
      <c r="I370" s="7">
        <v>46212962</v>
      </c>
      <c r="J370" s="7" t="s">
        <v>939</v>
      </c>
      <c r="K370" s="7" t="s">
        <v>940</v>
      </c>
      <c r="L370" s="7" t="s">
        <v>179</v>
      </c>
      <c r="N370" s="29">
        <v>45361</v>
      </c>
      <c r="Q370" s="7" t="s">
        <v>157</v>
      </c>
      <c r="R370" s="7" t="s">
        <v>165</v>
      </c>
      <c r="S370" s="7" t="s">
        <v>126</v>
      </c>
      <c r="T370" s="7" t="s">
        <v>180</v>
      </c>
      <c r="U370" s="7" t="s">
        <v>167</v>
      </c>
      <c r="V370" s="7" t="s">
        <v>168</v>
      </c>
      <c r="W370" s="7">
        <v>108803</v>
      </c>
      <c r="X370" s="7" t="s">
        <v>169</v>
      </c>
      <c r="Y370" s="7" t="s">
        <v>170</v>
      </c>
      <c r="AA370" s="7" t="s">
        <v>171</v>
      </c>
      <c r="AB370" s="7" t="s">
        <v>172</v>
      </c>
      <c r="AC370" s="7">
        <v>1130</v>
      </c>
      <c r="AF370" s="7" t="s">
        <v>173</v>
      </c>
      <c r="AG370" s="7" t="s">
        <v>170</v>
      </c>
      <c r="AI370" s="7" t="s">
        <v>174</v>
      </c>
      <c r="AK370" s="7">
        <v>3</v>
      </c>
      <c r="AL370" s="7">
        <v>1</v>
      </c>
      <c r="AM370" s="7">
        <v>50590.93</v>
      </c>
      <c r="AN370" s="7">
        <v>10522.02</v>
      </c>
      <c r="AP370" s="7">
        <v>15533.1</v>
      </c>
      <c r="AQ370" s="30">
        <v>55602.01</v>
      </c>
      <c r="AS370" s="7">
        <v>1322.48</v>
      </c>
      <c r="AZ370" s="7">
        <v>599.1</v>
      </c>
      <c r="BG370" s="7">
        <v>1322.48</v>
      </c>
      <c r="BO370" s="7">
        <v>661.25</v>
      </c>
      <c r="BP370" s="7">
        <v>10000</v>
      </c>
      <c r="BR370" s="7">
        <v>13905.31</v>
      </c>
      <c r="BS370" s="7">
        <v>15533.1</v>
      </c>
      <c r="BT370" s="7">
        <f t="shared" si="264"/>
        <v>66124.03</v>
      </c>
      <c r="BU370" s="144">
        <f t="shared" ref="BU370:BU371" si="268">+AZ370/BT370</f>
        <v>9.0602463279990646E-3</v>
      </c>
    </row>
    <row r="371" spans="1:73" ht="11.25" x14ac:dyDescent="0.2">
      <c r="A371" s="133">
        <f t="shared" si="263"/>
        <v>3</v>
      </c>
      <c r="B371" s="141">
        <v>45352</v>
      </c>
      <c r="C371" s="10" t="s">
        <v>102</v>
      </c>
      <c r="D371" s="42" t="str">
        <f t="shared" si="265"/>
        <v>NO</v>
      </c>
      <c r="E371" s="7">
        <v>340187</v>
      </c>
      <c r="F371" s="7" t="s">
        <v>832</v>
      </c>
      <c r="G371" s="7" t="s">
        <v>833</v>
      </c>
      <c r="H371" s="7">
        <v>45379</v>
      </c>
      <c r="I371" s="7">
        <v>35127927</v>
      </c>
      <c r="J371" s="7" t="s">
        <v>834</v>
      </c>
      <c r="K371" s="7" t="s">
        <v>835</v>
      </c>
      <c r="L371" s="7" t="s">
        <v>179</v>
      </c>
      <c r="N371" s="29">
        <v>45345</v>
      </c>
      <c r="Q371" s="7" t="s">
        <v>157</v>
      </c>
      <c r="R371" s="7" t="s">
        <v>165</v>
      </c>
      <c r="S371" s="7" t="s">
        <v>126</v>
      </c>
      <c r="T371" s="7" t="s">
        <v>166</v>
      </c>
      <c r="U371" s="7" t="s">
        <v>167</v>
      </c>
      <c r="V371" s="7" t="s">
        <v>168</v>
      </c>
      <c r="W371" s="7">
        <v>3009</v>
      </c>
      <c r="X371" s="7" t="s">
        <v>425</v>
      </c>
      <c r="Y371" s="7" t="s">
        <v>170</v>
      </c>
      <c r="AA371" s="7" t="s">
        <v>189</v>
      </c>
      <c r="AB371" s="7" t="s">
        <v>190</v>
      </c>
      <c r="AC371" s="7">
        <v>1584</v>
      </c>
      <c r="AF371" s="7" t="s">
        <v>173</v>
      </c>
      <c r="AG371" s="7" t="s">
        <v>170</v>
      </c>
      <c r="AI371" s="7" t="s">
        <v>174</v>
      </c>
      <c r="AK371" s="7">
        <v>2</v>
      </c>
      <c r="AL371" s="7">
        <v>1</v>
      </c>
      <c r="AM371" s="7">
        <v>98337.1</v>
      </c>
      <c r="AN371" s="7">
        <v>20588.04</v>
      </c>
      <c r="AP371" s="7">
        <v>35715.67</v>
      </c>
      <c r="AQ371" s="30">
        <v>113464.73</v>
      </c>
      <c r="AS371" s="7">
        <v>2681.06</v>
      </c>
      <c r="AZ371" s="7">
        <v>1189.68</v>
      </c>
      <c r="BG371" s="7">
        <v>2681.06</v>
      </c>
      <c r="BO371" s="7">
        <v>1340.53</v>
      </c>
      <c r="BP371" s="7">
        <v>5000</v>
      </c>
      <c r="BR371" s="7">
        <v>12892.33</v>
      </c>
      <c r="BS371" s="7">
        <v>35715.67</v>
      </c>
      <c r="BT371" s="7">
        <f t="shared" si="264"/>
        <v>134052.77000000002</v>
      </c>
      <c r="BU371" s="144">
        <f t="shared" si="268"/>
        <v>8.8747140398516191E-3</v>
      </c>
    </row>
    <row r="372" spans="1:73" ht="11.25" hidden="1" x14ac:dyDescent="0.2">
      <c r="A372" s="133">
        <f t="shared" si="263"/>
        <v>3</v>
      </c>
      <c r="B372" s="141">
        <v>45352</v>
      </c>
      <c r="C372" s="10"/>
      <c r="D372" s="42" t="str">
        <f t="shared" si="265"/>
        <v>NO</v>
      </c>
      <c r="E372" s="7">
        <v>311836</v>
      </c>
      <c r="F372" s="7" t="s">
        <v>255</v>
      </c>
      <c r="G372" s="7" t="s">
        <v>256</v>
      </c>
      <c r="H372" s="7">
        <v>45369</v>
      </c>
      <c r="I372" s="7">
        <v>44709690</v>
      </c>
      <c r="J372" s="7" t="s">
        <v>257</v>
      </c>
      <c r="K372" s="7" t="s">
        <v>258</v>
      </c>
      <c r="L372" s="7" t="s">
        <v>164</v>
      </c>
      <c r="N372" s="29">
        <v>44893</v>
      </c>
      <c r="Q372" s="7" t="s">
        <v>157</v>
      </c>
      <c r="R372" s="7" t="s">
        <v>165</v>
      </c>
      <c r="S372" s="7" t="s">
        <v>126</v>
      </c>
      <c r="T372" s="7" t="s">
        <v>166</v>
      </c>
      <c r="U372" s="7" t="s">
        <v>167</v>
      </c>
      <c r="V372" s="7" t="s">
        <v>168</v>
      </c>
      <c r="W372" s="7">
        <v>108803</v>
      </c>
      <c r="X372" s="7" t="s">
        <v>169</v>
      </c>
      <c r="Y372" s="7" t="s">
        <v>170</v>
      </c>
      <c r="AA372" s="7" t="s">
        <v>189</v>
      </c>
      <c r="AB372" s="7" t="s">
        <v>190</v>
      </c>
      <c r="AC372" s="7">
        <v>1584</v>
      </c>
      <c r="AF372" s="7" t="s">
        <v>170</v>
      </c>
      <c r="AG372" s="7" t="s">
        <v>170</v>
      </c>
      <c r="AI372" s="7" t="s">
        <v>174</v>
      </c>
      <c r="AK372" s="7">
        <v>1</v>
      </c>
      <c r="AL372" s="7">
        <v>1</v>
      </c>
      <c r="AN372" s="7">
        <v>167.12</v>
      </c>
      <c r="AP372" s="7">
        <v>8355.84</v>
      </c>
      <c r="AQ372" s="30">
        <v>8188.72</v>
      </c>
      <c r="AS372" s="7">
        <v>167.12</v>
      </c>
      <c r="BG372" s="7">
        <v>167.12</v>
      </c>
      <c r="BO372" s="7">
        <v>83.56</v>
      </c>
      <c r="BR372" s="7">
        <v>417.8</v>
      </c>
      <c r="BS372" s="7">
        <v>8355.84</v>
      </c>
      <c r="BT372" s="7">
        <f t="shared" si="264"/>
        <v>8355.84</v>
      </c>
    </row>
    <row r="373" spans="1:73" ht="11.25" x14ac:dyDescent="0.2">
      <c r="A373" s="133">
        <f t="shared" si="263"/>
        <v>3</v>
      </c>
      <c r="B373" s="141">
        <v>45352</v>
      </c>
      <c r="C373" s="10" t="s">
        <v>102</v>
      </c>
      <c r="D373" s="42" t="str">
        <f t="shared" si="265"/>
        <v>NO</v>
      </c>
      <c r="E373" s="7">
        <v>341097</v>
      </c>
      <c r="F373" s="7" t="s">
        <v>941</v>
      </c>
      <c r="G373" s="7" t="s">
        <v>942</v>
      </c>
      <c r="H373" s="7">
        <v>45387</v>
      </c>
      <c r="I373" s="7">
        <v>46993848</v>
      </c>
      <c r="J373" s="7" t="s">
        <v>943</v>
      </c>
      <c r="K373" s="7" t="s">
        <v>944</v>
      </c>
      <c r="L373" s="7" t="s">
        <v>179</v>
      </c>
      <c r="N373" s="29">
        <v>45360</v>
      </c>
      <c r="Q373" s="7" t="s">
        <v>157</v>
      </c>
      <c r="R373" s="7" t="s">
        <v>245</v>
      </c>
      <c r="S373" s="7" t="s">
        <v>126</v>
      </c>
      <c r="T373" s="7" t="s">
        <v>239</v>
      </c>
      <c r="U373" s="7" t="s">
        <v>167</v>
      </c>
      <c r="V373" s="7" t="s">
        <v>246</v>
      </c>
      <c r="W373" s="7">
        <v>108803</v>
      </c>
      <c r="X373" s="7" t="s">
        <v>169</v>
      </c>
      <c r="Y373" s="7" t="s">
        <v>170</v>
      </c>
      <c r="AA373" s="7" t="s">
        <v>171</v>
      </c>
      <c r="AB373" s="7" t="s">
        <v>172</v>
      </c>
      <c r="AC373" s="7">
        <v>1130</v>
      </c>
      <c r="AF373" s="7" t="s">
        <v>173</v>
      </c>
      <c r="AG373" s="7" t="s">
        <v>170</v>
      </c>
      <c r="AI373" s="7" t="s">
        <v>174</v>
      </c>
      <c r="AK373" s="7">
        <v>1</v>
      </c>
      <c r="AL373" s="7">
        <v>1</v>
      </c>
      <c r="AM373" s="7">
        <v>96095.02</v>
      </c>
      <c r="AN373" s="7">
        <v>20194.96</v>
      </c>
      <c r="AP373" s="7">
        <v>37537.120000000003</v>
      </c>
      <c r="AQ373" s="30">
        <v>113437.18</v>
      </c>
      <c r="AS373" s="7">
        <v>2672.64</v>
      </c>
      <c r="AZ373" s="7">
        <v>1186.17</v>
      </c>
      <c r="BG373" s="7">
        <v>2672.64</v>
      </c>
      <c r="BO373" s="7">
        <v>1336.32</v>
      </c>
      <c r="BP373" s="7">
        <v>5000</v>
      </c>
      <c r="BR373" s="7">
        <v>12867.77</v>
      </c>
      <c r="BS373" s="7">
        <v>37537.120000000003</v>
      </c>
      <c r="BT373" s="7">
        <f t="shared" si="264"/>
        <v>133632.14000000001</v>
      </c>
      <c r="BU373" s="144">
        <f t="shared" ref="BU373:BU374" si="269">+AZ373/BT373</f>
        <v>8.8763825828127862E-3</v>
      </c>
    </row>
    <row r="374" spans="1:73" ht="11.25" x14ac:dyDescent="0.2">
      <c r="A374" s="133">
        <f t="shared" si="263"/>
        <v>3</v>
      </c>
      <c r="B374" s="141">
        <v>45352</v>
      </c>
      <c r="C374" s="10" t="s">
        <v>102</v>
      </c>
      <c r="D374" s="42" t="str">
        <f t="shared" si="265"/>
        <v>NO</v>
      </c>
      <c r="E374" s="7">
        <v>341457</v>
      </c>
      <c r="F374" s="7" t="s">
        <v>945</v>
      </c>
      <c r="G374" s="7" t="s">
        <v>946</v>
      </c>
      <c r="H374" s="7">
        <v>45387</v>
      </c>
      <c r="I374" s="7">
        <v>42528079</v>
      </c>
      <c r="J374" s="7" t="s">
        <v>838</v>
      </c>
      <c r="K374" s="7" t="s">
        <v>947</v>
      </c>
      <c r="L374" s="7" t="s">
        <v>164</v>
      </c>
      <c r="N374" s="29">
        <v>45372</v>
      </c>
      <c r="Q374" s="7" t="s">
        <v>157</v>
      </c>
      <c r="R374" s="7" t="s">
        <v>165</v>
      </c>
      <c r="S374" s="7" t="s">
        <v>126</v>
      </c>
      <c r="T374" s="7" t="s">
        <v>180</v>
      </c>
      <c r="U374" s="7" t="s">
        <v>167</v>
      </c>
      <c r="V374" s="7" t="s">
        <v>168</v>
      </c>
      <c r="W374" s="7">
        <v>108803</v>
      </c>
      <c r="X374" s="7" t="s">
        <v>169</v>
      </c>
      <c r="Y374" s="7" t="s">
        <v>170</v>
      </c>
      <c r="AA374" s="7" t="s">
        <v>171</v>
      </c>
      <c r="AB374" s="7" t="s">
        <v>172</v>
      </c>
      <c r="AC374" s="7">
        <v>1130</v>
      </c>
      <c r="AF374" s="7" t="s">
        <v>173</v>
      </c>
      <c r="AG374" s="7" t="s">
        <v>170</v>
      </c>
      <c r="AI374" s="7" t="s">
        <v>174</v>
      </c>
      <c r="AK374" s="7">
        <v>2</v>
      </c>
      <c r="AL374" s="7">
        <v>1</v>
      </c>
      <c r="AM374" s="7">
        <v>45424.67</v>
      </c>
      <c r="AN374" s="7">
        <v>9531.64</v>
      </c>
      <c r="AP374" s="7">
        <v>17180.919999999998</v>
      </c>
      <c r="AQ374" s="30">
        <v>53073.95</v>
      </c>
      <c r="AS374" s="7">
        <v>1252.1099999999999</v>
      </c>
      <c r="AZ374" s="7">
        <v>557.33000000000004</v>
      </c>
      <c r="BG374" s="7">
        <v>1252.1099999999999</v>
      </c>
      <c r="BO374" s="7">
        <v>626.05999999999995</v>
      </c>
      <c r="BP374" s="7">
        <v>5000</v>
      </c>
      <c r="BR374" s="7">
        <v>8687.61</v>
      </c>
      <c r="BS374" s="7">
        <v>17180.919999999998</v>
      </c>
      <c r="BT374" s="7">
        <f t="shared" si="264"/>
        <v>62605.59</v>
      </c>
      <c r="BU374" s="144">
        <f t="shared" si="269"/>
        <v>8.9022401993176653E-3</v>
      </c>
    </row>
    <row r="375" spans="1:73" ht="11.25" hidden="1" x14ac:dyDescent="0.2">
      <c r="A375" s="133">
        <f t="shared" si="263"/>
        <v>3</v>
      </c>
      <c r="B375" s="141">
        <v>45352</v>
      </c>
      <c r="C375" s="10"/>
      <c r="D375" s="42" t="str">
        <f t="shared" si="265"/>
        <v>NO</v>
      </c>
      <c r="E375" s="7">
        <v>340350</v>
      </c>
      <c r="F375" s="7" t="s">
        <v>836</v>
      </c>
      <c r="G375" s="7" t="s">
        <v>837</v>
      </c>
      <c r="H375" s="7">
        <v>45369</v>
      </c>
      <c r="I375" s="7">
        <v>35402851</v>
      </c>
      <c r="J375" s="7" t="s">
        <v>838</v>
      </c>
      <c r="K375" s="7" t="s">
        <v>839</v>
      </c>
      <c r="L375" s="7" t="s">
        <v>179</v>
      </c>
      <c r="N375" s="29">
        <v>45339</v>
      </c>
      <c r="O375" s="29">
        <v>45358</v>
      </c>
      <c r="P375" s="29">
        <v>45358</v>
      </c>
      <c r="Q375" s="7" t="s">
        <v>157</v>
      </c>
      <c r="R375" s="7" t="s">
        <v>245</v>
      </c>
      <c r="S375" s="7" t="s">
        <v>126</v>
      </c>
      <c r="T375" s="7" t="s">
        <v>206</v>
      </c>
      <c r="U375" s="7" t="s">
        <v>167</v>
      </c>
      <c r="V375" s="7" t="s">
        <v>246</v>
      </c>
      <c r="W375" s="7">
        <v>111209</v>
      </c>
      <c r="X375" s="7" t="s">
        <v>840</v>
      </c>
      <c r="Y375" s="7" t="s">
        <v>170</v>
      </c>
      <c r="AA375" s="7" t="s">
        <v>208</v>
      </c>
      <c r="AB375" s="7" t="s">
        <v>209</v>
      </c>
      <c r="AC375" s="7">
        <v>1035</v>
      </c>
      <c r="AF375" s="7" t="s">
        <v>173</v>
      </c>
      <c r="AG375" s="7" t="s">
        <v>170</v>
      </c>
      <c r="AI375" s="7" t="s">
        <v>174</v>
      </c>
      <c r="AK375" s="7">
        <v>1</v>
      </c>
      <c r="AL375" s="7">
        <v>1</v>
      </c>
      <c r="AN375" s="7">
        <v>22.66</v>
      </c>
      <c r="AP375" s="7">
        <v>1133.2</v>
      </c>
      <c r="AQ375" s="30">
        <v>1110.54</v>
      </c>
      <c r="AS375" s="7">
        <v>22.66</v>
      </c>
      <c r="BG375" s="7">
        <v>22.66</v>
      </c>
      <c r="BO375" s="7">
        <v>11.33</v>
      </c>
      <c r="BR375" s="7">
        <v>56.65</v>
      </c>
      <c r="BS375" s="7">
        <v>1133.2</v>
      </c>
      <c r="BT375" s="7">
        <f t="shared" si="264"/>
        <v>1133.2</v>
      </c>
    </row>
    <row r="376" spans="1:73" ht="11.25" x14ac:dyDescent="0.2">
      <c r="A376" s="133">
        <f t="shared" si="263"/>
        <v>3</v>
      </c>
      <c r="B376" s="141">
        <v>45352</v>
      </c>
      <c r="C376" s="10" t="s">
        <v>102</v>
      </c>
      <c r="D376" s="42" t="str">
        <f t="shared" si="265"/>
        <v>NO</v>
      </c>
      <c r="E376" s="7">
        <v>90774</v>
      </c>
      <c r="F376" s="7" t="s">
        <v>948</v>
      </c>
      <c r="G376" s="7" t="s">
        <v>949</v>
      </c>
      <c r="H376" s="7">
        <v>45387</v>
      </c>
      <c r="I376" s="7">
        <v>33306226</v>
      </c>
      <c r="J376" s="7" t="s">
        <v>950</v>
      </c>
      <c r="K376" s="7" t="s">
        <v>951</v>
      </c>
      <c r="L376" s="7" t="s">
        <v>179</v>
      </c>
      <c r="N376" s="29">
        <v>45361</v>
      </c>
      <c r="Q376" s="7" t="s">
        <v>157</v>
      </c>
      <c r="R376" s="7" t="s">
        <v>165</v>
      </c>
      <c r="S376" s="7" t="s">
        <v>126</v>
      </c>
      <c r="T376" s="7" t="s">
        <v>180</v>
      </c>
      <c r="U376" s="7" t="s">
        <v>167</v>
      </c>
      <c r="V376" s="7" t="s">
        <v>168</v>
      </c>
      <c r="W376" s="7">
        <v>108803</v>
      </c>
      <c r="X376" s="7" t="s">
        <v>169</v>
      </c>
      <c r="Y376" s="7" t="s">
        <v>170</v>
      </c>
      <c r="AA376" s="7" t="s">
        <v>171</v>
      </c>
      <c r="AB376" s="7" t="s">
        <v>172</v>
      </c>
      <c r="AC376" s="7">
        <v>1130</v>
      </c>
      <c r="AF376" s="7" t="s">
        <v>173</v>
      </c>
      <c r="AG376" s="7" t="s">
        <v>170</v>
      </c>
      <c r="AI376" s="7" t="s">
        <v>174</v>
      </c>
      <c r="AK376" s="7">
        <v>1</v>
      </c>
      <c r="AL376" s="7">
        <v>1</v>
      </c>
      <c r="AM376" s="7">
        <v>82476.28</v>
      </c>
      <c r="AN376" s="7">
        <v>17245.07</v>
      </c>
      <c r="AP376" s="7">
        <v>28838.75</v>
      </c>
      <c r="AQ376" s="30">
        <v>94069.96</v>
      </c>
      <c r="AS376" s="7">
        <v>2226.3000000000002</v>
      </c>
      <c r="AZ376" s="7">
        <v>997.8</v>
      </c>
      <c r="BG376" s="7">
        <v>2226.3000000000002</v>
      </c>
      <c r="BO376" s="7">
        <v>1113.1500000000001</v>
      </c>
      <c r="BP376" s="7">
        <v>5000</v>
      </c>
      <c r="BR376" s="7">
        <v>11563.55</v>
      </c>
      <c r="BS376" s="7">
        <v>28838.75</v>
      </c>
      <c r="BT376" s="7">
        <f t="shared" si="264"/>
        <v>111315.03</v>
      </c>
      <c r="BU376" s="144">
        <f t="shared" ref="BU376:BU377" si="270">+AZ376/BT376</f>
        <v>8.9637491001888954E-3</v>
      </c>
    </row>
    <row r="377" spans="1:73" ht="11.25" x14ac:dyDescent="0.2">
      <c r="A377" s="133">
        <f t="shared" si="263"/>
        <v>3</v>
      </c>
      <c r="B377" s="141">
        <v>45352</v>
      </c>
      <c r="C377" s="10" t="s">
        <v>102</v>
      </c>
      <c r="D377" s="42" t="str">
        <f t="shared" si="265"/>
        <v>NO</v>
      </c>
      <c r="E377" s="7">
        <v>340480</v>
      </c>
      <c r="F377" s="7" t="s">
        <v>952</v>
      </c>
      <c r="G377" s="7" t="s">
        <v>953</v>
      </c>
      <c r="H377" s="7">
        <v>45387</v>
      </c>
      <c r="I377" s="7">
        <v>38457546</v>
      </c>
      <c r="J377" s="7" t="s">
        <v>954</v>
      </c>
      <c r="K377" s="7" t="s">
        <v>955</v>
      </c>
      <c r="L377" s="7" t="s">
        <v>179</v>
      </c>
      <c r="N377" s="29">
        <v>45355</v>
      </c>
      <c r="Q377" s="7" t="s">
        <v>157</v>
      </c>
      <c r="R377" s="7" t="s">
        <v>165</v>
      </c>
      <c r="S377" s="7" t="s">
        <v>126</v>
      </c>
      <c r="T377" s="7" t="s">
        <v>206</v>
      </c>
      <c r="U377" s="7" t="s">
        <v>167</v>
      </c>
      <c r="V377" s="7" t="s">
        <v>207</v>
      </c>
      <c r="W377" s="7">
        <v>3900</v>
      </c>
      <c r="X377" s="7" t="s">
        <v>956</v>
      </c>
      <c r="Y377" s="7" t="s">
        <v>170</v>
      </c>
      <c r="AA377" s="7" t="s">
        <v>208</v>
      </c>
      <c r="AB377" s="7" t="s">
        <v>209</v>
      </c>
      <c r="AC377" s="7">
        <v>1035</v>
      </c>
      <c r="AF377" s="7" t="s">
        <v>173</v>
      </c>
      <c r="AG377" s="7" t="s">
        <v>170</v>
      </c>
      <c r="AI377" s="7" t="s">
        <v>174</v>
      </c>
      <c r="AK377" s="7">
        <v>1</v>
      </c>
      <c r="AL377" s="7">
        <v>1</v>
      </c>
      <c r="AM377" s="7">
        <v>61759.7</v>
      </c>
      <c r="AN377" s="7">
        <v>12979.19</v>
      </c>
      <c r="AP377" s="7">
        <v>24124.880000000001</v>
      </c>
      <c r="AQ377" s="30">
        <v>72905.39</v>
      </c>
      <c r="AS377" s="7">
        <v>1717.69</v>
      </c>
      <c r="AZ377" s="7">
        <v>762.35</v>
      </c>
      <c r="BG377" s="7">
        <v>1717.69</v>
      </c>
      <c r="BO377" s="7">
        <v>858.85</v>
      </c>
      <c r="BP377" s="7">
        <v>5000</v>
      </c>
      <c r="BR377" s="7">
        <v>10056.58</v>
      </c>
      <c r="BS377" s="7">
        <v>24124.880000000001</v>
      </c>
      <c r="BT377" s="7">
        <f t="shared" si="264"/>
        <v>85884.58</v>
      </c>
      <c r="BU377" s="144">
        <f t="shared" si="270"/>
        <v>8.8764479025221985E-3</v>
      </c>
    </row>
    <row r="378" spans="1:73" ht="11.25" hidden="1" x14ac:dyDescent="0.2">
      <c r="A378" s="133">
        <f t="shared" si="263"/>
        <v>3</v>
      </c>
      <c r="B378" s="141">
        <v>45352</v>
      </c>
      <c r="C378" s="10"/>
      <c r="D378" s="42" t="str">
        <f t="shared" si="265"/>
        <v>NO</v>
      </c>
      <c r="E378" s="7">
        <v>311855</v>
      </c>
      <c r="F378" s="7" t="s">
        <v>259</v>
      </c>
      <c r="G378" s="7" t="s">
        <v>260</v>
      </c>
      <c r="H378" s="7">
        <v>45369</v>
      </c>
      <c r="I378" s="7">
        <v>23804102</v>
      </c>
      <c r="J378" s="7" t="s">
        <v>261</v>
      </c>
      <c r="K378" s="7" t="s">
        <v>262</v>
      </c>
      <c r="L378" s="7" t="s">
        <v>164</v>
      </c>
      <c r="N378" s="29">
        <v>45281</v>
      </c>
      <c r="Q378" s="7" t="s">
        <v>157</v>
      </c>
      <c r="R378" s="7" t="s">
        <v>238</v>
      </c>
      <c r="S378" s="7" t="s">
        <v>126</v>
      </c>
      <c r="T378" s="7" t="s">
        <v>206</v>
      </c>
      <c r="U378" s="7" t="s">
        <v>167</v>
      </c>
      <c r="V378" s="7" t="s">
        <v>240</v>
      </c>
      <c r="W378" s="7">
        <v>108803</v>
      </c>
      <c r="X378" s="7" t="s">
        <v>169</v>
      </c>
      <c r="Y378" s="7" t="s">
        <v>170</v>
      </c>
      <c r="AA378" s="7" t="s">
        <v>208</v>
      </c>
      <c r="AB378" s="7" t="s">
        <v>209</v>
      </c>
      <c r="AC378" s="7">
        <v>1035</v>
      </c>
      <c r="AF378" s="7" t="s">
        <v>173</v>
      </c>
      <c r="AG378" s="7" t="s">
        <v>170</v>
      </c>
      <c r="AI378" s="7" t="s">
        <v>174</v>
      </c>
      <c r="AK378" s="7">
        <v>1</v>
      </c>
      <c r="AL378" s="7">
        <v>1</v>
      </c>
      <c r="AN378" s="7">
        <v>23.78</v>
      </c>
      <c r="AP378" s="7">
        <v>1188.95</v>
      </c>
      <c r="AQ378" s="30">
        <v>1165.17</v>
      </c>
      <c r="AS378" s="7">
        <v>23.78</v>
      </c>
      <c r="BG378" s="7">
        <v>23.78</v>
      </c>
      <c r="BO378" s="7">
        <v>11.89</v>
      </c>
      <c r="BR378" s="7">
        <v>59.45</v>
      </c>
      <c r="BS378" s="7">
        <v>1188.95</v>
      </c>
      <c r="BT378" s="7">
        <f t="shared" si="264"/>
        <v>1188.95</v>
      </c>
    </row>
    <row r="379" spans="1:73" ht="11.25" hidden="1" x14ac:dyDescent="0.2">
      <c r="A379" s="133">
        <f t="shared" si="263"/>
        <v>3</v>
      </c>
      <c r="B379" s="141">
        <v>45352</v>
      </c>
      <c r="C379" s="10"/>
      <c r="D379" s="42" t="str">
        <f t="shared" si="265"/>
        <v>NO</v>
      </c>
      <c r="E379" s="7">
        <v>334129</v>
      </c>
      <c r="F379" s="7" t="s">
        <v>263</v>
      </c>
      <c r="G379" s="7" t="s">
        <v>264</v>
      </c>
      <c r="H379" s="7">
        <v>45369</v>
      </c>
      <c r="I379" s="7">
        <v>40080070</v>
      </c>
      <c r="J379" s="7" t="s">
        <v>265</v>
      </c>
      <c r="K379" s="7" t="s">
        <v>266</v>
      </c>
      <c r="L379" s="7" t="s">
        <v>179</v>
      </c>
      <c r="N379" s="29">
        <v>45241</v>
      </c>
      <c r="Q379" s="7" t="s">
        <v>157</v>
      </c>
      <c r="R379" s="7" t="s">
        <v>165</v>
      </c>
      <c r="S379" s="7" t="s">
        <v>126</v>
      </c>
      <c r="T379" s="7" t="s">
        <v>239</v>
      </c>
      <c r="U379" s="7" t="s">
        <v>167</v>
      </c>
      <c r="V379" s="7" t="s">
        <v>168</v>
      </c>
      <c r="W379" s="7">
        <v>111605</v>
      </c>
      <c r="X379" s="7" t="s">
        <v>267</v>
      </c>
      <c r="Y379" s="7" t="s">
        <v>170</v>
      </c>
      <c r="AA379" s="7" t="s">
        <v>171</v>
      </c>
      <c r="AB379" s="7" t="s">
        <v>172</v>
      </c>
      <c r="AC379" s="7">
        <v>1130</v>
      </c>
      <c r="AF379" s="7" t="s">
        <v>173</v>
      </c>
      <c r="AG379" s="7" t="s">
        <v>170</v>
      </c>
      <c r="AI379" s="7" t="s">
        <v>174</v>
      </c>
      <c r="AK379" s="7">
        <v>1</v>
      </c>
      <c r="AL379" s="7">
        <v>1</v>
      </c>
      <c r="AN379" s="7">
        <v>19.97</v>
      </c>
      <c r="AP379" s="7">
        <v>998.27</v>
      </c>
      <c r="AQ379" s="30">
        <v>978.3</v>
      </c>
      <c r="AS379" s="7">
        <v>19.97</v>
      </c>
      <c r="BG379" s="7">
        <v>19.97</v>
      </c>
      <c r="BO379" s="7">
        <v>9.98</v>
      </c>
      <c r="BR379" s="7">
        <v>49.92</v>
      </c>
      <c r="BS379" s="7">
        <v>998.27</v>
      </c>
      <c r="BT379" s="7">
        <f t="shared" si="264"/>
        <v>998.27</v>
      </c>
    </row>
    <row r="380" spans="1:73" ht="11.25" x14ac:dyDescent="0.2">
      <c r="A380" s="133">
        <f t="shared" si="263"/>
        <v>3</v>
      </c>
      <c r="B380" s="141">
        <v>45352</v>
      </c>
      <c r="C380" s="10" t="s">
        <v>102</v>
      </c>
      <c r="D380" s="42" t="str">
        <f t="shared" si="265"/>
        <v>NO</v>
      </c>
      <c r="E380" s="7">
        <v>308931</v>
      </c>
      <c r="F380" s="7" t="s">
        <v>276</v>
      </c>
      <c r="G380" s="7" t="s">
        <v>277</v>
      </c>
      <c r="H380" s="7">
        <v>45387</v>
      </c>
      <c r="I380" s="7">
        <v>94598200</v>
      </c>
      <c r="J380" s="7" t="s">
        <v>278</v>
      </c>
      <c r="K380" s="7" t="s">
        <v>279</v>
      </c>
      <c r="L380" s="7" t="s">
        <v>164</v>
      </c>
      <c r="N380" s="29">
        <v>45338</v>
      </c>
      <c r="Q380" s="7" t="s">
        <v>157</v>
      </c>
      <c r="R380" s="7" t="s">
        <v>214</v>
      </c>
      <c r="S380" s="7" t="s">
        <v>126</v>
      </c>
      <c r="T380" s="7" t="s">
        <v>239</v>
      </c>
      <c r="U380" s="7" t="s">
        <v>167</v>
      </c>
      <c r="V380" s="7" t="s">
        <v>215</v>
      </c>
      <c r="W380" s="7">
        <v>108803</v>
      </c>
      <c r="X380" s="7" t="s">
        <v>169</v>
      </c>
      <c r="Y380" s="7" t="s">
        <v>170</v>
      </c>
      <c r="AA380" s="7" t="s">
        <v>171</v>
      </c>
      <c r="AB380" s="7" t="s">
        <v>172</v>
      </c>
      <c r="AC380" s="7">
        <v>1130</v>
      </c>
      <c r="AF380" s="7" t="s">
        <v>173</v>
      </c>
      <c r="AG380" s="7" t="s">
        <v>170</v>
      </c>
      <c r="AI380" s="7" t="s">
        <v>174</v>
      </c>
      <c r="AK380" s="7">
        <v>2</v>
      </c>
      <c r="AL380" s="7">
        <v>1</v>
      </c>
      <c r="AM380" s="7">
        <v>105155.5</v>
      </c>
      <c r="AN380" s="7">
        <v>22197.38</v>
      </c>
      <c r="AP380" s="7">
        <v>45990.18</v>
      </c>
      <c r="AQ380" s="30">
        <v>128948.3</v>
      </c>
      <c r="AS380" s="7">
        <v>3022.92</v>
      </c>
      <c r="AZ380" s="7">
        <v>1298.01</v>
      </c>
      <c r="BG380" s="7">
        <v>3022.92</v>
      </c>
      <c r="BO380" s="7">
        <v>1511.46</v>
      </c>
      <c r="BP380" s="7">
        <v>5000</v>
      </c>
      <c r="BR380" s="7">
        <v>13855.31</v>
      </c>
      <c r="BS380" s="7">
        <v>45990.18</v>
      </c>
      <c r="BT380" s="7">
        <f t="shared" si="264"/>
        <v>151145.68</v>
      </c>
      <c r="BU380" s="144">
        <f t="shared" ref="BU380:BU384" si="271">+AZ380/BT380</f>
        <v>8.5878074715731202E-3</v>
      </c>
    </row>
    <row r="381" spans="1:73" ht="11.25" x14ac:dyDescent="0.2">
      <c r="A381" s="133">
        <f t="shared" si="263"/>
        <v>3</v>
      </c>
      <c r="B381" s="141">
        <v>45352</v>
      </c>
      <c r="C381" s="10" t="s">
        <v>102</v>
      </c>
      <c r="D381" s="42" t="str">
        <f t="shared" si="265"/>
        <v>NO</v>
      </c>
      <c r="E381" s="7">
        <v>327586</v>
      </c>
      <c r="F381" s="7" t="s">
        <v>288</v>
      </c>
      <c r="G381" s="7" t="s">
        <v>289</v>
      </c>
      <c r="H381" s="7">
        <v>45379</v>
      </c>
      <c r="I381" s="7">
        <v>41585266</v>
      </c>
      <c r="J381" s="7" t="s">
        <v>290</v>
      </c>
      <c r="K381" s="7" t="s">
        <v>291</v>
      </c>
      <c r="L381" s="7" t="s">
        <v>164</v>
      </c>
      <c r="N381" s="29">
        <v>45138</v>
      </c>
      <c r="Q381" s="7" t="s">
        <v>157</v>
      </c>
      <c r="R381" s="7" t="s">
        <v>165</v>
      </c>
      <c r="S381" s="7" t="s">
        <v>126</v>
      </c>
      <c r="T381" s="7" t="s">
        <v>166</v>
      </c>
      <c r="U381" s="7" t="s">
        <v>167</v>
      </c>
      <c r="V381" s="7" t="s">
        <v>168</v>
      </c>
      <c r="W381" s="7">
        <v>108803</v>
      </c>
      <c r="X381" s="7" t="s">
        <v>169</v>
      </c>
      <c r="Y381" s="7" t="s">
        <v>170</v>
      </c>
      <c r="AA381" s="7" t="s">
        <v>171</v>
      </c>
      <c r="AB381" s="7" t="s">
        <v>172</v>
      </c>
      <c r="AC381" s="7">
        <v>1130</v>
      </c>
      <c r="AF381" s="7" t="s">
        <v>173</v>
      </c>
      <c r="AG381" s="7" t="s">
        <v>170</v>
      </c>
      <c r="AI381" s="7" t="s">
        <v>174</v>
      </c>
      <c r="AK381" s="7">
        <v>2</v>
      </c>
      <c r="AL381" s="7">
        <v>1</v>
      </c>
      <c r="AM381" s="7">
        <v>46525.07</v>
      </c>
      <c r="AN381" s="7">
        <v>9787.14</v>
      </c>
      <c r="AP381" s="7">
        <v>19225.82</v>
      </c>
      <c r="AQ381" s="30">
        <v>55963.75</v>
      </c>
      <c r="AS381" s="7">
        <v>1315.02</v>
      </c>
      <c r="AZ381" s="7">
        <v>562.86</v>
      </c>
      <c r="BG381" s="7">
        <v>1315.02</v>
      </c>
      <c r="BO381" s="7">
        <v>657.51</v>
      </c>
      <c r="BP381" s="7">
        <v>5000</v>
      </c>
      <c r="BR381" s="7">
        <v>8850.41</v>
      </c>
      <c r="BS381" s="7">
        <v>19225.82</v>
      </c>
      <c r="BT381" s="7">
        <f t="shared" si="264"/>
        <v>65750.89</v>
      </c>
      <c r="BU381" s="144">
        <f t="shared" si="271"/>
        <v>8.5604924891510975E-3</v>
      </c>
    </row>
    <row r="382" spans="1:73" ht="11.25" x14ac:dyDescent="0.2">
      <c r="A382" s="133">
        <f t="shared" si="263"/>
        <v>3</v>
      </c>
      <c r="B382" s="141">
        <v>45352</v>
      </c>
      <c r="C382" s="10" t="s">
        <v>102</v>
      </c>
      <c r="D382" s="42" t="str">
        <f t="shared" si="265"/>
        <v>SI</v>
      </c>
      <c r="E382" s="7">
        <v>301937</v>
      </c>
      <c r="F382" s="7" t="s">
        <v>304</v>
      </c>
      <c r="G382" s="7" t="s">
        <v>305</v>
      </c>
      <c r="H382" s="7">
        <v>45387</v>
      </c>
      <c r="I382" s="7">
        <v>39209574</v>
      </c>
      <c r="J382" s="7" t="s">
        <v>306</v>
      </c>
      <c r="K382" s="7" t="s">
        <v>307</v>
      </c>
      <c r="L382" s="7" t="s">
        <v>164</v>
      </c>
      <c r="N382" s="29">
        <v>44716</v>
      </c>
      <c r="Q382" s="7" t="s">
        <v>157</v>
      </c>
      <c r="R382" s="7" t="s">
        <v>165</v>
      </c>
      <c r="S382" s="7" t="s">
        <v>126</v>
      </c>
      <c r="T382" s="7" t="s">
        <v>180</v>
      </c>
      <c r="U382" s="7" t="s">
        <v>167</v>
      </c>
      <c r="V382" s="7" t="s">
        <v>168</v>
      </c>
      <c r="W382" s="7">
        <v>108803</v>
      </c>
      <c r="X382" s="7" t="s">
        <v>169</v>
      </c>
      <c r="Y382" s="7" t="s">
        <v>170</v>
      </c>
      <c r="AA382" s="7" t="s">
        <v>171</v>
      </c>
      <c r="AB382" s="7" t="s">
        <v>172</v>
      </c>
      <c r="AC382" s="7">
        <v>1130</v>
      </c>
      <c r="AF382" s="7" t="s">
        <v>173</v>
      </c>
      <c r="AG382" s="7" t="s">
        <v>170</v>
      </c>
      <c r="AI382" s="7" t="s">
        <v>174</v>
      </c>
      <c r="AK382" s="7">
        <v>3</v>
      </c>
      <c r="AL382" s="7">
        <v>1</v>
      </c>
      <c r="AM382" s="7">
        <v>298972.84999999998</v>
      </c>
      <c r="AN382" s="7">
        <v>64929.3</v>
      </c>
      <c r="AP382" s="7">
        <v>120549.69</v>
      </c>
      <c r="AQ382" s="30">
        <v>354593.24</v>
      </c>
      <c r="AR382" s="7">
        <v>10488.07</v>
      </c>
      <c r="AS382" s="7"/>
      <c r="AZ382" s="7">
        <v>3615.86</v>
      </c>
      <c r="BG382" s="7">
        <v>8390.4500000000007</v>
      </c>
      <c r="BO382" s="7">
        <v>4195.2299999999996</v>
      </c>
      <c r="BP382" s="7">
        <v>10000</v>
      </c>
      <c r="BR382" s="7">
        <v>36689.61</v>
      </c>
      <c r="BS382" s="7">
        <v>120549.69</v>
      </c>
      <c r="BT382" s="7">
        <f t="shared" si="264"/>
        <v>419522.54</v>
      </c>
      <c r="BU382" s="144">
        <f t="shared" si="271"/>
        <v>8.6189886245444658E-3</v>
      </c>
    </row>
    <row r="383" spans="1:73" ht="11.25" x14ac:dyDescent="0.2">
      <c r="A383" s="133">
        <f t="shared" si="263"/>
        <v>3</v>
      </c>
      <c r="B383" s="141">
        <v>45352</v>
      </c>
      <c r="C383" s="10" t="s">
        <v>102</v>
      </c>
      <c r="D383" s="42" t="str">
        <f t="shared" si="265"/>
        <v>NO</v>
      </c>
      <c r="E383" s="7">
        <v>321770</v>
      </c>
      <c r="F383" s="7" t="s">
        <v>308</v>
      </c>
      <c r="G383" s="7" t="s">
        <v>309</v>
      </c>
      <c r="H383" s="7">
        <v>45387</v>
      </c>
      <c r="I383" s="7">
        <v>42715394</v>
      </c>
      <c r="J383" s="7" t="s">
        <v>310</v>
      </c>
      <c r="K383" s="7" t="s">
        <v>311</v>
      </c>
      <c r="L383" s="7" t="s">
        <v>164</v>
      </c>
      <c r="N383" s="29">
        <v>45374</v>
      </c>
      <c r="Q383" s="7" t="s">
        <v>157</v>
      </c>
      <c r="R383" s="7" t="s">
        <v>199</v>
      </c>
      <c r="S383" s="7" t="s">
        <v>126</v>
      </c>
      <c r="T383" s="7" t="s">
        <v>200</v>
      </c>
      <c r="U383" s="7" t="s">
        <v>167</v>
      </c>
      <c r="V383" s="7" t="s">
        <v>201</v>
      </c>
      <c r="W383" s="7">
        <v>108803</v>
      </c>
      <c r="X383" s="7" t="s">
        <v>169</v>
      </c>
      <c r="Y383" s="7" t="s">
        <v>170</v>
      </c>
      <c r="AA383" s="7" t="s">
        <v>189</v>
      </c>
      <c r="AB383" s="7" t="s">
        <v>190</v>
      </c>
      <c r="AC383" s="7">
        <v>1584</v>
      </c>
      <c r="AF383" s="7" t="s">
        <v>173</v>
      </c>
      <c r="AG383" s="7" t="s">
        <v>170</v>
      </c>
      <c r="AI383" s="7" t="s">
        <v>174</v>
      </c>
      <c r="AK383" s="7">
        <v>1</v>
      </c>
      <c r="AL383" s="7">
        <v>1</v>
      </c>
      <c r="AM383" s="7">
        <v>13978.68</v>
      </c>
      <c r="AN383" s="7">
        <v>2937.7</v>
      </c>
      <c r="AP383" s="7">
        <v>5460.42</v>
      </c>
      <c r="AQ383" s="30">
        <v>16501.400000000001</v>
      </c>
      <c r="AS383" s="7">
        <v>388.78</v>
      </c>
      <c r="AZ383" s="7">
        <v>172.55</v>
      </c>
      <c r="BG383" s="7">
        <v>388.78</v>
      </c>
      <c r="BO383" s="7">
        <v>194.39</v>
      </c>
      <c r="BP383" s="7">
        <v>5000</v>
      </c>
      <c r="BR383" s="7">
        <v>6144.5</v>
      </c>
      <c r="BS383" s="7">
        <v>5460.42</v>
      </c>
      <c r="BT383" s="7">
        <f t="shared" si="264"/>
        <v>19439.099999999999</v>
      </c>
      <c r="BU383" s="144">
        <f t="shared" si="271"/>
        <v>8.8764397528692182E-3</v>
      </c>
    </row>
    <row r="384" spans="1:73" ht="11.25" x14ac:dyDescent="0.2">
      <c r="A384" s="133">
        <f t="shared" si="263"/>
        <v>3</v>
      </c>
      <c r="B384" s="141">
        <v>45352</v>
      </c>
      <c r="C384" s="10" t="s">
        <v>102</v>
      </c>
      <c r="D384" s="42" t="str">
        <f t="shared" si="265"/>
        <v>NO</v>
      </c>
      <c r="E384" s="7">
        <v>340419</v>
      </c>
      <c r="F384" s="7" t="s">
        <v>957</v>
      </c>
      <c r="G384" s="7" t="s">
        <v>958</v>
      </c>
      <c r="H384" s="7">
        <v>45387</v>
      </c>
      <c r="I384" s="7">
        <v>38668640</v>
      </c>
      <c r="J384" s="7" t="s">
        <v>959</v>
      </c>
      <c r="K384" s="7" t="s">
        <v>960</v>
      </c>
      <c r="L384" s="7" t="s">
        <v>179</v>
      </c>
      <c r="N384" s="29">
        <v>45352</v>
      </c>
      <c r="Q384" s="7" t="s">
        <v>157</v>
      </c>
      <c r="R384" s="7" t="s">
        <v>214</v>
      </c>
      <c r="S384" s="7" t="s">
        <v>126</v>
      </c>
      <c r="T384" s="7" t="s">
        <v>200</v>
      </c>
      <c r="U384" s="7" t="s">
        <v>167</v>
      </c>
      <c r="V384" s="7" t="s">
        <v>254</v>
      </c>
      <c r="W384" s="7">
        <v>108803</v>
      </c>
      <c r="X384" s="7" t="s">
        <v>169</v>
      </c>
      <c r="Y384" s="7" t="s">
        <v>170</v>
      </c>
      <c r="AA384" s="7" t="s">
        <v>171</v>
      </c>
      <c r="AB384" s="7" t="s">
        <v>172</v>
      </c>
      <c r="AC384" s="7">
        <v>1130</v>
      </c>
      <c r="AF384" s="7" t="s">
        <v>173</v>
      </c>
      <c r="AG384" s="7" t="s">
        <v>170</v>
      </c>
      <c r="AI384" s="7" t="s">
        <v>174</v>
      </c>
      <c r="AK384" s="7">
        <v>2</v>
      </c>
      <c r="AL384" s="7">
        <v>1</v>
      </c>
      <c r="AM384" s="7">
        <v>114983.11</v>
      </c>
      <c r="AN384" s="7">
        <v>24164.41</v>
      </c>
      <c r="AP384" s="7">
        <v>44915.27</v>
      </c>
      <c r="AQ384" s="30">
        <v>135733.97</v>
      </c>
      <c r="AS384" s="7">
        <v>3197.97</v>
      </c>
      <c r="AZ384" s="7">
        <v>1419.32</v>
      </c>
      <c r="BG384" s="7">
        <v>3197.97</v>
      </c>
      <c r="BO384" s="7">
        <v>1598.98</v>
      </c>
      <c r="BP384" s="7">
        <v>10000</v>
      </c>
      <c r="BR384" s="7">
        <v>19414.240000000002</v>
      </c>
      <c r="BS384" s="7">
        <v>44915.270000000004</v>
      </c>
      <c r="BT384" s="7">
        <f t="shared" si="264"/>
        <v>159898.38</v>
      </c>
      <c r="BU384" s="144">
        <f t="shared" si="271"/>
        <v>8.8763876156844109E-3</v>
      </c>
    </row>
    <row r="385" spans="1:73" ht="11.25" hidden="1" x14ac:dyDescent="0.2">
      <c r="A385" s="133">
        <f t="shared" si="263"/>
        <v>3</v>
      </c>
      <c r="B385" s="141">
        <v>45352</v>
      </c>
      <c r="C385" s="10"/>
      <c r="D385" s="42" t="str">
        <f t="shared" si="265"/>
        <v>NO</v>
      </c>
      <c r="E385" s="7">
        <v>335977</v>
      </c>
      <c r="F385" s="7" t="s">
        <v>316</v>
      </c>
      <c r="G385" s="7" t="s">
        <v>317</v>
      </c>
      <c r="H385" s="7">
        <v>45369</v>
      </c>
      <c r="I385" s="7">
        <v>43105562</v>
      </c>
      <c r="J385" s="7" t="s">
        <v>318</v>
      </c>
      <c r="K385" s="7" t="s">
        <v>319</v>
      </c>
      <c r="L385" s="7" t="s">
        <v>179</v>
      </c>
      <c r="N385" s="29">
        <v>45278</v>
      </c>
      <c r="Q385" s="7" t="s">
        <v>157</v>
      </c>
      <c r="R385" s="7" t="s">
        <v>165</v>
      </c>
      <c r="S385" s="7" t="s">
        <v>126</v>
      </c>
      <c r="T385" s="7" t="s">
        <v>166</v>
      </c>
      <c r="U385" s="7" t="s">
        <v>167</v>
      </c>
      <c r="V385" s="7" t="s">
        <v>168</v>
      </c>
      <c r="W385" s="7">
        <v>108803</v>
      </c>
      <c r="X385" s="7" t="s">
        <v>169</v>
      </c>
      <c r="Y385" s="7" t="s">
        <v>170</v>
      </c>
      <c r="AA385" s="7" t="s">
        <v>189</v>
      </c>
      <c r="AB385" s="7" t="s">
        <v>190</v>
      </c>
      <c r="AC385" s="7">
        <v>1584</v>
      </c>
      <c r="AF385" s="7" t="s">
        <v>170</v>
      </c>
      <c r="AG385" s="7" t="s">
        <v>170</v>
      </c>
      <c r="AI385" s="7" t="s">
        <v>174</v>
      </c>
      <c r="AK385" s="7">
        <v>2</v>
      </c>
      <c r="AL385" s="7">
        <v>1</v>
      </c>
      <c r="AN385" s="7">
        <v>141.97999999999999</v>
      </c>
      <c r="AP385" s="7">
        <v>7098.77</v>
      </c>
      <c r="AQ385" s="30">
        <v>6956.79</v>
      </c>
      <c r="AS385" s="7">
        <v>141.97999999999999</v>
      </c>
      <c r="BG385" s="7">
        <v>141.97999999999999</v>
      </c>
      <c r="BO385" s="7">
        <v>70.989999999999995</v>
      </c>
      <c r="BR385" s="7">
        <v>354.95</v>
      </c>
      <c r="BS385" s="7">
        <v>7098.77</v>
      </c>
      <c r="BT385" s="7">
        <f t="shared" si="264"/>
        <v>7098.77</v>
      </c>
    </row>
    <row r="386" spans="1:73" ht="11.25" hidden="1" x14ac:dyDescent="0.2">
      <c r="A386" s="133">
        <f t="shared" si="263"/>
        <v>3</v>
      </c>
      <c r="B386" s="141">
        <v>45352</v>
      </c>
      <c r="C386" s="10"/>
      <c r="D386" s="42" t="str">
        <f t="shared" si="265"/>
        <v>NO</v>
      </c>
      <c r="E386" s="7">
        <v>337360</v>
      </c>
      <c r="F386" s="7" t="s">
        <v>325</v>
      </c>
      <c r="G386" s="7" t="s">
        <v>326</v>
      </c>
      <c r="H386" s="7">
        <v>45369</v>
      </c>
      <c r="I386" s="7">
        <v>96247143</v>
      </c>
      <c r="J386" s="7" t="s">
        <v>327</v>
      </c>
      <c r="K386" s="7" t="s">
        <v>328</v>
      </c>
      <c r="L386" s="7" t="s">
        <v>179</v>
      </c>
      <c r="N386" s="29">
        <v>45291</v>
      </c>
      <c r="Q386" s="7" t="s">
        <v>157</v>
      </c>
      <c r="R386" s="7" t="s">
        <v>165</v>
      </c>
      <c r="S386" s="7" t="s">
        <v>126</v>
      </c>
      <c r="T386" s="7" t="s">
        <v>200</v>
      </c>
      <c r="U386" s="7" t="s">
        <v>167</v>
      </c>
      <c r="V386" s="7" t="s">
        <v>168</v>
      </c>
      <c r="W386" s="7">
        <v>108803</v>
      </c>
      <c r="X386" s="7" t="s">
        <v>169</v>
      </c>
      <c r="Y386" s="7" t="s">
        <v>170</v>
      </c>
      <c r="AA386" s="7" t="s">
        <v>189</v>
      </c>
      <c r="AB386" s="7" t="s">
        <v>190</v>
      </c>
      <c r="AC386" s="7">
        <v>1584</v>
      </c>
      <c r="AF386" s="7" t="s">
        <v>173</v>
      </c>
      <c r="AG386" s="7" t="s">
        <v>170</v>
      </c>
      <c r="AI386" s="7" t="s">
        <v>174</v>
      </c>
      <c r="AK386" s="7">
        <v>1</v>
      </c>
      <c r="AL386" s="7">
        <v>1</v>
      </c>
      <c r="AN386" s="7">
        <v>13.31</v>
      </c>
      <c r="AP386" s="7">
        <v>665.51</v>
      </c>
      <c r="AQ386" s="30">
        <v>652.20000000000005</v>
      </c>
      <c r="AS386" s="7">
        <v>13.31</v>
      </c>
      <c r="BG386" s="7">
        <v>13.31</v>
      </c>
      <c r="BO386" s="7">
        <v>6.66</v>
      </c>
      <c r="BR386" s="7">
        <v>33.28</v>
      </c>
      <c r="BS386" s="7">
        <v>665.51</v>
      </c>
      <c r="BT386" s="7">
        <f t="shared" si="264"/>
        <v>665.51</v>
      </c>
    </row>
    <row r="387" spans="1:73" ht="11.25" x14ac:dyDescent="0.2">
      <c r="A387" s="133">
        <f t="shared" si="263"/>
        <v>3</v>
      </c>
      <c r="B387" s="141">
        <v>45352</v>
      </c>
      <c r="C387" s="10" t="s">
        <v>102</v>
      </c>
      <c r="D387" s="42" t="str">
        <f t="shared" si="265"/>
        <v>NO</v>
      </c>
      <c r="E387" s="7">
        <v>333329</v>
      </c>
      <c r="F387" s="7" t="s">
        <v>329</v>
      </c>
      <c r="G387" s="7" t="s">
        <v>330</v>
      </c>
      <c r="H387" s="7">
        <v>45387</v>
      </c>
      <c r="I387" s="7">
        <v>44503771</v>
      </c>
      <c r="J387" s="7" t="s">
        <v>331</v>
      </c>
      <c r="K387" s="7" t="s">
        <v>332</v>
      </c>
      <c r="L387" s="7" t="s">
        <v>179</v>
      </c>
      <c r="N387" s="29">
        <v>45238</v>
      </c>
      <c r="Q387" s="7" t="s">
        <v>157</v>
      </c>
      <c r="R387" s="7" t="s">
        <v>165</v>
      </c>
      <c r="S387" s="7" t="s">
        <v>126</v>
      </c>
      <c r="T387" s="7" t="s">
        <v>180</v>
      </c>
      <c r="U387" s="7" t="s">
        <v>167</v>
      </c>
      <c r="V387" s="7" t="s">
        <v>168</v>
      </c>
      <c r="W387" s="7">
        <v>108803</v>
      </c>
      <c r="X387" s="7" t="s">
        <v>169</v>
      </c>
      <c r="Y387" s="7" t="s">
        <v>170</v>
      </c>
      <c r="AA387" s="7" t="s">
        <v>171</v>
      </c>
      <c r="AB387" s="7" t="s">
        <v>172</v>
      </c>
      <c r="AC387" s="7">
        <v>1130</v>
      </c>
      <c r="AF387" s="7" t="s">
        <v>173</v>
      </c>
      <c r="AG387" s="7" t="s">
        <v>170</v>
      </c>
      <c r="AI387" s="7" t="s">
        <v>174</v>
      </c>
      <c r="AK387" s="7">
        <v>5</v>
      </c>
      <c r="AL387" s="7">
        <v>1</v>
      </c>
      <c r="AM387" s="7">
        <v>408125.04</v>
      </c>
      <c r="AN387" s="7">
        <v>85823.84</v>
      </c>
      <c r="AP387" s="7">
        <v>162256.46</v>
      </c>
      <c r="AQ387" s="30">
        <v>484557.66</v>
      </c>
      <c r="AS387" s="7">
        <v>11407.63</v>
      </c>
      <c r="AZ387" s="7">
        <v>5034.93</v>
      </c>
      <c r="BG387" s="7">
        <v>11407.63</v>
      </c>
      <c r="BO387" s="7">
        <v>5703.81</v>
      </c>
      <c r="BP387" s="7">
        <v>5000</v>
      </c>
      <c r="BR387" s="7">
        <v>38554</v>
      </c>
      <c r="BS387" s="7">
        <v>162256.46</v>
      </c>
      <c r="BT387" s="7">
        <f t="shared" si="264"/>
        <v>570381.5</v>
      </c>
      <c r="BU387" s="144">
        <f t="shared" ref="BU387:BU390" si="272">+AZ387/BT387</f>
        <v>8.827302428287033E-3</v>
      </c>
    </row>
    <row r="388" spans="1:73" ht="11.25" x14ac:dyDescent="0.2">
      <c r="A388" s="133">
        <f t="shared" si="263"/>
        <v>3</v>
      </c>
      <c r="B388" s="141">
        <v>45352</v>
      </c>
      <c r="C388" s="10" t="s">
        <v>102</v>
      </c>
      <c r="D388" s="42" t="str">
        <f t="shared" si="265"/>
        <v>NO</v>
      </c>
      <c r="E388" s="7">
        <v>332636</v>
      </c>
      <c r="F388" s="7" t="s">
        <v>333</v>
      </c>
      <c r="G388" s="7" t="s">
        <v>334</v>
      </c>
      <c r="H388" s="7">
        <v>45387</v>
      </c>
      <c r="I388" s="7">
        <v>38126615</v>
      </c>
      <c r="J388" s="7" t="s">
        <v>335</v>
      </c>
      <c r="K388" s="7" t="s">
        <v>336</v>
      </c>
      <c r="L388" s="7" t="s">
        <v>179</v>
      </c>
      <c r="N388" s="29">
        <v>45229</v>
      </c>
      <c r="Q388" s="7" t="s">
        <v>157</v>
      </c>
      <c r="R388" s="7" t="s">
        <v>245</v>
      </c>
      <c r="S388" s="7" t="s">
        <v>126</v>
      </c>
      <c r="T388" s="7" t="s">
        <v>200</v>
      </c>
      <c r="U388" s="7" t="s">
        <v>167</v>
      </c>
      <c r="V388" s="7" t="s">
        <v>337</v>
      </c>
      <c r="W388" s="7">
        <v>108803</v>
      </c>
      <c r="X388" s="7" t="s">
        <v>169</v>
      </c>
      <c r="Y388" s="7" t="s">
        <v>170</v>
      </c>
      <c r="AA388" s="7" t="s">
        <v>171</v>
      </c>
      <c r="AB388" s="7" t="s">
        <v>172</v>
      </c>
      <c r="AC388" s="7">
        <v>1130</v>
      </c>
      <c r="AF388" s="7" t="s">
        <v>173</v>
      </c>
      <c r="AG388" s="7" t="s">
        <v>170</v>
      </c>
      <c r="AI388" s="7" t="s">
        <v>174</v>
      </c>
      <c r="AK388" s="7">
        <v>2</v>
      </c>
      <c r="AL388" s="7">
        <v>1</v>
      </c>
      <c r="AM388" s="7">
        <v>27196.7</v>
      </c>
      <c r="AN388" s="7">
        <v>5737.4</v>
      </c>
      <c r="AP388" s="7">
        <v>11715.8</v>
      </c>
      <c r="AQ388" s="30">
        <v>33175.1</v>
      </c>
      <c r="AS388" s="7">
        <v>778.25</v>
      </c>
      <c r="AZ388" s="7">
        <v>335.71</v>
      </c>
      <c r="BG388" s="7">
        <v>778.25</v>
      </c>
      <c r="BO388" s="7">
        <v>389.12</v>
      </c>
      <c r="BP388" s="7">
        <v>5000</v>
      </c>
      <c r="BR388" s="7">
        <v>7281.33</v>
      </c>
      <c r="BS388" s="7">
        <v>11715.8</v>
      </c>
      <c r="BT388" s="7">
        <f t="shared" si="264"/>
        <v>38912.5</v>
      </c>
      <c r="BU388" s="144">
        <f t="shared" si="272"/>
        <v>8.627304850626405E-3</v>
      </c>
    </row>
    <row r="389" spans="1:73" ht="11.25" x14ac:dyDescent="0.2">
      <c r="A389" s="133">
        <f t="shared" si="263"/>
        <v>3</v>
      </c>
      <c r="B389" s="141">
        <v>45352</v>
      </c>
      <c r="C389" s="10" t="s">
        <v>102</v>
      </c>
      <c r="D389" s="42" t="str">
        <f t="shared" si="265"/>
        <v>NO</v>
      </c>
      <c r="E389" s="7">
        <v>341453</v>
      </c>
      <c r="F389" s="7" t="s">
        <v>961</v>
      </c>
      <c r="G389" s="7" t="s">
        <v>962</v>
      </c>
      <c r="H389" s="7">
        <v>45387</v>
      </c>
      <c r="I389" s="7">
        <v>38536587</v>
      </c>
      <c r="J389" s="7" t="s">
        <v>963</v>
      </c>
      <c r="K389" s="7" t="s">
        <v>964</v>
      </c>
      <c r="L389" s="7" t="s">
        <v>179</v>
      </c>
      <c r="N389" s="29">
        <v>45376</v>
      </c>
      <c r="Q389" s="7" t="s">
        <v>157</v>
      </c>
      <c r="R389" s="7" t="s">
        <v>165</v>
      </c>
      <c r="S389" s="7" t="s">
        <v>126</v>
      </c>
      <c r="T389" s="7" t="s">
        <v>200</v>
      </c>
      <c r="U389" s="7" t="s">
        <v>167</v>
      </c>
      <c r="V389" s="7" t="s">
        <v>207</v>
      </c>
      <c r="W389" s="7">
        <v>108803</v>
      </c>
      <c r="X389" s="7" t="s">
        <v>169</v>
      </c>
      <c r="Y389" s="7" t="s">
        <v>170</v>
      </c>
      <c r="AA389" s="7" t="s">
        <v>189</v>
      </c>
      <c r="AB389" s="7" t="s">
        <v>190</v>
      </c>
      <c r="AC389" s="7">
        <v>1584</v>
      </c>
      <c r="AF389" s="7" t="s">
        <v>173</v>
      </c>
      <c r="AG389" s="7" t="s">
        <v>170</v>
      </c>
      <c r="AI389" s="7" t="s">
        <v>174</v>
      </c>
      <c r="AK389" s="7">
        <v>1</v>
      </c>
      <c r="AL389" s="7">
        <v>1</v>
      </c>
      <c r="AM389" s="7">
        <v>8518.58</v>
      </c>
      <c r="AN389" s="7">
        <v>1790.23</v>
      </c>
      <c r="AP389" s="7">
        <v>3327.57</v>
      </c>
      <c r="AQ389" s="30">
        <v>10055.92</v>
      </c>
      <c r="AS389" s="7">
        <v>236.92</v>
      </c>
      <c r="AZ389" s="7">
        <v>105.15</v>
      </c>
      <c r="BG389" s="7">
        <v>236.92</v>
      </c>
      <c r="BO389" s="7">
        <v>118.46</v>
      </c>
      <c r="BP389" s="7">
        <v>5000</v>
      </c>
      <c r="BR389" s="7">
        <v>5697.45</v>
      </c>
      <c r="BS389" s="7">
        <v>3327.5699999999997</v>
      </c>
      <c r="BT389" s="7">
        <f t="shared" si="264"/>
        <v>11846.15</v>
      </c>
      <c r="BU389" s="144">
        <f t="shared" si="272"/>
        <v>8.8763015832148007E-3</v>
      </c>
    </row>
    <row r="390" spans="1:73" ht="11.25" x14ac:dyDescent="0.2">
      <c r="A390" s="133">
        <f t="shared" si="263"/>
        <v>3</v>
      </c>
      <c r="B390" s="141">
        <v>45352</v>
      </c>
      <c r="C390" s="10" t="s">
        <v>102</v>
      </c>
      <c r="D390" s="42" t="str">
        <f t="shared" si="265"/>
        <v>NO</v>
      </c>
      <c r="E390" s="7">
        <v>337685</v>
      </c>
      <c r="F390" s="7" t="s">
        <v>342</v>
      </c>
      <c r="G390" s="7" t="s">
        <v>343</v>
      </c>
      <c r="H390" s="7">
        <v>45387</v>
      </c>
      <c r="I390" s="7">
        <v>95528161</v>
      </c>
      <c r="J390" s="7" t="s">
        <v>344</v>
      </c>
      <c r="K390" s="7" t="s">
        <v>345</v>
      </c>
      <c r="L390" s="7" t="s">
        <v>179</v>
      </c>
      <c r="N390" s="29">
        <v>45338</v>
      </c>
      <c r="Q390" s="7" t="s">
        <v>157</v>
      </c>
      <c r="R390" s="7" t="s">
        <v>199</v>
      </c>
      <c r="S390" s="7" t="s">
        <v>126</v>
      </c>
      <c r="T390" s="7" t="s">
        <v>200</v>
      </c>
      <c r="U390" s="7" t="s">
        <v>167</v>
      </c>
      <c r="V390" s="7" t="s">
        <v>360</v>
      </c>
      <c r="W390" s="7">
        <v>108803</v>
      </c>
      <c r="X390" s="7" t="s">
        <v>169</v>
      </c>
      <c r="Y390" s="7" t="s">
        <v>170</v>
      </c>
      <c r="AA390" s="7" t="s">
        <v>208</v>
      </c>
      <c r="AB390" s="7" t="s">
        <v>209</v>
      </c>
      <c r="AC390" s="7">
        <v>1035</v>
      </c>
      <c r="AF390" s="7" t="s">
        <v>173</v>
      </c>
      <c r="AG390" s="7" t="s">
        <v>170</v>
      </c>
      <c r="AI390" s="7" t="s">
        <v>174</v>
      </c>
      <c r="AK390" s="7">
        <v>1</v>
      </c>
      <c r="AL390" s="7">
        <v>1</v>
      </c>
      <c r="AM390" s="7">
        <v>27957.34</v>
      </c>
      <c r="AN390" s="7">
        <v>5875.41</v>
      </c>
      <c r="AP390" s="7">
        <v>10920.85</v>
      </c>
      <c r="AQ390" s="30">
        <v>33002.78</v>
      </c>
      <c r="AS390" s="7">
        <v>777.56</v>
      </c>
      <c r="AZ390" s="7">
        <v>345.1</v>
      </c>
      <c r="BG390" s="7">
        <v>777.56</v>
      </c>
      <c r="BO390" s="7">
        <v>388.78</v>
      </c>
      <c r="BP390" s="7">
        <v>5000</v>
      </c>
      <c r="BR390" s="7">
        <v>7289</v>
      </c>
      <c r="BS390" s="7">
        <v>10920.85</v>
      </c>
      <c r="BT390" s="7">
        <f t="shared" si="264"/>
        <v>38878.19</v>
      </c>
      <c r="BU390" s="144">
        <f t="shared" si="272"/>
        <v>8.8764420360104221E-3</v>
      </c>
    </row>
    <row r="391" spans="1:73" ht="11.25" hidden="1" x14ac:dyDescent="0.2">
      <c r="A391" s="133">
        <f t="shared" si="263"/>
        <v>3</v>
      </c>
      <c r="B391" s="141">
        <v>45352</v>
      </c>
      <c r="C391" s="10"/>
      <c r="D391" s="42" t="str">
        <f t="shared" si="265"/>
        <v>NO</v>
      </c>
      <c r="E391" s="7">
        <v>339536</v>
      </c>
      <c r="F391" s="7" t="s">
        <v>845</v>
      </c>
      <c r="G391" s="7" t="s">
        <v>846</v>
      </c>
      <c r="H391" s="7">
        <v>45369</v>
      </c>
      <c r="I391" s="7">
        <v>34089295</v>
      </c>
      <c r="J391" s="7" t="s">
        <v>847</v>
      </c>
      <c r="K391" s="7" t="s">
        <v>848</v>
      </c>
      <c r="L391" s="7" t="s">
        <v>179</v>
      </c>
      <c r="N391" s="29">
        <v>45339</v>
      </c>
      <c r="Q391" s="7" t="s">
        <v>157</v>
      </c>
      <c r="R391" s="7" t="s">
        <v>245</v>
      </c>
      <c r="S391" s="7" t="s">
        <v>126</v>
      </c>
      <c r="T391" s="7" t="s">
        <v>206</v>
      </c>
      <c r="U391" s="7" t="s">
        <v>167</v>
      </c>
      <c r="V391" s="7" t="s">
        <v>246</v>
      </c>
      <c r="W391" s="7">
        <v>108803</v>
      </c>
      <c r="X391" s="7" t="s">
        <v>169</v>
      </c>
      <c r="Y391" s="7" t="s">
        <v>170</v>
      </c>
      <c r="AA391" s="7" t="s">
        <v>208</v>
      </c>
      <c r="AB391" s="7" t="s">
        <v>209</v>
      </c>
      <c r="AC391" s="7">
        <v>1035</v>
      </c>
      <c r="AF391" s="7" t="s">
        <v>173</v>
      </c>
      <c r="AG391" s="7" t="s">
        <v>170</v>
      </c>
      <c r="AI391" s="7" t="s">
        <v>174</v>
      </c>
      <c r="AK391" s="7">
        <v>1</v>
      </c>
      <c r="AL391" s="7">
        <v>1</v>
      </c>
      <c r="AN391" s="7">
        <v>42.49</v>
      </c>
      <c r="AP391" s="7">
        <v>2124.7399999999998</v>
      </c>
      <c r="AQ391" s="30">
        <v>2082.25</v>
      </c>
      <c r="AS391" s="7">
        <v>42.49</v>
      </c>
      <c r="BG391" s="7">
        <v>42.49</v>
      </c>
      <c r="BO391" s="7">
        <v>21.25</v>
      </c>
      <c r="BR391" s="7">
        <v>106.23</v>
      </c>
      <c r="BS391" s="7">
        <v>2124.7399999999998</v>
      </c>
      <c r="BT391" s="7">
        <f t="shared" si="264"/>
        <v>2124.7399999999998</v>
      </c>
    </row>
    <row r="392" spans="1:73" ht="11.25" x14ac:dyDescent="0.2">
      <c r="A392" s="133">
        <f t="shared" si="263"/>
        <v>3</v>
      </c>
      <c r="B392" s="141">
        <v>45352</v>
      </c>
      <c r="C392" s="10" t="s">
        <v>102</v>
      </c>
      <c r="D392" s="42" t="str">
        <f t="shared" si="265"/>
        <v>NO</v>
      </c>
      <c r="E392" s="7">
        <v>319632</v>
      </c>
      <c r="F392" s="7" t="s">
        <v>346</v>
      </c>
      <c r="G392" s="7" t="s">
        <v>347</v>
      </c>
      <c r="H392" s="7">
        <v>45387</v>
      </c>
      <c r="I392" s="7">
        <v>31101133</v>
      </c>
      <c r="J392" s="7" t="s">
        <v>348</v>
      </c>
      <c r="K392" s="7" t="s">
        <v>349</v>
      </c>
      <c r="L392" s="7" t="s">
        <v>179</v>
      </c>
      <c r="N392" s="29">
        <v>45122</v>
      </c>
      <c r="Q392" s="7" t="s">
        <v>157</v>
      </c>
      <c r="R392" s="7" t="s">
        <v>165</v>
      </c>
      <c r="S392" s="7" t="s">
        <v>126</v>
      </c>
      <c r="T392" s="7" t="s">
        <v>180</v>
      </c>
      <c r="U392" s="7" t="s">
        <v>167</v>
      </c>
      <c r="V392" s="7" t="s">
        <v>168</v>
      </c>
      <c r="W392" s="7">
        <v>108803</v>
      </c>
      <c r="X392" s="7" t="s">
        <v>169</v>
      </c>
      <c r="Y392" s="7" t="s">
        <v>170</v>
      </c>
      <c r="AA392" s="7" t="s">
        <v>171</v>
      </c>
      <c r="AB392" s="7" t="s">
        <v>172</v>
      </c>
      <c r="AC392" s="7">
        <v>1130</v>
      </c>
      <c r="AF392" s="7" t="s">
        <v>173</v>
      </c>
      <c r="AG392" s="7" t="s">
        <v>170</v>
      </c>
      <c r="AI392" s="7" t="s">
        <v>174</v>
      </c>
      <c r="AK392" s="7">
        <v>4</v>
      </c>
      <c r="AL392" s="7">
        <v>1</v>
      </c>
      <c r="AM392" s="7">
        <v>385946.66</v>
      </c>
      <c r="AN392" s="7">
        <v>81026.37</v>
      </c>
      <c r="AP392" s="7">
        <v>151366.44</v>
      </c>
      <c r="AQ392" s="30">
        <v>456286.73</v>
      </c>
      <c r="AS392" s="7">
        <v>10746.26</v>
      </c>
      <c r="AZ392" s="7">
        <v>4669.17</v>
      </c>
      <c r="BG392" s="7">
        <v>10746.26</v>
      </c>
      <c r="BO392" s="7">
        <v>5373.14</v>
      </c>
      <c r="BP392" s="7">
        <v>10000</v>
      </c>
      <c r="BR392" s="7">
        <v>41534.83</v>
      </c>
      <c r="BS392" s="7">
        <v>151366.44</v>
      </c>
      <c r="BT392" s="7">
        <f t="shared" si="264"/>
        <v>537313.1</v>
      </c>
      <c r="BU392" s="144">
        <f t="shared" ref="BU392:BU395" si="273">+AZ392/BT392</f>
        <v>8.6898495495456932E-3</v>
      </c>
    </row>
    <row r="393" spans="1:73" ht="11.25" x14ac:dyDescent="0.2">
      <c r="A393" s="133">
        <f t="shared" si="263"/>
        <v>3</v>
      </c>
      <c r="B393" s="141">
        <v>45352</v>
      </c>
      <c r="C393" s="10" t="s">
        <v>102</v>
      </c>
      <c r="D393" s="42" t="str">
        <f t="shared" si="265"/>
        <v>NO</v>
      </c>
      <c r="E393" s="7">
        <v>340186</v>
      </c>
      <c r="F393" s="7" t="s">
        <v>850</v>
      </c>
      <c r="G393" s="7" t="s">
        <v>851</v>
      </c>
      <c r="H393" s="7">
        <v>45379</v>
      </c>
      <c r="I393" s="7">
        <v>40535516</v>
      </c>
      <c r="J393" s="7" t="s">
        <v>368</v>
      </c>
      <c r="K393" s="7" t="s">
        <v>852</v>
      </c>
      <c r="L393" s="7" t="s">
        <v>179</v>
      </c>
      <c r="N393" s="29">
        <v>45345</v>
      </c>
      <c r="Q393" s="7" t="s">
        <v>157</v>
      </c>
      <c r="R393" s="7" t="s">
        <v>165</v>
      </c>
      <c r="S393" s="7" t="s">
        <v>126</v>
      </c>
      <c r="T393" s="7" t="s">
        <v>166</v>
      </c>
      <c r="U393" s="7" t="s">
        <v>167</v>
      </c>
      <c r="V393" s="7" t="s">
        <v>168</v>
      </c>
      <c r="W393" s="7">
        <v>108803</v>
      </c>
      <c r="X393" s="7" t="s">
        <v>169</v>
      </c>
      <c r="Y393" s="7" t="s">
        <v>170</v>
      </c>
      <c r="AA393" s="7" t="s">
        <v>189</v>
      </c>
      <c r="AB393" s="7" t="s">
        <v>190</v>
      </c>
      <c r="AC393" s="7">
        <v>1584</v>
      </c>
      <c r="AF393" s="7" t="s">
        <v>173</v>
      </c>
      <c r="AG393" s="7" t="s">
        <v>170</v>
      </c>
      <c r="AI393" s="7" t="s">
        <v>174</v>
      </c>
      <c r="AK393" s="7">
        <v>2</v>
      </c>
      <c r="AL393" s="7">
        <v>1</v>
      </c>
      <c r="AM393" s="7">
        <v>104681.42</v>
      </c>
      <c r="AN393" s="7">
        <v>21936.76</v>
      </c>
      <c r="AP393" s="7">
        <v>39043.22</v>
      </c>
      <c r="AQ393" s="30">
        <v>121787.88</v>
      </c>
      <c r="AS393" s="7">
        <v>2874.49</v>
      </c>
      <c r="AZ393" s="7">
        <v>1266.43</v>
      </c>
      <c r="BG393" s="7">
        <v>2874.49</v>
      </c>
      <c r="BO393" s="7">
        <v>1437.24</v>
      </c>
      <c r="BP393" s="7">
        <v>5000</v>
      </c>
      <c r="BR393" s="7">
        <v>13452.65</v>
      </c>
      <c r="BS393" s="7">
        <v>39043.22</v>
      </c>
      <c r="BT393" s="7">
        <f t="shared" si="264"/>
        <v>143724.64000000001</v>
      </c>
      <c r="BU393" s="144">
        <f t="shared" si="273"/>
        <v>8.8115023283411951E-3</v>
      </c>
    </row>
    <row r="394" spans="1:73" ht="11.25" x14ac:dyDescent="0.2">
      <c r="A394" s="133">
        <f t="shared" si="263"/>
        <v>3</v>
      </c>
      <c r="B394" s="141">
        <v>45352</v>
      </c>
      <c r="C394" s="10" t="s">
        <v>102</v>
      </c>
      <c r="D394" s="42" t="str">
        <f t="shared" si="265"/>
        <v>NO</v>
      </c>
      <c r="E394" s="7">
        <v>333995</v>
      </c>
      <c r="F394" s="7" t="s">
        <v>374</v>
      </c>
      <c r="G394" s="7" t="s">
        <v>375</v>
      </c>
      <c r="H394" s="7">
        <v>45387</v>
      </c>
      <c r="I394" s="7">
        <v>40211482</v>
      </c>
      <c r="J394" s="7" t="s">
        <v>376</v>
      </c>
      <c r="K394" s="7" t="s">
        <v>377</v>
      </c>
      <c r="L394" s="7" t="s">
        <v>179</v>
      </c>
      <c r="N394" s="29">
        <v>45238</v>
      </c>
      <c r="Q394" s="7" t="s">
        <v>157</v>
      </c>
      <c r="R394" s="7" t="s">
        <v>165</v>
      </c>
      <c r="S394" s="7" t="s">
        <v>126</v>
      </c>
      <c r="T394" s="7" t="s">
        <v>180</v>
      </c>
      <c r="U394" s="7" t="s">
        <v>167</v>
      </c>
      <c r="V394" s="7" t="s">
        <v>168</v>
      </c>
      <c r="W394" s="7">
        <v>108803</v>
      </c>
      <c r="X394" s="7" t="s">
        <v>169</v>
      </c>
      <c r="Y394" s="7" t="s">
        <v>170</v>
      </c>
      <c r="AA394" s="7" t="s">
        <v>171</v>
      </c>
      <c r="AB394" s="7" t="s">
        <v>172</v>
      </c>
      <c r="AC394" s="7">
        <v>1130</v>
      </c>
      <c r="AF394" s="7" t="s">
        <v>173</v>
      </c>
      <c r="AG394" s="7" t="s">
        <v>170</v>
      </c>
      <c r="AI394" s="7" t="s">
        <v>174</v>
      </c>
      <c r="AK394" s="7">
        <v>4</v>
      </c>
      <c r="AL394" s="7">
        <v>1</v>
      </c>
      <c r="AM394" s="7">
        <v>53990.27</v>
      </c>
      <c r="AN394" s="7">
        <v>11378.52</v>
      </c>
      <c r="AP394" s="7">
        <v>23008.21</v>
      </c>
      <c r="AQ394" s="30">
        <v>65619.960000000006</v>
      </c>
      <c r="AS394" s="7">
        <v>1539.97</v>
      </c>
      <c r="AZ394" s="7">
        <v>660.2</v>
      </c>
      <c r="BG394" s="7">
        <v>1539.97</v>
      </c>
      <c r="BO394" s="7">
        <v>769.99</v>
      </c>
      <c r="BP394" s="7">
        <v>5000</v>
      </c>
      <c r="BR394" s="7">
        <v>9510.1299999999992</v>
      </c>
      <c r="BS394" s="7">
        <v>23008.21</v>
      </c>
      <c r="BT394" s="7">
        <f t="shared" si="264"/>
        <v>76998.48</v>
      </c>
      <c r="BU394" s="144">
        <f t="shared" si="273"/>
        <v>8.5741952308668965E-3</v>
      </c>
    </row>
    <row r="395" spans="1:73" ht="11.25" x14ac:dyDescent="0.2">
      <c r="A395" s="133">
        <f t="shared" si="263"/>
        <v>3</v>
      </c>
      <c r="B395" s="141">
        <v>45352</v>
      </c>
      <c r="C395" s="10" t="s">
        <v>102</v>
      </c>
      <c r="D395" s="42" t="str">
        <f t="shared" si="265"/>
        <v>NO</v>
      </c>
      <c r="E395" s="7">
        <v>340190</v>
      </c>
      <c r="F395" s="7" t="s">
        <v>857</v>
      </c>
      <c r="G395" s="7" t="s">
        <v>858</v>
      </c>
      <c r="H395" s="7">
        <v>45379</v>
      </c>
      <c r="I395" s="7">
        <v>43731839</v>
      </c>
      <c r="J395" s="7" t="s">
        <v>859</v>
      </c>
      <c r="K395" s="7" t="s">
        <v>860</v>
      </c>
      <c r="L395" s="7" t="s">
        <v>179</v>
      </c>
      <c r="N395" s="29">
        <v>45346</v>
      </c>
      <c r="Q395" s="7" t="s">
        <v>157</v>
      </c>
      <c r="R395" s="7" t="s">
        <v>165</v>
      </c>
      <c r="S395" s="7" t="s">
        <v>126</v>
      </c>
      <c r="T395" s="7" t="s">
        <v>166</v>
      </c>
      <c r="U395" s="7" t="s">
        <v>167</v>
      </c>
      <c r="V395" s="7" t="s">
        <v>168</v>
      </c>
      <c r="W395" s="7">
        <v>3009</v>
      </c>
      <c r="X395" s="7" t="s">
        <v>425</v>
      </c>
      <c r="Y395" s="7" t="s">
        <v>170</v>
      </c>
      <c r="AA395" s="7" t="s">
        <v>189</v>
      </c>
      <c r="AB395" s="7" t="s">
        <v>190</v>
      </c>
      <c r="AC395" s="7">
        <v>1584</v>
      </c>
      <c r="AF395" s="7" t="s">
        <v>173</v>
      </c>
      <c r="AG395" s="7" t="s">
        <v>170</v>
      </c>
      <c r="AI395" s="7" t="s">
        <v>174</v>
      </c>
      <c r="AK395" s="7">
        <v>2</v>
      </c>
      <c r="AL395" s="7">
        <v>1</v>
      </c>
      <c r="AM395" s="7">
        <v>72959.78</v>
      </c>
      <c r="AN395" s="7">
        <v>15287.79</v>
      </c>
      <c r="AP395" s="7">
        <v>27138</v>
      </c>
      <c r="AQ395" s="30">
        <v>84809.99</v>
      </c>
      <c r="AS395" s="7">
        <v>2001.96</v>
      </c>
      <c r="AZ395" s="7">
        <v>882.67</v>
      </c>
      <c r="BG395" s="7">
        <v>2001.96</v>
      </c>
      <c r="BO395" s="7">
        <v>1000.98</v>
      </c>
      <c r="BP395" s="7">
        <v>5000</v>
      </c>
      <c r="BR395" s="7">
        <v>10887.57</v>
      </c>
      <c r="BS395" s="7">
        <v>27138</v>
      </c>
      <c r="BT395" s="7">
        <f t="shared" si="264"/>
        <v>100097.78</v>
      </c>
      <c r="BU395" s="144">
        <f t="shared" si="273"/>
        <v>8.8180776836409361E-3</v>
      </c>
    </row>
    <row r="396" spans="1:73" ht="11.25" hidden="1" x14ac:dyDescent="0.2">
      <c r="A396" s="133">
        <f t="shared" si="263"/>
        <v>3</v>
      </c>
      <c r="B396" s="141">
        <v>45352</v>
      </c>
      <c r="C396" s="10"/>
      <c r="D396" s="42" t="str">
        <f t="shared" si="265"/>
        <v>NO</v>
      </c>
      <c r="E396" s="7">
        <v>334649</v>
      </c>
      <c r="F396" s="7" t="s">
        <v>378</v>
      </c>
      <c r="G396" s="7" t="s">
        <v>379</v>
      </c>
      <c r="H396" s="7">
        <v>45369</v>
      </c>
      <c r="I396" s="7">
        <v>43804456</v>
      </c>
      <c r="J396" s="7" t="s">
        <v>380</v>
      </c>
      <c r="K396" s="7" t="s">
        <v>381</v>
      </c>
      <c r="L396" s="7" t="s">
        <v>179</v>
      </c>
      <c r="N396" s="29">
        <v>45256</v>
      </c>
      <c r="Q396" s="7" t="s">
        <v>157</v>
      </c>
      <c r="R396" s="7" t="s">
        <v>238</v>
      </c>
      <c r="S396" s="7" t="s">
        <v>126</v>
      </c>
      <c r="T396" s="7" t="s">
        <v>206</v>
      </c>
      <c r="U396" s="7" t="s">
        <v>167</v>
      </c>
      <c r="V396" s="7" t="s">
        <v>240</v>
      </c>
      <c r="W396" s="7">
        <v>108803</v>
      </c>
      <c r="X396" s="7" t="s">
        <v>169</v>
      </c>
      <c r="Y396" s="7" t="s">
        <v>170</v>
      </c>
      <c r="AA396" s="7" t="s">
        <v>208</v>
      </c>
      <c r="AB396" s="7" t="s">
        <v>209</v>
      </c>
      <c r="AC396" s="7">
        <v>1035</v>
      </c>
      <c r="AF396" s="7" t="s">
        <v>173</v>
      </c>
      <c r="AG396" s="7" t="s">
        <v>170</v>
      </c>
      <c r="AI396" s="7" t="s">
        <v>174</v>
      </c>
      <c r="AK396" s="7">
        <v>1</v>
      </c>
      <c r="AL396" s="7">
        <v>1</v>
      </c>
      <c r="AN396" s="7">
        <v>95.12</v>
      </c>
      <c r="AP396" s="7">
        <v>4755.79</v>
      </c>
      <c r="AQ396" s="30">
        <v>4660.67</v>
      </c>
      <c r="AS396" s="7">
        <v>95.12</v>
      </c>
      <c r="BG396" s="7">
        <v>95.12</v>
      </c>
      <c r="BO396" s="7">
        <v>47.56</v>
      </c>
      <c r="BR396" s="7">
        <v>237.8</v>
      </c>
      <c r="BS396" s="7">
        <v>4755.79</v>
      </c>
      <c r="BT396" s="7">
        <f t="shared" si="264"/>
        <v>4755.79</v>
      </c>
    </row>
    <row r="397" spans="1:73" ht="11.25" x14ac:dyDescent="0.2">
      <c r="A397" s="133">
        <f t="shared" si="263"/>
        <v>3</v>
      </c>
      <c r="B397" s="141">
        <v>45352</v>
      </c>
      <c r="C397" s="10" t="s">
        <v>102</v>
      </c>
      <c r="D397" s="42" t="str">
        <f t="shared" si="265"/>
        <v>NO</v>
      </c>
      <c r="E397" s="7">
        <v>340774</v>
      </c>
      <c r="F397" s="7" t="s">
        <v>965</v>
      </c>
      <c r="G397" s="7" t="s">
        <v>966</v>
      </c>
      <c r="H397" s="7">
        <v>45387</v>
      </c>
      <c r="I397" s="7">
        <v>35977213</v>
      </c>
      <c r="J397" s="7" t="s">
        <v>967</v>
      </c>
      <c r="K397" s="7" t="s">
        <v>968</v>
      </c>
      <c r="L397" s="7" t="s">
        <v>179</v>
      </c>
      <c r="N397" s="29">
        <v>45361</v>
      </c>
      <c r="Q397" s="7" t="s">
        <v>157</v>
      </c>
      <c r="R397" s="7" t="s">
        <v>165</v>
      </c>
      <c r="S397" s="7" t="s">
        <v>126</v>
      </c>
      <c r="T397" s="7" t="s">
        <v>180</v>
      </c>
      <c r="U397" s="7" t="s">
        <v>167</v>
      </c>
      <c r="V397" s="7" t="s">
        <v>168</v>
      </c>
      <c r="W397" s="7">
        <v>108803</v>
      </c>
      <c r="X397" s="7" t="s">
        <v>169</v>
      </c>
      <c r="Y397" s="7" t="s">
        <v>170</v>
      </c>
      <c r="AA397" s="7" t="s">
        <v>171</v>
      </c>
      <c r="AB397" s="7" t="s">
        <v>172</v>
      </c>
      <c r="AC397" s="7">
        <v>1130</v>
      </c>
      <c r="AF397" s="7" t="s">
        <v>173</v>
      </c>
      <c r="AG397" s="7" t="s">
        <v>170</v>
      </c>
      <c r="AI397" s="7" t="s">
        <v>174</v>
      </c>
      <c r="AK397" s="7">
        <v>3</v>
      </c>
      <c r="AL397" s="7">
        <v>1</v>
      </c>
      <c r="AM397" s="7">
        <v>56282.54</v>
      </c>
      <c r="AN397" s="7">
        <v>11793.2</v>
      </c>
      <c r="AP397" s="7">
        <v>20642.599999999999</v>
      </c>
      <c r="AQ397" s="30">
        <v>65131.94</v>
      </c>
      <c r="AS397" s="7">
        <v>1538.5</v>
      </c>
      <c r="AZ397" s="7">
        <v>686.68</v>
      </c>
      <c r="BG397" s="7">
        <v>1538.5</v>
      </c>
      <c r="BO397" s="7">
        <v>769.26</v>
      </c>
      <c r="BP397" s="7">
        <v>5000</v>
      </c>
      <c r="BR397" s="7">
        <v>9532.94</v>
      </c>
      <c r="BS397" s="7">
        <v>20642.600000000002</v>
      </c>
      <c r="BT397" s="7">
        <f t="shared" si="264"/>
        <v>76925.14</v>
      </c>
      <c r="BU397" s="144">
        <f>+AZ397/BT397</f>
        <v>8.9266005885722133E-3</v>
      </c>
    </row>
    <row r="398" spans="1:73" ht="11.25" hidden="1" x14ac:dyDescent="0.2">
      <c r="A398" s="133">
        <f t="shared" si="263"/>
        <v>3</v>
      </c>
      <c r="B398" s="141">
        <v>45352</v>
      </c>
      <c r="C398" s="10"/>
      <c r="D398" s="42" t="str">
        <f t="shared" si="265"/>
        <v>NO</v>
      </c>
      <c r="E398" s="7">
        <v>336989</v>
      </c>
      <c r="F398" s="7" t="s">
        <v>392</v>
      </c>
      <c r="G398" s="7" t="s">
        <v>393</v>
      </c>
      <c r="H398" s="7">
        <v>45369</v>
      </c>
      <c r="I398" s="7">
        <v>35617376</v>
      </c>
      <c r="J398" s="7" t="s">
        <v>384</v>
      </c>
      <c r="K398" s="7" t="s">
        <v>394</v>
      </c>
      <c r="L398" s="7" t="s">
        <v>179</v>
      </c>
      <c r="N398" s="29">
        <v>45293</v>
      </c>
      <c r="Q398" s="7" t="s">
        <v>157</v>
      </c>
      <c r="R398" s="7" t="s">
        <v>199</v>
      </c>
      <c r="S398" s="7" t="s">
        <v>126</v>
      </c>
      <c r="T398" s="7" t="s">
        <v>200</v>
      </c>
      <c r="U398" s="7" t="s">
        <v>167</v>
      </c>
      <c r="V398" s="7" t="s">
        <v>395</v>
      </c>
      <c r="W398" s="7">
        <v>121002</v>
      </c>
      <c r="X398" s="7" t="s">
        <v>396</v>
      </c>
      <c r="Y398" s="7" t="s">
        <v>170</v>
      </c>
      <c r="AA398" s="7" t="s">
        <v>189</v>
      </c>
      <c r="AB398" s="7" t="s">
        <v>190</v>
      </c>
      <c r="AC398" s="7">
        <v>1584</v>
      </c>
      <c r="AF398" s="7" t="s">
        <v>173</v>
      </c>
      <c r="AG398" s="7" t="s">
        <v>170</v>
      </c>
      <c r="AI398" s="7" t="s">
        <v>174</v>
      </c>
      <c r="AK398" s="7">
        <v>1</v>
      </c>
      <c r="AL398" s="7">
        <v>1</v>
      </c>
      <c r="AN398" s="7">
        <v>87.37</v>
      </c>
      <c r="AP398" s="7">
        <v>4368.34</v>
      </c>
      <c r="AQ398" s="30">
        <v>4280.97</v>
      </c>
      <c r="AS398" s="7">
        <v>87.37</v>
      </c>
      <c r="BG398" s="7">
        <v>87.37</v>
      </c>
      <c r="BO398" s="7">
        <v>43.68</v>
      </c>
      <c r="BR398" s="7">
        <v>218.42</v>
      </c>
      <c r="BS398" s="7">
        <v>4368.34</v>
      </c>
      <c r="BT398" s="7">
        <f t="shared" si="264"/>
        <v>4368.34</v>
      </c>
    </row>
    <row r="399" spans="1:73" ht="11.25" x14ac:dyDescent="0.2">
      <c r="A399" s="133">
        <f t="shared" si="263"/>
        <v>3</v>
      </c>
      <c r="B399" s="141">
        <v>45352</v>
      </c>
      <c r="C399" s="10" t="s">
        <v>102</v>
      </c>
      <c r="D399" s="42" t="str">
        <f t="shared" si="265"/>
        <v>NO</v>
      </c>
      <c r="E399" s="7">
        <v>340192</v>
      </c>
      <c r="F399" s="7" t="s">
        <v>861</v>
      </c>
      <c r="G399" s="7" t="s">
        <v>862</v>
      </c>
      <c r="H399" s="7">
        <v>45379</v>
      </c>
      <c r="I399" s="7">
        <v>45495640</v>
      </c>
      <c r="J399" s="7" t="s">
        <v>384</v>
      </c>
      <c r="K399" s="7" t="s">
        <v>969</v>
      </c>
      <c r="L399" s="7" t="s">
        <v>179</v>
      </c>
      <c r="N399" s="29">
        <v>45346</v>
      </c>
      <c r="Q399" s="7" t="s">
        <v>157</v>
      </c>
      <c r="R399" s="7" t="s">
        <v>165</v>
      </c>
      <c r="S399" s="7" t="s">
        <v>126</v>
      </c>
      <c r="T399" s="7" t="s">
        <v>166</v>
      </c>
      <c r="U399" s="7" t="s">
        <v>167</v>
      </c>
      <c r="V399" s="7" t="s">
        <v>168</v>
      </c>
      <c r="W399" s="7">
        <v>108803</v>
      </c>
      <c r="X399" s="7" t="s">
        <v>169</v>
      </c>
      <c r="Y399" s="7" t="s">
        <v>170</v>
      </c>
      <c r="AA399" s="7" t="s">
        <v>189</v>
      </c>
      <c r="AB399" s="7" t="s">
        <v>190</v>
      </c>
      <c r="AC399" s="7">
        <v>1584</v>
      </c>
      <c r="AF399" s="7" t="s">
        <v>173</v>
      </c>
      <c r="AG399" s="7" t="s">
        <v>170</v>
      </c>
      <c r="AI399" s="7" t="s">
        <v>174</v>
      </c>
      <c r="AK399" s="7">
        <v>1</v>
      </c>
      <c r="AL399" s="7">
        <v>1</v>
      </c>
      <c r="AM399" s="7">
        <v>35951.199999999997</v>
      </c>
      <c r="AN399" s="7">
        <v>7517.09</v>
      </c>
      <c r="AP399" s="7">
        <v>12570.73</v>
      </c>
      <c r="AQ399" s="30">
        <v>41004.839999999997</v>
      </c>
      <c r="AS399" s="7">
        <v>970.44</v>
      </c>
      <c r="AZ399" s="7">
        <v>434.94</v>
      </c>
      <c r="BG399" s="7">
        <v>970.44</v>
      </c>
      <c r="BO399" s="7">
        <v>485.22</v>
      </c>
      <c r="BP399" s="7">
        <v>5000</v>
      </c>
      <c r="BR399" s="7">
        <v>7861.04</v>
      </c>
      <c r="BS399" s="7">
        <v>12570.73</v>
      </c>
      <c r="BT399" s="7">
        <f t="shared" si="264"/>
        <v>48521.929999999993</v>
      </c>
      <c r="BU399" s="144">
        <f t="shared" ref="BU399:BU404" si="274">+AZ399/BT399</f>
        <v>8.9637819435459398E-3</v>
      </c>
    </row>
    <row r="400" spans="1:73" ht="11.25" x14ac:dyDescent="0.2">
      <c r="A400" s="133">
        <f t="shared" si="263"/>
        <v>3</v>
      </c>
      <c r="B400" s="141">
        <v>45352</v>
      </c>
      <c r="C400" s="10" t="s">
        <v>102</v>
      </c>
      <c r="D400" s="42" t="str">
        <f t="shared" si="265"/>
        <v>NO</v>
      </c>
      <c r="E400" s="7">
        <v>340823</v>
      </c>
      <c r="F400" s="7" t="s">
        <v>970</v>
      </c>
      <c r="G400" s="7" t="s">
        <v>971</v>
      </c>
      <c r="H400" s="7">
        <v>45387</v>
      </c>
      <c r="I400" s="7">
        <v>35971735</v>
      </c>
      <c r="J400" s="7" t="s">
        <v>972</v>
      </c>
      <c r="K400" s="7" t="s">
        <v>973</v>
      </c>
      <c r="L400" s="7" t="s">
        <v>179</v>
      </c>
      <c r="N400" s="29">
        <v>45360</v>
      </c>
      <c r="Q400" s="7" t="s">
        <v>157</v>
      </c>
      <c r="R400" s="7" t="s">
        <v>214</v>
      </c>
      <c r="S400" s="7" t="s">
        <v>126</v>
      </c>
      <c r="T400" s="7" t="s">
        <v>200</v>
      </c>
      <c r="U400" s="7" t="s">
        <v>167</v>
      </c>
      <c r="V400" s="7" t="s">
        <v>254</v>
      </c>
      <c r="W400" s="7">
        <v>119906</v>
      </c>
      <c r="X400" s="7" t="s">
        <v>974</v>
      </c>
      <c r="Y400" s="7" t="s">
        <v>170</v>
      </c>
      <c r="AA400" s="7" t="s">
        <v>189</v>
      </c>
      <c r="AB400" s="7" t="s">
        <v>190</v>
      </c>
      <c r="AC400" s="7">
        <v>1584</v>
      </c>
      <c r="AF400" s="7" t="s">
        <v>173</v>
      </c>
      <c r="AG400" s="7" t="s">
        <v>170</v>
      </c>
      <c r="AI400" s="7" t="s">
        <v>174</v>
      </c>
      <c r="AK400" s="7">
        <v>1</v>
      </c>
      <c r="AL400" s="7">
        <v>1</v>
      </c>
      <c r="AM400" s="7">
        <v>3931.04</v>
      </c>
      <c r="AN400" s="7">
        <v>826.12</v>
      </c>
      <c r="AP400" s="7">
        <v>1535.57</v>
      </c>
      <c r="AQ400" s="30">
        <v>4640.49</v>
      </c>
      <c r="AS400" s="7">
        <v>109.33</v>
      </c>
      <c r="AZ400" s="7">
        <v>48.52</v>
      </c>
      <c r="BG400" s="7">
        <v>109.33</v>
      </c>
      <c r="BO400" s="7">
        <v>54.67</v>
      </c>
      <c r="BP400" s="7">
        <v>5000</v>
      </c>
      <c r="BR400" s="7">
        <v>5321.85</v>
      </c>
      <c r="BS400" s="7">
        <v>1535.5700000000002</v>
      </c>
      <c r="BT400" s="7">
        <f t="shared" si="264"/>
        <v>5466.6100000000006</v>
      </c>
      <c r="BU400" s="144">
        <f t="shared" si="274"/>
        <v>8.8757017603231254E-3</v>
      </c>
    </row>
    <row r="401" spans="1:73" ht="11.25" x14ac:dyDescent="0.2">
      <c r="A401" s="133">
        <f t="shared" si="263"/>
        <v>3</v>
      </c>
      <c r="B401" s="141">
        <v>45352</v>
      </c>
      <c r="C401" s="10" t="s">
        <v>102</v>
      </c>
      <c r="D401" s="42" t="str">
        <f t="shared" si="265"/>
        <v>NO</v>
      </c>
      <c r="E401" s="7">
        <v>340189</v>
      </c>
      <c r="F401" s="7" t="s">
        <v>864</v>
      </c>
      <c r="G401" s="7" t="s">
        <v>865</v>
      </c>
      <c r="H401" s="7">
        <v>45379</v>
      </c>
      <c r="I401" s="7">
        <v>41551382</v>
      </c>
      <c r="J401" s="7" t="s">
        <v>866</v>
      </c>
      <c r="K401" s="7" t="s">
        <v>867</v>
      </c>
      <c r="L401" s="7" t="s">
        <v>179</v>
      </c>
      <c r="N401" s="29">
        <v>45346</v>
      </c>
      <c r="Q401" s="7" t="s">
        <v>157</v>
      </c>
      <c r="R401" s="7" t="s">
        <v>165</v>
      </c>
      <c r="S401" s="7" t="s">
        <v>126</v>
      </c>
      <c r="T401" s="7" t="s">
        <v>166</v>
      </c>
      <c r="U401" s="7" t="s">
        <v>167</v>
      </c>
      <c r="V401" s="7" t="s">
        <v>168</v>
      </c>
      <c r="W401" s="7">
        <v>108803</v>
      </c>
      <c r="X401" s="7" t="s">
        <v>169</v>
      </c>
      <c r="Y401" s="7" t="s">
        <v>170</v>
      </c>
      <c r="AA401" s="7" t="s">
        <v>189</v>
      </c>
      <c r="AB401" s="7" t="s">
        <v>190</v>
      </c>
      <c r="AC401" s="7">
        <v>1584</v>
      </c>
      <c r="AF401" s="7" t="s">
        <v>173</v>
      </c>
      <c r="AG401" s="7" t="s">
        <v>170</v>
      </c>
      <c r="AI401" s="7" t="s">
        <v>174</v>
      </c>
      <c r="AK401" s="7">
        <v>2</v>
      </c>
      <c r="AL401" s="7">
        <v>1</v>
      </c>
      <c r="AM401" s="7">
        <v>61328.52</v>
      </c>
      <c r="AN401" s="7">
        <v>12836.57</v>
      </c>
      <c r="AP401" s="7">
        <v>22109.71</v>
      </c>
      <c r="AQ401" s="30">
        <v>70601.66</v>
      </c>
      <c r="AS401" s="7">
        <v>1668.76</v>
      </c>
      <c r="AZ401" s="7">
        <v>741.95</v>
      </c>
      <c r="BG401" s="7">
        <v>1668.76</v>
      </c>
      <c r="BO401" s="7">
        <v>834.39</v>
      </c>
      <c r="BP401" s="7">
        <v>5000</v>
      </c>
      <c r="BR401" s="7">
        <v>9913.86</v>
      </c>
      <c r="BS401" s="7">
        <v>22109.71</v>
      </c>
      <c r="BT401" s="7">
        <f t="shared" si="264"/>
        <v>83438.23</v>
      </c>
      <c r="BU401" s="144">
        <f t="shared" si="274"/>
        <v>8.8922068457108934E-3</v>
      </c>
    </row>
    <row r="402" spans="1:73" ht="11.25" x14ac:dyDescent="0.2">
      <c r="A402" s="133">
        <f t="shared" si="263"/>
        <v>3</v>
      </c>
      <c r="B402" s="141">
        <v>45352</v>
      </c>
      <c r="C402" s="10" t="s">
        <v>102</v>
      </c>
      <c r="D402" s="42" t="str">
        <f t="shared" si="265"/>
        <v>NO</v>
      </c>
      <c r="E402" s="7">
        <v>339944</v>
      </c>
      <c r="F402" s="7" t="s">
        <v>868</v>
      </c>
      <c r="G402" s="7" t="s">
        <v>869</v>
      </c>
      <c r="H402" s="7">
        <v>45387</v>
      </c>
      <c r="I402" s="7">
        <v>45752480</v>
      </c>
      <c r="J402" s="7" t="s">
        <v>428</v>
      </c>
      <c r="K402" s="7" t="s">
        <v>870</v>
      </c>
      <c r="L402" s="7" t="s">
        <v>179</v>
      </c>
      <c r="N402" s="29">
        <v>45341</v>
      </c>
      <c r="Q402" s="7" t="s">
        <v>157</v>
      </c>
      <c r="R402" s="7" t="s">
        <v>165</v>
      </c>
      <c r="S402" s="7" t="s">
        <v>126</v>
      </c>
      <c r="T402" s="7" t="s">
        <v>180</v>
      </c>
      <c r="U402" s="7" t="s">
        <v>167</v>
      </c>
      <c r="V402" s="7" t="s">
        <v>168</v>
      </c>
      <c r="W402" s="7">
        <v>108803</v>
      </c>
      <c r="X402" s="7" t="s">
        <v>169</v>
      </c>
      <c r="Y402" s="7" t="s">
        <v>170</v>
      </c>
      <c r="AA402" s="7" t="s">
        <v>171</v>
      </c>
      <c r="AB402" s="7" t="s">
        <v>172</v>
      </c>
      <c r="AC402" s="7">
        <v>1130</v>
      </c>
      <c r="AF402" s="7" t="s">
        <v>173</v>
      </c>
      <c r="AG402" s="7" t="s">
        <v>170</v>
      </c>
      <c r="AI402" s="7" t="s">
        <v>174</v>
      </c>
      <c r="AK402" s="7">
        <v>5</v>
      </c>
      <c r="AL402" s="7">
        <v>1</v>
      </c>
      <c r="AM402" s="7">
        <v>88418.55</v>
      </c>
      <c r="AN402" s="7">
        <v>18617.02</v>
      </c>
      <c r="AP402" s="7">
        <v>36732.43</v>
      </c>
      <c r="AQ402" s="30">
        <v>106533.96</v>
      </c>
      <c r="AS402" s="7">
        <v>2503.0300000000002</v>
      </c>
      <c r="AZ402" s="7">
        <v>1082.8399999999999</v>
      </c>
      <c r="BG402" s="7">
        <v>2503.0300000000002</v>
      </c>
      <c r="BO402" s="7">
        <v>1251.51</v>
      </c>
      <c r="BP402" s="7">
        <v>10000</v>
      </c>
      <c r="BR402" s="7">
        <v>17340.41</v>
      </c>
      <c r="BS402" s="7">
        <v>36732.43</v>
      </c>
      <c r="BT402" s="7">
        <f t="shared" si="264"/>
        <v>125150.98000000001</v>
      </c>
      <c r="BU402" s="144">
        <f t="shared" si="274"/>
        <v>8.6522694428761149E-3</v>
      </c>
    </row>
    <row r="403" spans="1:73" ht="11.25" x14ac:dyDescent="0.2">
      <c r="A403" s="133">
        <f t="shared" si="263"/>
        <v>3</v>
      </c>
      <c r="B403" s="141">
        <v>45352</v>
      </c>
      <c r="C403" s="10" t="s">
        <v>102</v>
      </c>
      <c r="D403" s="42" t="str">
        <f t="shared" si="265"/>
        <v>NO</v>
      </c>
      <c r="E403" s="7">
        <v>235280</v>
      </c>
      <c r="F403" s="7" t="s">
        <v>426</v>
      </c>
      <c r="G403" s="7" t="s">
        <v>427</v>
      </c>
      <c r="H403" s="7">
        <v>45387</v>
      </c>
      <c r="I403" s="7">
        <v>41352660</v>
      </c>
      <c r="J403" s="7" t="s">
        <v>428</v>
      </c>
      <c r="K403" s="7" t="s">
        <v>429</v>
      </c>
      <c r="L403" s="7" t="s">
        <v>164</v>
      </c>
      <c r="N403" s="29">
        <v>44800</v>
      </c>
      <c r="Q403" s="7" t="s">
        <v>157</v>
      </c>
      <c r="R403" s="7" t="s">
        <v>165</v>
      </c>
      <c r="S403" s="7" t="s">
        <v>126</v>
      </c>
      <c r="T403" s="7" t="s">
        <v>180</v>
      </c>
      <c r="U403" s="7" t="s">
        <v>167</v>
      </c>
      <c r="V403" s="7" t="s">
        <v>168</v>
      </c>
      <c r="W403" s="7">
        <v>108803</v>
      </c>
      <c r="X403" s="7" t="s">
        <v>169</v>
      </c>
      <c r="Y403" s="7" t="s">
        <v>170</v>
      </c>
      <c r="AA403" s="7" t="s">
        <v>171</v>
      </c>
      <c r="AB403" s="7" t="s">
        <v>172</v>
      </c>
      <c r="AC403" s="7">
        <v>1130</v>
      </c>
      <c r="AF403" s="7" t="s">
        <v>173</v>
      </c>
      <c r="AG403" s="7" t="s">
        <v>170</v>
      </c>
      <c r="AI403" s="7" t="s">
        <v>174</v>
      </c>
      <c r="AK403" s="7">
        <v>4</v>
      </c>
      <c r="AL403" s="7">
        <v>1</v>
      </c>
      <c r="AM403" s="7">
        <v>102929.81</v>
      </c>
      <c r="AN403" s="7">
        <v>21679.439999999999</v>
      </c>
      <c r="AP403" s="7">
        <v>43276.77</v>
      </c>
      <c r="AQ403" s="30">
        <v>124527.14</v>
      </c>
      <c r="AS403" s="7">
        <v>2924.14</v>
      </c>
      <c r="AZ403" s="7">
        <v>1257.24</v>
      </c>
      <c r="BG403" s="7">
        <v>2924.14</v>
      </c>
      <c r="BO403" s="7">
        <v>1462.07</v>
      </c>
      <c r="BP403" s="7">
        <v>10000</v>
      </c>
      <c r="BR403" s="7">
        <v>18567.59</v>
      </c>
      <c r="BS403" s="7">
        <v>43276.770000000004</v>
      </c>
      <c r="BT403" s="7">
        <f t="shared" si="264"/>
        <v>146206.58000000002</v>
      </c>
      <c r="BU403" s="144">
        <f t="shared" si="274"/>
        <v>8.599065787599983E-3</v>
      </c>
    </row>
    <row r="404" spans="1:73" ht="11.25" x14ac:dyDescent="0.2">
      <c r="A404" s="133">
        <f t="shared" si="263"/>
        <v>3</v>
      </c>
      <c r="B404" s="141">
        <v>45352</v>
      </c>
      <c r="C404" s="10" t="s">
        <v>102</v>
      </c>
      <c r="D404" s="42" t="str">
        <f t="shared" si="265"/>
        <v>NO</v>
      </c>
      <c r="E404" s="7">
        <v>339532</v>
      </c>
      <c r="F404" s="7" t="s">
        <v>871</v>
      </c>
      <c r="G404" s="7" t="s">
        <v>872</v>
      </c>
      <c r="H404" s="7">
        <v>45387</v>
      </c>
      <c r="I404" s="7">
        <v>35860524</v>
      </c>
      <c r="J404" s="7" t="s">
        <v>436</v>
      </c>
      <c r="K404" s="7" t="s">
        <v>873</v>
      </c>
      <c r="L404" s="7" t="s">
        <v>164</v>
      </c>
      <c r="N404" s="29">
        <v>45332</v>
      </c>
      <c r="Q404" s="7" t="s">
        <v>157</v>
      </c>
      <c r="R404" s="7" t="s">
        <v>214</v>
      </c>
      <c r="S404" s="7" t="s">
        <v>126</v>
      </c>
      <c r="T404" s="7" t="s">
        <v>239</v>
      </c>
      <c r="U404" s="7" t="s">
        <v>167</v>
      </c>
      <c r="V404" s="7" t="s">
        <v>215</v>
      </c>
      <c r="W404" s="7">
        <v>2808</v>
      </c>
      <c r="X404" s="7" t="s">
        <v>874</v>
      </c>
      <c r="Y404" s="7" t="s">
        <v>170</v>
      </c>
      <c r="AA404" s="7" t="s">
        <v>171</v>
      </c>
      <c r="AB404" s="7" t="s">
        <v>172</v>
      </c>
      <c r="AC404" s="7">
        <v>1130</v>
      </c>
      <c r="AF404" s="7" t="s">
        <v>173</v>
      </c>
      <c r="AG404" s="7" t="s">
        <v>170</v>
      </c>
      <c r="AI404" s="7" t="s">
        <v>174</v>
      </c>
      <c r="AK404" s="7">
        <v>2</v>
      </c>
      <c r="AL404" s="7">
        <v>1</v>
      </c>
      <c r="AM404" s="7">
        <v>68793.31</v>
      </c>
      <c r="AN404" s="7">
        <v>14531.05</v>
      </c>
      <c r="AP404" s="7">
        <v>30557.759999999998</v>
      </c>
      <c r="AQ404" s="30">
        <v>84820.02</v>
      </c>
      <c r="AS404" s="7">
        <v>1987.02</v>
      </c>
      <c r="AZ404" s="7">
        <v>849.17</v>
      </c>
      <c r="BG404" s="7">
        <v>1987.02</v>
      </c>
      <c r="BO404" s="7">
        <v>993.51</v>
      </c>
      <c r="BP404" s="7">
        <v>5000</v>
      </c>
      <c r="BR404" s="7">
        <v>10816.72</v>
      </c>
      <c r="BS404" s="7">
        <v>30557.759999999998</v>
      </c>
      <c r="BT404" s="7">
        <f t="shared" si="264"/>
        <v>99351.069999999992</v>
      </c>
      <c r="BU404" s="144">
        <f t="shared" si="274"/>
        <v>8.5471651186041584E-3</v>
      </c>
    </row>
    <row r="405" spans="1:73" ht="11.25" hidden="1" x14ac:dyDescent="0.2">
      <c r="A405" s="133">
        <f t="shared" si="263"/>
        <v>3</v>
      </c>
      <c r="B405" s="141">
        <v>45352</v>
      </c>
      <c r="C405" s="10"/>
      <c r="D405" s="42" t="str">
        <f t="shared" si="265"/>
        <v>NO</v>
      </c>
      <c r="E405" s="7">
        <v>321553</v>
      </c>
      <c r="F405" s="7" t="s">
        <v>434</v>
      </c>
      <c r="G405" s="7" t="s">
        <v>435</v>
      </c>
      <c r="H405" s="7">
        <v>45369</v>
      </c>
      <c r="I405" s="7">
        <v>39756303</v>
      </c>
      <c r="J405" s="7" t="s">
        <v>436</v>
      </c>
      <c r="K405" s="7" t="s">
        <v>437</v>
      </c>
      <c r="L405" s="7" t="s">
        <v>179</v>
      </c>
      <c r="N405" s="29">
        <v>45244</v>
      </c>
      <c r="Q405" s="7" t="s">
        <v>157</v>
      </c>
      <c r="R405" s="7" t="s">
        <v>199</v>
      </c>
      <c r="S405" s="7" t="s">
        <v>126</v>
      </c>
      <c r="T405" s="7" t="s">
        <v>200</v>
      </c>
      <c r="U405" s="7" t="s">
        <v>167</v>
      </c>
      <c r="V405" s="7" t="s">
        <v>201</v>
      </c>
      <c r="W405" s="7">
        <v>108803</v>
      </c>
      <c r="X405" s="7" t="s">
        <v>169</v>
      </c>
      <c r="Y405" s="7" t="s">
        <v>170</v>
      </c>
      <c r="AA405" s="7" t="s">
        <v>171</v>
      </c>
      <c r="AB405" s="7" t="s">
        <v>172</v>
      </c>
      <c r="AC405" s="7">
        <v>1130</v>
      </c>
      <c r="AF405" s="7" t="s">
        <v>173</v>
      </c>
      <c r="AG405" s="7" t="s">
        <v>170</v>
      </c>
      <c r="AI405" s="7" t="s">
        <v>174</v>
      </c>
      <c r="AK405" s="7">
        <v>1</v>
      </c>
      <c r="AL405" s="7">
        <v>1</v>
      </c>
      <c r="AN405" s="7">
        <v>267.56</v>
      </c>
      <c r="AP405" s="7">
        <v>13378.03</v>
      </c>
      <c r="AQ405" s="30">
        <v>13110.47</v>
      </c>
      <c r="AS405" s="7">
        <v>267.56</v>
      </c>
      <c r="BG405" s="7">
        <v>267.56</v>
      </c>
      <c r="BO405" s="7">
        <v>133.78</v>
      </c>
      <c r="BR405" s="7">
        <v>668.9</v>
      </c>
      <c r="BS405" s="7">
        <v>13378.03</v>
      </c>
      <c r="BT405" s="7">
        <f t="shared" si="264"/>
        <v>13378.03</v>
      </c>
    </row>
    <row r="406" spans="1:73" ht="11.25" hidden="1" x14ac:dyDescent="0.2">
      <c r="A406" s="133">
        <f t="shared" si="263"/>
        <v>3</v>
      </c>
      <c r="B406" s="141">
        <v>45352</v>
      </c>
      <c r="C406" s="10"/>
      <c r="D406" s="42" t="str">
        <f t="shared" si="265"/>
        <v>NO</v>
      </c>
      <c r="E406" s="7">
        <v>301772</v>
      </c>
      <c r="F406" s="7" t="s">
        <v>438</v>
      </c>
      <c r="G406" s="7" t="s">
        <v>439</v>
      </c>
      <c r="H406" s="7">
        <v>45371</v>
      </c>
      <c r="I406" s="7">
        <v>40014235</v>
      </c>
      <c r="J406" s="7" t="s">
        <v>440</v>
      </c>
      <c r="K406" s="7" t="s">
        <v>441</v>
      </c>
      <c r="L406" s="7" t="s">
        <v>164</v>
      </c>
      <c r="N406" s="29">
        <v>44714</v>
      </c>
      <c r="O406" s="29">
        <v>45291</v>
      </c>
      <c r="P406" s="29">
        <v>45291</v>
      </c>
      <c r="Q406" s="7" t="s">
        <v>157</v>
      </c>
      <c r="R406" s="7" t="s">
        <v>165</v>
      </c>
      <c r="S406" s="7" t="s">
        <v>126</v>
      </c>
      <c r="T406" s="7" t="s">
        <v>180</v>
      </c>
      <c r="U406" s="7" t="s">
        <v>167</v>
      </c>
      <c r="V406" s="7" t="s">
        <v>168</v>
      </c>
      <c r="W406" s="7">
        <v>108803</v>
      </c>
      <c r="X406" s="7" t="s">
        <v>169</v>
      </c>
      <c r="Y406" s="7" t="s">
        <v>170</v>
      </c>
      <c r="AA406" s="7" t="s">
        <v>171</v>
      </c>
      <c r="AB406" s="7" t="s">
        <v>172</v>
      </c>
      <c r="AC406" s="7">
        <v>1130</v>
      </c>
      <c r="AF406" s="7" t="s">
        <v>173</v>
      </c>
      <c r="AG406" s="7" t="s">
        <v>170</v>
      </c>
      <c r="AI406" s="7" t="s">
        <v>174</v>
      </c>
      <c r="AK406" s="7">
        <v>1</v>
      </c>
      <c r="AL406" s="7">
        <v>1</v>
      </c>
      <c r="AP406" s="7">
        <v>48587.23</v>
      </c>
      <c r="AQ406" s="30">
        <v>48587.23</v>
      </c>
      <c r="AS406" s="7"/>
      <c r="BS406" s="7">
        <v>0</v>
      </c>
      <c r="BT406" s="7">
        <f t="shared" si="264"/>
        <v>0</v>
      </c>
    </row>
    <row r="407" spans="1:73" ht="11.25" x14ac:dyDescent="0.2">
      <c r="A407" s="133">
        <f t="shared" si="263"/>
        <v>3</v>
      </c>
      <c r="B407" s="141">
        <v>45352</v>
      </c>
      <c r="C407" s="10" t="s">
        <v>102</v>
      </c>
      <c r="D407" s="42" t="str">
        <f t="shared" si="265"/>
        <v>NO</v>
      </c>
      <c r="E407" s="7">
        <v>334130</v>
      </c>
      <c r="F407" s="7" t="s">
        <v>442</v>
      </c>
      <c r="G407" s="7" t="s">
        <v>443</v>
      </c>
      <c r="H407" s="7">
        <v>45387</v>
      </c>
      <c r="I407" s="7">
        <v>42313991</v>
      </c>
      <c r="J407" s="7" t="s">
        <v>444</v>
      </c>
      <c r="K407" s="7" t="s">
        <v>445</v>
      </c>
      <c r="L407" s="7" t="s">
        <v>179</v>
      </c>
      <c r="N407" s="29">
        <v>45372</v>
      </c>
      <c r="Q407" s="7" t="s">
        <v>157</v>
      </c>
      <c r="R407" s="7" t="s">
        <v>165</v>
      </c>
      <c r="S407" s="7" t="s">
        <v>126</v>
      </c>
      <c r="T407" s="7" t="s">
        <v>180</v>
      </c>
      <c r="U407" s="7" t="s">
        <v>167</v>
      </c>
      <c r="V407" s="7" t="s">
        <v>168</v>
      </c>
      <c r="W407" s="7">
        <v>108803</v>
      </c>
      <c r="X407" s="7" t="s">
        <v>169</v>
      </c>
      <c r="Y407" s="7" t="s">
        <v>170</v>
      </c>
      <c r="AA407" s="7" t="s">
        <v>171</v>
      </c>
      <c r="AB407" s="7" t="s">
        <v>172</v>
      </c>
      <c r="AC407" s="7">
        <v>1130</v>
      </c>
      <c r="AF407" s="7" t="s">
        <v>173</v>
      </c>
      <c r="AG407" s="7" t="s">
        <v>170</v>
      </c>
      <c r="AI407" s="7" t="s">
        <v>174</v>
      </c>
      <c r="AK407" s="7">
        <v>1</v>
      </c>
      <c r="AL407" s="7">
        <v>1</v>
      </c>
      <c r="AM407" s="7">
        <v>40180.76</v>
      </c>
      <c r="AN407" s="7">
        <v>8401.44</v>
      </c>
      <c r="AP407" s="7">
        <v>14049.65</v>
      </c>
      <c r="AQ407" s="30">
        <v>45828.97</v>
      </c>
      <c r="AS407" s="7">
        <v>1084.6099999999999</v>
      </c>
      <c r="AZ407" s="7">
        <v>486.11</v>
      </c>
      <c r="BG407" s="7">
        <v>1084.6099999999999</v>
      </c>
      <c r="BO407" s="7">
        <v>542.29999999999995</v>
      </c>
      <c r="BP407" s="7">
        <v>5000</v>
      </c>
      <c r="BR407" s="7">
        <v>8197.6299999999992</v>
      </c>
      <c r="BS407" s="7">
        <v>14049.649999999998</v>
      </c>
      <c r="BT407" s="7">
        <f t="shared" si="264"/>
        <v>54230.41</v>
      </c>
      <c r="BU407" s="144">
        <f t="shared" ref="BU407:BU418" si="275">+AZ407/BT407</f>
        <v>8.9637898736151904E-3</v>
      </c>
    </row>
    <row r="408" spans="1:73" ht="11.25" x14ac:dyDescent="0.2">
      <c r="A408" s="133">
        <f t="shared" si="263"/>
        <v>3</v>
      </c>
      <c r="B408" s="141">
        <v>45352</v>
      </c>
      <c r="C408" s="10" t="s">
        <v>102</v>
      </c>
      <c r="D408" s="42" t="str">
        <f t="shared" si="265"/>
        <v>NO</v>
      </c>
      <c r="E408" s="7">
        <v>340777</v>
      </c>
      <c r="F408" s="7" t="s">
        <v>975</v>
      </c>
      <c r="G408" s="7" t="s">
        <v>976</v>
      </c>
      <c r="H408" s="7">
        <v>45387</v>
      </c>
      <c r="I408" s="7">
        <v>38844899</v>
      </c>
      <c r="J408" s="7" t="s">
        <v>456</v>
      </c>
      <c r="K408" s="7" t="s">
        <v>977</v>
      </c>
      <c r="L408" s="7" t="s">
        <v>179</v>
      </c>
      <c r="N408" s="29">
        <v>45361</v>
      </c>
      <c r="Q408" s="7" t="s">
        <v>157</v>
      </c>
      <c r="R408" s="7" t="s">
        <v>165</v>
      </c>
      <c r="S408" s="7" t="s">
        <v>126</v>
      </c>
      <c r="T408" s="7" t="s">
        <v>180</v>
      </c>
      <c r="U408" s="7" t="s">
        <v>167</v>
      </c>
      <c r="V408" s="7" t="s">
        <v>168</v>
      </c>
      <c r="W408" s="7">
        <v>113304</v>
      </c>
      <c r="X408" s="7" t="s">
        <v>978</v>
      </c>
      <c r="Y408" s="7" t="s">
        <v>170</v>
      </c>
      <c r="AA408" s="7" t="s">
        <v>171</v>
      </c>
      <c r="AB408" s="7" t="s">
        <v>172</v>
      </c>
      <c r="AC408" s="7">
        <v>1130</v>
      </c>
      <c r="AF408" s="7" t="s">
        <v>173</v>
      </c>
      <c r="AG408" s="7" t="s">
        <v>170</v>
      </c>
      <c r="AI408" s="7" t="s">
        <v>174</v>
      </c>
      <c r="AK408" s="7">
        <v>1</v>
      </c>
      <c r="AL408" s="7">
        <v>1</v>
      </c>
      <c r="AM408" s="7">
        <v>78246.720000000001</v>
      </c>
      <c r="AN408" s="7">
        <v>16360.7</v>
      </c>
      <c r="AP408" s="7">
        <v>27359.83</v>
      </c>
      <c r="AQ408" s="30">
        <v>89245.85</v>
      </c>
      <c r="AS408" s="7">
        <v>2112.13</v>
      </c>
      <c r="AZ408" s="7">
        <v>946.63</v>
      </c>
      <c r="BG408" s="7">
        <v>2112.13</v>
      </c>
      <c r="BO408" s="7">
        <v>1056.07</v>
      </c>
      <c r="BP408" s="7">
        <v>5000</v>
      </c>
      <c r="BR408" s="7">
        <v>11226.96</v>
      </c>
      <c r="BS408" s="7">
        <v>27359.83</v>
      </c>
      <c r="BT408" s="7">
        <f t="shared" si="264"/>
        <v>105606.55</v>
      </c>
      <c r="BU408" s="144">
        <f t="shared" si="275"/>
        <v>8.9637432526675654E-3</v>
      </c>
    </row>
    <row r="409" spans="1:73" ht="11.25" x14ac:dyDescent="0.2">
      <c r="A409" s="133">
        <f t="shared" si="263"/>
        <v>3</v>
      </c>
      <c r="B409" s="141">
        <v>45352</v>
      </c>
      <c r="C409" s="10" t="s">
        <v>102</v>
      </c>
      <c r="D409" s="42" t="str">
        <f t="shared" si="265"/>
        <v>NO</v>
      </c>
      <c r="E409" s="7">
        <v>313916</v>
      </c>
      <c r="F409" s="7" t="s">
        <v>454</v>
      </c>
      <c r="G409" s="7" t="s">
        <v>455</v>
      </c>
      <c r="H409" s="7">
        <v>45369</v>
      </c>
      <c r="I409" s="7">
        <v>36624954</v>
      </c>
      <c r="J409" s="7" t="s">
        <v>456</v>
      </c>
      <c r="K409" s="7" t="s">
        <v>457</v>
      </c>
      <c r="L409" s="7" t="s">
        <v>179</v>
      </c>
      <c r="N409" s="29">
        <v>45155</v>
      </c>
      <c r="Q409" s="7" t="s">
        <v>157</v>
      </c>
      <c r="R409" s="7" t="s">
        <v>199</v>
      </c>
      <c r="S409" s="7" t="s">
        <v>126</v>
      </c>
      <c r="T409" s="7" t="s">
        <v>200</v>
      </c>
      <c r="U409" s="7" t="s">
        <v>167</v>
      </c>
      <c r="V409" s="7" t="s">
        <v>360</v>
      </c>
      <c r="W409" s="7">
        <v>108803</v>
      </c>
      <c r="X409" s="7" t="s">
        <v>169</v>
      </c>
      <c r="Y409" s="7" t="s">
        <v>170</v>
      </c>
      <c r="AA409" s="7" t="s">
        <v>208</v>
      </c>
      <c r="AB409" s="7" t="s">
        <v>209</v>
      </c>
      <c r="AC409" s="7">
        <v>1035</v>
      </c>
      <c r="AF409" s="7" t="s">
        <v>173</v>
      </c>
      <c r="AG409" s="7" t="s">
        <v>170</v>
      </c>
      <c r="AI409" s="7" t="s">
        <v>174</v>
      </c>
      <c r="AK409" s="7">
        <v>3</v>
      </c>
      <c r="AL409" s="7">
        <v>1</v>
      </c>
      <c r="AM409" s="7">
        <v>24462.69</v>
      </c>
      <c r="AN409" s="7">
        <v>5199.68</v>
      </c>
      <c r="AP409" s="7">
        <v>12490.71</v>
      </c>
      <c r="AQ409" s="30">
        <v>31753.72</v>
      </c>
      <c r="AS409" s="7">
        <v>739.06</v>
      </c>
      <c r="AZ409" s="7">
        <v>301.95999999999998</v>
      </c>
      <c r="BG409" s="7">
        <v>739.06</v>
      </c>
      <c r="BO409" s="7">
        <v>369.53</v>
      </c>
      <c r="BP409" s="7">
        <v>5000</v>
      </c>
      <c r="BR409" s="7">
        <v>7149.61</v>
      </c>
      <c r="BS409" s="7">
        <v>12490.710000000001</v>
      </c>
      <c r="BT409" s="7">
        <f t="shared" si="264"/>
        <v>36953.4</v>
      </c>
      <c r="BU409" s="144">
        <f t="shared" si="275"/>
        <v>8.1713725935908463E-3</v>
      </c>
    </row>
    <row r="410" spans="1:73" ht="11.25" x14ac:dyDescent="0.2">
      <c r="A410" s="133">
        <f t="shared" si="263"/>
        <v>3</v>
      </c>
      <c r="B410" s="141">
        <v>45352</v>
      </c>
      <c r="C410" s="10" t="s">
        <v>102</v>
      </c>
      <c r="D410" s="42" t="str">
        <f t="shared" si="265"/>
        <v>SI</v>
      </c>
      <c r="E410" s="7">
        <v>95403</v>
      </c>
      <c r="F410" s="7" t="s">
        <v>470</v>
      </c>
      <c r="G410" s="7" t="s">
        <v>471</v>
      </c>
      <c r="H410" s="7">
        <v>45387</v>
      </c>
      <c r="I410" s="7">
        <v>19105903</v>
      </c>
      <c r="J410" s="7" t="s">
        <v>472</v>
      </c>
      <c r="K410" s="7" t="s">
        <v>473</v>
      </c>
      <c r="L410" s="7" t="s">
        <v>179</v>
      </c>
      <c r="N410" s="29">
        <v>45231</v>
      </c>
      <c r="O410" s="29">
        <v>45355</v>
      </c>
      <c r="P410" s="29">
        <v>45355</v>
      </c>
      <c r="Q410" s="7" t="s">
        <v>157</v>
      </c>
      <c r="R410" s="7" t="s">
        <v>165</v>
      </c>
      <c r="S410" s="7" t="s">
        <v>126</v>
      </c>
      <c r="T410" s="7" t="s">
        <v>239</v>
      </c>
      <c r="U410" s="7" t="s">
        <v>167</v>
      </c>
      <c r="V410" s="7" t="s">
        <v>168</v>
      </c>
      <c r="W410" s="7">
        <v>108803</v>
      </c>
      <c r="X410" s="7" t="s">
        <v>169</v>
      </c>
      <c r="Y410" s="7" t="s">
        <v>170</v>
      </c>
      <c r="AA410" s="7" t="s">
        <v>171</v>
      </c>
      <c r="AB410" s="7" t="s">
        <v>172</v>
      </c>
      <c r="AC410" s="7">
        <v>1130</v>
      </c>
      <c r="AF410" s="7" t="s">
        <v>173</v>
      </c>
      <c r="AG410" s="7" t="s">
        <v>170</v>
      </c>
      <c r="AI410" s="7" t="s">
        <v>174</v>
      </c>
      <c r="AK410" s="7">
        <v>4</v>
      </c>
      <c r="AL410" s="7">
        <v>1</v>
      </c>
      <c r="AM410" s="7">
        <v>30731.17</v>
      </c>
      <c r="AN410" s="7">
        <v>7010.26</v>
      </c>
      <c r="AP410" s="7">
        <v>25742.39</v>
      </c>
      <c r="AQ410" s="30">
        <v>49463.3</v>
      </c>
      <c r="AR410" s="7">
        <v>1411.83</v>
      </c>
      <c r="AS410" s="7"/>
      <c r="AZ410" s="7">
        <v>374.14</v>
      </c>
      <c r="BG410" s="7">
        <v>1129.47</v>
      </c>
      <c r="BO410" s="7">
        <v>564.73</v>
      </c>
      <c r="BP410" s="7">
        <v>10000</v>
      </c>
      <c r="BR410" s="7">
        <v>13480.17</v>
      </c>
      <c r="BS410" s="7">
        <v>25742.39</v>
      </c>
      <c r="BT410" s="7">
        <f t="shared" si="264"/>
        <v>56473.56</v>
      </c>
      <c r="BU410" s="144">
        <f t="shared" si="275"/>
        <v>6.625047190224948E-3</v>
      </c>
    </row>
    <row r="411" spans="1:73" ht="11.25" x14ac:dyDescent="0.2">
      <c r="A411" s="133">
        <f t="shared" si="263"/>
        <v>3</v>
      </c>
      <c r="B411" s="141">
        <v>45352</v>
      </c>
      <c r="C411" s="10" t="s">
        <v>102</v>
      </c>
      <c r="D411" s="42" t="str">
        <f t="shared" si="265"/>
        <v>NO</v>
      </c>
      <c r="E411" s="7">
        <v>340778</v>
      </c>
      <c r="F411" s="7" t="s">
        <v>979</v>
      </c>
      <c r="G411" s="7" t="s">
        <v>980</v>
      </c>
      <c r="H411" s="7">
        <v>45387</v>
      </c>
      <c r="I411" s="7">
        <v>39153933</v>
      </c>
      <c r="J411" s="7" t="s">
        <v>981</v>
      </c>
      <c r="K411" s="7" t="s">
        <v>982</v>
      </c>
      <c r="L411" s="7" t="s">
        <v>179</v>
      </c>
      <c r="N411" s="29">
        <v>45361</v>
      </c>
      <c r="Q411" s="7" t="s">
        <v>157</v>
      </c>
      <c r="R411" s="7" t="s">
        <v>165</v>
      </c>
      <c r="S411" s="7" t="s">
        <v>126</v>
      </c>
      <c r="T411" s="7" t="s">
        <v>180</v>
      </c>
      <c r="U411" s="7" t="s">
        <v>167</v>
      </c>
      <c r="V411" s="7" t="s">
        <v>168</v>
      </c>
      <c r="W411" s="7">
        <v>108803</v>
      </c>
      <c r="X411" s="7" t="s">
        <v>169</v>
      </c>
      <c r="Y411" s="7" t="s">
        <v>170</v>
      </c>
      <c r="AA411" s="7" t="s">
        <v>171</v>
      </c>
      <c r="AB411" s="7" t="s">
        <v>172</v>
      </c>
      <c r="AC411" s="7">
        <v>1130</v>
      </c>
      <c r="AF411" s="7" t="s">
        <v>173</v>
      </c>
      <c r="AG411" s="7" t="s">
        <v>170</v>
      </c>
      <c r="AI411" s="7" t="s">
        <v>174</v>
      </c>
      <c r="AK411" s="7">
        <v>1</v>
      </c>
      <c r="AL411" s="7">
        <v>1</v>
      </c>
      <c r="AM411" s="7">
        <v>16918.21</v>
      </c>
      <c r="AN411" s="7">
        <v>3537.46</v>
      </c>
      <c r="AP411" s="7">
        <v>5915.65</v>
      </c>
      <c r="AQ411" s="30">
        <v>19296.400000000001</v>
      </c>
      <c r="AS411" s="7">
        <v>456.68</v>
      </c>
      <c r="AZ411" s="7">
        <v>204.68</v>
      </c>
      <c r="BG411" s="7">
        <v>456.68</v>
      </c>
      <c r="BO411" s="7">
        <v>228.34</v>
      </c>
      <c r="BP411" s="7">
        <v>5000</v>
      </c>
      <c r="BR411" s="7">
        <v>6346.38</v>
      </c>
      <c r="BS411" s="7">
        <v>5915.6500000000005</v>
      </c>
      <c r="BT411" s="7">
        <f t="shared" si="264"/>
        <v>22833.86</v>
      </c>
      <c r="BU411" s="144">
        <f t="shared" si="275"/>
        <v>8.9638808331136306E-3</v>
      </c>
    </row>
    <row r="412" spans="1:73" ht="11.25" x14ac:dyDescent="0.2">
      <c r="A412" s="133">
        <f t="shared" si="263"/>
        <v>3</v>
      </c>
      <c r="B412" s="141">
        <v>45352</v>
      </c>
      <c r="C412" s="10" t="s">
        <v>102</v>
      </c>
      <c r="D412" s="42" t="str">
        <f t="shared" si="265"/>
        <v>NO</v>
      </c>
      <c r="E412" s="7">
        <v>328929</v>
      </c>
      <c r="F412" s="7" t="s">
        <v>504</v>
      </c>
      <c r="G412" s="7" t="s">
        <v>505</v>
      </c>
      <c r="H412" s="7">
        <v>45379</v>
      </c>
      <c r="I412" s="7">
        <v>42435403</v>
      </c>
      <c r="J412" s="7" t="s">
        <v>506</v>
      </c>
      <c r="K412" s="7" t="s">
        <v>507</v>
      </c>
      <c r="L412" s="7" t="s">
        <v>164</v>
      </c>
      <c r="N412" s="29">
        <v>45155</v>
      </c>
      <c r="Q412" s="7" t="s">
        <v>157</v>
      </c>
      <c r="R412" s="7" t="s">
        <v>165</v>
      </c>
      <c r="S412" s="7" t="s">
        <v>126</v>
      </c>
      <c r="T412" s="7" t="s">
        <v>166</v>
      </c>
      <c r="U412" s="7" t="s">
        <v>167</v>
      </c>
      <c r="V412" s="7" t="s">
        <v>168</v>
      </c>
      <c r="W412" s="7">
        <v>108803</v>
      </c>
      <c r="X412" s="7" t="s">
        <v>169</v>
      </c>
      <c r="Y412" s="7" t="s">
        <v>170</v>
      </c>
      <c r="AA412" s="7" t="s">
        <v>189</v>
      </c>
      <c r="AB412" s="7" t="s">
        <v>190</v>
      </c>
      <c r="AC412" s="7">
        <v>1584</v>
      </c>
      <c r="AF412" s="7" t="s">
        <v>173</v>
      </c>
      <c r="AG412" s="7" t="s">
        <v>170</v>
      </c>
      <c r="AI412" s="7" t="s">
        <v>174</v>
      </c>
      <c r="AK412" s="7">
        <v>2</v>
      </c>
      <c r="AL412" s="7">
        <v>1</v>
      </c>
      <c r="AM412" s="7">
        <v>88820.6</v>
      </c>
      <c r="AN412" s="7">
        <v>18707.669999999998</v>
      </c>
      <c r="AP412" s="7">
        <v>37860.089999999997</v>
      </c>
      <c r="AQ412" s="30">
        <v>107973.02</v>
      </c>
      <c r="AS412" s="7">
        <v>2533.61</v>
      </c>
      <c r="AZ412" s="7">
        <v>1074.55</v>
      </c>
      <c r="BG412" s="7">
        <v>2533.61</v>
      </c>
      <c r="BO412" s="7">
        <v>1266.81</v>
      </c>
      <c r="BP412" s="7">
        <v>5000</v>
      </c>
      <c r="BR412" s="7">
        <v>12408.58</v>
      </c>
      <c r="BS412" s="7">
        <v>37860.090000000004</v>
      </c>
      <c r="BT412" s="7">
        <f t="shared" si="264"/>
        <v>126680.69</v>
      </c>
      <c r="BU412" s="144">
        <f t="shared" si="275"/>
        <v>8.4823503882083366E-3</v>
      </c>
    </row>
    <row r="413" spans="1:73" ht="11.25" x14ac:dyDescent="0.2">
      <c r="A413" s="133">
        <f t="shared" si="263"/>
        <v>3</v>
      </c>
      <c r="B413" s="141">
        <v>45352</v>
      </c>
      <c r="C413" s="10" t="s">
        <v>102</v>
      </c>
      <c r="D413" s="42" t="str">
        <f t="shared" si="265"/>
        <v>NO</v>
      </c>
      <c r="E413" s="7">
        <v>297802</v>
      </c>
      <c r="F413" s="7" t="s">
        <v>508</v>
      </c>
      <c r="G413" s="7" t="s">
        <v>509</v>
      </c>
      <c r="H413" s="7">
        <v>45387</v>
      </c>
      <c r="I413" s="7">
        <v>37428328</v>
      </c>
      <c r="J413" s="7" t="s">
        <v>510</v>
      </c>
      <c r="K413" s="7" t="s">
        <v>511</v>
      </c>
      <c r="L413" s="7" t="s">
        <v>164</v>
      </c>
      <c r="N413" s="29">
        <v>44639</v>
      </c>
      <c r="Q413" s="7" t="s">
        <v>157</v>
      </c>
      <c r="R413" s="7" t="s">
        <v>165</v>
      </c>
      <c r="S413" s="7" t="s">
        <v>126</v>
      </c>
      <c r="T413" s="7" t="s">
        <v>180</v>
      </c>
      <c r="U413" s="7" t="s">
        <v>167</v>
      </c>
      <c r="V413" s="7" t="s">
        <v>168</v>
      </c>
      <c r="W413" s="7">
        <v>108803</v>
      </c>
      <c r="X413" s="7" t="s">
        <v>169</v>
      </c>
      <c r="Y413" s="7" t="s">
        <v>170</v>
      </c>
      <c r="AA413" s="7" t="s">
        <v>208</v>
      </c>
      <c r="AB413" s="7" t="s">
        <v>209</v>
      </c>
      <c r="AC413" s="7">
        <v>1035</v>
      </c>
      <c r="AF413" s="7" t="s">
        <v>173</v>
      </c>
      <c r="AG413" s="7" t="s">
        <v>170</v>
      </c>
      <c r="AI413" s="7" t="s">
        <v>174</v>
      </c>
      <c r="AK413" s="7">
        <v>3</v>
      </c>
      <c r="AL413" s="7">
        <v>1</v>
      </c>
      <c r="AM413" s="7">
        <v>139903.03</v>
      </c>
      <c r="AN413" s="7">
        <v>29333.62</v>
      </c>
      <c r="AP413" s="7">
        <v>53120.6</v>
      </c>
      <c r="AQ413" s="30">
        <v>163690.01</v>
      </c>
      <c r="AS413" s="7">
        <v>3860.47</v>
      </c>
      <c r="AZ413" s="7">
        <v>1689.64</v>
      </c>
      <c r="BG413" s="7">
        <v>3860.47</v>
      </c>
      <c r="BO413" s="7">
        <v>1930.23</v>
      </c>
      <c r="BP413" s="7">
        <v>5000</v>
      </c>
      <c r="BR413" s="7">
        <v>16340.81</v>
      </c>
      <c r="BS413" s="7">
        <v>53120.600000000006</v>
      </c>
      <c r="BT413" s="7">
        <f t="shared" si="264"/>
        <v>193023.63</v>
      </c>
      <c r="BU413" s="144">
        <f t="shared" si="275"/>
        <v>8.75353965729481E-3</v>
      </c>
    </row>
    <row r="414" spans="1:73" ht="11.25" x14ac:dyDescent="0.2">
      <c r="A414" s="133">
        <f t="shared" si="263"/>
        <v>3</v>
      </c>
      <c r="B414" s="141">
        <v>45352</v>
      </c>
      <c r="C414" s="10" t="s">
        <v>102</v>
      </c>
      <c r="D414" s="42" t="str">
        <f t="shared" si="265"/>
        <v>NO</v>
      </c>
      <c r="E414" s="7">
        <v>340779</v>
      </c>
      <c r="F414" s="7" t="s">
        <v>983</v>
      </c>
      <c r="G414" s="7" t="s">
        <v>984</v>
      </c>
      <c r="H414" s="7">
        <v>45387</v>
      </c>
      <c r="I414" s="7">
        <v>43329655</v>
      </c>
      <c r="J414" s="7" t="s">
        <v>985</v>
      </c>
      <c r="K414" s="7" t="s">
        <v>986</v>
      </c>
      <c r="L414" s="7" t="s">
        <v>179</v>
      </c>
      <c r="N414" s="29">
        <v>45361</v>
      </c>
      <c r="Q414" s="7" t="s">
        <v>157</v>
      </c>
      <c r="R414" s="7" t="s">
        <v>165</v>
      </c>
      <c r="S414" s="7" t="s">
        <v>126</v>
      </c>
      <c r="T414" s="7" t="s">
        <v>180</v>
      </c>
      <c r="U414" s="7" t="s">
        <v>167</v>
      </c>
      <c r="V414" s="7" t="s">
        <v>168</v>
      </c>
      <c r="W414" s="7">
        <v>108803</v>
      </c>
      <c r="X414" s="7" t="s">
        <v>169</v>
      </c>
      <c r="Y414" s="7" t="s">
        <v>170</v>
      </c>
      <c r="AA414" s="7" t="s">
        <v>171</v>
      </c>
      <c r="AB414" s="7" t="s">
        <v>172</v>
      </c>
      <c r="AC414" s="7">
        <v>1130</v>
      </c>
      <c r="AF414" s="7" t="s">
        <v>173</v>
      </c>
      <c r="AG414" s="7" t="s">
        <v>170</v>
      </c>
      <c r="AI414" s="7" t="s">
        <v>174</v>
      </c>
      <c r="AK414" s="7">
        <v>1</v>
      </c>
      <c r="AL414" s="7">
        <v>1</v>
      </c>
      <c r="AM414" s="7">
        <v>65558.06</v>
      </c>
      <c r="AN414" s="7">
        <v>13707.61</v>
      </c>
      <c r="AP414" s="7">
        <v>22923.1</v>
      </c>
      <c r="AQ414" s="30">
        <v>74773.55</v>
      </c>
      <c r="AS414" s="7">
        <v>1769.62</v>
      </c>
      <c r="AZ414" s="7">
        <v>793.12</v>
      </c>
      <c r="BG414" s="7">
        <v>1769.62</v>
      </c>
      <c r="BO414" s="7">
        <v>884.81</v>
      </c>
      <c r="BP414" s="7">
        <v>5000</v>
      </c>
      <c r="BR414" s="7">
        <v>10217.17</v>
      </c>
      <c r="BS414" s="7">
        <v>22923.1</v>
      </c>
      <c r="BT414" s="7">
        <f t="shared" si="264"/>
        <v>88481.16</v>
      </c>
      <c r="BU414" s="144">
        <f t="shared" si="275"/>
        <v>8.9637161176458358E-3</v>
      </c>
    </row>
    <row r="415" spans="1:73" ht="11.25" x14ac:dyDescent="0.2">
      <c r="A415" s="133">
        <f t="shared" ref="A415:A478" si="276">IF(B415="","",VALUE(MONTH(B415)))</f>
        <v>3</v>
      </c>
      <c r="B415" s="141">
        <v>45352</v>
      </c>
      <c r="C415" s="10" t="s">
        <v>102</v>
      </c>
      <c r="D415" s="42" t="str">
        <f t="shared" si="265"/>
        <v>NO</v>
      </c>
      <c r="E415" s="7">
        <v>270888</v>
      </c>
      <c r="F415" s="7" t="s">
        <v>987</v>
      </c>
      <c r="G415" s="7" t="s">
        <v>988</v>
      </c>
      <c r="H415" s="7">
        <v>45387</v>
      </c>
      <c r="I415" s="7">
        <v>44053113</v>
      </c>
      <c r="J415" s="7" t="s">
        <v>989</v>
      </c>
      <c r="K415" s="7" t="s">
        <v>990</v>
      </c>
      <c r="L415" s="7" t="s">
        <v>179</v>
      </c>
      <c r="N415" s="29">
        <v>45360</v>
      </c>
      <c r="Q415" s="7" t="s">
        <v>157</v>
      </c>
      <c r="R415" s="7" t="s">
        <v>245</v>
      </c>
      <c r="S415" s="7" t="s">
        <v>126</v>
      </c>
      <c r="T415" s="7" t="s">
        <v>206</v>
      </c>
      <c r="U415" s="7" t="s">
        <v>167</v>
      </c>
      <c r="V415" s="7" t="s">
        <v>246</v>
      </c>
      <c r="W415" s="7">
        <v>108803</v>
      </c>
      <c r="X415" s="7" t="s">
        <v>169</v>
      </c>
      <c r="Y415" s="7" t="s">
        <v>170</v>
      </c>
      <c r="AA415" s="7" t="s">
        <v>208</v>
      </c>
      <c r="AB415" s="7" t="s">
        <v>209</v>
      </c>
      <c r="AC415" s="7">
        <v>1035</v>
      </c>
      <c r="AF415" s="7" t="s">
        <v>173</v>
      </c>
      <c r="AG415" s="7" t="s">
        <v>170</v>
      </c>
      <c r="AI415" s="7" t="s">
        <v>174</v>
      </c>
      <c r="AK415" s="7">
        <v>3</v>
      </c>
      <c r="AL415" s="7">
        <v>1</v>
      </c>
      <c r="AM415" s="7">
        <v>131510.54</v>
      </c>
      <c r="AN415" s="7">
        <v>27637.759999999998</v>
      </c>
      <c r="AP415" s="7">
        <v>51371.3</v>
      </c>
      <c r="AQ415" s="30">
        <v>155244.07999999999</v>
      </c>
      <c r="AS415" s="7">
        <v>3657.64</v>
      </c>
      <c r="AZ415" s="7">
        <v>1623.33</v>
      </c>
      <c r="BG415" s="7">
        <v>3657.64</v>
      </c>
      <c r="BO415" s="7">
        <v>1828.82</v>
      </c>
      <c r="BP415" s="7">
        <v>5000</v>
      </c>
      <c r="BR415" s="7">
        <v>15767.43</v>
      </c>
      <c r="BS415" s="7">
        <v>51371.3</v>
      </c>
      <c r="BT415" s="7">
        <f t="shared" si="264"/>
        <v>182881.84000000003</v>
      </c>
      <c r="BU415" s="144">
        <f t="shared" si="275"/>
        <v>8.8763870704712932E-3</v>
      </c>
    </row>
    <row r="416" spans="1:73" ht="11.25" x14ac:dyDescent="0.2">
      <c r="A416" s="133">
        <f t="shared" si="276"/>
        <v>3</v>
      </c>
      <c r="B416" s="141">
        <v>45352</v>
      </c>
      <c r="C416" s="10" t="s">
        <v>102</v>
      </c>
      <c r="D416" s="42" t="str">
        <f t="shared" si="265"/>
        <v>NO</v>
      </c>
      <c r="E416" s="7">
        <v>302686</v>
      </c>
      <c r="F416" s="7" t="s">
        <v>516</v>
      </c>
      <c r="G416" s="7" t="s">
        <v>517</v>
      </c>
      <c r="H416" s="7">
        <v>45387</v>
      </c>
      <c r="I416" s="7">
        <v>96054258</v>
      </c>
      <c r="J416" s="7" t="s">
        <v>518</v>
      </c>
      <c r="K416" s="7" t="s">
        <v>519</v>
      </c>
      <c r="L416" s="7" t="s">
        <v>179</v>
      </c>
      <c r="N416" s="29">
        <v>45253</v>
      </c>
      <c r="Q416" s="7" t="s">
        <v>157</v>
      </c>
      <c r="R416" s="7" t="s">
        <v>165</v>
      </c>
      <c r="S416" s="7" t="s">
        <v>126</v>
      </c>
      <c r="T416" s="7" t="s">
        <v>180</v>
      </c>
      <c r="U416" s="7" t="s">
        <v>167</v>
      </c>
      <c r="V416" s="7" t="s">
        <v>168</v>
      </c>
      <c r="W416" s="7">
        <v>108803</v>
      </c>
      <c r="X416" s="7" t="s">
        <v>169</v>
      </c>
      <c r="Y416" s="7" t="s">
        <v>170</v>
      </c>
      <c r="AA416" s="7" t="s">
        <v>171</v>
      </c>
      <c r="AB416" s="7" t="s">
        <v>172</v>
      </c>
      <c r="AC416" s="7">
        <v>1130</v>
      </c>
      <c r="AF416" s="7" t="s">
        <v>173</v>
      </c>
      <c r="AG416" s="7" t="s">
        <v>170</v>
      </c>
      <c r="AI416" s="7" t="s">
        <v>174</v>
      </c>
      <c r="AK416" s="7">
        <v>2</v>
      </c>
      <c r="AL416" s="7">
        <v>1</v>
      </c>
      <c r="AM416" s="7">
        <v>53926.79</v>
      </c>
      <c r="AN416" s="7">
        <v>11339.2</v>
      </c>
      <c r="AP416" s="7">
        <v>22035.759999999998</v>
      </c>
      <c r="AQ416" s="30">
        <v>64623.35</v>
      </c>
      <c r="AS416" s="7">
        <v>1519.25</v>
      </c>
      <c r="AZ416" s="7">
        <v>652.4</v>
      </c>
      <c r="BG416" s="7">
        <v>1519.25</v>
      </c>
      <c r="BO416" s="7">
        <v>759.63</v>
      </c>
      <c r="BP416" s="7">
        <v>5000</v>
      </c>
      <c r="BR416" s="7">
        <v>9450.5300000000007</v>
      </c>
      <c r="BS416" s="7">
        <v>22035.760000000002</v>
      </c>
      <c r="BT416" s="7">
        <f t="shared" si="264"/>
        <v>75962.55</v>
      </c>
      <c r="BU416" s="144">
        <f t="shared" si="275"/>
        <v>8.5884425944100073E-3</v>
      </c>
    </row>
    <row r="417" spans="1:73" ht="11.25" x14ac:dyDescent="0.2">
      <c r="A417" s="133">
        <f t="shared" si="276"/>
        <v>3</v>
      </c>
      <c r="B417" s="141">
        <v>45352</v>
      </c>
      <c r="C417" s="10" t="s">
        <v>102</v>
      </c>
      <c r="D417" s="42" t="str">
        <f t="shared" si="265"/>
        <v>NO</v>
      </c>
      <c r="E417" s="7">
        <v>336915</v>
      </c>
      <c r="F417" s="7" t="s">
        <v>520</v>
      </c>
      <c r="G417" s="7" t="s">
        <v>521</v>
      </c>
      <c r="H417" s="7">
        <v>45387</v>
      </c>
      <c r="I417" s="7">
        <v>38465944</v>
      </c>
      <c r="J417" s="7" t="s">
        <v>522</v>
      </c>
      <c r="K417" s="7" t="s">
        <v>523</v>
      </c>
      <c r="L417" s="7" t="s">
        <v>179</v>
      </c>
      <c r="N417" s="29">
        <v>45288</v>
      </c>
      <c r="Q417" s="7" t="s">
        <v>157</v>
      </c>
      <c r="R417" s="7" t="s">
        <v>199</v>
      </c>
      <c r="S417" s="7" t="s">
        <v>126</v>
      </c>
      <c r="T417" s="7" t="s">
        <v>200</v>
      </c>
      <c r="U417" s="7" t="s">
        <v>167</v>
      </c>
      <c r="V417" s="7" t="s">
        <v>524</v>
      </c>
      <c r="W417" s="7">
        <v>108803</v>
      </c>
      <c r="X417" s="7" t="s">
        <v>169</v>
      </c>
      <c r="Y417" s="7" t="s">
        <v>170</v>
      </c>
      <c r="AA417" s="7" t="s">
        <v>189</v>
      </c>
      <c r="AB417" s="7" t="s">
        <v>190</v>
      </c>
      <c r="AC417" s="7">
        <v>1584</v>
      </c>
      <c r="AF417" s="7" t="s">
        <v>173</v>
      </c>
      <c r="AG417" s="7" t="s">
        <v>170</v>
      </c>
      <c r="AI417" s="7" t="s">
        <v>174</v>
      </c>
      <c r="AK417" s="7">
        <v>2</v>
      </c>
      <c r="AL417" s="7">
        <v>1</v>
      </c>
      <c r="AM417" s="7">
        <v>89987.73</v>
      </c>
      <c r="AN417" s="7">
        <v>19028.88</v>
      </c>
      <c r="AP417" s="7">
        <v>41021.4</v>
      </c>
      <c r="AQ417" s="30">
        <v>111980.25</v>
      </c>
      <c r="AS417" s="7">
        <v>2620.1799999999998</v>
      </c>
      <c r="AZ417" s="7">
        <v>1110.79</v>
      </c>
      <c r="BG417" s="7">
        <v>2620.1799999999998</v>
      </c>
      <c r="BO417" s="7">
        <v>1310.0899999999999</v>
      </c>
      <c r="BP417" s="7">
        <v>5000</v>
      </c>
      <c r="BR417" s="7">
        <v>12661.24</v>
      </c>
      <c r="BS417" s="7">
        <v>41021.399999999994</v>
      </c>
      <c r="BT417" s="7">
        <f t="shared" si="264"/>
        <v>131009.12999999999</v>
      </c>
      <c r="BU417" s="144">
        <f t="shared" si="275"/>
        <v>8.4787220554781179E-3</v>
      </c>
    </row>
    <row r="418" spans="1:73" ht="11.25" x14ac:dyDescent="0.2">
      <c r="A418" s="133">
        <f t="shared" si="276"/>
        <v>3</v>
      </c>
      <c r="B418" s="141">
        <v>45352</v>
      </c>
      <c r="C418" s="10" t="s">
        <v>102</v>
      </c>
      <c r="D418" s="42" t="str">
        <f t="shared" si="265"/>
        <v>NO</v>
      </c>
      <c r="E418" s="7">
        <v>290976</v>
      </c>
      <c r="F418" s="7" t="s">
        <v>991</v>
      </c>
      <c r="G418" s="7" t="s">
        <v>992</v>
      </c>
      <c r="H418" s="7">
        <v>45387</v>
      </c>
      <c r="I418" s="7">
        <v>40389740</v>
      </c>
      <c r="J418" s="7" t="s">
        <v>993</v>
      </c>
      <c r="K418" s="7" t="s">
        <v>781</v>
      </c>
      <c r="L418" s="7" t="s">
        <v>164</v>
      </c>
      <c r="N418" s="29">
        <v>45372</v>
      </c>
      <c r="Q418" s="7" t="s">
        <v>157</v>
      </c>
      <c r="R418" s="7" t="s">
        <v>165</v>
      </c>
      <c r="S418" s="7" t="s">
        <v>126</v>
      </c>
      <c r="T418" s="7" t="s">
        <v>180</v>
      </c>
      <c r="U418" s="7" t="s">
        <v>167</v>
      </c>
      <c r="V418" s="7" t="s">
        <v>168</v>
      </c>
      <c r="W418" s="7">
        <v>126205</v>
      </c>
      <c r="X418" s="7" t="s">
        <v>994</v>
      </c>
      <c r="Y418" s="7" t="s">
        <v>170</v>
      </c>
      <c r="AA418" s="7" t="s">
        <v>171</v>
      </c>
      <c r="AB418" s="7" t="s">
        <v>172</v>
      </c>
      <c r="AC418" s="7">
        <v>1130</v>
      </c>
      <c r="AF418" s="7" t="s">
        <v>173</v>
      </c>
      <c r="AG418" s="7" t="s">
        <v>170</v>
      </c>
      <c r="AI418" s="7" t="s">
        <v>174</v>
      </c>
      <c r="AK418" s="7">
        <v>1</v>
      </c>
      <c r="AL418" s="7">
        <v>1</v>
      </c>
      <c r="AM418" s="7">
        <v>25377.31</v>
      </c>
      <c r="AN418" s="7">
        <v>5306.17</v>
      </c>
      <c r="AP418" s="7">
        <v>8873.4500000000007</v>
      </c>
      <c r="AQ418" s="30">
        <v>28944.59</v>
      </c>
      <c r="AS418" s="7">
        <v>685.02</v>
      </c>
      <c r="AZ418" s="7">
        <v>307.01</v>
      </c>
      <c r="BG418" s="7">
        <v>685.02</v>
      </c>
      <c r="BO418" s="7">
        <v>342.51</v>
      </c>
      <c r="BP418" s="7">
        <v>5000</v>
      </c>
      <c r="BR418" s="7">
        <v>7019.56</v>
      </c>
      <c r="BS418" s="7">
        <v>8873.4500000000007</v>
      </c>
      <c r="BT418" s="7">
        <f t="shared" ref="BT418:BT481" si="277">+AM418+BS418</f>
        <v>34250.76</v>
      </c>
      <c r="BU418" s="144">
        <f t="shared" si="275"/>
        <v>8.963596720189565E-3</v>
      </c>
    </row>
    <row r="419" spans="1:73" ht="11.25" hidden="1" x14ac:dyDescent="0.2">
      <c r="A419" s="133">
        <f t="shared" si="276"/>
        <v>3</v>
      </c>
      <c r="B419" s="141">
        <v>45352</v>
      </c>
      <c r="C419" s="10"/>
      <c r="D419" s="42" t="str">
        <f t="shared" si="265"/>
        <v>SI</v>
      </c>
      <c r="E419" s="7">
        <v>319423</v>
      </c>
      <c r="F419" s="7" t="s">
        <v>995</v>
      </c>
      <c r="G419" s="7" t="s">
        <v>996</v>
      </c>
      <c r="H419" s="7">
        <v>45371</v>
      </c>
      <c r="I419" s="7">
        <v>33932725</v>
      </c>
      <c r="J419" s="7" t="s">
        <v>997</v>
      </c>
      <c r="K419" s="7" t="s">
        <v>998</v>
      </c>
      <c r="L419" s="7" t="s">
        <v>164</v>
      </c>
      <c r="N419" s="29">
        <v>45227</v>
      </c>
      <c r="O419" s="29">
        <v>45256</v>
      </c>
      <c r="P419" s="29">
        <v>45256</v>
      </c>
      <c r="Q419" s="7" t="s">
        <v>157</v>
      </c>
      <c r="R419" s="7" t="s">
        <v>199</v>
      </c>
      <c r="S419" s="7" t="s">
        <v>126</v>
      </c>
      <c r="T419" s="7" t="s">
        <v>200</v>
      </c>
      <c r="U419" s="7" t="s">
        <v>167</v>
      </c>
      <c r="V419" s="7" t="s">
        <v>201</v>
      </c>
      <c r="W419" s="7">
        <v>108803</v>
      </c>
      <c r="X419" s="7" t="s">
        <v>169</v>
      </c>
      <c r="Y419" s="7" t="s">
        <v>170</v>
      </c>
      <c r="AA419" s="7" t="s">
        <v>189</v>
      </c>
      <c r="AB419" s="7" t="s">
        <v>190</v>
      </c>
      <c r="AC419" s="7">
        <v>1584</v>
      </c>
      <c r="AF419" s="7" t="s">
        <v>173</v>
      </c>
      <c r="AG419" s="7" t="s">
        <v>170</v>
      </c>
      <c r="AK419" s="7">
        <v>1</v>
      </c>
      <c r="AL419" s="7">
        <v>1</v>
      </c>
      <c r="AM419" s="7">
        <v>529.79</v>
      </c>
      <c r="AN419" s="7">
        <v>108.6</v>
      </c>
      <c r="AQ419" s="30">
        <v>421.19</v>
      </c>
      <c r="AR419" s="7">
        <v>13.24</v>
      </c>
      <c r="AS419" s="7"/>
      <c r="AZ419" s="7">
        <v>5.3</v>
      </c>
      <c r="BG419" s="7">
        <v>10.6</v>
      </c>
      <c r="BO419" s="7">
        <v>5.3</v>
      </c>
      <c r="BR419" s="7">
        <v>34.44</v>
      </c>
      <c r="BS419" s="7">
        <v>0</v>
      </c>
      <c r="BT419" s="7">
        <f t="shared" si="277"/>
        <v>529.79</v>
      </c>
    </row>
    <row r="420" spans="1:73" ht="11.25" x14ac:dyDescent="0.2">
      <c r="A420" s="133">
        <f t="shared" si="276"/>
        <v>3</v>
      </c>
      <c r="B420" s="141">
        <v>45352</v>
      </c>
      <c r="C420" s="10" t="s">
        <v>102</v>
      </c>
      <c r="D420" s="42" t="str">
        <f t="shared" si="265"/>
        <v>NO</v>
      </c>
      <c r="E420" s="7">
        <v>265332</v>
      </c>
      <c r="F420" s="7" t="s">
        <v>544</v>
      </c>
      <c r="G420" s="7" t="s">
        <v>545</v>
      </c>
      <c r="H420" s="7">
        <v>45387</v>
      </c>
      <c r="I420" s="7">
        <v>42090007</v>
      </c>
      <c r="J420" s="7" t="s">
        <v>546</v>
      </c>
      <c r="K420" s="7" t="s">
        <v>547</v>
      </c>
      <c r="L420" s="7" t="s">
        <v>179</v>
      </c>
      <c r="N420" s="29">
        <v>45296</v>
      </c>
      <c r="Q420" s="7" t="s">
        <v>157</v>
      </c>
      <c r="R420" s="7" t="s">
        <v>199</v>
      </c>
      <c r="S420" s="7" t="s">
        <v>126</v>
      </c>
      <c r="T420" s="7" t="s">
        <v>239</v>
      </c>
      <c r="U420" s="7" t="s">
        <v>167</v>
      </c>
      <c r="V420" s="7" t="s">
        <v>201</v>
      </c>
      <c r="W420" s="7">
        <v>108803</v>
      </c>
      <c r="X420" s="7" t="s">
        <v>169</v>
      </c>
      <c r="Y420" s="7" t="s">
        <v>170</v>
      </c>
      <c r="AA420" s="7" t="s">
        <v>171</v>
      </c>
      <c r="AB420" s="7" t="s">
        <v>172</v>
      </c>
      <c r="AC420" s="7">
        <v>1130</v>
      </c>
      <c r="AF420" s="7" t="s">
        <v>173</v>
      </c>
      <c r="AG420" s="7" t="s">
        <v>170</v>
      </c>
      <c r="AI420" s="7" t="s">
        <v>174</v>
      </c>
      <c r="AK420" s="7">
        <v>2</v>
      </c>
      <c r="AL420" s="7">
        <v>1</v>
      </c>
      <c r="AM420" s="7">
        <v>55914.7</v>
      </c>
      <c r="AN420" s="7">
        <v>12059.34</v>
      </c>
      <c r="AP420" s="7">
        <v>37267.370000000003</v>
      </c>
      <c r="AQ420" s="30">
        <v>81122.73</v>
      </c>
      <c r="AS420" s="7">
        <v>1863.64</v>
      </c>
      <c r="AZ420" s="7">
        <v>690.2</v>
      </c>
      <c r="BG420" s="7">
        <v>1863.64</v>
      </c>
      <c r="BO420" s="7">
        <v>931.82</v>
      </c>
      <c r="BP420" s="7">
        <v>5000</v>
      </c>
      <c r="BR420" s="7">
        <v>10349.299999999999</v>
      </c>
      <c r="BS420" s="7">
        <v>37267.370000000003</v>
      </c>
      <c r="BT420" s="7">
        <f t="shared" si="277"/>
        <v>93182.07</v>
      </c>
      <c r="BU420" s="144">
        <f>+AZ420/BT420</f>
        <v>7.4070043732662304E-3</v>
      </c>
    </row>
    <row r="421" spans="1:73" ht="11.25" hidden="1" x14ac:dyDescent="0.2">
      <c r="A421" s="133">
        <f t="shared" si="276"/>
        <v>3</v>
      </c>
      <c r="B421" s="141">
        <v>45352</v>
      </c>
      <c r="C421" s="10"/>
      <c r="D421" s="42" t="str">
        <f t="shared" si="265"/>
        <v>NO</v>
      </c>
      <c r="E421" s="7">
        <v>319126</v>
      </c>
      <c r="F421" s="7" t="s">
        <v>552</v>
      </c>
      <c r="G421" s="7" t="s">
        <v>553</v>
      </c>
      <c r="H421" s="7">
        <v>45369</v>
      </c>
      <c r="I421" s="7">
        <v>92946872</v>
      </c>
      <c r="J421" s="7" t="s">
        <v>554</v>
      </c>
      <c r="K421" s="7" t="s">
        <v>555</v>
      </c>
      <c r="L421" s="7" t="s">
        <v>179</v>
      </c>
      <c r="N421" s="29">
        <v>45000</v>
      </c>
      <c r="O421" s="29">
        <v>45338</v>
      </c>
      <c r="P421" s="29">
        <v>45338</v>
      </c>
      <c r="Q421" s="7" t="s">
        <v>157</v>
      </c>
      <c r="R421" s="7" t="s">
        <v>238</v>
      </c>
      <c r="S421" s="7" t="s">
        <v>126</v>
      </c>
      <c r="T421" s="7" t="s">
        <v>200</v>
      </c>
      <c r="U421" s="7" t="s">
        <v>167</v>
      </c>
      <c r="V421" s="7" t="s">
        <v>240</v>
      </c>
      <c r="W421" s="7">
        <v>108803</v>
      </c>
      <c r="X421" s="7" t="s">
        <v>169</v>
      </c>
      <c r="Y421" s="7" t="s">
        <v>170</v>
      </c>
      <c r="AA421" s="7" t="s">
        <v>189</v>
      </c>
      <c r="AB421" s="7" t="s">
        <v>190</v>
      </c>
      <c r="AC421" s="7">
        <v>1584</v>
      </c>
      <c r="AF421" s="7" t="s">
        <v>173</v>
      </c>
      <c r="AG421" s="7" t="s">
        <v>170</v>
      </c>
      <c r="AI421" s="7" t="s">
        <v>174</v>
      </c>
      <c r="AK421" s="7">
        <v>1</v>
      </c>
      <c r="AL421" s="7">
        <v>1</v>
      </c>
      <c r="AN421" s="7">
        <v>350.74</v>
      </c>
      <c r="AP421" s="7">
        <v>17536.98</v>
      </c>
      <c r="AQ421" s="30">
        <v>17186.240000000002</v>
      </c>
      <c r="AS421" s="7">
        <v>350.74</v>
      </c>
      <c r="BG421" s="7">
        <v>350.74</v>
      </c>
      <c r="BO421" s="7">
        <v>175.37</v>
      </c>
      <c r="BR421" s="7">
        <v>876.85</v>
      </c>
      <c r="BS421" s="7">
        <v>17536.98</v>
      </c>
      <c r="BT421" s="7">
        <f t="shared" si="277"/>
        <v>17536.98</v>
      </c>
    </row>
    <row r="422" spans="1:73" ht="11.25" x14ac:dyDescent="0.2">
      <c r="A422" s="133">
        <f t="shared" si="276"/>
        <v>3</v>
      </c>
      <c r="B422" s="141">
        <v>45352</v>
      </c>
      <c r="C422" s="10" t="s">
        <v>102</v>
      </c>
      <c r="D422" s="42" t="str">
        <f t="shared" si="265"/>
        <v>NO</v>
      </c>
      <c r="E422" s="7">
        <v>334391</v>
      </c>
      <c r="F422" s="7" t="s">
        <v>556</v>
      </c>
      <c r="G422" s="7" t="s">
        <v>557</v>
      </c>
      <c r="H422" s="7">
        <v>45387</v>
      </c>
      <c r="I422" s="7">
        <v>32583955</v>
      </c>
      <c r="J422" s="7" t="s">
        <v>558</v>
      </c>
      <c r="K422" s="7" t="s">
        <v>559</v>
      </c>
      <c r="L422" s="7" t="s">
        <v>179</v>
      </c>
      <c r="N422" s="29">
        <v>45245</v>
      </c>
      <c r="Q422" s="7" t="s">
        <v>157</v>
      </c>
      <c r="R422" s="7" t="s">
        <v>214</v>
      </c>
      <c r="S422" s="7" t="s">
        <v>126</v>
      </c>
      <c r="T422" s="7" t="s">
        <v>200</v>
      </c>
      <c r="U422" s="7" t="s">
        <v>167</v>
      </c>
      <c r="V422" s="7" t="s">
        <v>215</v>
      </c>
      <c r="W422" s="7">
        <v>108803</v>
      </c>
      <c r="X422" s="7" t="s">
        <v>169</v>
      </c>
      <c r="Y422" s="7" t="s">
        <v>170</v>
      </c>
      <c r="AA422" s="7" t="s">
        <v>171</v>
      </c>
      <c r="AB422" s="7" t="s">
        <v>172</v>
      </c>
      <c r="AC422" s="7">
        <v>1130</v>
      </c>
      <c r="AF422" s="7" t="s">
        <v>173</v>
      </c>
      <c r="AG422" s="7" t="s">
        <v>170</v>
      </c>
      <c r="AI422" s="7" t="s">
        <v>174</v>
      </c>
      <c r="AK422" s="7">
        <v>4</v>
      </c>
      <c r="AL422" s="7">
        <v>1</v>
      </c>
      <c r="AM422" s="7">
        <v>284018.11</v>
      </c>
      <c r="AN422" s="7">
        <v>59850.95</v>
      </c>
      <c r="AP422" s="7">
        <v>119083.06</v>
      </c>
      <c r="AQ422" s="30">
        <v>343250.22</v>
      </c>
      <c r="AS422" s="7">
        <v>8062.02</v>
      </c>
      <c r="AZ422" s="7">
        <v>3505.85</v>
      </c>
      <c r="BG422" s="7">
        <v>8062.02</v>
      </c>
      <c r="BO422" s="7">
        <v>4031.01</v>
      </c>
      <c r="BP422" s="7">
        <v>10000</v>
      </c>
      <c r="BR422" s="7">
        <v>33660.9</v>
      </c>
      <c r="BS422" s="7">
        <v>186647.90999999997</v>
      </c>
      <c r="BT422" s="7">
        <f t="shared" si="277"/>
        <v>470666.01999999996</v>
      </c>
      <c r="BU422" s="144">
        <f t="shared" ref="BU422:BU423" si="278">+AZ422/BT422</f>
        <v>7.4487000357493409E-3</v>
      </c>
    </row>
    <row r="423" spans="1:73" ht="11.25" x14ac:dyDescent="0.2">
      <c r="A423" s="133">
        <f t="shared" si="276"/>
        <v>3</v>
      </c>
      <c r="B423" s="141">
        <v>45352</v>
      </c>
      <c r="C423" s="10" t="s">
        <v>102</v>
      </c>
      <c r="D423" s="42" t="str">
        <f t="shared" ref="D423:D486" si="279">IF(AR423="","NO","SI")</f>
        <v>NO</v>
      </c>
      <c r="E423" s="7">
        <v>341458</v>
      </c>
      <c r="F423" s="7" t="s">
        <v>999</v>
      </c>
      <c r="G423" s="7" t="s">
        <v>1000</v>
      </c>
      <c r="H423" s="7">
        <v>45387</v>
      </c>
      <c r="I423" s="7">
        <v>38589180</v>
      </c>
      <c r="J423" s="7" t="s">
        <v>558</v>
      </c>
      <c r="K423" s="7" t="s">
        <v>1001</v>
      </c>
      <c r="L423" s="7" t="s">
        <v>179</v>
      </c>
      <c r="N423" s="29">
        <v>45372</v>
      </c>
      <c r="Q423" s="7" t="s">
        <v>157</v>
      </c>
      <c r="R423" s="7" t="s">
        <v>165</v>
      </c>
      <c r="S423" s="7" t="s">
        <v>126</v>
      </c>
      <c r="T423" s="7" t="s">
        <v>180</v>
      </c>
      <c r="U423" s="7" t="s">
        <v>167</v>
      </c>
      <c r="V423" s="7" t="s">
        <v>168</v>
      </c>
      <c r="W423" s="7">
        <v>108803</v>
      </c>
      <c r="X423" s="7" t="s">
        <v>169</v>
      </c>
      <c r="Y423" s="7" t="s">
        <v>170</v>
      </c>
      <c r="AA423" s="7" t="s">
        <v>171</v>
      </c>
      <c r="AB423" s="7" t="s">
        <v>172</v>
      </c>
      <c r="AC423" s="7">
        <v>1130</v>
      </c>
      <c r="AF423" s="7" t="s">
        <v>173</v>
      </c>
      <c r="AG423" s="7" t="s">
        <v>170</v>
      </c>
      <c r="AI423" s="7" t="s">
        <v>174</v>
      </c>
      <c r="AK423" s="7">
        <v>1</v>
      </c>
      <c r="AL423" s="7">
        <v>1</v>
      </c>
      <c r="AM423" s="7">
        <v>13746.05</v>
      </c>
      <c r="AN423" s="7">
        <v>2874.18</v>
      </c>
      <c r="AP423" s="7">
        <v>4806.45</v>
      </c>
      <c r="AQ423" s="30">
        <v>15678.32</v>
      </c>
      <c r="AS423" s="7">
        <v>371.05</v>
      </c>
      <c r="AZ423" s="7">
        <v>166.3</v>
      </c>
      <c r="BG423" s="7">
        <v>371.05</v>
      </c>
      <c r="BO423" s="7">
        <v>185.53</v>
      </c>
      <c r="BP423" s="7">
        <v>5000</v>
      </c>
      <c r="BR423" s="7">
        <v>6093.93</v>
      </c>
      <c r="BS423" s="7">
        <v>4806.45</v>
      </c>
      <c r="BT423" s="7">
        <f t="shared" si="277"/>
        <v>18552.5</v>
      </c>
      <c r="BU423" s="144">
        <f t="shared" si="278"/>
        <v>8.9637515159681994E-3</v>
      </c>
    </row>
    <row r="424" spans="1:73" ht="11.25" hidden="1" x14ac:dyDescent="0.2">
      <c r="A424" s="133">
        <f t="shared" si="276"/>
        <v>3</v>
      </c>
      <c r="B424" s="141">
        <v>45352</v>
      </c>
      <c r="C424" s="10"/>
      <c r="D424" s="42" t="str">
        <f t="shared" si="279"/>
        <v>NO</v>
      </c>
      <c r="E424" s="7">
        <v>300381</v>
      </c>
      <c r="F424" s="7" t="s">
        <v>564</v>
      </c>
      <c r="G424" s="7" t="s">
        <v>565</v>
      </c>
      <c r="H424" s="7">
        <v>45387</v>
      </c>
      <c r="I424" s="7">
        <v>40303328</v>
      </c>
      <c r="J424" s="7" t="s">
        <v>566</v>
      </c>
      <c r="K424" s="7" t="s">
        <v>567</v>
      </c>
      <c r="L424" s="7" t="s">
        <v>164</v>
      </c>
      <c r="N424" s="29">
        <v>44986</v>
      </c>
      <c r="O424" s="29">
        <v>45349</v>
      </c>
      <c r="P424" s="29">
        <v>45349</v>
      </c>
      <c r="Q424" s="7" t="s">
        <v>157</v>
      </c>
      <c r="R424" s="7" t="s">
        <v>165</v>
      </c>
      <c r="S424" s="7" t="s">
        <v>126</v>
      </c>
      <c r="T424" s="7" t="s">
        <v>180</v>
      </c>
      <c r="U424" s="7" t="s">
        <v>167</v>
      </c>
      <c r="V424" s="7" t="s">
        <v>168</v>
      </c>
      <c r="W424" s="7">
        <v>108803</v>
      </c>
      <c r="X424" s="7" t="s">
        <v>169</v>
      </c>
      <c r="Y424" s="7" t="s">
        <v>170</v>
      </c>
      <c r="AA424" s="7" t="s">
        <v>171</v>
      </c>
      <c r="AB424" s="7" t="s">
        <v>172</v>
      </c>
      <c r="AC424" s="7">
        <v>1130</v>
      </c>
      <c r="AF424" s="7" t="s">
        <v>173</v>
      </c>
      <c r="AG424" s="7" t="s">
        <v>170</v>
      </c>
      <c r="AI424" s="7" t="s">
        <v>174</v>
      </c>
      <c r="AK424" s="7">
        <v>3</v>
      </c>
      <c r="AL424" s="7">
        <v>1</v>
      </c>
      <c r="AM424" s="7">
        <v>16019.43</v>
      </c>
      <c r="AN424" s="7">
        <v>3590.62</v>
      </c>
      <c r="AP424" s="7">
        <v>17672.990000000002</v>
      </c>
      <c r="AQ424" s="30">
        <v>30101.8</v>
      </c>
      <c r="AS424" s="7">
        <v>673.85</v>
      </c>
      <c r="AZ424" s="7">
        <v>193.47</v>
      </c>
      <c r="BG424" s="7">
        <v>673.85</v>
      </c>
      <c r="BO424" s="7">
        <v>336.93</v>
      </c>
      <c r="BP424" s="7">
        <v>5000</v>
      </c>
      <c r="BR424" s="7">
        <v>6878.1</v>
      </c>
      <c r="BS424" s="7">
        <v>17672.990000000002</v>
      </c>
      <c r="BT424" s="7">
        <f t="shared" si="277"/>
        <v>33692.42</v>
      </c>
    </row>
    <row r="425" spans="1:73" ht="11.25" x14ac:dyDescent="0.2">
      <c r="A425" s="133">
        <f t="shared" si="276"/>
        <v>3</v>
      </c>
      <c r="B425" s="141">
        <v>45352</v>
      </c>
      <c r="C425" s="10" t="s">
        <v>102</v>
      </c>
      <c r="D425" s="42" t="str">
        <f t="shared" si="279"/>
        <v>NO</v>
      </c>
      <c r="E425" s="7">
        <v>286185</v>
      </c>
      <c r="F425" s="7" t="s">
        <v>875</v>
      </c>
      <c r="G425" s="7" t="s">
        <v>876</v>
      </c>
      <c r="H425" s="7">
        <v>45387</v>
      </c>
      <c r="I425" s="7">
        <v>27037184</v>
      </c>
      <c r="J425" s="7" t="s">
        <v>877</v>
      </c>
      <c r="K425" s="7" t="s">
        <v>878</v>
      </c>
      <c r="L425" s="7" t="s">
        <v>179</v>
      </c>
      <c r="N425" s="29">
        <v>45346</v>
      </c>
      <c r="Q425" s="7" t="s">
        <v>157</v>
      </c>
      <c r="R425" s="7" t="s">
        <v>199</v>
      </c>
      <c r="S425" s="7" t="s">
        <v>126</v>
      </c>
      <c r="T425" s="7" t="s">
        <v>200</v>
      </c>
      <c r="U425" s="7" t="s">
        <v>167</v>
      </c>
      <c r="V425" s="7" t="s">
        <v>201</v>
      </c>
      <c r="W425" s="7">
        <v>108803</v>
      </c>
      <c r="X425" s="7" t="s">
        <v>169</v>
      </c>
      <c r="Y425" s="7" t="s">
        <v>170</v>
      </c>
      <c r="AA425" s="7" t="s">
        <v>189</v>
      </c>
      <c r="AB425" s="7" t="s">
        <v>190</v>
      </c>
      <c r="AC425" s="7">
        <v>1584</v>
      </c>
      <c r="AF425" s="7" t="s">
        <v>173</v>
      </c>
      <c r="AG425" s="7" t="s">
        <v>170</v>
      </c>
      <c r="AI425" s="7" t="s">
        <v>174</v>
      </c>
      <c r="AK425" s="7">
        <v>2</v>
      </c>
      <c r="AL425" s="7">
        <v>1</v>
      </c>
      <c r="AM425" s="7">
        <v>70767.05</v>
      </c>
      <c r="AN425" s="7">
        <v>14913.09</v>
      </c>
      <c r="AP425" s="7">
        <v>29691.040000000001</v>
      </c>
      <c r="AQ425" s="30">
        <v>85545</v>
      </c>
      <c r="AS425" s="7">
        <v>2009.16</v>
      </c>
      <c r="AZ425" s="7">
        <v>873.53</v>
      </c>
      <c r="BG425" s="7">
        <v>2009.16</v>
      </c>
      <c r="BO425" s="7">
        <v>1004.58</v>
      </c>
      <c r="BP425" s="7">
        <v>5000</v>
      </c>
      <c r="BR425" s="7">
        <v>10896.43</v>
      </c>
      <c r="BS425" s="7">
        <v>29691.040000000001</v>
      </c>
      <c r="BT425" s="7">
        <f t="shared" si="277"/>
        <v>100458.09</v>
      </c>
      <c r="BU425" s="144">
        <f>+AZ425/BT425</f>
        <v>8.6954669355150983E-3</v>
      </c>
    </row>
    <row r="426" spans="1:73" ht="11.25" hidden="1" x14ac:dyDescent="0.2">
      <c r="A426" s="133">
        <f t="shared" si="276"/>
        <v>3</v>
      </c>
      <c r="B426" s="141">
        <v>45352</v>
      </c>
      <c r="C426" s="10"/>
      <c r="D426" s="42" t="str">
        <f t="shared" si="279"/>
        <v>NO</v>
      </c>
      <c r="E426" s="7">
        <v>317849</v>
      </c>
      <c r="F426" s="7" t="s">
        <v>580</v>
      </c>
      <c r="G426" s="7" t="s">
        <v>581</v>
      </c>
      <c r="H426" s="7">
        <v>45369</v>
      </c>
      <c r="I426" s="7">
        <v>40758869</v>
      </c>
      <c r="J426" s="7" t="s">
        <v>582</v>
      </c>
      <c r="K426" s="7" t="s">
        <v>583</v>
      </c>
      <c r="L426" s="7" t="s">
        <v>179</v>
      </c>
      <c r="N426" s="29">
        <v>45249</v>
      </c>
      <c r="O426" s="29">
        <v>45346</v>
      </c>
      <c r="P426" s="29">
        <v>45346</v>
      </c>
      <c r="Q426" s="7" t="s">
        <v>157</v>
      </c>
      <c r="R426" s="7" t="s">
        <v>165</v>
      </c>
      <c r="S426" s="7" t="s">
        <v>126</v>
      </c>
      <c r="T426" s="7" t="s">
        <v>166</v>
      </c>
      <c r="U426" s="7" t="s">
        <v>167</v>
      </c>
      <c r="V426" s="7" t="s">
        <v>168</v>
      </c>
      <c r="W426" s="7">
        <v>108803</v>
      </c>
      <c r="X426" s="7" t="s">
        <v>169</v>
      </c>
      <c r="Y426" s="7" t="s">
        <v>170</v>
      </c>
      <c r="AA426" s="7" t="s">
        <v>189</v>
      </c>
      <c r="AB426" s="7" t="s">
        <v>190</v>
      </c>
      <c r="AC426" s="7">
        <v>1584</v>
      </c>
      <c r="AF426" s="7" t="s">
        <v>173</v>
      </c>
      <c r="AG426" s="7" t="s">
        <v>170</v>
      </c>
      <c r="AI426" s="7" t="s">
        <v>174</v>
      </c>
      <c r="AK426" s="7">
        <v>2</v>
      </c>
      <c r="AL426" s="7">
        <v>1</v>
      </c>
      <c r="AN426" s="7">
        <v>214.08</v>
      </c>
      <c r="AP426" s="7">
        <v>10703.68</v>
      </c>
      <c r="AQ426" s="30">
        <v>10489.6</v>
      </c>
      <c r="AS426" s="7">
        <v>214.08</v>
      </c>
      <c r="BG426" s="7">
        <v>214.08</v>
      </c>
      <c r="BO426" s="7">
        <v>107.03</v>
      </c>
      <c r="BR426" s="7">
        <v>535.19000000000005</v>
      </c>
      <c r="BS426" s="7">
        <v>10703.68</v>
      </c>
      <c r="BT426" s="7">
        <f t="shared" si="277"/>
        <v>10703.68</v>
      </c>
    </row>
    <row r="427" spans="1:73" ht="11.25" x14ac:dyDescent="0.2">
      <c r="A427" s="133">
        <f t="shared" si="276"/>
        <v>3</v>
      </c>
      <c r="B427" s="141">
        <v>45352</v>
      </c>
      <c r="C427" s="10" t="s">
        <v>102</v>
      </c>
      <c r="D427" s="42" t="str">
        <f t="shared" si="279"/>
        <v>NO</v>
      </c>
      <c r="E427" s="7">
        <v>336646</v>
      </c>
      <c r="F427" s="7" t="s">
        <v>1002</v>
      </c>
      <c r="G427" s="7" t="s">
        <v>1003</v>
      </c>
      <c r="H427" s="7">
        <v>45387</v>
      </c>
      <c r="I427" s="7">
        <v>42899334</v>
      </c>
      <c r="J427" s="7" t="s">
        <v>1004</v>
      </c>
      <c r="K427" s="7" t="s">
        <v>1005</v>
      </c>
      <c r="L427" s="7" t="s">
        <v>179</v>
      </c>
      <c r="N427" s="29">
        <v>45374</v>
      </c>
      <c r="Q427" s="7" t="s">
        <v>157</v>
      </c>
      <c r="R427" s="7" t="s">
        <v>199</v>
      </c>
      <c r="S427" s="7" t="s">
        <v>126</v>
      </c>
      <c r="T427" s="7" t="s">
        <v>200</v>
      </c>
      <c r="U427" s="7" t="s">
        <v>167</v>
      </c>
      <c r="V427" s="7" t="s">
        <v>1006</v>
      </c>
      <c r="W427" s="7">
        <v>108803</v>
      </c>
      <c r="X427" s="7" t="s">
        <v>169</v>
      </c>
      <c r="Y427" s="7" t="s">
        <v>170</v>
      </c>
      <c r="AA427" s="7" t="s">
        <v>189</v>
      </c>
      <c r="AB427" s="7" t="s">
        <v>190</v>
      </c>
      <c r="AC427" s="7">
        <v>1584</v>
      </c>
      <c r="AF427" s="7" t="s">
        <v>173</v>
      </c>
      <c r="AG427" s="7" t="s">
        <v>170</v>
      </c>
      <c r="AI427" s="7" t="s">
        <v>174</v>
      </c>
      <c r="AK427" s="7">
        <v>1</v>
      </c>
      <c r="AL427" s="7">
        <v>1</v>
      </c>
      <c r="AM427" s="7">
        <v>13105.01</v>
      </c>
      <c r="AN427" s="7">
        <v>2754.1</v>
      </c>
      <c r="AP427" s="7">
        <v>5119.1499999999996</v>
      </c>
      <c r="AQ427" s="30">
        <v>15470.06</v>
      </c>
      <c r="AS427" s="7">
        <v>364.48</v>
      </c>
      <c r="AZ427" s="7">
        <v>161.77000000000001</v>
      </c>
      <c r="BG427" s="7">
        <v>364.48</v>
      </c>
      <c r="BO427" s="7">
        <v>182.24</v>
      </c>
      <c r="BP427" s="7">
        <v>5000</v>
      </c>
      <c r="BR427" s="7">
        <v>6072.97</v>
      </c>
      <c r="BS427" s="7">
        <v>5119.1500000000005</v>
      </c>
      <c r="BT427" s="7">
        <f t="shared" si="277"/>
        <v>18224.16</v>
      </c>
      <c r="BU427" s="144">
        <f t="shared" ref="BU427:BU431" si="280">+AZ427/BT427</f>
        <v>8.8766779922915522E-3</v>
      </c>
    </row>
    <row r="428" spans="1:73" ht="11.25" x14ac:dyDescent="0.2">
      <c r="A428" s="133">
        <f t="shared" si="276"/>
        <v>3</v>
      </c>
      <c r="B428" s="141">
        <v>45352</v>
      </c>
      <c r="C428" s="10" t="s">
        <v>102</v>
      </c>
      <c r="D428" s="42" t="str">
        <f t="shared" si="279"/>
        <v>NO</v>
      </c>
      <c r="E428" s="7">
        <v>340421</v>
      </c>
      <c r="F428" s="7" t="s">
        <v>1007</v>
      </c>
      <c r="G428" s="7" t="s">
        <v>1008</v>
      </c>
      <c r="H428" s="7">
        <v>45387</v>
      </c>
      <c r="I428" s="7">
        <v>45227034</v>
      </c>
      <c r="J428" s="7" t="s">
        <v>1009</v>
      </c>
      <c r="K428" s="7" t="s">
        <v>1010</v>
      </c>
      <c r="L428" s="7" t="s">
        <v>179</v>
      </c>
      <c r="N428" s="29">
        <v>45354</v>
      </c>
      <c r="Q428" s="7" t="s">
        <v>157</v>
      </c>
      <c r="R428" s="7" t="s">
        <v>199</v>
      </c>
      <c r="S428" s="7" t="s">
        <v>126</v>
      </c>
      <c r="T428" s="7" t="s">
        <v>200</v>
      </c>
      <c r="U428" s="7" t="s">
        <v>167</v>
      </c>
      <c r="V428" s="7" t="s">
        <v>201</v>
      </c>
      <c r="W428" s="7">
        <v>108803</v>
      </c>
      <c r="X428" s="7" t="s">
        <v>169</v>
      </c>
      <c r="Y428" s="7" t="s">
        <v>170</v>
      </c>
      <c r="AA428" s="7" t="s">
        <v>189</v>
      </c>
      <c r="AB428" s="7" t="s">
        <v>190</v>
      </c>
      <c r="AC428" s="7">
        <v>1584</v>
      </c>
      <c r="AF428" s="7" t="s">
        <v>173</v>
      </c>
      <c r="AG428" s="7" t="s">
        <v>170</v>
      </c>
      <c r="AI428" s="7" t="s">
        <v>174</v>
      </c>
      <c r="AK428" s="7">
        <v>1</v>
      </c>
      <c r="AL428" s="7">
        <v>1</v>
      </c>
      <c r="AM428" s="7">
        <v>13978.68</v>
      </c>
      <c r="AN428" s="7">
        <v>2937.7</v>
      </c>
      <c r="AP428" s="7">
        <v>5460.42</v>
      </c>
      <c r="AQ428" s="30">
        <v>16501.400000000001</v>
      </c>
      <c r="AS428" s="7">
        <v>388.78</v>
      </c>
      <c r="AZ428" s="7">
        <v>172.55</v>
      </c>
      <c r="BG428" s="7">
        <v>388.78</v>
      </c>
      <c r="BO428" s="7">
        <v>194.39</v>
      </c>
      <c r="BP428" s="7">
        <v>5000</v>
      </c>
      <c r="BR428" s="7">
        <v>6144.5</v>
      </c>
      <c r="BS428" s="7">
        <v>5460.42</v>
      </c>
      <c r="BT428" s="7">
        <f t="shared" si="277"/>
        <v>19439.099999999999</v>
      </c>
      <c r="BU428" s="144">
        <f t="shared" si="280"/>
        <v>8.8764397528692182E-3</v>
      </c>
    </row>
    <row r="429" spans="1:73" ht="11.25" x14ac:dyDescent="0.2">
      <c r="A429" s="133">
        <f t="shared" si="276"/>
        <v>3</v>
      </c>
      <c r="B429" s="141">
        <v>45352</v>
      </c>
      <c r="C429" s="10" t="s">
        <v>102</v>
      </c>
      <c r="D429" s="42" t="str">
        <f t="shared" si="279"/>
        <v>NO</v>
      </c>
      <c r="E429" s="7">
        <v>340947</v>
      </c>
      <c r="F429" s="7" t="s">
        <v>1011</v>
      </c>
      <c r="G429" s="7" t="s">
        <v>1012</v>
      </c>
      <c r="H429" s="7">
        <v>45387</v>
      </c>
      <c r="I429" s="7">
        <v>40491506</v>
      </c>
      <c r="J429" s="7" t="s">
        <v>1013</v>
      </c>
      <c r="K429" s="7" t="s">
        <v>1014</v>
      </c>
      <c r="L429" s="7" t="s">
        <v>164</v>
      </c>
      <c r="N429" s="29">
        <v>45368</v>
      </c>
      <c r="Q429" s="7" t="s">
        <v>157</v>
      </c>
      <c r="R429" s="7" t="s">
        <v>199</v>
      </c>
      <c r="S429" s="7" t="s">
        <v>126</v>
      </c>
      <c r="T429" s="7" t="s">
        <v>180</v>
      </c>
      <c r="U429" s="7" t="s">
        <v>167</v>
      </c>
      <c r="V429" s="7" t="s">
        <v>201</v>
      </c>
      <c r="W429" s="7">
        <v>108803</v>
      </c>
      <c r="X429" s="7" t="s">
        <v>169</v>
      </c>
      <c r="Y429" s="7" t="s">
        <v>170</v>
      </c>
      <c r="AA429" s="7" t="s">
        <v>171</v>
      </c>
      <c r="AB429" s="7" t="s">
        <v>172</v>
      </c>
      <c r="AC429" s="7">
        <v>1130</v>
      </c>
      <c r="AF429" s="7" t="s">
        <v>173</v>
      </c>
      <c r="AG429" s="7" t="s">
        <v>170</v>
      </c>
      <c r="AI429" s="7" t="s">
        <v>174</v>
      </c>
      <c r="AK429" s="7">
        <v>3</v>
      </c>
      <c r="AL429" s="7">
        <v>1</v>
      </c>
      <c r="AM429" s="7">
        <v>33672.25</v>
      </c>
      <c r="AN429" s="7">
        <v>7059.8</v>
      </c>
      <c r="AP429" s="7">
        <v>12513.47</v>
      </c>
      <c r="AQ429" s="30">
        <v>39125.919999999998</v>
      </c>
      <c r="AS429" s="7">
        <v>923.71</v>
      </c>
      <c r="AZ429" s="7">
        <v>411.8</v>
      </c>
      <c r="BG429" s="7">
        <v>923.71</v>
      </c>
      <c r="BO429" s="7">
        <v>461.85</v>
      </c>
      <c r="BP429" s="7">
        <v>15000</v>
      </c>
      <c r="BR429" s="7">
        <v>17721.07</v>
      </c>
      <c r="BS429" s="7">
        <v>12513.470000000001</v>
      </c>
      <c r="BT429" s="7">
        <f t="shared" si="277"/>
        <v>46185.72</v>
      </c>
      <c r="BU429" s="144">
        <f t="shared" si="280"/>
        <v>8.9161758223104456E-3</v>
      </c>
    </row>
    <row r="430" spans="1:73" ht="11.25" x14ac:dyDescent="0.2">
      <c r="A430" s="133">
        <f t="shared" si="276"/>
        <v>3</v>
      </c>
      <c r="B430" s="141">
        <v>45352</v>
      </c>
      <c r="C430" s="10" t="s">
        <v>102</v>
      </c>
      <c r="D430" s="42" t="str">
        <f t="shared" si="279"/>
        <v>NO</v>
      </c>
      <c r="E430" s="7">
        <v>308675</v>
      </c>
      <c r="F430" s="7" t="s">
        <v>584</v>
      </c>
      <c r="G430" s="7" t="s">
        <v>585</v>
      </c>
      <c r="H430" s="7">
        <v>45387</v>
      </c>
      <c r="I430" s="7">
        <v>19000508</v>
      </c>
      <c r="J430" s="7" t="s">
        <v>586</v>
      </c>
      <c r="K430" s="7" t="s">
        <v>587</v>
      </c>
      <c r="L430" s="7" t="s">
        <v>164</v>
      </c>
      <c r="N430" s="29">
        <v>45267</v>
      </c>
      <c r="Q430" s="7" t="s">
        <v>157</v>
      </c>
      <c r="R430" s="7" t="s">
        <v>214</v>
      </c>
      <c r="S430" s="7" t="s">
        <v>126</v>
      </c>
      <c r="T430" s="7" t="s">
        <v>200</v>
      </c>
      <c r="U430" s="7" t="s">
        <v>167</v>
      </c>
      <c r="V430" s="7" t="s">
        <v>215</v>
      </c>
      <c r="W430" s="7">
        <v>106005</v>
      </c>
      <c r="X430" s="7" t="s">
        <v>588</v>
      </c>
      <c r="Y430" s="7" t="s">
        <v>170</v>
      </c>
      <c r="AA430" s="7" t="s">
        <v>208</v>
      </c>
      <c r="AB430" s="7" t="s">
        <v>209</v>
      </c>
      <c r="AC430" s="7">
        <v>1035</v>
      </c>
      <c r="AF430" s="7" t="s">
        <v>173</v>
      </c>
      <c r="AG430" s="7" t="s">
        <v>170</v>
      </c>
      <c r="AI430" s="7" t="s">
        <v>174</v>
      </c>
      <c r="AK430" s="7">
        <v>2</v>
      </c>
      <c r="AL430" s="7">
        <v>1</v>
      </c>
      <c r="AM430" s="7">
        <v>141517.66</v>
      </c>
      <c r="AN430" s="7">
        <v>30232.2</v>
      </c>
      <c r="AP430" s="7">
        <v>79849.39</v>
      </c>
      <c r="AQ430" s="30">
        <v>191134.85</v>
      </c>
      <c r="AS430" s="7">
        <v>4427.34</v>
      </c>
      <c r="AZ430" s="7">
        <v>1746.86</v>
      </c>
      <c r="BG430" s="7">
        <v>4427.34</v>
      </c>
      <c r="BO430" s="7">
        <v>2213.67</v>
      </c>
      <c r="BP430" s="7">
        <v>5000</v>
      </c>
      <c r="BR430" s="7">
        <v>17815.21</v>
      </c>
      <c r="BS430" s="7">
        <v>79849.39</v>
      </c>
      <c r="BT430" s="7">
        <f t="shared" si="277"/>
        <v>221367.05</v>
      </c>
      <c r="BU430" s="144">
        <f t="shared" si="280"/>
        <v>7.8912376525774718E-3</v>
      </c>
    </row>
    <row r="431" spans="1:73" ht="11.25" x14ac:dyDescent="0.2">
      <c r="A431" s="133">
        <f t="shared" si="276"/>
        <v>3</v>
      </c>
      <c r="B431" s="141">
        <v>45352</v>
      </c>
      <c r="C431" s="10" t="s">
        <v>102</v>
      </c>
      <c r="D431" s="42" t="str">
        <f t="shared" si="279"/>
        <v>NO</v>
      </c>
      <c r="E431" s="7">
        <v>334593</v>
      </c>
      <c r="F431" s="7" t="s">
        <v>1015</v>
      </c>
      <c r="G431" s="7" t="s">
        <v>1016</v>
      </c>
      <c r="H431" s="7">
        <v>45387</v>
      </c>
      <c r="I431" s="7">
        <v>44619854</v>
      </c>
      <c r="J431" s="7" t="s">
        <v>1017</v>
      </c>
      <c r="K431" s="7" t="s">
        <v>1018</v>
      </c>
      <c r="L431" s="7" t="s">
        <v>179</v>
      </c>
      <c r="N431" s="29">
        <v>45253</v>
      </c>
      <c r="Q431" s="7" t="s">
        <v>157</v>
      </c>
      <c r="R431" s="7" t="s">
        <v>165</v>
      </c>
      <c r="S431" s="7" t="s">
        <v>126</v>
      </c>
      <c r="T431" s="7" t="s">
        <v>180</v>
      </c>
      <c r="U431" s="7" t="s">
        <v>167</v>
      </c>
      <c r="V431" s="7" t="s">
        <v>168</v>
      </c>
      <c r="W431" s="7">
        <v>108803</v>
      </c>
      <c r="X431" s="7" t="s">
        <v>169</v>
      </c>
      <c r="Y431" s="7" t="s">
        <v>170</v>
      </c>
      <c r="AA431" s="7" t="s">
        <v>171</v>
      </c>
      <c r="AB431" s="7" t="s">
        <v>172</v>
      </c>
      <c r="AC431" s="7">
        <v>1130</v>
      </c>
      <c r="AF431" s="7" t="s">
        <v>173</v>
      </c>
      <c r="AG431" s="7" t="s">
        <v>170</v>
      </c>
      <c r="AI431" s="7" t="s">
        <v>174</v>
      </c>
      <c r="AK431" s="7">
        <v>6</v>
      </c>
      <c r="AL431" s="7">
        <v>1</v>
      </c>
      <c r="AM431" s="7">
        <v>342952.06</v>
      </c>
      <c r="AN431" s="7">
        <v>72030.460000000006</v>
      </c>
      <c r="AP431" s="7">
        <v>132787.49</v>
      </c>
      <c r="AQ431" s="30">
        <v>403709.09</v>
      </c>
      <c r="AS431" s="7">
        <v>9514.7999999999993</v>
      </c>
      <c r="AZ431" s="7">
        <v>4213.82</v>
      </c>
      <c r="BG431" s="7">
        <v>9514.7999999999993</v>
      </c>
      <c r="BO431" s="7">
        <v>4757.3900000000003</v>
      </c>
      <c r="BP431" s="7">
        <v>10000</v>
      </c>
      <c r="BR431" s="7">
        <v>38000.81</v>
      </c>
      <c r="BS431" s="7">
        <v>132787.49</v>
      </c>
      <c r="BT431" s="7">
        <f t="shared" si="277"/>
        <v>475739.55</v>
      </c>
      <c r="BU431" s="144">
        <f t="shared" si="280"/>
        <v>8.8574094796196774E-3</v>
      </c>
    </row>
    <row r="432" spans="1:73" ht="11.25" hidden="1" x14ac:dyDescent="0.2">
      <c r="A432" s="133">
        <f t="shared" si="276"/>
        <v>3</v>
      </c>
      <c r="B432" s="141">
        <v>45352</v>
      </c>
      <c r="C432" s="10"/>
      <c r="D432" s="42" t="str">
        <f t="shared" si="279"/>
        <v>NO</v>
      </c>
      <c r="E432" s="7">
        <v>321447</v>
      </c>
      <c r="F432" s="7" t="s">
        <v>594</v>
      </c>
      <c r="G432" s="7" t="s">
        <v>595</v>
      </c>
      <c r="H432" s="7">
        <v>45369</v>
      </c>
      <c r="I432" s="7">
        <v>42829457</v>
      </c>
      <c r="J432" s="7" t="s">
        <v>596</v>
      </c>
      <c r="K432" s="7" t="s">
        <v>597</v>
      </c>
      <c r="L432" s="7" t="s">
        <v>179</v>
      </c>
      <c r="N432" s="29">
        <v>45042</v>
      </c>
      <c r="Q432" s="7" t="s">
        <v>157</v>
      </c>
      <c r="R432" s="7" t="s">
        <v>165</v>
      </c>
      <c r="S432" s="7" t="s">
        <v>126</v>
      </c>
      <c r="T432" s="7" t="s">
        <v>166</v>
      </c>
      <c r="U432" s="7" t="s">
        <v>167</v>
      </c>
      <c r="V432" s="7" t="s">
        <v>168</v>
      </c>
      <c r="W432" s="7">
        <v>108803</v>
      </c>
      <c r="X432" s="7" t="s">
        <v>169</v>
      </c>
      <c r="Y432" s="7" t="s">
        <v>170</v>
      </c>
      <c r="AA432" s="7" t="s">
        <v>171</v>
      </c>
      <c r="AB432" s="7" t="s">
        <v>172</v>
      </c>
      <c r="AC432" s="7">
        <v>1130</v>
      </c>
      <c r="AF432" s="7" t="s">
        <v>173</v>
      </c>
      <c r="AG432" s="7" t="s">
        <v>170</v>
      </c>
      <c r="AI432" s="7" t="s">
        <v>174</v>
      </c>
      <c r="AK432" s="7">
        <v>1</v>
      </c>
      <c r="AL432" s="7">
        <v>1</v>
      </c>
      <c r="AN432" s="7">
        <v>448.11</v>
      </c>
      <c r="AP432" s="7">
        <v>22405.49</v>
      </c>
      <c r="AQ432" s="30">
        <v>21957.38</v>
      </c>
      <c r="AS432" s="7">
        <v>448.11</v>
      </c>
      <c r="BG432" s="7">
        <v>448.11</v>
      </c>
      <c r="BO432" s="7">
        <v>224.05</v>
      </c>
      <c r="BR432" s="7">
        <v>1120.27</v>
      </c>
      <c r="BS432" s="7">
        <v>22405.49</v>
      </c>
      <c r="BT432" s="7">
        <f t="shared" si="277"/>
        <v>22405.49</v>
      </c>
    </row>
    <row r="433" spans="1:73" ht="11.25" hidden="1" x14ac:dyDescent="0.2">
      <c r="A433" s="133">
        <f t="shared" si="276"/>
        <v>3</v>
      </c>
      <c r="B433" s="141">
        <v>45352</v>
      </c>
      <c r="C433" s="10"/>
      <c r="D433" s="42" t="str">
        <f t="shared" si="279"/>
        <v>SI</v>
      </c>
      <c r="E433" s="7">
        <v>289432</v>
      </c>
      <c r="F433" s="7" t="s">
        <v>598</v>
      </c>
      <c r="G433" s="7" t="s">
        <v>599</v>
      </c>
      <c r="H433" s="7">
        <v>45369</v>
      </c>
      <c r="I433" s="7">
        <v>35273997</v>
      </c>
      <c r="J433" s="7" t="s">
        <v>600</v>
      </c>
      <c r="K433" s="7" t="s">
        <v>295</v>
      </c>
      <c r="L433" s="7" t="s">
        <v>164</v>
      </c>
      <c r="N433" s="29">
        <v>44836</v>
      </c>
      <c r="Q433" s="7" t="s">
        <v>157</v>
      </c>
      <c r="R433" s="7" t="s">
        <v>165</v>
      </c>
      <c r="S433" s="7" t="s">
        <v>126</v>
      </c>
      <c r="T433" s="7" t="s">
        <v>166</v>
      </c>
      <c r="U433" s="7" t="s">
        <v>167</v>
      </c>
      <c r="V433" s="7" t="s">
        <v>168</v>
      </c>
      <c r="W433" s="7">
        <v>108803</v>
      </c>
      <c r="X433" s="7" t="s">
        <v>169</v>
      </c>
      <c r="Y433" s="7" t="s">
        <v>170</v>
      </c>
      <c r="AA433" s="7" t="s">
        <v>189</v>
      </c>
      <c r="AB433" s="7" t="s">
        <v>190</v>
      </c>
      <c r="AC433" s="7">
        <v>1584</v>
      </c>
      <c r="AF433" s="7" t="s">
        <v>170</v>
      </c>
      <c r="AG433" s="7" t="s">
        <v>170</v>
      </c>
      <c r="AI433" s="7" t="s">
        <v>174</v>
      </c>
      <c r="AK433" s="7">
        <v>2</v>
      </c>
      <c r="AL433" s="7">
        <v>1</v>
      </c>
      <c r="AN433" s="7">
        <v>145.12</v>
      </c>
      <c r="AP433" s="7">
        <v>5804.76</v>
      </c>
      <c r="AQ433" s="30">
        <v>5659.64</v>
      </c>
      <c r="AR433" s="7">
        <v>145.12</v>
      </c>
      <c r="AS433" s="7"/>
      <c r="BG433" s="7">
        <v>116.1</v>
      </c>
      <c r="BO433" s="7">
        <v>58.04</v>
      </c>
      <c r="BR433" s="7">
        <v>319.26</v>
      </c>
      <c r="BS433" s="7">
        <v>5804.76</v>
      </c>
      <c r="BT433" s="7">
        <f t="shared" si="277"/>
        <v>5804.76</v>
      </c>
    </row>
    <row r="434" spans="1:73" ht="11.25" x14ac:dyDescent="0.2">
      <c r="A434" s="133">
        <f t="shared" si="276"/>
        <v>3</v>
      </c>
      <c r="B434" s="141">
        <v>45352</v>
      </c>
      <c r="C434" s="10" t="s">
        <v>102</v>
      </c>
      <c r="D434" s="42" t="str">
        <f t="shared" si="279"/>
        <v>NO</v>
      </c>
      <c r="E434" s="7">
        <v>93342</v>
      </c>
      <c r="F434" s="7" t="s">
        <v>1019</v>
      </c>
      <c r="G434" s="7" t="s">
        <v>1020</v>
      </c>
      <c r="H434" s="7">
        <v>45387</v>
      </c>
      <c r="I434" s="7">
        <v>36154480</v>
      </c>
      <c r="J434" s="7" t="s">
        <v>1021</v>
      </c>
      <c r="K434" s="7" t="s">
        <v>1022</v>
      </c>
      <c r="L434" s="7" t="s">
        <v>179</v>
      </c>
      <c r="N434" s="29">
        <v>45353</v>
      </c>
      <c r="Q434" s="7" t="s">
        <v>157</v>
      </c>
      <c r="R434" s="7" t="s">
        <v>214</v>
      </c>
      <c r="S434" s="7" t="s">
        <v>126</v>
      </c>
      <c r="T434" s="7" t="s">
        <v>200</v>
      </c>
      <c r="U434" s="7" t="s">
        <v>167</v>
      </c>
      <c r="V434" s="7" t="s">
        <v>254</v>
      </c>
      <c r="W434" s="7">
        <v>108803</v>
      </c>
      <c r="X434" s="7" t="s">
        <v>169</v>
      </c>
      <c r="Y434" s="7" t="s">
        <v>170</v>
      </c>
      <c r="AA434" s="7" t="s">
        <v>189</v>
      </c>
      <c r="AB434" s="7" t="s">
        <v>190</v>
      </c>
      <c r="AC434" s="7">
        <v>1584</v>
      </c>
      <c r="AF434" s="7" t="s">
        <v>173</v>
      </c>
      <c r="AG434" s="7" t="s">
        <v>170</v>
      </c>
      <c r="AI434" s="7" t="s">
        <v>174</v>
      </c>
      <c r="AK434" s="7">
        <v>1</v>
      </c>
      <c r="AL434" s="7">
        <v>1</v>
      </c>
      <c r="AM434" s="7">
        <v>116948.64</v>
      </c>
      <c r="AN434" s="7">
        <v>24577.48</v>
      </c>
      <c r="AP434" s="7">
        <v>45683.07</v>
      </c>
      <c r="AQ434" s="30">
        <v>138054.23000000001</v>
      </c>
      <c r="AS434" s="7">
        <v>3252.63</v>
      </c>
      <c r="AZ434" s="7">
        <v>1443.58</v>
      </c>
      <c r="BG434" s="7">
        <v>3252.63</v>
      </c>
      <c r="BO434" s="7">
        <v>1626.32</v>
      </c>
      <c r="BP434" s="7">
        <v>5000</v>
      </c>
      <c r="BR434" s="7">
        <v>14575.16</v>
      </c>
      <c r="BS434" s="7">
        <v>45683.07</v>
      </c>
      <c r="BT434" s="7">
        <f t="shared" si="277"/>
        <v>162631.71</v>
      </c>
      <c r="BU434" s="144">
        <f>+AZ434/BT434</f>
        <v>8.8763747242158377E-3</v>
      </c>
    </row>
    <row r="435" spans="1:73" ht="11.25" hidden="1" x14ac:dyDescent="0.2">
      <c r="A435" s="133">
        <f t="shared" si="276"/>
        <v>3</v>
      </c>
      <c r="B435" s="141">
        <v>45352</v>
      </c>
      <c r="C435" s="10"/>
      <c r="D435" s="42" t="str">
        <f t="shared" si="279"/>
        <v>NO</v>
      </c>
      <c r="E435" s="7">
        <v>309845</v>
      </c>
      <c r="F435" s="7" t="s">
        <v>601</v>
      </c>
      <c r="G435" s="7" t="s">
        <v>602</v>
      </c>
      <c r="H435" s="7">
        <v>45371</v>
      </c>
      <c r="I435" s="7">
        <v>37350830</v>
      </c>
      <c r="J435" s="7" t="s">
        <v>603</v>
      </c>
      <c r="K435" s="7" t="s">
        <v>604</v>
      </c>
      <c r="L435" s="7" t="s">
        <v>164</v>
      </c>
      <c r="N435" s="29">
        <v>44862</v>
      </c>
      <c r="O435" s="29">
        <v>45291</v>
      </c>
      <c r="P435" s="29">
        <v>45291</v>
      </c>
      <c r="Q435" s="7" t="s">
        <v>157</v>
      </c>
      <c r="R435" s="7" t="s">
        <v>199</v>
      </c>
      <c r="S435" s="7" t="s">
        <v>126</v>
      </c>
      <c r="T435" s="7" t="s">
        <v>239</v>
      </c>
      <c r="U435" s="7" t="s">
        <v>167</v>
      </c>
      <c r="V435" s="7" t="s">
        <v>201</v>
      </c>
      <c r="W435" s="7">
        <v>108803</v>
      </c>
      <c r="X435" s="7" t="s">
        <v>169</v>
      </c>
      <c r="Y435" s="7" t="s">
        <v>170</v>
      </c>
      <c r="AA435" s="7" t="s">
        <v>189</v>
      </c>
      <c r="AB435" s="7" t="s">
        <v>190</v>
      </c>
      <c r="AC435" s="7">
        <v>1584</v>
      </c>
      <c r="AF435" s="7" t="s">
        <v>173</v>
      </c>
      <c r="AG435" s="7" t="s">
        <v>170</v>
      </c>
      <c r="AI435" s="7" t="s">
        <v>174</v>
      </c>
      <c r="AK435" s="7">
        <v>1</v>
      </c>
      <c r="AL435" s="7">
        <v>1</v>
      </c>
      <c r="AP435" s="7">
        <v>38441.360000000001</v>
      </c>
      <c r="AQ435" s="30">
        <v>38441.360000000001</v>
      </c>
      <c r="AS435" s="7"/>
      <c r="BS435" s="7">
        <v>0</v>
      </c>
      <c r="BT435" s="7">
        <f t="shared" si="277"/>
        <v>0</v>
      </c>
    </row>
    <row r="436" spans="1:73" ht="11.25" x14ac:dyDescent="0.2">
      <c r="A436" s="133">
        <f t="shared" si="276"/>
        <v>3</v>
      </c>
      <c r="B436" s="141">
        <v>45352</v>
      </c>
      <c r="C436" s="10" t="s">
        <v>102</v>
      </c>
      <c r="D436" s="42" t="str">
        <f t="shared" si="279"/>
        <v>NO</v>
      </c>
      <c r="E436" s="7">
        <v>341539</v>
      </c>
      <c r="F436" s="7" t="s">
        <v>1023</v>
      </c>
      <c r="G436" s="7" t="s">
        <v>1024</v>
      </c>
      <c r="H436" s="7">
        <v>45387</v>
      </c>
      <c r="I436" s="7">
        <v>41743448</v>
      </c>
      <c r="J436" s="7" t="s">
        <v>1025</v>
      </c>
      <c r="K436" s="7" t="s">
        <v>1026</v>
      </c>
      <c r="L436" s="7" t="s">
        <v>179</v>
      </c>
      <c r="N436" s="29">
        <v>45368</v>
      </c>
      <c r="Q436" s="7" t="s">
        <v>157</v>
      </c>
      <c r="R436" s="7" t="s">
        <v>245</v>
      </c>
      <c r="S436" s="7" t="s">
        <v>126</v>
      </c>
      <c r="T436" s="7" t="s">
        <v>239</v>
      </c>
      <c r="U436" s="7" t="s">
        <v>167</v>
      </c>
      <c r="V436" s="7" t="s">
        <v>246</v>
      </c>
      <c r="W436" s="7">
        <v>108803</v>
      </c>
      <c r="X436" s="7" t="s">
        <v>169</v>
      </c>
      <c r="Y436" s="7" t="s">
        <v>170</v>
      </c>
      <c r="AA436" s="7" t="s">
        <v>171</v>
      </c>
      <c r="AB436" s="7" t="s">
        <v>172</v>
      </c>
      <c r="AC436" s="7">
        <v>1130</v>
      </c>
      <c r="AF436" s="7" t="s">
        <v>173</v>
      </c>
      <c r="AG436" s="7" t="s">
        <v>170</v>
      </c>
      <c r="AI436" s="7" t="s">
        <v>174</v>
      </c>
      <c r="AK436" s="7">
        <v>1</v>
      </c>
      <c r="AL436" s="7">
        <v>1</v>
      </c>
      <c r="AM436" s="7">
        <v>9972.14</v>
      </c>
      <c r="AN436" s="7">
        <v>2095.6999999999998</v>
      </c>
      <c r="AP436" s="7">
        <v>3895.37</v>
      </c>
      <c r="AQ436" s="30">
        <v>11771.81</v>
      </c>
      <c r="AS436" s="7">
        <v>277.35000000000002</v>
      </c>
      <c r="AZ436" s="7">
        <v>123.09</v>
      </c>
      <c r="BG436" s="7">
        <v>277.35000000000002</v>
      </c>
      <c r="BO436" s="7">
        <v>138.68</v>
      </c>
      <c r="BP436" s="7">
        <v>5000</v>
      </c>
      <c r="BR436" s="7">
        <v>5816.47</v>
      </c>
      <c r="BS436" s="7">
        <v>3895.3700000000003</v>
      </c>
      <c r="BT436" s="7">
        <f t="shared" si="277"/>
        <v>13867.51</v>
      </c>
      <c r="BU436" s="144">
        <f t="shared" ref="BU436:BU442" si="281">+AZ436/BT436</f>
        <v>8.8761428691956964E-3</v>
      </c>
    </row>
    <row r="437" spans="1:73" ht="11.25" x14ac:dyDescent="0.2">
      <c r="A437" s="133">
        <f t="shared" si="276"/>
        <v>3</v>
      </c>
      <c r="B437" s="141">
        <v>45352</v>
      </c>
      <c r="C437" s="10" t="s">
        <v>102</v>
      </c>
      <c r="D437" s="42" t="str">
        <f t="shared" si="279"/>
        <v>NO</v>
      </c>
      <c r="E437" s="7">
        <v>334769</v>
      </c>
      <c r="F437" s="7" t="s">
        <v>1027</v>
      </c>
      <c r="G437" s="7" t="s">
        <v>1028</v>
      </c>
      <c r="H437" s="7">
        <v>45387</v>
      </c>
      <c r="I437" s="7">
        <v>41456217</v>
      </c>
      <c r="J437" s="7" t="s">
        <v>1029</v>
      </c>
      <c r="K437" s="7" t="s">
        <v>1030</v>
      </c>
      <c r="L437" s="7" t="s">
        <v>179</v>
      </c>
      <c r="N437" s="29">
        <v>45352</v>
      </c>
      <c r="Q437" s="7" t="s">
        <v>157</v>
      </c>
      <c r="R437" s="7" t="s">
        <v>199</v>
      </c>
      <c r="S437" s="7" t="s">
        <v>126</v>
      </c>
      <c r="T437" s="7" t="s">
        <v>200</v>
      </c>
      <c r="U437" s="7" t="s">
        <v>167</v>
      </c>
      <c r="V437" s="7" t="s">
        <v>201</v>
      </c>
      <c r="W437" s="7">
        <v>108803</v>
      </c>
      <c r="X437" s="7" t="s">
        <v>169</v>
      </c>
      <c r="Y437" s="7" t="s">
        <v>170</v>
      </c>
      <c r="AA437" s="7" t="s">
        <v>189</v>
      </c>
      <c r="AB437" s="7" t="s">
        <v>190</v>
      </c>
      <c r="AC437" s="7">
        <v>1584</v>
      </c>
      <c r="AF437" s="7" t="s">
        <v>173</v>
      </c>
      <c r="AG437" s="7" t="s">
        <v>170</v>
      </c>
      <c r="AI437" s="7" t="s">
        <v>174</v>
      </c>
      <c r="AK437" s="7">
        <v>1</v>
      </c>
      <c r="AL437" s="7">
        <v>1</v>
      </c>
      <c r="AM437" s="7">
        <v>12231.34</v>
      </c>
      <c r="AN437" s="7">
        <v>2570.4899999999998</v>
      </c>
      <c r="AP437" s="7">
        <v>4777.87</v>
      </c>
      <c r="AQ437" s="30">
        <v>14438.72</v>
      </c>
      <c r="AS437" s="7">
        <v>340.18</v>
      </c>
      <c r="AZ437" s="7">
        <v>150.97999999999999</v>
      </c>
      <c r="BG437" s="7">
        <v>340.18</v>
      </c>
      <c r="BO437" s="7">
        <v>170.09</v>
      </c>
      <c r="BP437" s="7">
        <v>5000</v>
      </c>
      <c r="BR437" s="7">
        <v>6001.43</v>
      </c>
      <c r="BS437" s="7">
        <v>4777.8700000000008</v>
      </c>
      <c r="BT437" s="7">
        <f t="shared" si="277"/>
        <v>17009.21</v>
      </c>
      <c r="BU437" s="144">
        <f t="shared" si="281"/>
        <v>8.876367567923496E-3</v>
      </c>
    </row>
    <row r="438" spans="1:73" ht="11.25" x14ac:dyDescent="0.2">
      <c r="A438" s="133">
        <f t="shared" si="276"/>
        <v>3</v>
      </c>
      <c r="B438" s="141">
        <v>45352</v>
      </c>
      <c r="C438" s="10" t="s">
        <v>102</v>
      </c>
      <c r="D438" s="42" t="str">
        <f t="shared" si="279"/>
        <v>NO</v>
      </c>
      <c r="E438" s="7">
        <v>250994</v>
      </c>
      <c r="F438" s="7" t="s">
        <v>879</v>
      </c>
      <c r="G438" s="7" t="s">
        <v>880</v>
      </c>
      <c r="H438" s="7">
        <v>45379</v>
      </c>
      <c r="I438" s="7">
        <v>34059151</v>
      </c>
      <c r="J438" s="7" t="s">
        <v>881</v>
      </c>
      <c r="K438" s="7" t="s">
        <v>882</v>
      </c>
      <c r="L438" s="7" t="s">
        <v>164</v>
      </c>
      <c r="N438" s="29">
        <v>45346</v>
      </c>
      <c r="Q438" s="7" t="s">
        <v>157</v>
      </c>
      <c r="R438" s="7" t="s">
        <v>165</v>
      </c>
      <c r="S438" s="7" t="s">
        <v>126</v>
      </c>
      <c r="T438" s="7" t="s">
        <v>166</v>
      </c>
      <c r="U438" s="7" t="s">
        <v>167</v>
      </c>
      <c r="V438" s="7" t="s">
        <v>168</v>
      </c>
      <c r="W438" s="7">
        <v>400503</v>
      </c>
      <c r="X438" s="7" t="s">
        <v>883</v>
      </c>
      <c r="Y438" s="7" t="s">
        <v>170</v>
      </c>
      <c r="AA438" s="7" t="s">
        <v>189</v>
      </c>
      <c r="AB438" s="7" t="s">
        <v>190</v>
      </c>
      <c r="AC438" s="7">
        <v>1584</v>
      </c>
      <c r="AF438" s="7" t="s">
        <v>173</v>
      </c>
      <c r="AG438" s="7" t="s">
        <v>170</v>
      </c>
      <c r="AI438" s="7" t="s">
        <v>174</v>
      </c>
      <c r="AK438" s="7">
        <v>2</v>
      </c>
      <c r="AL438" s="7">
        <v>1</v>
      </c>
      <c r="AM438" s="7">
        <v>84591.05</v>
      </c>
      <c r="AN438" s="7">
        <v>17707.95</v>
      </c>
      <c r="AP438" s="7">
        <v>30613.439999999999</v>
      </c>
      <c r="AQ438" s="30">
        <v>97496.54</v>
      </c>
      <c r="AS438" s="7">
        <v>2304.09</v>
      </c>
      <c r="AZ438" s="7">
        <v>1023.38</v>
      </c>
      <c r="BG438" s="7">
        <v>2304.09</v>
      </c>
      <c r="BO438" s="7">
        <v>1152.04</v>
      </c>
      <c r="BP438" s="7">
        <v>5000</v>
      </c>
      <c r="BR438" s="7">
        <v>11783.6</v>
      </c>
      <c r="BS438" s="7">
        <v>30613.440000000002</v>
      </c>
      <c r="BT438" s="7">
        <f t="shared" si="277"/>
        <v>115204.49</v>
      </c>
      <c r="BU438" s="144">
        <f t="shared" si="281"/>
        <v>8.8831607170866342E-3</v>
      </c>
    </row>
    <row r="439" spans="1:73" ht="11.25" x14ac:dyDescent="0.2">
      <c r="A439" s="133">
        <f t="shared" si="276"/>
        <v>3</v>
      </c>
      <c r="B439" s="141">
        <v>45352</v>
      </c>
      <c r="C439" s="10" t="s">
        <v>102</v>
      </c>
      <c r="D439" s="42" t="str">
        <f t="shared" si="279"/>
        <v>NO</v>
      </c>
      <c r="E439" s="7">
        <v>322096</v>
      </c>
      <c r="F439" s="7" t="s">
        <v>617</v>
      </c>
      <c r="G439" s="7" t="s">
        <v>618</v>
      </c>
      <c r="H439" s="7">
        <v>45387</v>
      </c>
      <c r="I439" s="7">
        <v>33288107</v>
      </c>
      <c r="J439" s="7" t="s">
        <v>619</v>
      </c>
      <c r="K439" s="7" t="s">
        <v>620</v>
      </c>
      <c r="L439" s="7" t="s">
        <v>179</v>
      </c>
      <c r="N439" s="29">
        <v>45213</v>
      </c>
      <c r="Q439" s="7" t="s">
        <v>157</v>
      </c>
      <c r="R439" s="7" t="s">
        <v>354</v>
      </c>
      <c r="S439" s="7" t="s">
        <v>126</v>
      </c>
      <c r="T439" s="7" t="s">
        <v>200</v>
      </c>
      <c r="U439" s="7" t="s">
        <v>167</v>
      </c>
      <c r="V439" s="7" t="s">
        <v>355</v>
      </c>
      <c r="W439" s="7">
        <v>106005</v>
      </c>
      <c r="X439" s="7" t="s">
        <v>588</v>
      </c>
      <c r="Y439" s="7" t="s">
        <v>170</v>
      </c>
      <c r="AA439" s="7" t="s">
        <v>171</v>
      </c>
      <c r="AB439" s="7" t="s">
        <v>172</v>
      </c>
      <c r="AC439" s="7">
        <v>1130</v>
      </c>
      <c r="AF439" s="7" t="s">
        <v>173</v>
      </c>
      <c r="AG439" s="7" t="s">
        <v>170</v>
      </c>
      <c r="AI439" s="7" t="s">
        <v>174</v>
      </c>
      <c r="AK439" s="7">
        <v>3</v>
      </c>
      <c r="AL439" s="7">
        <v>1</v>
      </c>
      <c r="AM439" s="7">
        <v>19857.3</v>
      </c>
      <c r="AN439" s="7">
        <v>4242.38</v>
      </c>
      <c r="AP439" s="7">
        <v>10202.06</v>
      </c>
      <c r="AQ439" s="30">
        <v>25816.98</v>
      </c>
      <c r="AS439" s="7">
        <v>601.17999999999995</v>
      </c>
      <c r="AZ439" s="7">
        <v>265.45999999999998</v>
      </c>
      <c r="BG439" s="7">
        <v>601.17999999999995</v>
      </c>
      <c r="BH439" s="7">
        <v>189.78</v>
      </c>
      <c r="BO439" s="7">
        <v>110.81</v>
      </c>
      <c r="BP439" s="7">
        <v>10000</v>
      </c>
      <c r="BR439" s="7">
        <v>11768.41</v>
      </c>
      <c r="BS439" s="7">
        <v>4949.78</v>
      </c>
      <c r="BT439" s="7">
        <f t="shared" si="277"/>
        <v>24807.079999999998</v>
      </c>
      <c r="BU439" s="144">
        <f t="shared" si="281"/>
        <v>1.0700977301641306E-2</v>
      </c>
    </row>
    <row r="440" spans="1:73" ht="11.25" x14ac:dyDescent="0.2">
      <c r="A440" s="133">
        <f t="shared" si="276"/>
        <v>3</v>
      </c>
      <c r="B440" s="141">
        <v>45352</v>
      </c>
      <c r="C440" s="10" t="s">
        <v>102</v>
      </c>
      <c r="D440" s="42" t="str">
        <f t="shared" si="279"/>
        <v>NO</v>
      </c>
      <c r="E440" s="7">
        <v>341315</v>
      </c>
      <c r="F440" s="7" t="s">
        <v>1031</v>
      </c>
      <c r="G440" s="7" t="s">
        <v>1032</v>
      </c>
      <c r="H440" s="7">
        <v>45387</v>
      </c>
      <c r="I440" s="7">
        <v>44544872</v>
      </c>
      <c r="J440" s="7" t="s">
        <v>1033</v>
      </c>
      <c r="K440" s="7" t="s">
        <v>1034</v>
      </c>
      <c r="L440" s="7" t="s">
        <v>179</v>
      </c>
      <c r="N440" s="29">
        <v>45367</v>
      </c>
      <c r="Q440" s="7" t="s">
        <v>157</v>
      </c>
      <c r="R440" s="7" t="s">
        <v>165</v>
      </c>
      <c r="S440" s="7" t="s">
        <v>126</v>
      </c>
      <c r="T440" s="7" t="s">
        <v>180</v>
      </c>
      <c r="U440" s="7" t="s">
        <v>167</v>
      </c>
      <c r="V440" s="7" t="s">
        <v>324</v>
      </c>
      <c r="W440" s="7">
        <v>108803</v>
      </c>
      <c r="X440" s="7" t="s">
        <v>169</v>
      </c>
      <c r="Y440" s="7" t="s">
        <v>170</v>
      </c>
      <c r="AA440" s="7" t="s">
        <v>171</v>
      </c>
      <c r="AB440" s="7" t="s">
        <v>172</v>
      </c>
      <c r="AC440" s="7">
        <v>1130</v>
      </c>
      <c r="AF440" s="7" t="s">
        <v>173</v>
      </c>
      <c r="AG440" s="7" t="s">
        <v>170</v>
      </c>
      <c r="AI440" s="7" t="s">
        <v>174</v>
      </c>
      <c r="AK440" s="7">
        <v>1</v>
      </c>
      <c r="AL440" s="7">
        <v>1</v>
      </c>
      <c r="AM440" s="7">
        <v>34893.81</v>
      </c>
      <c r="AN440" s="7">
        <v>7295.98</v>
      </c>
      <c r="AP440" s="7">
        <v>12201</v>
      </c>
      <c r="AQ440" s="30">
        <v>39798.83</v>
      </c>
      <c r="AS440" s="7">
        <v>941.9</v>
      </c>
      <c r="AZ440" s="7">
        <v>422.14</v>
      </c>
      <c r="BG440" s="7">
        <v>941.9</v>
      </c>
      <c r="BO440" s="7">
        <v>470.95</v>
      </c>
      <c r="BP440" s="7">
        <v>5000</v>
      </c>
      <c r="BR440" s="7">
        <v>7776.89</v>
      </c>
      <c r="BS440" s="7">
        <v>12201</v>
      </c>
      <c r="BT440" s="7">
        <f t="shared" si="277"/>
        <v>47094.81</v>
      </c>
      <c r="BU440" s="144">
        <f t="shared" si="281"/>
        <v>8.9636204074291844E-3</v>
      </c>
    </row>
    <row r="441" spans="1:73" ht="11.25" x14ac:dyDescent="0.2">
      <c r="A441" s="133">
        <f t="shared" si="276"/>
        <v>3</v>
      </c>
      <c r="B441" s="141">
        <v>45352</v>
      </c>
      <c r="C441" s="10" t="s">
        <v>102</v>
      </c>
      <c r="D441" s="42" t="str">
        <f t="shared" si="279"/>
        <v>SI</v>
      </c>
      <c r="E441" s="7">
        <v>320277</v>
      </c>
      <c r="F441" s="7" t="s">
        <v>625</v>
      </c>
      <c r="G441" s="7" t="s">
        <v>626</v>
      </c>
      <c r="H441" s="7">
        <v>45387</v>
      </c>
      <c r="I441" s="7">
        <v>32359782</v>
      </c>
      <c r="J441" s="7" t="s">
        <v>627</v>
      </c>
      <c r="K441" s="7" t="s">
        <v>628</v>
      </c>
      <c r="L441" s="7" t="s">
        <v>164</v>
      </c>
      <c r="N441" s="29">
        <v>45047</v>
      </c>
      <c r="Q441" s="7" t="s">
        <v>157</v>
      </c>
      <c r="R441" s="7" t="s">
        <v>165</v>
      </c>
      <c r="S441" s="7" t="s">
        <v>126</v>
      </c>
      <c r="T441" s="7" t="s">
        <v>200</v>
      </c>
      <c r="U441" s="7" t="s">
        <v>167</v>
      </c>
      <c r="V441" s="7" t="s">
        <v>207</v>
      </c>
      <c r="W441" s="7">
        <v>108803</v>
      </c>
      <c r="X441" s="7" t="s">
        <v>169</v>
      </c>
      <c r="Y441" s="7" t="s">
        <v>170</v>
      </c>
      <c r="AA441" s="7" t="s">
        <v>171</v>
      </c>
      <c r="AB441" s="7" t="s">
        <v>172</v>
      </c>
      <c r="AC441" s="7">
        <v>1130</v>
      </c>
      <c r="AF441" s="7" t="s">
        <v>173</v>
      </c>
      <c r="AG441" s="7" t="s">
        <v>170</v>
      </c>
      <c r="AI441" s="7" t="s">
        <v>174</v>
      </c>
      <c r="AK441" s="7">
        <v>2</v>
      </c>
      <c r="AL441" s="7">
        <v>1</v>
      </c>
      <c r="AM441" s="7">
        <v>54305.95</v>
      </c>
      <c r="AN441" s="7">
        <v>11962.95</v>
      </c>
      <c r="AP441" s="7">
        <v>28117.98</v>
      </c>
      <c r="AQ441" s="30">
        <v>70460.98</v>
      </c>
      <c r="AR441" s="7">
        <v>2060.6</v>
      </c>
      <c r="AS441" s="7"/>
      <c r="AZ441" s="7">
        <v>670.34</v>
      </c>
      <c r="BG441" s="7">
        <v>1648.47</v>
      </c>
      <c r="BO441" s="7">
        <v>824.24</v>
      </c>
      <c r="BP441" s="7">
        <v>5000</v>
      </c>
      <c r="BR441" s="7">
        <v>10203.65</v>
      </c>
      <c r="BS441" s="7">
        <v>28117.98</v>
      </c>
      <c r="BT441" s="7">
        <f t="shared" si="277"/>
        <v>82423.929999999993</v>
      </c>
      <c r="BU441" s="144">
        <f t="shared" si="281"/>
        <v>8.1328322976106579E-3</v>
      </c>
    </row>
    <row r="442" spans="1:73" ht="11.25" x14ac:dyDescent="0.2">
      <c r="A442" s="133">
        <f t="shared" si="276"/>
        <v>3</v>
      </c>
      <c r="B442" s="141">
        <v>45352</v>
      </c>
      <c r="C442" s="10" t="s">
        <v>102</v>
      </c>
      <c r="D442" s="42" t="str">
        <f t="shared" si="279"/>
        <v>NO</v>
      </c>
      <c r="E442" s="7">
        <v>317848</v>
      </c>
      <c r="F442" s="7" t="s">
        <v>629</v>
      </c>
      <c r="G442" s="7" t="s">
        <v>630</v>
      </c>
      <c r="H442" s="7">
        <v>45387</v>
      </c>
      <c r="I442" s="7">
        <v>95094319</v>
      </c>
      <c r="J442" s="7" t="s">
        <v>631</v>
      </c>
      <c r="K442" s="7" t="s">
        <v>632</v>
      </c>
      <c r="L442" s="7" t="s">
        <v>179</v>
      </c>
      <c r="N442" s="29">
        <v>44982</v>
      </c>
      <c r="Q442" s="7" t="s">
        <v>157</v>
      </c>
      <c r="R442" s="7" t="s">
        <v>165</v>
      </c>
      <c r="S442" s="7" t="s">
        <v>126</v>
      </c>
      <c r="T442" s="7" t="s">
        <v>180</v>
      </c>
      <c r="U442" s="7" t="s">
        <v>167</v>
      </c>
      <c r="V442" s="7" t="s">
        <v>168</v>
      </c>
      <c r="W442" s="7">
        <v>108803</v>
      </c>
      <c r="X442" s="7" t="s">
        <v>169</v>
      </c>
      <c r="Y442" s="7" t="s">
        <v>170</v>
      </c>
      <c r="AA442" s="7" t="s">
        <v>171</v>
      </c>
      <c r="AB442" s="7" t="s">
        <v>172</v>
      </c>
      <c r="AC442" s="7">
        <v>1130</v>
      </c>
      <c r="AF442" s="7" t="s">
        <v>173</v>
      </c>
      <c r="AG442" s="7" t="s">
        <v>170</v>
      </c>
      <c r="AI442" s="7" t="s">
        <v>174</v>
      </c>
      <c r="AK442" s="7">
        <v>2</v>
      </c>
      <c r="AL442" s="7">
        <v>1</v>
      </c>
      <c r="AM442" s="7">
        <v>196505.01</v>
      </c>
      <c r="AN442" s="7">
        <v>41285.699999999997</v>
      </c>
      <c r="AP442" s="7">
        <v>78825.89</v>
      </c>
      <c r="AQ442" s="30">
        <v>234045.2</v>
      </c>
      <c r="AS442" s="7">
        <v>5506.62</v>
      </c>
      <c r="AZ442" s="7">
        <v>2373.23</v>
      </c>
      <c r="BG442" s="7">
        <v>5506.62</v>
      </c>
      <c r="BO442" s="7">
        <v>2753.31</v>
      </c>
      <c r="BP442" s="7">
        <v>5000</v>
      </c>
      <c r="BR442" s="7">
        <v>21139.78</v>
      </c>
      <c r="BS442" s="7">
        <v>78825.89</v>
      </c>
      <c r="BT442" s="7">
        <f t="shared" si="277"/>
        <v>275330.90000000002</v>
      </c>
      <c r="BU442" s="144">
        <f t="shared" si="281"/>
        <v>8.6195555965567251E-3</v>
      </c>
    </row>
    <row r="443" spans="1:73" ht="11.25" hidden="1" x14ac:dyDescent="0.2">
      <c r="A443" s="133">
        <f t="shared" si="276"/>
        <v>3</v>
      </c>
      <c r="B443" s="141">
        <v>45352</v>
      </c>
      <c r="C443" s="10"/>
      <c r="D443" s="42" t="str">
        <f t="shared" si="279"/>
        <v>NO</v>
      </c>
      <c r="E443" s="7">
        <v>335982</v>
      </c>
      <c r="F443" s="7" t="s">
        <v>884</v>
      </c>
      <c r="G443" s="7" t="s">
        <v>885</v>
      </c>
      <c r="H443" s="7">
        <v>45369</v>
      </c>
      <c r="I443" s="7">
        <v>36686837</v>
      </c>
      <c r="J443" s="7" t="s">
        <v>886</v>
      </c>
      <c r="K443" s="7" t="s">
        <v>887</v>
      </c>
      <c r="L443" s="7" t="s">
        <v>179</v>
      </c>
      <c r="N443" s="29">
        <v>45345</v>
      </c>
      <c r="Q443" s="7" t="s">
        <v>157</v>
      </c>
      <c r="R443" s="7" t="s">
        <v>165</v>
      </c>
      <c r="S443" s="7" t="s">
        <v>126</v>
      </c>
      <c r="T443" s="7" t="s">
        <v>200</v>
      </c>
      <c r="U443" s="7" t="s">
        <v>167</v>
      </c>
      <c r="V443" s="7" t="s">
        <v>168</v>
      </c>
      <c r="W443" s="7">
        <v>108803</v>
      </c>
      <c r="X443" s="7" t="s">
        <v>169</v>
      </c>
      <c r="Y443" s="7" t="s">
        <v>170</v>
      </c>
      <c r="AA443" s="7" t="s">
        <v>189</v>
      </c>
      <c r="AB443" s="7" t="s">
        <v>190</v>
      </c>
      <c r="AC443" s="7">
        <v>1584</v>
      </c>
      <c r="AF443" s="7" t="s">
        <v>173</v>
      </c>
      <c r="AG443" s="7" t="s">
        <v>170</v>
      </c>
      <c r="AI443" s="7" t="s">
        <v>174</v>
      </c>
      <c r="AK443" s="7">
        <v>1</v>
      </c>
      <c r="AL443" s="7">
        <v>1</v>
      </c>
      <c r="AN443" s="7">
        <v>11.65</v>
      </c>
      <c r="AP443" s="7">
        <v>582.33000000000004</v>
      </c>
      <c r="AQ443" s="30">
        <v>570.67999999999995</v>
      </c>
      <c r="AS443" s="7">
        <v>11.65</v>
      </c>
      <c r="BG443" s="7">
        <v>11.65</v>
      </c>
      <c r="BO443" s="7">
        <v>5.82</v>
      </c>
      <c r="BR443" s="7">
        <v>29.12</v>
      </c>
      <c r="BS443" s="7">
        <v>582.33000000000004</v>
      </c>
      <c r="BT443" s="7">
        <f t="shared" si="277"/>
        <v>582.33000000000004</v>
      </c>
    </row>
    <row r="444" spans="1:73" ht="11.25" x14ac:dyDescent="0.2">
      <c r="A444" s="133">
        <f t="shared" si="276"/>
        <v>3</v>
      </c>
      <c r="B444" s="141">
        <v>45352</v>
      </c>
      <c r="C444" s="10" t="s">
        <v>102</v>
      </c>
      <c r="D444" s="42" t="str">
        <f t="shared" si="279"/>
        <v>NO</v>
      </c>
      <c r="E444" s="7">
        <v>241428</v>
      </c>
      <c r="F444" s="7" t="s">
        <v>1035</v>
      </c>
      <c r="G444" s="7" t="s">
        <v>1036</v>
      </c>
      <c r="H444" s="7">
        <v>45387</v>
      </c>
      <c r="I444" s="7">
        <v>37933553</v>
      </c>
      <c r="J444" s="7" t="s">
        <v>1037</v>
      </c>
      <c r="K444" s="7" t="s">
        <v>1038</v>
      </c>
      <c r="L444" s="7" t="s">
        <v>179</v>
      </c>
      <c r="N444" s="29">
        <v>45361</v>
      </c>
      <c r="Q444" s="7" t="s">
        <v>157</v>
      </c>
      <c r="R444" s="7" t="s">
        <v>165</v>
      </c>
      <c r="S444" s="7" t="s">
        <v>126</v>
      </c>
      <c r="T444" s="7" t="s">
        <v>180</v>
      </c>
      <c r="U444" s="7" t="s">
        <v>167</v>
      </c>
      <c r="V444" s="7" t="s">
        <v>168</v>
      </c>
      <c r="W444" s="7">
        <v>108803</v>
      </c>
      <c r="X444" s="7" t="s">
        <v>169</v>
      </c>
      <c r="Y444" s="7" t="s">
        <v>170</v>
      </c>
      <c r="AA444" s="7" t="s">
        <v>171</v>
      </c>
      <c r="AB444" s="7" t="s">
        <v>172</v>
      </c>
      <c r="AC444" s="7">
        <v>1130</v>
      </c>
      <c r="AF444" s="7" t="s">
        <v>173</v>
      </c>
      <c r="AG444" s="7" t="s">
        <v>170</v>
      </c>
      <c r="AI444" s="7" t="s">
        <v>174</v>
      </c>
      <c r="AK444" s="7">
        <v>1</v>
      </c>
      <c r="AL444" s="7">
        <v>1</v>
      </c>
      <c r="AM444" s="7">
        <v>126886.57</v>
      </c>
      <c r="AN444" s="7">
        <v>26530.87</v>
      </c>
      <c r="AP444" s="7">
        <v>44367.3</v>
      </c>
      <c r="AQ444" s="30">
        <v>144723</v>
      </c>
      <c r="AS444" s="7">
        <v>3425.08</v>
      </c>
      <c r="AZ444" s="7">
        <v>1535.07</v>
      </c>
      <c r="BG444" s="7">
        <v>3425.08</v>
      </c>
      <c r="BO444" s="7">
        <v>1712.54</v>
      </c>
      <c r="BP444" s="7">
        <v>5000</v>
      </c>
      <c r="BR444" s="7">
        <v>15097.77</v>
      </c>
      <c r="BS444" s="7">
        <v>44367.299999999996</v>
      </c>
      <c r="BT444" s="7">
        <f t="shared" si="277"/>
        <v>171253.87</v>
      </c>
      <c r="BU444" s="144">
        <f t="shared" ref="BU444:BU446" si="282">+AZ444/BT444</f>
        <v>8.9637098420024021E-3</v>
      </c>
    </row>
    <row r="445" spans="1:73" ht="11.25" x14ac:dyDescent="0.2">
      <c r="A445" s="133">
        <f t="shared" si="276"/>
        <v>3</v>
      </c>
      <c r="B445" s="141">
        <v>45352</v>
      </c>
      <c r="C445" s="10" t="s">
        <v>102</v>
      </c>
      <c r="D445" s="42" t="str">
        <f t="shared" si="279"/>
        <v>NO</v>
      </c>
      <c r="E445" s="7">
        <v>301281</v>
      </c>
      <c r="F445" s="7" t="s">
        <v>1039</v>
      </c>
      <c r="G445" s="7" t="s">
        <v>1040</v>
      </c>
      <c r="H445" s="7">
        <v>45387</v>
      </c>
      <c r="I445" s="7">
        <v>43226627</v>
      </c>
      <c r="J445" s="7" t="s">
        <v>1041</v>
      </c>
      <c r="K445" s="7" t="s">
        <v>1042</v>
      </c>
      <c r="L445" s="7" t="s">
        <v>164</v>
      </c>
      <c r="N445" s="29">
        <v>45357</v>
      </c>
      <c r="Q445" s="7" t="s">
        <v>157</v>
      </c>
      <c r="R445" s="7" t="s">
        <v>165</v>
      </c>
      <c r="S445" s="7" t="s">
        <v>126</v>
      </c>
      <c r="T445" s="7" t="s">
        <v>180</v>
      </c>
      <c r="U445" s="7" t="s">
        <v>167</v>
      </c>
      <c r="V445" s="7" t="s">
        <v>168</v>
      </c>
      <c r="W445" s="7">
        <v>108803</v>
      </c>
      <c r="X445" s="7" t="s">
        <v>169</v>
      </c>
      <c r="Y445" s="7" t="s">
        <v>170</v>
      </c>
      <c r="AA445" s="7" t="s">
        <v>171</v>
      </c>
      <c r="AB445" s="7" t="s">
        <v>172</v>
      </c>
      <c r="AC445" s="7">
        <v>1130</v>
      </c>
      <c r="AF445" s="7" t="s">
        <v>173</v>
      </c>
      <c r="AG445" s="7" t="s">
        <v>170</v>
      </c>
      <c r="AI445" s="7" t="s">
        <v>174</v>
      </c>
      <c r="AK445" s="7">
        <v>1</v>
      </c>
      <c r="AL445" s="7">
        <v>1</v>
      </c>
      <c r="AM445" s="7">
        <v>10573.89</v>
      </c>
      <c r="AN445" s="7">
        <v>2210.91</v>
      </c>
      <c r="AP445" s="7">
        <v>3697.28</v>
      </c>
      <c r="AQ445" s="30">
        <v>12060.26</v>
      </c>
      <c r="AS445" s="7">
        <v>285.42</v>
      </c>
      <c r="AZ445" s="7">
        <v>127.92</v>
      </c>
      <c r="BG445" s="7">
        <v>285.42</v>
      </c>
      <c r="BO445" s="7">
        <v>142.71</v>
      </c>
      <c r="BP445" s="7">
        <v>5000</v>
      </c>
      <c r="BR445" s="7">
        <v>5841.47</v>
      </c>
      <c r="BS445" s="7">
        <v>3697.2799999999997</v>
      </c>
      <c r="BT445" s="7">
        <f t="shared" si="277"/>
        <v>14271.169999999998</v>
      </c>
      <c r="BU445" s="144">
        <f t="shared" si="282"/>
        <v>8.9635257655819398E-3</v>
      </c>
    </row>
    <row r="446" spans="1:73" ht="11.25" x14ac:dyDescent="0.2">
      <c r="A446" s="133">
        <f t="shared" si="276"/>
        <v>3</v>
      </c>
      <c r="B446" s="141">
        <v>45352</v>
      </c>
      <c r="C446" s="10" t="s">
        <v>102</v>
      </c>
      <c r="D446" s="42" t="str">
        <f t="shared" si="279"/>
        <v>SI</v>
      </c>
      <c r="E446" s="7">
        <v>296296</v>
      </c>
      <c r="F446" s="7" t="s">
        <v>637</v>
      </c>
      <c r="G446" s="7" t="s">
        <v>638</v>
      </c>
      <c r="H446" s="7">
        <v>45387</v>
      </c>
      <c r="I446" s="7">
        <v>31447548</v>
      </c>
      <c r="J446" s="7" t="s">
        <v>639</v>
      </c>
      <c r="K446" s="7" t="s">
        <v>640</v>
      </c>
      <c r="L446" s="7" t="s">
        <v>179</v>
      </c>
      <c r="N446" s="29">
        <v>44972</v>
      </c>
      <c r="Q446" s="7" t="s">
        <v>157</v>
      </c>
      <c r="R446" s="7" t="s">
        <v>165</v>
      </c>
      <c r="S446" s="7" t="s">
        <v>126</v>
      </c>
      <c r="T446" s="7" t="s">
        <v>180</v>
      </c>
      <c r="U446" s="7" t="s">
        <v>167</v>
      </c>
      <c r="V446" s="7" t="s">
        <v>168</v>
      </c>
      <c r="W446" s="7">
        <v>108803</v>
      </c>
      <c r="X446" s="7" t="s">
        <v>169</v>
      </c>
      <c r="Y446" s="7" t="s">
        <v>170</v>
      </c>
      <c r="AA446" s="7" t="s">
        <v>171</v>
      </c>
      <c r="AB446" s="7" t="s">
        <v>172</v>
      </c>
      <c r="AC446" s="7">
        <v>1130</v>
      </c>
      <c r="AF446" s="7" t="s">
        <v>173</v>
      </c>
      <c r="AG446" s="7" t="s">
        <v>170</v>
      </c>
      <c r="AI446" s="7" t="s">
        <v>174</v>
      </c>
      <c r="AK446" s="7">
        <v>3</v>
      </c>
      <c r="AL446" s="7">
        <v>1</v>
      </c>
      <c r="AM446" s="7">
        <v>131037.94</v>
      </c>
      <c r="AN446" s="7">
        <v>27789.33</v>
      </c>
      <c r="AP446" s="7">
        <v>30761.33</v>
      </c>
      <c r="AQ446" s="30">
        <v>134009.94</v>
      </c>
      <c r="AR446" s="7">
        <v>4044.99</v>
      </c>
      <c r="AS446" s="7"/>
      <c r="AZ446" s="7">
        <v>1467.89</v>
      </c>
      <c r="BG446" s="7">
        <v>3235.98</v>
      </c>
      <c r="BO446" s="7">
        <v>1618</v>
      </c>
      <c r="BP446" s="7">
        <v>5000</v>
      </c>
      <c r="BR446" s="7">
        <v>15366.86</v>
      </c>
      <c r="BS446" s="7">
        <v>30761.33</v>
      </c>
      <c r="BT446" s="7">
        <f t="shared" si="277"/>
        <v>161799.27000000002</v>
      </c>
      <c r="BU446" s="144">
        <f t="shared" si="282"/>
        <v>9.0722906228192495E-3</v>
      </c>
    </row>
    <row r="447" spans="1:73" ht="11.25" hidden="1" x14ac:dyDescent="0.2">
      <c r="A447" s="133">
        <f t="shared" si="276"/>
        <v>3</v>
      </c>
      <c r="B447" s="141">
        <v>45352</v>
      </c>
      <c r="C447" s="10"/>
      <c r="D447" s="42" t="str">
        <f t="shared" si="279"/>
        <v>NO</v>
      </c>
      <c r="E447" s="7">
        <v>335924</v>
      </c>
      <c r="F447" s="7" t="s">
        <v>641</v>
      </c>
      <c r="G447" s="7" t="s">
        <v>642</v>
      </c>
      <c r="H447" s="7">
        <v>45369</v>
      </c>
      <c r="I447" s="7">
        <v>43799620</v>
      </c>
      <c r="J447" s="7" t="s">
        <v>643</v>
      </c>
      <c r="K447" s="7" t="s">
        <v>644</v>
      </c>
      <c r="L447" s="7" t="s">
        <v>179</v>
      </c>
      <c r="N447" s="29">
        <v>45300</v>
      </c>
      <c r="Q447" s="7" t="s">
        <v>157</v>
      </c>
      <c r="R447" s="7" t="s">
        <v>238</v>
      </c>
      <c r="S447" s="7" t="s">
        <v>126</v>
      </c>
      <c r="T447" s="7" t="s">
        <v>206</v>
      </c>
      <c r="U447" s="7" t="s">
        <v>167</v>
      </c>
      <c r="V447" s="7" t="s">
        <v>240</v>
      </c>
      <c r="W447" s="7">
        <v>108803</v>
      </c>
      <c r="X447" s="7" t="s">
        <v>169</v>
      </c>
      <c r="Y447" s="7" t="s">
        <v>170</v>
      </c>
      <c r="AA447" s="7" t="s">
        <v>208</v>
      </c>
      <c r="AB447" s="7" t="s">
        <v>209</v>
      </c>
      <c r="AC447" s="7">
        <v>1035</v>
      </c>
      <c r="AF447" s="7" t="s">
        <v>173</v>
      </c>
      <c r="AG447" s="7" t="s">
        <v>170</v>
      </c>
      <c r="AI447" s="7" t="s">
        <v>174</v>
      </c>
      <c r="AK447" s="7">
        <v>1</v>
      </c>
      <c r="AL447" s="7">
        <v>1</v>
      </c>
      <c r="AN447" s="7">
        <v>47.56</v>
      </c>
      <c r="AP447" s="7">
        <v>2377.9</v>
      </c>
      <c r="AQ447" s="30">
        <v>2330.34</v>
      </c>
      <c r="AS447" s="7">
        <v>47.56</v>
      </c>
      <c r="BG447" s="7">
        <v>47.56</v>
      </c>
      <c r="BO447" s="7">
        <v>23.78</v>
      </c>
      <c r="BR447" s="7">
        <v>118.9</v>
      </c>
      <c r="BS447" s="7">
        <v>2377.9</v>
      </c>
      <c r="BT447" s="7">
        <f t="shared" si="277"/>
        <v>2377.9</v>
      </c>
    </row>
    <row r="448" spans="1:73" ht="11.25" x14ac:dyDescent="0.2">
      <c r="A448" s="133">
        <f t="shared" si="276"/>
        <v>3</v>
      </c>
      <c r="B448" s="141">
        <v>45352</v>
      </c>
      <c r="C448" s="10" t="s">
        <v>102</v>
      </c>
      <c r="D448" s="42" t="str">
        <f t="shared" si="279"/>
        <v>NO</v>
      </c>
      <c r="E448" s="7">
        <v>341386</v>
      </c>
      <c r="F448" s="7" t="s">
        <v>1043</v>
      </c>
      <c r="G448" s="7" t="s">
        <v>1044</v>
      </c>
      <c r="H448" s="7">
        <v>45387</v>
      </c>
      <c r="I448" s="7">
        <v>31563837</v>
      </c>
      <c r="J448" s="7" t="s">
        <v>1045</v>
      </c>
      <c r="K448" s="7" t="s">
        <v>1046</v>
      </c>
      <c r="L448" s="7" t="s">
        <v>179</v>
      </c>
      <c r="N448" s="29">
        <v>45374</v>
      </c>
      <c r="Q448" s="7" t="s">
        <v>157</v>
      </c>
      <c r="R448" s="7" t="s">
        <v>165</v>
      </c>
      <c r="S448" s="7" t="s">
        <v>126</v>
      </c>
      <c r="T448" s="7" t="s">
        <v>206</v>
      </c>
      <c r="U448" s="7" t="s">
        <v>167</v>
      </c>
      <c r="V448" s="7" t="s">
        <v>207</v>
      </c>
      <c r="W448" s="7">
        <v>108803</v>
      </c>
      <c r="X448" s="7" t="s">
        <v>169</v>
      </c>
      <c r="Y448" s="7" t="s">
        <v>170</v>
      </c>
      <c r="AA448" s="7" t="s">
        <v>208</v>
      </c>
      <c r="AB448" s="7" t="s">
        <v>209</v>
      </c>
      <c r="AC448" s="7">
        <v>1035</v>
      </c>
      <c r="AF448" s="7" t="s">
        <v>173</v>
      </c>
      <c r="AG448" s="7" t="s">
        <v>170</v>
      </c>
      <c r="AI448" s="7" t="s">
        <v>174</v>
      </c>
      <c r="AK448" s="7">
        <v>1</v>
      </c>
      <c r="AL448" s="7">
        <v>1</v>
      </c>
      <c r="AM448" s="7">
        <v>8518.58</v>
      </c>
      <c r="AN448" s="7">
        <v>1790.23</v>
      </c>
      <c r="AP448" s="7">
        <v>3327.57</v>
      </c>
      <c r="AQ448" s="30">
        <v>10055.92</v>
      </c>
      <c r="AS448" s="7">
        <v>236.92</v>
      </c>
      <c r="AZ448" s="7">
        <v>105.15</v>
      </c>
      <c r="BG448" s="7">
        <v>236.92</v>
      </c>
      <c r="BO448" s="7">
        <v>118.46</v>
      </c>
      <c r="BP448" s="7">
        <v>5000</v>
      </c>
      <c r="BR448" s="7">
        <v>5697.45</v>
      </c>
      <c r="BS448" s="7">
        <v>3327.5699999999997</v>
      </c>
      <c r="BT448" s="7">
        <f t="shared" si="277"/>
        <v>11846.15</v>
      </c>
      <c r="BU448" s="144">
        <f t="shared" ref="BU448:BU453" si="283">+AZ448/BT448</f>
        <v>8.8763015832148007E-3</v>
      </c>
    </row>
    <row r="449" spans="1:73" ht="11.25" x14ac:dyDescent="0.2">
      <c r="A449" s="133">
        <f t="shared" si="276"/>
        <v>3</v>
      </c>
      <c r="B449" s="141">
        <v>45352</v>
      </c>
      <c r="C449" s="10" t="s">
        <v>102</v>
      </c>
      <c r="D449" s="42" t="str">
        <f t="shared" si="279"/>
        <v>NO</v>
      </c>
      <c r="E449" s="7">
        <v>323693</v>
      </c>
      <c r="F449" s="7" t="s">
        <v>645</v>
      </c>
      <c r="G449" s="7" t="s">
        <v>646</v>
      </c>
      <c r="H449" s="7">
        <v>45387</v>
      </c>
      <c r="I449" s="7">
        <v>43498449</v>
      </c>
      <c r="J449" s="7" t="s">
        <v>647</v>
      </c>
      <c r="K449" s="7" t="s">
        <v>648</v>
      </c>
      <c r="L449" s="7" t="s">
        <v>179</v>
      </c>
      <c r="N449" s="29">
        <v>45248</v>
      </c>
      <c r="Q449" s="7" t="s">
        <v>157</v>
      </c>
      <c r="R449" s="7" t="s">
        <v>165</v>
      </c>
      <c r="S449" s="7" t="s">
        <v>126</v>
      </c>
      <c r="T449" s="7" t="s">
        <v>239</v>
      </c>
      <c r="U449" s="7" t="s">
        <v>167</v>
      </c>
      <c r="V449" s="7" t="s">
        <v>168</v>
      </c>
      <c r="W449" s="7">
        <v>108803</v>
      </c>
      <c r="X449" s="7" t="s">
        <v>169</v>
      </c>
      <c r="Y449" s="7" t="s">
        <v>170</v>
      </c>
      <c r="AA449" s="7" t="s">
        <v>171</v>
      </c>
      <c r="AB449" s="7" t="s">
        <v>172</v>
      </c>
      <c r="AC449" s="7">
        <v>1130</v>
      </c>
      <c r="AF449" s="7" t="s">
        <v>173</v>
      </c>
      <c r="AG449" s="7" t="s">
        <v>170</v>
      </c>
      <c r="AI449" s="7" t="s">
        <v>174</v>
      </c>
      <c r="AK449" s="7">
        <v>7</v>
      </c>
      <c r="AL449" s="7">
        <v>1</v>
      </c>
      <c r="AM449" s="7">
        <v>382895</v>
      </c>
      <c r="AN449" s="7">
        <v>80678.570000000007</v>
      </c>
      <c r="AP449" s="7">
        <v>160926.24</v>
      </c>
      <c r="AQ449" s="30">
        <v>463142.67</v>
      </c>
      <c r="AS449" s="7">
        <v>10876.43</v>
      </c>
      <c r="AZ449" s="7">
        <v>4709.99</v>
      </c>
      <c r="BG449" s="7">
        <v>10876.43</v>
      </c>
      <c r="BO449" s="7">
        <v>5438.2</v>
      </c>
      <c r="BP449" s="7">
        <v>10000</v>
      </c>
      <c r="BR449" s="7">
        <v>41901.050000000003</v>
      </c>
      <c r="BS449" s="7">
        <v>160926.24</v>
      </c>
      <c r="BT449" s="7">
        <f t="shared" si="277"/>
        <v>543821.24</v>
      </c>
      <c r="BU449" s="144">
        <f t="shared" si="283"/>
        <v>8.6609158553645309E-3</v>
      </c>
    </row>
    <row r="450" spans="1:73" ht="11.25" x14ac:dyDescent="0.2">
      <c r="A450" s="133">
        <f t="shared" si="276"/>
        <v>3</v>
      </c>
      <c r="B450" s="141">
        <v>45352</v>
      </c>
      <c r="C450" s="10" t="s">
        <v>102</v>
      </c>
      <c r="D450" s="42" t="str">
        <f t="shared" si="279"/>
        <v>NO</v>
      </c>
      <c r="E450" s="7">
        <v>318789</v>
      </c>
      <c r="F450" s="7" t="s">
        <v>656</v>
      </c>
      <c r="G450" s="7" t="s">
        <v>657</v>
      </c>
      <c r="H450" s="7">
        <v>45379</v>
      </c>
      <c r="I450" s="7">
        <v>44080028</v>
      </c>
      <c r="J450" s="7" t="s">
        <v>651</v>
      </c>
      <c r="K450" s="7" t="s">
        <v>658</v>
      </c>
      <c r="L450" s="7" t="s">
        <v>164</v>
      </c>
      <c r="N450" s="29">
        <v>45008</v>
      </c>
      <c r="O450" s="29">
        <v>45376</v>
      </c>
      <c r="P450" s="29">
        <v>45376</v>
      </c>
      <c r="Q450" s="7" t="s">
        <v>157</v>
      </c>
      <c r="R450" s="7" t="s">
        <v>165</v>
      </c>
      <c r="S450" s="7" t="s">
        <v>126</v>
      </c>
      <c r="T450" s="7" t="s">
        <v>166</v>
      </c>
      <c r="U450" s="7" t="s">
        <v>167</v>
      </c>
      <c r="V450" s="7" t="s">
        <v>168</v>
      </c>
      <c r="W450" s="7">
        <v>108803</v>
      </c>
      <c r="X450" s="7" t="s">
        <v>169</v>
      </c>
      <c r="Y450" s="7" t="s">
        <v>170</v>
      </c>
      <c r="AA450" s="7" t="s">
        <v>171</v>
      </c>
      <c r="AB450" s="7" t="s">
        <v>172</v>
      </c>
      <c r="AC450" s="7">
        <v>1130</v>
      </c>
      <c r="AF450" s="7" t="s">
        <v>173</v>
      </c>
      <c r="AG450" s="7" t="s">
        <v>170</v>
      </c>
      <c r="AI450" s="7" t="s">
        <v>174</v>
      </c>
      <c r="AK450" s="7">
        <v>2</v>
      </c>
      <c r="AL450" s="7">
        <v>1</v>
      </c>
      <c r="AM450" s="7">
        <v>232815.73</v>
      </c>
      <c r="AN450" s="7">
        <v>49003.35</v>
      </c>
      <c r="AP450" s="7">
        <v>97829.9</v>
      </c>
      <c r="AQ450" s="30">
        <v>281642.28000000003</v>
      </c>
      <c r="AS450" s="7">
        <v>6612.92</v>
      </c>
      <c r="AZ450" s="7">
        <v>2811.76</v>
      </c>
      <c r="BG450" s="7">
        <v>6612.92</v>
      </c>
      <c r="BO450" s="7">
        <v>3306.45</v>
      </c>
      <c r="BP450" s="7">
        <v>5000</v>
      </c>
      <c r="BR450" s="7">
        <v>24344.05</v>
      </c>
      <c r="BS450" s="7">
        <v>97829.9</v>
      </c>
      <c r="BT450" s="7">
        <f t="shared" si="277"/>
        <v>330645.63</v>
      </c>
      <c r="BU450" s="144">
        <f t="shared" si="283"/>
        <v>8.5038474574728237E-3</v>
      </c>
    </row>
    <row r="451" spans="1:73" ht="11.25" x14ac:dyDescent="0.2">
      <c r="A451" s="133">
        <f t="shared" si="276"/>
        <v>3</v>
      </c>
      <c r="B451" s="141">
        <v>45352</v>
      </c>
      <c r="C451" s="10" t="s">
        <v>102</v>
      </c>
      <c r="D451" s="42" t="str">
        <f t="shared" si="279"/>
        <v>NO</v>
      </c>
      <c r="E451" s="7">
        <v>341485</v>
      </c>
      <c r="F451" s="7" t="s">
        <v>1047</v>
      </c>
      <c r="G451" s="7" t="s">
        <v>1048</v>
      </c>
      <c r="H451" s="7">
        <v>45387</v>
      </c>
      <c r="I451" s="7">
        <v>36214675</v>
      </c>
      <c r="J451" s="7" t="s">
        <v>651</v>
      </c>
      <c r="K451" s="7" t="s">
        <v>1049</v>
      </c>
      <c r="L451" s="7" t="s">
        <v>179</v>
      </c>
      <c r="N451" s="29">
        <v>45374</v>
      </c>
      <c r="Q451" s="7" t="s">
        <v>157</v>
      </c>
      <c r="R451" s="7" t="s">
        <v>199</v>
      </c>
      <c r="S451" s="7" t="s">
        <v>126</v>
      </c>
      <c r="T451" s="7" t="s">
        <v>239</v>
      </c>
      <c r="U451" s="7" t="s">
        <v>167</v>
      </c>
      <c r="V451" s="7" t="s">
        <v>201</v>
      </c>
      <c r="W451" s="7">
        <v>108803</v>
      </c>
      <c r="X451" s="7" t="s">
        <v>169</v>
      </c>
      <c r="Y451" s="7" t="s">
        <v>170</v>
      </c>
      <c r="AA451" s="7" t="s">
        <v>171</v>
      </c>
      <c r="AB451" s="7" t="s">
        <v>172</v>
      </c>
      <c r="AC451" s="7">
        <v>1130</v>
      </c>
      <c r="AF451" s="7" t="s">
        <v>173</v>
      </c>
      <c r="AG451" s="7" t="s">
        <v>170</v>
      </c>
      <c r="AI451" s="7" t="s">
        <v>174</v>
      </c>
      <c r="AK451" s="7">
        <v>1</v>
      </c>
      <c r="AL451" s="7">
        <v>1</v>
      </c>
      <c r="AM451" s="7">
        <v>13978.68</v>
      </c>
      <c r="AN451" s="7">
        <v>2937.7</v>
      </c>
      <c r="AP451" s="7">
        <v>5460.42</v>
      </c>
      <c r="AQ451" s="30">
        <v>16501.400000000001</v>
      </c>
      <c r="AS451" s="7">
        <v>388.78</v>
      </c>
      <c r="AZ451" s="7">
        <v>172.55</v>
      </c>
      <c r="BG451" s="7">
        <v>388.78</v>
      </c>
      <c r="BO451" s="7">
        <v>194.39</v>
      </c>
      <c r="BP451" s="7">
        <v>5000</v>
      </c>
      <c r="BR451" s="7">
        <v>6144.5</v>
      </c>
      <c r="BS451" s="7">
        <v>5460.42</v>
      </c>
      <c r="BT451" s="7">
        <f t="shared" si="277"/>
        <v>19439.099999999999</v>
      </c>
      <c r="BU451" s="144">
        <f t="shared" si="283"/>
        <v>8.8764397528692182E-3</v>
      </c>
    </row>
    <row r="452" spans="1:73" ht="11.25" x14ac:dyDescent="0.2">
      <c r="A452" s="133">
        <f t="shared" si="276"/>
        <v>3</v>
      </c>
      <c r="B452" s="141">
        <v>45352</v>
      </c>
      <c r="C452" s="10" t="s">
        <v>102</v>
      </c>
      <c r="D452" s="42" t="str">
        <f t="shared" si="279"/>
        <v>NO</v>
      </c>
      <c r="E452" s="7">
        <v>333526</v>
      </c>
      <c r="F452" s="7" t="s">
        <v>659</v>
      </c>
      <c r="G452" s="7" t="s">
        <v>660</v>
      </c>
      <c r="H452" s="7">
        <v>45387</v>
      </c>
      <c r="I452" s="7">
        <v>40756225</v>
      </c>
      <c r="J452" s="7" t="s">
        <v>661</v>
      </c>
      <c r="K452" s="7" t="s">
        <v>662</v>
      </c>
      <c r="L452" s="7" t="s">
        <v>179</v>
      </c>
      <c r="N452" s="29">
        <v>45342</v>
      </c>
      <c r="Q452" s="7" t="s">
        <v>157</v>
      </c>
      <c r="R452" s="7" t="s">
        <v>238</v>
      </c>
      <c r="S452" s="7" t="s">
        <v>126</v>
      </c>
      <c r="T452" s="7" t="s">
        <v>200</v>
      </c>
      <c r="U452" s="7" t="s">
        <v>167</v>
      </c>
      <c r="V452" s="7" t="s">
        <v>240</v>
      </c>
      <c r="W452" s="7">
        <v>110404</v>
      </c>
      <c r="X452" s="7" t="s">
        <v>888</v>
      </c>
      <c r="Y452" s="7" t="s">
        <v>170</v>
      </c>
      <c r="AA452" s="7" t="s">
        <v>189</v>
      </c>
      <c r="AB452" s="7" t="s">
        <v>190</v>
      </c>
      <c r="AC452" s="7">
        <v>1584</v>
      </c>
      <c r="AF452" s="7" t="s">
        <v>173</v>
      </c>
      <c r="AG452" s="7" t="s">
        <v>170</v>
      </c>
      <c r="AI452" s="7" t="s">
        <v>174</v>
      </c>
      <c r="AK452" s="7">
        <v>3</v>
      </c>
      <c r="AL452" s="7">
        <v>1</v>
      </c>
      <c r="AM452" s="7">
        <v>101502.78</v>
      </c>
      <c r="AN452" s="7">
        <v>21432.38</v>
      </c>
      <c r="AP452" s="7">
        <v>44646.68</v>
      </c>
      <c r="AQ452" s="30">
        <v>124717.08</v>
      </c>
      <c r="AS452" s="7">
        <v>2922.99</v>
      </c>
      <c r="AZ452" s="7">
        <v>1253.93</v>
      </c>
      <c r="BG452" s="7">
        <v>2922.99</v>
      </c>
      <c r="BO452" s="7">
        <v>1461.49</v>
      </c>
      <c r="BP452" s="7">
        <v>10000</v>
      </c>
      <c r="BR452" s="7">
        <v>18561.400000000001</v>
      </c>
      <c r="BS452" s="7">
        <v>44646.679999999993</v>
      </c>
      <c r="BT452" s="7">
        <f t="shared" si="277"/>
        <v>146149.46</v>
      </c>
      <c r="BU452" s="144">
        <f t="shared" si="283"/>
        <v>8.5797785363011265E-3</v>
      </c>
    </row>
    <row r="453" spans="1:73" ht="11.25" x14ac:dyDescent="0.2">
      <c r="A453" s="133">
        <f t="shared" si="276"/>
        <v>3</v>
      </c>
      <c r="B453" s="141">
        <v>45352</v>
      </c>
      <c r="C453" s="10" t="s">
        <v>102</v>
      </c>
      <c r="D453" s="42" t="str">
        <f t="shared" si="279"/>
        <v>NO</v>
      </c>
      <c r="E453" s="7">
        <v>311044</v>
      </c>
      <c r="F453" s="7" t="s">
        <v>664</v>
      </c>
      <c r="G453" s="7" t="s">
        <v>665</v>
      </c>
      <c r="H453" s="7">
        <v>45387</v>
      </c>
      <c r="I453" s="7">
        <v>43869056</v>
      </c>
      <c r="J453" s="7" t="s">
        <v>666</v>
      </c>
      <c r="K453" s="7" t="s">
        <v>667</v>
      </c>
      <c r="L453" s="7" t="s">
        <v>179</v>
      </c>
      <c r="N453" s="29">
        <v>44876</v>
      </c>
      <c r="Q453" s="7" t="s">
        <v>157</v>
      </c>
      <c r="R453" s="7" t="s">
        <v>199</v>
      </c>
      <c r="S453" s="7" t="s">
        <v>126</v>
      </c>
      <c r="T453" s="7" t="s">
        <v>239</v>
      </c>
      <c r="U453" s="7" t="s">
        <v>167</v>
      </c>
      <c r="V453" s="7" t="s">
        <v>201</v>
      </c>
      <c r="W453" s="7">
        <v>108803</v>
      </c>
      <c r="X453" s="7" t="s">
        <v>169</v>
      </c>
      <c r="Y453" s="7" t="s">
        <v>170</v>
      </c>
      <c r="AA453" s="7" t="s">
        <v>171</v>
      </c>
      <c r="AB453" s="7" t="s">
        <v>172</v>
      </c>
      <c r="AC453" s="7">
        <v>1130</v>
      </c>
      <c r="AF453" s="7" t="s">
        <v>173</v>
      </c>
      <c r="AG453" s="7" t="s">
        <v>170</v>
      </c>
      <c r="AI453" s="7" t="s">
        <v>174</v>
      </c>
      <c r="AK453" s="7">
        <v>2</v>
      </c>
      <c r="AL453" s="7">
        <v>1</v>
      </c>
      <c r="AM453" s="7">
        <v>81181.16</v>
      </c>
      <c r="AN453" s="7">
        <v>17074.400000000001</v>
      </c>
      <c r="AP453" s="7">
        <v>32489.5</v>
      </c>
      <c r="AQ453" s="30">
        <v>96596.26</v>
      </c>
      <c r="AS453" s="7">
        <v>2273.41</v>
      </c>
      <c r="AZ453" s="7">
        <v>1000.2</v>
      </c>
      <c r="BG453" s="7">
        <v>2273.41</v>
      </c>
      <c r="BO453" s="7">
        <v>1136.71</v>
      </c>
      <c r="BP453" s="7">
        <v>5000</v>
      </c>
      <c r="BR453" s="7">
        <v>11683.73</v>
      </c>
      <c r="BS453" s="7">
        <v>32489.499999999996</v>
      </c>
      <c r="BT453" s="7">
        <f t="shared" si="277"/>
        <v>113670.66</v>
      </c>
      <c r="BU453" s="144">
        <f t="shared" si="283"/>
        <v>8.7991043599113441E-3</v>
      </c>
    </row>
    <row r="454" spans="1:73" ht="11.25" hidden="1" x14ac:dyDescent="0.2">
      <c r="A454" s="133">
        <f t="shared" si="276"/>
        <v>3</v>
      </c>
      <c r="B454" s="141">
        <v>45352</v>
      </c>
      <c r="C454" s="10"/>
      <c r="D454" s="42" t="str">
        <f t="shared" si="279"/>
        <v>NO</v>
      </c>
      <c r="E454" s="7">
        <v>339534</v>
      </c>
      <c r="F454" s="7" t="s">
        <v>889</v>
      </c>
      <c r="G454" s="7" t="s">
        <v>890</v>
      </c>
      <c r="H454" s="7">
        <v>45369</v>
      </c>
      <c r="I454" s="7">
        <v>44789588</v>
      </c>
      <c r="J454" s="7" t="s">
        <v>666</v>
      </c>
      <c r="K454" s="7" t="s">
        <v>891</v>
      </c>
      <c r="L454" s="7" t="s">
        <v>179</v>
      </c>
      <c r="N454" s="29">
        <v>45333</v>
      </c>
      <c r="Q454" s="7" t="s">
        <v>157</v>
      </c>
      <c r="R454" s="7" t="s">
        <v>199</v>
      </c>
      <c r="S454" s="7" t="s">
        <v>126</v>
      </c>
      <c r="T454" s="7" t="s">
        <v>200</v>
      </c>
      <c r="U454" s="7" t="s">
        <v>167</v>
      </c>
      <c r="V454" s="7" t="s">
        <v>892</v>
      </c>
      <c r="W454" s="7">
        <v>108803</v>
      </c>
      <c r="X454" s="7" t="s">
        <v>169</v>
      </c>
      <c r="Y454" s="7" t="s">
        <v>170</v>
      </c>
      <c r="AA454" s="7" t="s">
        <v>189</v>
      </c>
      <c r="AB454" s="7" t="s">
        <v>190</v>
      </c>
      <c r="AC454" s="7">
        <v>1584</v>
      </c>
      <c r="AF454" s="7" t="s">
        <v>173</v>
      </c>
      <c r="AG454" s="7" t="s">
        <v>170</v>
      </c>
      <c r="AI454" s="7" t="s">
        <v>174</v>
      </c>
      <c r="AK454" s="7">
        <v>1</v>
      </c>
      <c r="AL454" s="7">
        <v>1</v>
      </c>
      <c r="AN454" s="7">
        <v>13.65</v>
      </c>
      <c r="AP454" s="7">
        <v>682.55</v>
      </c>
      <c r="AQ454" s="30">
        <v>668.9</v>
      </c>
      <c r="AS454" s="7">
        <v>13.65</v>
      </c>
      <c r="BG454" s="7">
        <v>13.65</v>
      </c>
      <c r="BO454" s="7">
        <v>6.83</v>
      </c>
      <c r="BR454" s="7">
        <v>34.130000000000003</v>
      </c>
      <c r="BS454" s="7">
        <v>682.55</v>
      </c>
      <c r="BT454" s="7">
        <f t="shared" si="277"/>
        <v>682.55</v>
      </c>
    </row>
    <row r="455" spans="1:73" ht="11.25" x14ac:dyDescent="0.2">
      <c r="A455" s="133">
        <f t="shared" si="276"/>
        <v>3</v>
      </c>
      <c r="B455" s="141">
        <v>45352</v>
      </c>
      <c r="C455" s="10" t="s">
        <v>102</v>
      </c>
      <c r="D455" s="42" t="str">
        <f t="shared" si="279"/>
        <v>NO</v>
      </c>
      <c r="E455" s="7">
        <v>320490</v>
      </c>
      <c r="F455" s="7" t="s">
        <v>1050</v>
      </c>
      <c r="G455" s="7" t="s">
        <v>1051</v>
      </c>
      <c r="H455" s="7">
        <v>45387</v>
      </c>
      <c r="I455" s="7">
        <v>30852742</v>
      </c>
      <c r="J455" s="7" t="s">
        <v>1052</v>
      </c>
      <c r="K455" s="7" t="s">
        <v>1053</v>
      </c>
      <c r="L455" s="7" t="s">
        <v>179</v>
      </c>
      <c r="N455" s="29">
        <v>45374</v>
      </c>
      <c r="Q455" s="7" t="s">
        <v>157</v>
      </c>
      <c r="R455" s="7" t="s">
        <v>199</v>
      </c>
      <c r="S455" s="7" t="s">
        <v>126</v>
      </c>
      <c r="T455" s="7" t="s">
        <v>200</v>
      </c>
      <c r="U455" s="7" t="s">
        <v>167</v>
      </c>
      <c r="V455" s="7" t="s">
        <v>201</v>
      </c>
      <c r="W455" s="7">
        <v>108803</v>
      </c>
      <c r="X455" s="7" t="s">
        <v>169</v>
      </c>
      <c r="Y455" s="7" t="s">
        <v>170</v>
      </c>
      <c r="AA455" s="7" t="s">
        <v>189</v>
      </c>
      <c r="AB455" s="7" t="s">
        <v>190</v>
      </c>
      <c r="AC455" s="7">
        <v>1584</v>
      </c>
      <c r="AF455" s="7" t="s">
        <v>173</v>
      </c>
      <c r="AG455" s="7" t="s">
        <v>170</v>
      </c>
      <c r="AI455" s="7" t="s">
        <v>174</v>
      </c>
      <c r="AK455" s="7">
        <v>2</v>
      </c>
      <c r="AL455" s="7">
        <v>1</v>
      </c>
      <c r="AM455" s="7">
        <v>170365.12</v>
      </c>
      <c r="AN455" s="7">
        <v>35803.300000000003</v>
      </c>
      <c r="AP455" s="7">
        <v>66548.88</v>
      </c>
      <c r="AQ455" s="30">
        <v>201110.7</v>
      </c>
      <c r="AS455" s="7">
        <v>4738.28</v>
      </c>
      <c r="AZ455" s="7">
        <v>2102.9499999999998</v>
      </c>
      <c r="BG455" s="7">
        <v>4738.28</v>
      </c>
      <c r="BO455" s="7">
        <v>2369.14</v>
      </c>
      <c r="BP455" s="7">
        <v>5000</v>
      </c>
      <c r="BR455" s="7">
        <v>18948.650000000001</v>
      </c>
      <c r="BS455" s="7">
        <v>66548.88</v>
      </c>
      <c r="BT455" s="7">
        <f t="shared" si="277"/>
        <v>236914</v>
      </c>
      <c r="BU455" s="144">
        <f t="shared" ref="BU455:BU456" si="284">+AZ455/BT455</f>
        <v>8.8764277332702996E-3</v>
      </c>
    </row>
    <row r="456" spans="1:73" ht="11.25" x14ac:dyDescent="0.2">
      <c r="A456" s="133">
        <f t="shared" si="276"/>
        <v>3</v>
      </c>
      <c r="B456" s="141">
        <v>45352</v>
      </c>
      <c r="C456" s="10" t="s">
        <v>102</v>
      </c>
      <c r="D456" s="42" t="str">
        <f t="shared" si="279"/>
        <v>NO</v>
      </c>
      <c r="E456" s="7">
        <v>327599</v>
      </c>
      <c r="F456" s="7" t="s">
        <v>676</v>
      </c>
      <c r="G456" s="7" t="s">
        <v>677</v>
      </c>
      <c r="H456" s="7">
        <v>45387</v>
      </c>
      <c r="I456" s="7">
        <v>39031373</v>
      </c>
      <c r="J456" s="7" t="s">
        <v>678</v>
      </c>
      <c r="K456" s="7" t="s">
        <v>679</v>
      </c>
      <c r="L456" s="7" t="s">
        <v>164</v>
      </c>
      <c r="N456" s="29">
        <v>45360</v>
      </c>
      <c r="Q456" s="7" t="s">
        <v>157</v>
      </c>
      <c r="R456" s="7" t="s">
        <v>165</v>
      </c>
      <c r="S456" s="7" t="s">
        <v>126</v>
      </c>
      <c r="T456" s="7" t="s">
        <v>180</v>
      </c>
      <c r="U456" s="7" t="s">
        <v>167</v>
      </c>
      <c r="V456" s="7" t="s">
        <v>324</v>
      </c>
      <c r="W456" s="7">
        <v>108803</v>
      </c>
      <c r="X456" s="7" t="s">
        <v>169</v>
      </c>
      <c r="Y456" s="7" t="s">
        <v>170</v>
      </c>
      <c r="AA456" s="7" t="s">
        <v>171</v>
      </c>
      <c r="AB456" s="7" t="s">
        <v>172</v>
      </c>
      <c r="AC456" s="7">
        <v>1130</v>
      </c>
      <c r="AF456" s="7" t="s">
        <v>173</v>
      </c>
      <c r="AG456" s="7" t="s">
        <v>170</v>
      </c>
      <c r="AI456" s="7" t="s">
        <v>174</v>
      </c>
      <c r="AK456" s="7">
        <v>1</v>
      </c>
      <c r="AL456" s="7">
        <v>1</v>
      </c>
      <c r="AM456" s="7">
        <v>49697.24</v>
      </c>
      <c r="AN456" s="7">
        <v>10391.27</v>
      </c>
      <c r="AP456" s="7">
        <v>17377.2</v>
      </c>
      <c r="AQ456" s="30">
        <v>56683.17</v>
      </c>
      <c r="AS456" s="7">
        <v>1341.49</v>
      </c>
      <c r="AZ456" s="7">
        <v>601.24</v>
      </c>
      <c r="BG456" s="7">
        <v>1341.49</v>
      </c>
      <c r="BO456" s="7">
        <v>670.74</v>
      </c>
      <c r="BP456" s="7">
        <v>5000</v>
      </c>
      <c r="BR456" s="7">
        <v>8954.9599999999991</v>
      </c>
      <c r="BS456" s="7">
        <v>17377.2</v>
      </c>
      <c r="BT456" s="7">
        <f t="shared" si="277"/>
        <v>67074.44</v>
      </c>
      <c r="BU456" s="144">
        <f t="shared" si="284"/>
        <v>8.9637721910164284E-3</v>
      </c>
    </row>
    <row r="457" spans="1:73" ht="11.25" hidden="1" x14ac:dyDescent="0.2">
      <c r="A457" s="133">
        <f t="shared" si="276"/>
        <v>3</v>
      </c>
      <c r="B457" s="141">
        <v>45352</v>
      </c>
      <c r="C457" s="10"/>
      <c r="D457" s="42" t="str">
        <f t="shared" si="279"/>
        <v>NO</v>
      </c>
      <c r="E457" s="7">
        <v>327443</v>
      </c>
      <c r="F457" s="7" t="s">
        <v>680</v>
      </c>
      <c r="G457" s="7" t="s">
        <v>681</v>
      </c>
      <c r="H457" s="7">
        <v>45369</v>
      </c>
      <c r="I457" s="7">
        <v>33001368</v>
      </c>
      <c r="J457" s="7" t="s">
        <v>682</v>
      </c>
      <c r="K457" s="7" t="s">
        <v>683</v>
      </c>
      <c r="L457" s="7" t="s">
        <v>164</v>
      </c>
      <c r="N457" s="29">
        <v>45348</v>
      </c>
      <c r="Q457" s="7" t="s">
        <v>157</v>
      </c>
      <c r="R457" s="7" t="s">
        <v>165</v>
      </c>
      <c r="S457" s="7" t="s">
        <v>126</v>
      </c>
      <c r="T457" s="7" t="s">
        <v>200</v>
      </c>
      <c r="U457" s="7" t="s">
        <v>167</v>
      </c>
      <c r="V457" s="7" t="s">
        <v>207</v>
      </c>
      <c r="W457" s="7">
        <v>108803</v>
      </c>
      <c r="X457" s="7" t="s">
        <v>169</v>
      </c>
      <c r="Y457" s="7" t="s">
        <v>170</v>
      </c>
      <c r="AA457" s="7" t="s">
        <v>189</v>
      </c>
      <c r="AB457" s="7" t="s">
        <v>190</v>
      </c>
      <c r="AC457" s="7">
        <v>1584</v>
      </c>
      <c r="AF457" s="7" t="s">
        <v>173</v>
      </c>
      <c r="AG457" s="7" t="s">
        <v>170</v>
      </c>
      <c r="AI457" s="7" t="s">
        <v>174</v>
      </c>
      <c r="AK457" s="7">
        <v>1</v>
      </c>
      <c r="AL457" s="7">
        <v>1</v>
      </c>
      <c r="AN457" s="7">
        <v>16.64</v>
      </c>
      <c r="AP457" s="7">
        <v>831.89</v>
      </c>
      <c r="AQ457" s="30">
        <v>815.25</v>
      </c>
      <c r="AS457" s="7">
        <v>16.64</v>
      </c>
      <c r="BG457" s="7">
        <v>16.64</v>
      </c>
      <c r="BO457" s="7">
        <v>8.32</v>
      </c>
      <c r="BR457" s="7">
        <v>41.6</v>
      </c>
      <c r="BS457" s="7">
        <v>831.89</v>
      </c>
      <c r="BT457" s="7">
        <f t="shared" si="277"/>
        <v>831.89</v>
      </c>
    </row>
    <row r="458" spans="1:73" ht="11.25" x14ac:dyDescent="0.2">
      <c r="A458" s="133">
        <f t="shared" si="276"/>
        <v>3</v>
      </c>
      <c r="B458" s="141">
        <v>45352</v>
      </c>
      <c r="C458" s="10" t="s">
        <v>102</v>
      </c>
      <c r="D458" s="42" t="str">
        <f t="shared" si="279"/>
        <v>NO</v>
      </c>
      <c r="E458" s="7">
        <v>340191</v>
      </c>
      <c r="F458" s="7" t="s">
        <v>893</v>
      </c>
      <c r="G458" s="7" t="s">
        <v>894</v>
      </c>
      <c r="H458" s="7">
        <v>45379</v>
      </c>
      <c r="I458" s="7">
        <v>43912717</v>
      </c>
      <c r="J458" s="7" t="s">
        <v>895</v>
      </c>
      <c r="K458" s="7" t="s">
        <v>896</v>
      </c>
      <c r="L458" s="7" t="s">
        <v>179</v>
      </c>
      <c r="N458" s="29">
        <v>45346</v>
      </c>
      <c r="Q458" s="7" t="s">
        <v>157</v>
      </c>
      <c r="R458" s="7" t="s">
        <v>165</v>
      </c>
      <c r="S458" s="7" t="s">
        <v>126</v>
      </c>
      <c r="T458" s="7" t="s">
        <v>166</v>
      </c>
      <c r="U458" s="7" t="s">
        <v>167</v>
      </c>
      <c r="V458" s="7" t="s">
        <v>168</v>
      </c>
      <c r="W458" s="7">
        <v>108803</v>
      </c>
      <c r="X458" s="7" t="s">
        <v>169</v>
      </c>
      <c r="Y458" s="7" t="s">
        <v>170</v>
      </c>
      <c r="AA458" s="7" t="s">
        <v>171</v>
      </c>
      <c r="AB458" s="7" t="s">
        <v>172</v>
      </c>
      <c r="AC458" s="7">
        <v>1130</v>
      </c>
      <c r="AF458" s="7" t="s">
        <v>173</v>
      </c>
      <c r="AG458" s="7" t="s">
        <v>170</v>
      </c>
      <c r="AI458" s="7" t="s">
        <v>174</v>
      </c>
      <c r="AK458" s="7">
        <v>2</v>
      </c>
      <c r="AL458" s="7">
        <v>1</v>
      </c>
      <c r="AM458" s="7">
        <v>146976.95000000001</v>
      </c>
      <c r="AN458" s="7">
        <v>30764.12</v>
      </c>
      <c r="AP458" s="7">
        <v>53018.92</v>
      </c>
      <c r="AQ458" s="30">
        <v>169231.75</v>
      </c>
      <c r="AS458" s="7">
        <v>3999.92</v>
      </c>
      <c r="AZ458" s="7">
        <v>1778.12</v>
      </c>
      <c r="BG458" s="7">
        <v>3999.92</v>
      </c>
      <c r="BO458" s="7">
        <v>1999.96</v>
      </c>
      <c r="BP458" s="7">
        <v>5000</v>
      </c>
      <c r="BR458" s="7">
        <v>16777.919999999998</v>
      </c>
      <c r="BS458" s="7">
        <v>53018.92</v>
      </c>
      <c r="BT458" s="7">
        <f t="shared" si="277"/>
        <v>199995.87</v>
      </c>
      <c r="BU458" s="144">
        <f t="shared" ref="BU458:BU463" si="285">+AZ458/BT458</f>
        <v>8.8907835946812307E-3</v>
      </c>
    </row>
    <row r="459" spans="1:73" ht="11.25" x14ac:dyDescent="0.2">
      <c r="A459" s="133">
        <f t="shared" si="276"/>
        <v>3</v>
      </c>
      <c r="B459" s="141">
        <v>45352</v>
      </c>
      <c r="C459" s="10" t="s">
        <v>102</v>
      </c>
      <c r="D459" s="42" t="str">
        <f t="shared" si="279"/>
        <v>NO</v>
      </c>
      <c r="E459" s="7">
        <v>311358</v>
      </c>
      <c r="F459" s="7" t="s">
        <v>688</v>
      </c>
      <c r="G459" s="7" t="s">
        <v>689</v>
      </c>
      <c r="H459" s="7">
        <v>45387</v>
      </c>
      <c r="I459" s="7">
        <v>96197430</v>
      </c>
      <c r="J459" s="7" t="s">
        <v>690</v>
      </c>
      <c r="K459" s="7" t="s">
        <v>691</v>
      </c>
      <c r="L459" s="7" t="s">
        <v>179</v>
      </c>
      <c r="N459" s="29">
        <v>45234</v>
      </c>
      <c r="O459" s="29">
        <v>45360</v>
      </c>
      <c r="P459" s="29">
        <v>45360</v>
      </c>
      <c r="Q459" s="7" t="s">
        <v>157</v>
      </c>
      <c r="R459" s="7" t="s">
        <v>245</v>
      </c>
      <c r="S459" s="7" t="s">
        <v>126</v>
      </c>
      <c r="T459" s="7" t="s">
        <v>200</v>
      </c>
      <c r="U459" s="7" t="s">
        <v>167</v>
      </c>
      <c r="V459" s="7" t="s">
        <v>246</v>
      </c>
      <c r="W459" s="7">
        <v>108803</v>
      </c>
      <c r="X459" s="7" t="s">
        <v>169</v>
      </c>
      <c r="Y459" s="7" t="s">
        <v>170</v>
      </c>
      <c r="AA459" s="7" t="s">
        <v>189</v>
      </c>
      <c r="AB459" s="7" t="s">
        <v>190</v>
      </c>
      <c r="AC459" s="7">
        <v>1584</v>
      </c>
      <c r="AF459" s="7" t="s">
        <v>173</v>
      </c>
      <c r="AG459" s="7" t="s">
        <v>170</v>
      </c>
      <c r="AI459" s="7" t="s">
        <v>174</v>
      </c>
      <c r="AK459" s="7">
        <v>2</v>
      </c>
      <c r="AL459" s="7">
        <v>1</v>
      </c>
      <c r="AM459" s="7">
        <v>70711.42</v>
      </c>
      <c r="AN459" s="7">
        <v>15206.06</v>
      </c>
      <c r="AP459" s="7">
        <v>44902.89</v>
      </c>
      <c r="AQ459" s="30">
        <v>100408.25</v>
      </c>
      <c r="AS459" s="7">
        <v>2312.2800000000002</v>
      </c>
      <c r="AZ459" s="7">
        <v>872.84</v>
      </c>
      <c r="BG459" s="7">
        <v>2312.2800000000002</v>
      </c>
      <c r="BO459" s="7">
        <v>1156.1400000000001</v>
      </c>
      <c r="BP459" s="7">
        <v>5000</v>
      </c>
      <c r="BR459" s="7">
        <v>11653.54</v>
      </c>
      <c r="BS459" s="7">
        <v>44902.89</v>
      </c>
      <c r="BT459" s="7">
        <f t="shared" si="277"/>
        <v>115614.31</v>
      </c>
      <c r="BU459" s="144">
        <f t="shared" si="285"/>
        <v>7.5495844761777333E-3</v>
      </c>
    </row>
    <row r="460" spans="1:73" ht="11.25" x14ac:dyDescent="0.2">
      <c r="A460" s="133">
        <f t="shared" si="276"/>
        <v>3</v>
      </c>
      <c r="B460" s="141">
        <v>45352</v>
      </c>
      <c r="C460" s="10" t="s">
        <v>102</v>
      </c>
      <c r="D460" s="42" t="str">
        <f t="shared" si="279"/>
        <v>NO</v>
      </c>
      <c r="E460" s="7">
        <v>329395</v>
      </c>
      <c r="F460" s="7" t="s">
        <v>697</v>
      </c>
      <c r="G460" s="7" t="s">
        <v>698</v>
      </c>
      <c r="H460" s="7">
        <v>45387</v>
      </c>
      <c r="I460" s="7">
        <v>40885508</v>
      </c>
      <c r="J460" s="7" t="s">
        <v>699</v>
      </c>
      <c r="K460" s="7" t="s">
        <v>700</v>
      </c>
      <c r="L460" s="7" t="s">
        <v>164</v>
      </c>
      <c r="N460" s="29">
        <v>45346</v>
      </c>
      <c r="Q460" s="7" t="s">
        <v>157</v>
      </c>
      <c r="R460" s="7" t="s">
        <v>199</v>
      </c>
      <c r="S460" s="7" t="s">
        <v>126</v>
      </c>
      <c r="T460" s="7" t="s">
        <v>200</v>
      </c>
      <c r="U460" s="7" t="s">
        <v>167</v>
      </c>
      <c r="V460" s="7" t="s">
        <v>201</v>
      </c>
      <c r="W460" s="7">
        <v>108803</v>
      </c>
      <c r="X460" s="7" t="s">
        <v>169</v>
      </c>
      <c r="Y460" s="7" t="s">
        <v>170</v>
      </c>
      <c r="AA460" s="7" t="s">
        <v>189</v>
      </c>
      <c r="AB460" s="7" t="s">
        <v>190</v>
      </c>
      <c r="AC460" s="7">
        <v>1584</v>
      </c>
      <c r="AF460" s="7" t="s">
        <v>173</v>
      </c>
      <c r="AG460" s="7" t="s">
        <v>170</v>
      </c>
      <c r="AI460" s="7" t="s">
        <v>174</v>
      </c>
      <c r="AK460" s="7">
        <v>2</v>
      </c>
      <c r="AL460" s="7">
        <v>1</v>
      </c>
      <c r="AM460" s="7">
        <v>125808.06</v>
      </c>
      <c r="AN460" s="7">
        <v>26463.919999999998</v>
      </c>
      <c r="AP460" s="7">
        <v>50372.37</v>
      </c>
      <c r="AQ460" s="30">
        <v>149716.51</v>
      </c>
      <c r="AS460" s="7">
        <v>3523.61</v>
      </c>
      <c r="AZ460" s="7">
        <v>1552.94</v>
      </c>
      <c r="BG460" s="7">
        <v>3523.61</v>
      </c>
      <c r="BO460" s="7">
        <v>1761.81</v>
      </c>
      <c r="BP460" s="7">
        <v>5000</v>
      </c>
      <c r="BR460" s="7">
        <v>15361.97</v>
      </c>
      <c r="BS460" s="7">
        <v>50372.369999999995</v>
      </c>
      <c r="BT460" s="7">
        <f t="shared" si="277"/>
        <v>176180.43</v>
      </c>
      <c r="BU460" s="144">
        <f t="shared" si="285"/>
        <v>8.8144863762677841E-3</v>
      </c>
    </row>
    <row r="461" spans="1:73" ht="11.25" x14ac:dyDescent="0.2">
      <c r="A461" s="133">
        <f t="shared" si="276"/>
        <v>3</v>
      </c>
      <c r="B461" s="141">
        <v>45352</v>
      </c>
      <c r="C461" s="10" t="s">
        <v>102</v>
      </c>
      <c r="D461" s="42" t="str">
        <f t="shared" si="279"/>
        <v>NO</v>
      </c>
      <c r="E461" s="7">
        <v>340193</v>
      </c>
      <c r="F461" s="7" t="s">
        <v>897</v>
      </c>
      <c r="G461" s="7" t="s">
        <v>898</v>
      </c>
      <c r="H461" s="7">
        <v>45379</v>
      </c>
      <c r="I461" s="7">
        <v>40345654</v>
      </c>
      <c r="J461" s="7" t="s">
        <v>899</v>
      </c>
      <c r="K461" s="7" t="s">
        <v>1054</v>
      </c>
      <c r="L461" s="7" t="s">
        <v>179</v>
      </c>
      <c r="N461" s="29">
        <v>45346</v>
      </c>
      <c r="Q461" s="7" t="s">
        <v>157</v>
      </c>
      <c r="R461" s="7" t="s">
        <v>165</v>
      </c>
      <c r="S461" s="7" t="s">
        <v>126</v>
      </c>
      <c r="T461" s="7" t="s">
        <v>166</v>
      </c>
      <c r="U461" s="7" t="s">
        <v>167</v>
      </c>
      <c r="V461" s="7" t="s">
        <v>168</v>
      </c>
      <c r="W461" s="7">
        <v>108803</v>
      </c>
      <c r="X461" s="7" t="s">
        <v>169</v>
      </c>
      <c r="Y461" s="7" t="s">
        <v>170</v>
      </c>
      <c r="AA461" s="7" t="s">
        <v>171</v>
      </c>
      <c r="AB461" s="7" t="s">
        <v>172</v>
      </c>
      <c r="AC461" s="7">
        <v>1130</v>
      </c>
      <c r="AF461" s="7" t="s">
        <v>173</v>
      </c>
      <c r="AG461" s="7" t="s">
        <v>170</v>
      </c>
      <c r="AI461" s="7" t="s">
        <v>174</v>
      </c>
      <c r="AK461" s="7">
        <v>2</v>
      </c>
      <c r="AL461" s="7">
        <v>1</v>
      </c>
      <c r="AM461" s="7">
        <v>93050.16</v>
      </c>
      <c r="AN461" s="7">
        <v>19489.98</v>
      </c>
      <c r="AP461" s="7">
        <v>34236.769999999997</v>
      </c>
      <c r="AQ461" s="30">
        <v>107796.95</v>
      </c>
      <c r="AS461" s="7">
        <v>2545.7399999999998</v>
      </c>
      <c r="AZ461" s="7">
        <v>1125.72</v>
      </c>
      <c r="BG461" s="7">
        <v>2545.7399999999998</v>
      </c>
      <c r="BO461" s="7">
        <v>1272.8699999999999</v>
      </c>
      <c r="BP461" s="7">
        <v>5000</v>
      </c>
      <c r="BR461" s="7">
        <v>12490.07</v>
      </c>
      <c r="BS461" s="7">
        <v>34236.770000000004</v>
      </c>
      <c r="BT461" s="7">
        <f t="shared" si="277"/>
        <v>127286.93000000001</v>
      </c>
      <c r="BU461" s="144">
        <f t="shared" si="285"/>
        <v>8.8439559348316432E-3</v>
      </c>
    </row>
    <row r="462" spans="1:73" ht="11.25" x14ac:dyDescent="0.2">
      <c r="A462" s="133">
        <f t="shared" si="276"/>
        <v>3</v>
      </c>
      <c r="B462" s="141">
        <v>45352</v>
      </c>
      <c r="C462" s="10" t="s">
        <v>102</v>
      </c>
      <c r="D462" s="42" t="str">
        <f t="shared" si="279"/>
        <v>NO</v>
      </c>
      <c r="E462" s="7">
        <v>340194</v>
      </c>
      <c r="F462" s="7" t="s">
        <v>901</v>
      </c>
      <c r="G462" s="7" t="s">
        <v>902</v>
      </c>
      <c r="H462" s="7">
        <v>45379</v>
      </c>
      <c r="I462" s="7">
        <v>38517224</v>
      </c>
      <c r="J462" s="7" t="s">
        <v>903</v>
      </c>
      <c r="K462" s="7" t="s">
        <v>904</v>
      </c>
      <c r="L462" s="7" t="s">
        <v>179</v>
      </c>
      <c r="N462" s="29">
        <v>45346</v>
      </c>
      <c r="Q462" s="7" t="s">
        <v>157</v>
      </c>
      <c r="R462" s="7" t="s">
        <v>165</v>
      </c>
      <c r="S462" s="7" t="s">
        <v>126</v>
      </c>
      <c r="T462" s="7" t="s">
        <v>166</v>
      </c>
      <c r="U462" s="7" t="s">
        <v>167</v>
      </c>
      <c r="V462" s="7" t="s">
        <v>168</v>
      </c>
      <c r="W462" s="7">
        <v>108803</v>
      </c>
      <c r="X462" s="7" t="s">
        <v>169</v>
      </c>
      <c r="Y462" s="7" t="s">
        <v>170</v>
      </c>
      <c r="AA462" s="7" t="s">
        <v>171</v>
      </c>
      <c r="AB462" s="7" t="s">
        <v>172</v>
      </c>
      <c r="AC462" s="7">
        <v>1130</v>
      </c>
      <c r="AF462" s="7" t="s">
        <v>173</v>
      </c>
      <c r="AG462" s="7" t="s">
        <v>170</v>
      </c>
      <c r="AI462" s="7" t="s">
        <v>174</v>
      </c>
      <c r="AK462" s="7">
        <v>2</v>
      </c>
      <c r="AL462" s="7">
        <v>1</v>
      </c>
      <c r="AM462" s="7">
        <v>153321.28</v>
      </c>
      <c r="AN462" s="7">
        <v>32093.63</v>
      </c>
      <c r="AP462" s="7">
        <v>55385.19</v>
      </c>
      <c r="AQ462" s="30">
        <v>176612.84</v>
      </c>
      <c r="AS462" s="7">
        <v>4174.13</v>
      </c>
      <c r="AZ462" s="7">
        <v>1854.88</v>
      </c>
      <c r="BG462" s="7">
        <v>4174.13</v>
      </c>
      <c r="BO462" s="7">
        <v>2087.0700000000002</v>
      </c>
      <c r="BP462" s="7">
        <v>5000</v>
      </c>
      <c r="BR462" s="7">
        <v>17290.21</v>
      </c>
      <c r="BS462" s="7">
        <v>55385.19</v>
      </c>
      <c r="BT462" s="7">
        <f t="shared" si="277"/>
        <v>208706.47</v>
      </c>
      <c r="BU462" s="144">
        <f t="shared" si="285"/>
        <v>8.8875059790911141E-3</v>
      </c>
    </row>
    <row r="463" spans="1:73" ht="11.25" x14ac:dyDescent="0.2">
      <c r="A463" s="133">
        <f t="shared" si="276"/>
        <v>3</v>
      </c>
      <c r="B463" s="141">
        <v>45352</v>
      </c>
      <c r="C463" s="10" t="s">
        <v>102</v>
      </c>
      <c r="D463" s="42" t="str">
        <f t="shared" si="279"/>
        <v>NO</v>
      </c>
      <c r="E463" s="7">
        <v>318313</v>
      </c>
      <c r="F463" s="7" t="s">
        <v>701</v>
      </c>
      <c r="G463" s="7" t="s">
        <v>702</v>
      </c>
      <c r="H463" s="7">
        <v>45387</v>
      </c>
      <c r="I463" s="7">
        <v>31965756</v>
      </c>
      <c r="J463" s="7" t="s">
        <v>703</v>
      </c>
      <c r="K463" s="7" t="s">
        <v>704</v>
      </c>
      <c r="L463" s="7" t="s">
        <v>164</v>
      </c>
      <c r="N463" s="29">
        <v>45341</v>
      </c>
      <c r="Q463" s="7" t="s">
        <v>157</v>
      </c>
      <c r="R463" s="7" t="s">
        <v>199</v>
      </c>
      <c r="S463" s="7" t="s">
        <v>126</v>
      </c>
      <c r="T463" s="7" t="s">
        <v>239</v>
      </c>
      <c r="U463" s="7" t="s">
        <v>167</v>
      </c>
      <c r="V463" s="7" t="s">
        <v>201</v>
      </c>
      <c r="W463" s="7">
        <v>108803</v>
      </c>
      <c r="X463" s="7" t="s">
        <v>169</v>
      </c>
      <c r="Y463" s="7" t="s">
        <v>170</v>
      </c>
      <c r="AA463" s="7" t="s">
        <v>171</v>
      </c>
      <c r="AB463" s="7" t="s">
        <v>172</v>
      </c>
      <c r="AC463" s="7">
        <v>1130</v>
      </c>
      <c r="AF463" s="7" t="s">
        <v>173</v>
      </c>
      <c r="AG463" s="7" t="s">
        <v>170</v>
      </c>
      <c r="AI463" s="7" t="s">
        <v>174</v>
      </c>
      <c r="AK463" s="7">
        <v>2</v>
      </c>
      <c r="AL463" s="7">
        <v>1</v>
      </c>
      <c r="AM463" s="7">
        <v>42809.71</v>
      </c>
      <c r="AN463" s="7">
        <v>9040.41</v>
      </c>
      <c r="AP463" s="7">
        <v>18906.72</v>
      </c>
      <c r="AQ463" s="30">
        <v>52676.02</v>
      </c>
      <c r="AS463" s="7">
        <v>1234.33</v>
      </c>
      <c r="AZ463" s="7">
        <v>528.42999999999995</v>
      </c>
      <c r="BG463" s="7">
        <v>1234.33</v>
      </c>
      <c r="BO463" s="7">
        <v>617.16</v>
      </c>
      <c r="BP463" s="7">
        <v>5000</v>
      </c>
      <c r="BR463" s="7">
        <v>8614.25</v>
      </c>
      <c r="BS463" s="7">
        <v>18906.72</v>
      </c>
      <c r="BT463" s="7">
        <f t="shared" si="277"/>
        <v>61716.43</v>
      </c>
      <c r="BU463" s="144">
        <f t="shared" si="285"/>
        <v>8.5622256504467274E-3</v>
      </c>
    </row>
    <row r="464" spans="1:73" ht="11.25" hidden="1" x14ac:dyDescent="0.2">
      <c r="A464" s="133">
        <f t="shared" si="276"/>
        <v>3</v>
      </c>
      <c r="B464" s="141">
        <v>45352</v>
      </c>
      <c r="C464" s="10"/>
      <c r="D464" s="42" t="str">
        <f t="shared" si="279"/>
        <v>SI</v>
      </c>
      <c r="E464" s="7">
        <v>314990</v>
      </c>
      <c r="F464" s="7" t="s">
        <v>705</v>
      </c>
      <c r="G464" s="7" t="s">
        <v>706</v>
      </c>
      <c r="H464" s="7">
        <v>45369</v>
      </c>
      <c r="I464" s="7">
        <v>20526373</v>
      </c>
      <c r="J464" s="7" t="s">
        <v>707</v>
      </c>
      <c r="K464" s="7" t="s">
        <v>708</v>
      </c>
      <c r="L464" s="7" t="s">
        <v>164</v>
      </c>
      <c r="N464" s="29">
        <v>45269</v>
      </c>
      <c r="Q464" s="7" t="s">
        <v>157</v>
      </c>
      <c r="R464" s="7" t="s">
        <v>165</v>
      </c>
      <c r="S464" s="7" t="s">
        <v>126</v>
      </c>
      <c r="T464" s="7" t="s">
        <v>200</v>
      </c>
      <c r="U464" s="7" t="s">
        <v>167</v>
      </c>
      <c r="V464" s="7" t="s">
        <v>207</v>
      </c>
      <c r="W464" s="7">
        <v>108803</v>
      </c>
      <c r="X464" s="7" t="s">
        <v>169</v>
      </c>
      <c r="Y464" s="7" t="s">
        <v>170</v>
      </c>
      <c r="AA464" s="7" t="s">
        <v>189</v>
      </c>
      <c r="AB464" s="7" t="s">
        <v>190</v>
      </c>
      <c r="AC464" s="7">
        <v>1584</v>
      </c>
      <c r="AF464" s="7" t="s">
        <v>173</v>
      </c>
      <c r="AG464" s="7" t="s">
        <v>170</v>
      </c>
      <c r="AI464" s="7" t="s">
        <v>174</v>
      </c>
      <c r="AK464" s="7">
        <v>1</v>
      </c>
      <c r="AL464" s="7">
        <v>1</v>
      </c>
      <c r="AN464" s="7">
        <v>33.28</v>
      </c>
      <c r="AP464" s="7">
        <v>1331.03</v>
      </c>
      <c r="AQ464" s="30">
        <v>1297.75</v>
      </c>
      <c r="AR464" s="7">
        <v>33.28</v>
      </c>
      <c r="AS464" s="7"/>
      <c r="BG464" s="7">
        <v>26.62</v>
      </c>
      <c r="BO464" s="7">
        <v>13.31</v>
      </c>
      <c r="BR464" s="7">
        <v>73.209999999999994</v>
      </c>
      <c r="BS464" s="7">
        <v>1331.03</v>
      </c>
      <c r="BT464" s="7">
        <f t="shared" si="277"/>
        <v>1331.03</v>
      </c>
    </row>
    <row r="465" spans="1:73" ht="11.25" x14ac:dyDescent="0.2">
      <c r="A465" s="133">
        <f t="shared" si="276"/>
        <v>3</v>
      </c>
      <c r="B465" s="141">
        <v>45352</v>
      </c>
      <c r="C465" s="10" t="s">
        <v>102</v>
      </c>
      <c r="D465" s="42" t="str">
        <f t="shared" si="279"/>
        <v>SI</v>
      </c>
      <c r="E465" s="7">
        <v>318456</v>
      </c>
      <c r="F465" s="7" t="s">
        <v>1055</v>
      </c>
      <c r="G465" s="7" t="s">
        <v>1056</v>
      </c>
      <c r="H465" s="7">
        <v>45387</v>
      </c>
      <c r="I465" s="7">
        <v>95590131</v>
      </c>
      <c r="J465" s="7" t="s">
        <v>1057</v>
      </c>
      <c r="K465" s="7" t="s">
        <v>1058</v>
      </c>
      <c r="L465" s="7" t="s">
        <v>179</v>
      </c>
      <c r="N465" s="29">
        <v>45341</v>
      </c>
      <c r="Q465" s="7" t="s">
        <v>157</v>
      </c>
      <c r="R465" s="7" t="s">
        <v>165</v>
      </c>
      <c r="S465" s="7" t="s">
        <v>126</v>
      </c>
      <c r="T465" s="7" t="s">
        <v>180</v>
      </c>
      <c r="U465" s="7" t="s">
        <v>167</v>
      </c>
      <c r="V465" s="7" t="s">
        <v>168</v>
      </c>
      <c r="W465" s="7">
        <v>108803</v>
      </c>
      <c r="X465" s="7" t="s">
        <v>169</v>
      </c>
      <c r="Y465" s="7" t="s">
        <v>170</v>
      </c>
      <c r="AA465" s="7" t="s">
        <v>171</v>
      </c>
      <c r="AB465" s="7" t="s">
        <v>172</v>
      </c>
      <c r="AC465" s="7">
        <v>1130</v>
      </c>
      <c r="AF465" s="7" t="s">
        <v>173</v>
      </c>
      <c r="AG465" s="7" t="s">
        <v>170</v>
      </c>
      <c r="AI465" s="7" t="s">
        <v>174</v>
      </c>
      <c r="AK465" s="7">
        <v>7</v>
      </c>
      <c r="AL465" s="7">
        <v>1</v>
      </c>
      <c r="AM465" s="7">
        <v>183523.67</v>
      </c>
      <c r="AN465" s="7">
        <v>39702.68</v>
      </c>
      <c r="AP465" s="7">
        <v>67321.61</v>
      </c>
      <c r="AQ465" s="30">
        <v>211142.6</v>
      </c>
      <c r="AR465" s="7">
        <v>6271.13</v>
      </c>
      <c r="AS465" s="7"/>
      <c r="AZ465" s="7">
        <v>2232.52</v>
      </c>
      <c r="BG465" s="7">
        <v>5016.8999999999996</v>
      </c>
      <c r="BO465" s="7">
        <v>2508.4499999999998</v>
      </c>
      <c r="BP465" s="7">
        <v>20000</v>
      </c>
      <c r="BR465" s="7">
        <v>36029</v>
      </c>
      <c r="BS465" s="7">
        <v>67321.61</v>
      </c>
      <c r="BT465" s="7">
        <f t="shared" si="277"/>
        <v>250845.28000000003</v>
      </c>
      <c r="BU465" s="144">
        <f t="shared" ref="BU465:BU469" si="286">+AZ465/BT465</f>
        <v>8.899988072328887E-3</v>
      </c>
    </row>
    <row r="466" spans="1:73" ht="11.25" x14ac:dyDescent="0.2">
      <c r="A466" s="133">
        <f t="shared" si="276"/>
        <v>3</v>
      </c>
      <c r="B466" s="141">
        <v>45352</v>
      </c>
      <c r="C466" s="10" t="s">
        <v>102</v>
      </c>
      <c r="D466" s="42" t="str">
        <f t="shared" si="279"/>
        <v>NO</v>
      </c>
      <c r="E466" s="7">
        <v>340913</v>
      </c>
      <c r="F466" s="7" t="s">
        <v>1059</v>
      </c>
      <c r="G466" s="7" t="s">
        <v>1060</v>
      </c>
      <c r="H466" s="7">
        <v>45387</v>
      </c>
      <c r="I466" s="7">
        <v>38660159</v>
      </c>
      <c r="J466" s="7" t="s">
        <v>715</v>
      </c>
      <c r="K466" s="7" t="s">
        <v>1061</v>
      </c>
      <c r="L466" s="7" t="s">
        <v>179</v>
      </c>
      <c r="N466" s="29">
        <v>45360</v>
      </c>
      <c r="Q466" s="7" t="s">
        <v>157</v>
      </c>
      <c r="R466" s="7" t="s">
        <v>165</v>
      </c>
      <c r="S466" s="7" t="s">
        <v>126</v>
      </c>
      <c r="T466" s="7" t="s">
        <v>180</v>
      </c>
      <c r="U466" s="7" t="s">
        <v>167</v>
      </c>
      <c r="V466" s="7" t="s">
        <v>168</v>
      </c>
      <c r="W466" s="7">
        <v>108803</v>
      </c>
      <c r="X466" s="7" t="s">
        <v>169</v>
      </c>
      <c r="Y466" s="7" t="s">
        <v>170</v>
      </c>
      <c r="AA466" s="7" t="s">
        <v>171</v>
      </c>
      <c r="AB466" s="7" t="s">
        <v>172</v>
      </c>
      <c r="AC466" s="7">
        <v>1130</v>
      </c>
      <c r="AF466" s="7" t="s">
        <v>173</v>
      </c>
      <c r="AG466" s="7" t="s">
        <v>170</v>
      </c>
      <c r="AI466" s="7" t="s">
        <v>174</v>
      </c>
      <c r="AK466" s="7">
        <v>1</v>
      </c>
      <c r="AL466" s="7">
        <v>1</v>
      </c>
      <c r="AM466" s="7">
        <v>54984.18</v>
      </c>
      <c r="AN466" s="7">
        <v>11496.72</v>
      </c>
      <c r="AP466" s="7">
        <v>19225.830000000002</v>
      </c>
      <c r="AQ466" s="30">
        <v>62713.29</v>
      </c>
      <c r="AS466" s="7">
        <v>1484.2</v>
      </c>
      <c r="AZ466" s="7">
        <v>665.2</v>
      </c>
      <c r="BG466" s="7">
        <v>1484.2</v>
      </c>
      <c r="BO466" s="7">
        <v>742.1</v>
      </c>
      <c r="BP466" s="7">
        <v>5000</v>
      </c>
      <c r="BR466" s="7">
        <v>9375.7000000000007</v>
      </c>
      <c r="BS466" s="7">
        <v>19225.830000000002</v>
      </c>
      <c r="BT466" s="7">
        <f t="shared" si="277"/>
        <v>74210.010000000009</v>
      </c>
      <c r="BU466" s="144">
        <f t="shared" si="286"/>
        <v>8.9637503080783835E-3</v>
      </c>
    </row>
    <row r="467" spans="1:73" ht="11.25" x14ac:dyDescent="0.2">
      <c r="A467" s="133">
        <f t="shared" si="276"/>
        <v>3</v>
      </c>
      <c r="B467" s="141">
        <v>45352</v>
      </c>
      <c r="C467" s="10" t="s">
        <v>102</v>
      </c>
      <c r="D467" s="42" t="str">
        <f t="shared" si="279"/>
        <v>NO</v>
      </c>
      <c r="E467" s="7">
        <v>219717</v>
      </c>
      <c r="F467" s="7" t="s">
        <v>905</v>
      </c>
      <c r="G467" s="7" t="s">
        <v>906</v>
      </c>
      <c r="H467" s="7">
        <v>45387</v>
      </c>
      <c r="I467" s="7">
        <v>28365897</v>
      </c>
      <c r="J467" s="7" t="s">
        <v>715</v>
      </c>
      <c r="K467" s="7" t="s">
        <v>907</v>
      </c>
      <c r="L467" s="7" t="s">
        <v>179</v>
      </c>
      <c r="N467" s="29">
        <v>45346</v>
      </c>
      <c r="Q467" s="7" t="s">
        <v>157</v>
      </c>
      <c r="R467" s="7" t="s">
        <v>199</v>
      </c>
      <c r="S467" s="7" t="s">
        <v>126</v>
      </c>
      <c r="T467" s="7" t="s">
        <v>239</v>
      </c>
      <c r="U467" s="7" t="s">
        <v>167</v>
      </c>
      <c r="V467" s="7" t="s">
        <v>201</v>
      </c>
      <c r="W467" s="7">
        <v>111605</v>
      </c>
      <c r="X467" s="7" t="s">
        <v>267</v>
      </c>
      <c r="Y467" s="7" t="s">
        <v>170</v>
      </c>
      <c r="AA467" s="7" t="s">
        <v>171</v>
      </c>
      <c r="AB467" s="7" t="s">
        <v>172</v>
      </c>
      <c r="AC467" s="7">
        <v>1130</v>
      </c>
      <c r="AF467" s="7" t="s">
        <v>173</v>
      </c>
      <c r="AG467" s="7" t="s">
        <v>170</v>
      </c>
      <c r="AI467" s="7" t="s">
        <v>174</v>
      </c>
      <c r="AK467" s="7">
        <v>2</v>
      </c>
      <c r="AL467" s="7">
        <v>1</v>
      </c>
      <c r="AM467" s="7">
        <v>60283.040000000001</v>
      </c>
      <c r="AN467" s="7">
        <v>12690.69</v>
      </c>
      <c r="AP467" s="7">
        <v>24640.15</v>
      </c>
      <c r="AQ467" s="30">
        <v>72232.5</v>
      </c>
      <c r="AS467" s="7">
        <v>1698.46</v>
      </c>
      <c r="AZ467" s="7">
        <v>744.12</v>
      </c>
      <c r="BG467" s="7">
        <v>1698.46</v>
      </c>
      <c r="BO467" s="7">
        <v>849.23</v>
      </c>
      <c r="BP467" s="7">
        <v>5000</v>
      </c>
      <c r="BR467" s="7">
        <v>9990.27</v>
      </c>
      <c r="BS467" s="7">
        <v>24640.15</v>
      </c>
      <c r="BT467" s="7">
        <f t="shared" si="277"/>
        <v>84923.19</v>
      </c>
      <c r="BU467" s="144">
        <f t="shared" si="286"/>
        <v>8.7622709415414099E-3</v>
      </c>
    </row>
    <row r="468" spans="1:73" ht="11.25" x14ac:dyDescent="0.2">
      <c r="A468" s="133">
        <f t="shared" si="276"/>
        <v>3</v>
      </c>
      <c r="B468" s="141">
        <v>45352</v>
      </c>
      <c r="C468" s="10" t="s">
        <v>102</v>
      </c>
      <c r="D468" s="42" t="str">
        <f t="shared" si="279"/>
        <v>NO</v>
      </c>
      <c r="E468" s="7">
        <v>334135</v>
      </c>
      <c r="F468" s="7" t="s">
        <v>717</v>
      </c>
      <c r="G468" s="7" t="s">
        <v>718</v>
      </c>
      <c r="H468" s="7">
        <v>45387</v>
      </c>
      <c r="I468" s="7">
        <v>43103037</v>
      </c>
      <c r="J468" s="7" t="s">
        <v>719</v>
      </c>
      <c r="K468" s="7" t="s">
        <v>720</v>
      </c>
      <c r="L468" s="7" t="s">
        <v>179</v>
      </c>
      <c r="N468" s="29">
        <v>45310</v>
      </c>
      <c r="Q468" s="7" t="s">
        <v>157</v>
      </c>
      <c r="R468" s="7" t="s">
        <v>165</v>
      </c>
      <c r="S468" s="7" t="s">
        <v>126</v>
      </c>
      <c r="T468" s="7" t="s">
        <v>180</v>
      </c>
      <c r="U468" s="7" t="s">
        <v>167</v>
      </c>
      <c r="V468" s="7" t="s">
        <v>168</v>
      </c>
      <c r="W468" s="7">
        <v>108803</v>
      </c>
      <c r="X468" s="7" t="s">
        <v>169</v>
      </c>
      <c r="Y468" s="7" t="s">
        <v>170</v>
      </c>
      <c r="AA468" s="7" t="s">
        <v>171</v>
      </c>
      <c r="AB468" s="7" t="s">
        <v>172</v>
      </c>
      <c r="AC468" s="7">
        <v>1130</v>
      </c>
      <c r="AF468" s="7" t="s">
        <v>173</v>
      </c>
      <c r="AG468" s="7" t="s">
        <v>170</v>
      </c>
      <c r="AI468" s="7" t="s">
        <v>174</v>
      </c>
      <c r="AK468" s="7">
        <v>6</v>
      </c>
      <c r="AL468" s="7">
        <v>1</v>
      </c>
      <c r="AM468" s="7">
        <v>265637.45</v>
      </c>
      <c r="AN468" s="7">
        <v>55839.13</v>
      </c>
      <c r="AP468" s="7">
        <v>106408.9</v>
      </c>
      <c r="AQ468" s="30">
        <v>316207.21999999997</v>
      </c>
      <c r="AS468" s="7">
        <v>7440.94</v>
      </c>
      <c r="AZ468" s="7">
        <v>3239.82</v>
      </c>
      <c r="BG468" s="7">
        <v>7440.94</v>
      </c>
      <c r="BO468" s="7">
        <v>3720.46</v>
      </c>
      <c r="BP468" s="7">
        <v>10000</v>
      </c>
      <c r="BR468" s="7">
        <v>31842.16</v>
      </c>
      <c r="BS468" s="7">
        <v>106408.9</v>
      </c>
      <c r="BT468" s="7">
        <f t="shared" si="277"/>
        <v>372046.35</v>
      </c>
      <c r="BU468" s="144">
        <f t="shared" si="286"/>
        <v>8.7081085461529206E-3</v>
      </c>
    </row>
    <row r="469" spans="1:73" ht="11.25" x14ac:dyDescent="0.2">
      <c r="A469" s="133">
        <f t="shared" si="276"/>
        <v>3</v>
      </c>
      <c r="B469" s="141">
        <v>45352</v>
      </c>
      <c r="C469" s="10" t="s">
        <v>102</v>
      </c>
      <c r="D469" s="42" t="str">
        <f t="shared" si="279"/>
        <v>NO</v>
      </c>
      <c r="E469" s="7">
        <v>290707</v>
      </c>
      <c r="F469" s="7" t="s">
        <v>721</v>
      </c>
      <c r="G469" s="7" t="s">
        <v>722</v>
      </c>
      <c r="H469" s="7">
        <v>45387</v>
      </c>
      <c r="I469" s="7">
        <v>37558457</v>
      </c>
      <c r="J469" s="7" t="s">
        <v>723</v>
      </c>
      <c r="K469" s="7" t="s">
        <v>724</v>
      </c>
      <c r="L469" s="7" t="s">
        <v>179</v>
      </c>
      <c r="N469" s="29">
        <v>45143</v>
      </c>
      <c r="Q469" s="7" t="s">
        <v>157</v>
      </c>
      <c r="R469" s="7" t="s">
        <v>165</v>
      </c>
      <c r="S469" s="7" t="s">
        <v>126</v>
      </c>
      <c r="T469" s="7" t="s">
        <v>180</v>
      </c>
      <c r="U469" s="7" t="s">
        <v>167</v>
      </c>
      <c r="V469" s="7" t="s">
        <v>168</v>
      </c>
      <c r="W469" s="7">
        <v>108803</v>
      </c>
      <c r="X469" s="7" t="s">
        <v>169</v>
      </c>
      <c r="Y469" s="7" t="s">
        <v>170</v>
      </c>
      <c r="AA469" s="7" t="s">
        <v>171</v>
      </c>
      <c r="AB469" s="7" t="s">
        <v>172</v>
      </c>
      <c r="AC469" s="7">
        <v>1130</v>
      </c>
      <c r="AF469" s="7" t="s">
        <v>173</v>
      </c>
      <c r="AG469" s="7" t="s">
        <v>170</v>
      </c>
      <c r="AI469" s="7" t="s">
        <v>174</v>
      </c>
      <c r="AK469" s="7">
        <v>3</v>
      </c>
      <c r="AL469" s="7">
        <v>1</v>
      </c>
      <c r="AM469" s="7">
        <v>254830.53</v>
      </c>
      <c r="AN469" s="7">
        <v>53602.26</v>
      </c>
      <c r="AP469" s="7">
        <v>105076.55</v>
      </c>
      <c r="AQ469" s="30">
        <v>306304.82</v>
      </c>
      <c r="AS469" s="7">
        <v>7198.14</v>
      </c>
      <c r="AZ469" s="7">
        <v>3082.93</v>
      </c>
      <c r="BG469" s="7">
        <v>7198.14</v>
      </c>
      <c r="BO469" s="7">
        <v>3599.07</v>
      </c>
      <c r="BP469" s="7">
        <v>10000</v>
      </c>
      <c r="BR469" s="7">
        <v>31078.28</v>
      </c>
      <c r="BS469" s="7">
        <v>105076.55</v>
      </c>
      <c r="BT469" s="7">
        <f t="shared" si="277"/>
        <v>359907.08</v>
      </c>
      <c r="BU469" s="144">
        <f t="shared" si="286"/>
        <v>8.5659053998048598E-3</v>
      </c>
    </row>
    <row r="470" spans="1:73" ht="11.25" hidden="1" x14ac:dyDescent="0.2">
      <c r="A470" s="133">
        <f t="shared" si="276"/>
        <v>3</v>
      </c>
      <c r="B470" s="141">
        <v>45352</v>
      </c>
      <c r="C470" s="10"/>
      <c r="D470" s="42" t="str">
        <f t="shared" si="279"/>
        <v>NO</v>
      </c>
      <c r="E470" s="7">
        <v>340576</v>
      </c>
      <c r="F470" s="7" t="s">
        <v>908</v>
      </c>
      <c r="G470" s="7" t="s">
        <v>909</v>
      </c>
      <c r="H470" s="7">
        <v>45369</v>
      </c>
      <c r="I470" s="7">
        <v>42915102</v>
      </c>
      <c r="J470" s="7" t="s">
        <v>910</v>
      </c>
      <c r="K470" s="7" t="s">
        <v>911</v>
      </c>
      <c r="L470" s="7" t="s">
        <v>164</v>
      </c>
      <c r="N470" s="29">
        <v>45325</v>
      </c>
      <c r="Q470" s="7" t="s">
        <v>157</v>
      </c>
      <c r="R470" s="7" t="s">
        <v>165</v>
      </c>
      <c r="S470" s="7" t="s">
        <v>126</v>
      </c>
      <c r="T470" s="7" t="s">
        <v>206</v>
      </c>
      <c r="U470" s="7" t="s">
        <v>167</v>
      </c>
      <c r="V470" s="7" t="s">
        <v>168</v>
      </c>
      <c r="W470" s="7">
        <v>108803</v>
      </c>
      <c r="X470" s="7" t="s">
        <v>169</v>
      </c>
      <c r="Y470" s="7" t="s">
        <v>170</v>
      </c>
      <c r="AA470" s="7" t="s">
        <v>208</v>
      </c>
      <c r="AB470" s="7" t="s">
        <v>209</v>
      </c>
      <c r="AC470" s="7">
        <v>1035</v>
      </c>
      <c r="AF470" s="7" t="s">
        <v>173</v>
      </c>
      <c r="AG470" s="7" t="s">
        <v>170</v>
      </c>
      <c r="AI470" s="7" t="s">
        <v>174</v>
      </c>
      <c r="AK470" s="7">
        <v>1</v>
      </c>
      <c r="AL470" s="7">
        <v>1</v>
      </c>
      <c r="AN470" s="7">
        <v>13.31</v>
      </c>
      <c r="AP470" s="7">
        <v>665.51</v>
      </c>
      <c r="AQ470" s="30">
        <v>652.20000000000005</v>
      </c>
      <c r="AS470" s="7">
        <v>13.31</v>
      </c>
      <c r="BG470" s="7">
        <v>13.31</v>
      </c>
      <c r="BO470" s="7">
        <v>6.66</v>
      </c>
      <c r="BR470" s="7">
        <v>33.28</v>
      </c>
      <c r="BS470" s="7">
        <v>665.51</v>
      </c>
      <c r="BT470" s="7">
        <f t="shared" si="277"/>
        <v>665.51</v>
      </c>
    </row>
    <row r="471" spans="1:73" ht="11.25" x14ac:dyDescent="0.2">
      <c r="A471" s="133">
        <f t="shared" si="276"/>
        <v>3</v>
      </c>
      <c r="B471" s="141">
        <v>45352</v>
      </c>
      <c r="C471" s="10" t="s">
        <v>102</v>
      </c>
      <c r="D471" s="42" t="str">
        <f t="shared" si="279"/>
        <v>NO</v>
      </c>
      <c r="E471" s="7">
        <v>328877</v>
      </c>
      <c r="F471" s="7" t="s">
        <v>729</v>
      </c>
      <c r="G471" s="7" t="s">
        <v>730</v>
      </c>
      <c r="H471" s="7">
        <v>45379</v>
      </c>
      <c r="I471" s="7">
        <v>45618762</v>
      </c>
      <c r="J471" s="7" t="s">
        <v>731</v>
      </c>
      <c r="K471" s="7" t="s">
        <v>732</v>
      </c>
      <c r="L471" s="7" t="s">
        <v>164</v>
      </c>
      <c r="N471" s="29">
        <v>45159</v>
      </c>
      <c r="Q471" s="7" t="s">
        <v>157</v>
      </c>
      <c r="R471" s="7" t="s">
        <v>165</v>
      </c>
      <c r="S471" s="7" t="s">
        <v>126</v>
      </c>
      <c r="T471" s="7" t="s">
        <v>166</v>
      </c>
      <c r="U471" s="7" t="s">
        <v>167</v>
      </c>
      <c r="V471" s="7" t="s">
        <v>168</v>
      </c>
      <c r="W471" s="7">
        <v>108803</v>
      </c>
      <c r="X471" s="7" t="s">
        <v>169</v>
      </c>
      <c r="Y471" s="7" t="s">
        <v>170</v>
      </c>
      <c r="AA471" s="7" t="s">
        <v>171</v>
      </c>
      <c r="AB471" s="7" t="s">
        <v>172</v>
      </c>
      <c r="AC471" s="7">
        <v>1130</v>
      </c>
      <c r="AF471" s="7" t="s">
        <v>173</v>
      </c>
      <c r="AG471" s="7" t="s">
        <v>170</v>
      </c>
      <c r="AI471" s="7" t="s">
        <v>174</v>
      </c>
      <c r="AK471" s="7">
        <v>2</v>
      </c>
      <c r="AL471" s="7">
        <v>1</v>
      </c>
      <c r="AM471" s="7">
        <v>190329.86</v>
      </c>
      <c r="AN471" s="7">
        <v>40013.699999999997</v>
      </c>
      <c r="AP471" s="7">
        <v>77420.94</v>
      </c>
      <c r="AQ471" s="30">
        <v>227737.1</v>
      </c>
      <c r="AS471" s="7">
        <v>5355.02</v>
      </c>
      <c r="AZ471" s="7">
        <v>2302.6</v>
      </c>
      <c r="BG471" s="7">
        <v>5355.02</v>
      </c>
      <c r="BO471" s="7">
        <v>2677.51</v>
      </c>
      <c r="BP471" s="7">
        <v>5000</v>
      </c>
      <c r="BR471" s="7">
        <v>20690.150000000001</v>
      </c>
      <c r="BS471" s="7">
        <v>77420.94</v>
      </c>
      <c r="BT471" s="7">
        <f t="shared" si="277"/>
        <v>267750.8</v>
      </c>
      <c r="BU471" s="144">
        <f>+AZ471/BT471</f>
        <v>8.599787563659941E-3</v>
      </c>
    </row>
    <row r="472" spans="1:73" ht="11.25" hidden="1" x14ac:dyDescent="0.2">
      <c r="A472" s="133">
        <f t="shared" si="276"/>
        <v>3</v>
      </c>
      <c r="B472" s="141">
        <v>45352</v>
      </c>
      <c r="C472" s="10"/>
      <c r="D472" s="42" t="str">
        <f t="shared" si="279"/>
        <v>NO</v>
      </c>
      <c r="E472" s="7">
        <v>317842</v>
      </c>
      <c r="F472" s="7" t="s">
        <v>737</v>
      </c>
      <c r="G472" s="7" t="s">
        <v>738</v>
      </c>
      <c r="H472" s="7">
        <v>45369</v>
      </c>
      <c r="I472" s="7">
        <v>45228377</v>
      </c>
      <c r="J472" s="7" t="s">
        <v>735</v>
      </c>
      <c r="K472" s="7" t="s">
        <v>739</v>
      </c>
      <c r="L472" s="7" t="s">
        <v>164</v>
      </c>
      <c r="N472" s="29">
        <v>44982</v>
      </c>
      <c r="Q472" s="7" t="s">
        <v>157</v>
      </c>
      <c r="R472" s="7" t="s">
        <v>165</v>
      </c>
      <c r="S472" s="7" t="s">
        <v>126</v>
      </c>
      <c r="T472" s="7" t="s">
        <v>166</v>
      </c>
      <c r="U472" s="7" t="s">
        <v>167</v>
      </c>
      <c r="V472" s="7" t="s">
        <v>168</v>
      </c>
      <c r="W472" s="7">
        <v>108803</v>
      </c>
      <c r="X472" s="7" t="s">
        <v>169</v>
      </c>
      <c r="Y472" s="7" t="s">
        <v>170</v>
      </c>
      <c r="AA472" s="7" t="s">
        <v>171</v>
      </c>
      <c r="AB472" s="7" t="s">
        <v>172</v>
      </c>
      <c r="AC472" s="7">
        <v>1130</v>
      </c>
      <c r="AF472" s="7" t="s">
        <v>173</v>
      </c>
      <c r="AG472" s="7" t="s">
        <v>170</v>
      </c>
      <c r="AI472" s="7" t="s">
        <v>174</v>
      </c>
      <c r="AK472" s="7">
        <v>1</v>
      </c>
      <c r="AL472" s="7">
        <v>1</v>
      </c>
      <c r="AN472" s="7">
        <v>326.83999999999997</v>
      </c>
      <c r="AP472" s="7">
        <v>16341.96</v>
      </c>
      <c r="AQ472" s="30">
        <v>16015.12</v>
      </c>
      <c r="AS472" s="7">
        <v>326.83999999999997</v>
      </c>
      <c r="BG472" s="7">
        <v>326.83999999999997</v>
      </c>
      <c r="BO472" s="7">
        <v>163.41999999999999</v>
      </c>
      <c r="BR472" s="7">
        <v>817.1</v>
      </c>
      <c r="BS472" s="7">
        <v>16341.96</v>
      </c>
      <c r="BT472" s="7">
        <f t="shared" si="277"/>
        <v>16341.96</v>
      </c>
    </row>
    <row r="473" spans="1:73" ht="11.25" x14ac:dyDescent="0.2">
      <c r="A473" s="133">
        <f t="shared" si="276"/>
        <v>3</v>
      </c>
      <c r="B473" s="141">
        <v>45352</v>
      </c>
      <c r="C473" s="10" t="s">
        <v>102</v>
      </c>
      <c r="D473" s="42" t="str">
        <f t="shared" si="279"/>
        <v>NO</v>
      </c>
      <c r="E473" s="7">
        <v>337965</v>
      </c>
      <c r="F473" s="7" t="s">
        <v>740</v>
      </c>
      <c r="G473" s="7" t="s">
        <v>741</v>
      </c>
      <c r="H473" s="7">
        <v>45387</v>
      </c>
      <c r="I473" s="7">
        <v>44850797</v>
      </c>
      <c r="J473" s="7" t="s">
        <v>742</v>
      </c>
      <c r="K473" s="7" t="s">
        <v>743</v>
      </c>
      <c r="L473" s="7" t="s">
        <v>179</v>
      </c>
      <c r="N473" s="29">
        <v>45292</v>
      </c>
      <c r="Q473" s="7" t="s">
        <v>157</v>
      </c>
      <c r="R473" s="7" t="s">
        <v>165</v>
      </c>
      <c r="S473" s="7" t="s">
        <v>126</v>
      </c>
      <c r="T473" s="7" t="s">
        <v>180</v>
      </c>
      <c r="U473" s="7" t="s">
        <v>167</v>
      </c>
      <c r="V473" s="7" t="s">
        <v>324</v>
      </c>
      <c r="W473" s="7">
        <v>108803</v>
      </c>
      <c r="X473" s="7" t="s">
        <v>169</v>
      </c>
      <c r="Y473" s="7" t="s">
        <v>170</v>
      </c>
      <c r="AA473" s="7" t="s">
        <v>171</v>
      </c>
      <c r="AB473" s="7" t="s">
        <v>172</v>
      </c>
      <c r="AC473" s="7">
        <v>1130</v>
      </c>
      <c r="AF473" s="7" t="s">
        <v>173</v>
      </c>
      <c r="AG473" s="7" t="s">
        <v>170</v>
      </c>
      <c r="AI473" s="7" t="s">
        <v>174</v>
      </c>
      <c r="AK473" s="7">
        <v>2</v>
      </c>
      <c r="AL473" s="7">
        <v>1</v>
      </c>
      <c r="AM473" s="7">
        <v>34893.81</v>
      </c>
      <c r="AN473" s="7">
        <v>7320.94</v>
      </c>
      <c r="AP473" s="7">
        <v>13448.84</v>
      </c>
      <c r="AQ473" s="30">
        <v>41021.71</v>
      </c>
      <c r="AS473" s="7">
        <v>966.86</v>
      </c>
      <c r="AZ473" s="7">
        <v>422.14</v>
      </c>
      <c r="BG473" s="7">
        <v>966.86</v>
      </c>
      <c r="BO473" s="7">
        <v>483.43</v>
      </c>
      <c r="BR473" s="7">
        <v>2839.29</v>
      </c>
      <c r="BS473" s="7">
        <v>17192.36</v>
      </c>
      <c r="BT473" s="7">
        <f t="shared" si="277"/>
        <v>52086.17</v>
      </c>
      <c r="BU473" s="144">
        <f t="shared" ref="BU473:BU474" si="287">+AZ473/BT473</f>
        <v>8.1046465885282019E-3</v>
      </c>
    </row>
    <row r="474" spans="1:73" ht="11.25" x14ac:dyDescent="0.2">
      <c r="A474" s="133">
        <f t="shared" si="276"/>
        <v>3</v>
      </c>
      <c r="B474" s="141">
        <v>45352</v>
      </c>
      <c r="C474" s="10" t="s">
        <v>102</v>
      </c>
      <c r="D474" s="42" t="str">
        <f t="shared" si="279"/>
        <v>NO</v>
      </c>
      <c r="E474" s="7">
        <v>327585</v>
      </c>
      <c r="F474" s="7" t="s">
        <v>744</v>
      </c>
      <c r="G474" s="7" t="s">
        <v>745</v>
      </c>
      <c r="H474" s="7">
        <v>45379</v>
      </c>
      <c r="I474" s="7">
        <v>42146193</v>
      </c>
      <c r="J474" s="7" t="s">
        <v>746</v>
      </c>
      <c r="K474" s="7" t="s">
        <v>747</v>
      </c>
      <c r="L474" s="7" t="s">
        <v>164</v>
      </c>
      <c r="N474" s="29">
        <v>45138</v>
      </c>
      <c r="Q474" s="7" t="s">
        <v>157</v>
      </c>
      <c r="R474" s="7" t="s">
        <v>165</v>
      </c>
      <c r="S474" s="7" t="s">
        <v>126</v>
      </c>
      <c r="T474" s="7" t="s">
        <v>166</v>
      </c>
      <c r="U474" s="7" t="s">
        <v>167</v>
      </c>
      <c r="V474" s="7" t="s">
        <v>168</v>
      </c>
      <c r="W474" s="7">
        <v>108803</v>
      </c>
      <c r="X474" s="7" t="s">
        <v>169</v>
      </c>
      <c r="Y474" s="7" t="s">
        <v>170</v>
      </c>
      <c r="AA474" s="7" t="s">
        <v>171</v>
      </c>
      <c r="AB474" s="7" t="s">
        <v>172</v>
      </c>
      <c r="AC474" s="7">
        <v>1130</v>
      </c>
      <c r="AF474" s="7" t="s">
        <v>173</v>
      </c>
      <c r="AG474" s="7" t="s">
        <v>170</v>
      </c>
      <c r="AI474" s="7" t="s">
        <v>174</v>
      </c>
      <c r="AK474" s="7">
        <v>2</v>
      </c>
      <c r="AL474" s="7">
        <v>1</v>
      </c>
      <c r="AM474" s="7">
        <v>75074.55</v>
      </c>
      <c r="AN474" s="7">
        <v>15966.59</v>
      </c>
      <c r="AP474" s="7">
        <v>39708.730000000003</v>
      </c>
      <c r="AQ474" s="30">
        <v>98816.69</v>
      </c>
      <c r="AS474" s="7">
        <v>2295.66</v>
      </c>
      <c r="AZ474" s="7">
        <v>908.25</v>
      </c>
      <c r="BG474" s="7">
        <v>2295.66</v>
      </c>
      <c r="BO474" s="7">
        <v>1147.83</v>
      </c>
      <c r="BP474" s="7">
        <v>5000</v>
      </c>
      <c r="BR474" s="7">
        <v>11647.4</v>
      </c>
      <c r="BS474" s="7">
        <v>39708.729999999996</v>
      </c>
      <c r="BT474" s="7">
        <f t="shared" si="277"/>
        <v>114783.28</v>
      </c>
      <c r="BU474" s="144">
        <f t="shared" si="287"/>
        <v>7.9127378133818788E-3</v>
      </c>
    </row>
    <row r="475" spans="1:73" ht="11.25" hidden="1" x14ac:dyDescent="0.2">
      <c r="A475" s="133">
        <f t="shared" si="276"/>
        <v>3</v>
      </c>
      <c r="B475" s="141">
        <v>45352</v>
      </c>
      <c r="C475" s="10"/>
      <c r="D475" s="42" t="str">
        <f t="shared" si="279"/>
        <v>NO</v>
      </c>
      <c r="E475" s="7">
        <v>224260</v>
      </c>
      <c r="F475" s="7" t="s">
        <v>912</v>
      </c>
      <c r="G475" s="7" t="s">
        <v>913</v>
      </c>
      <c r="H475" s="7">
        <v>45369</v>
      </c>
      <c r="I475" s="7">
        <v>33716419</v>
      </c>
      <c r="J475" s="7" t="s">
        <v>914</v>
      </c>
      <c r="K475" s="7" t="s">
        <v>915</v>
      </c>
      <c r="L475" s="7" t="s">
        <v>179</v>
      </c>
      <c r="N475" s="29">
        <v>45318</v>
      </c>
      <c r="Q475" s="7" t="s">
        <v>157</v>
      </c>
      <c r="R475" s="7" t="s">
        <v>354</v>
      </c>
      <c r="S475" s="7" t="s">
        <v>126</v>
      </c>
      <c r="T475" s="7" t="s">
        <v>239</v>
      </c>
      <c r="U475" s="7" t="s">
        <v>167</v>
      </c>
      <c r="V475" s="7" t="s">
        <v>355</v>
      </c>
      <c r="W475" s="7">
        <v>125707</v>
      </c>
      <c r="X475" s="7" t="s">
        <v>916</v>
      </c>
      <c r="Y475" s="7" t="s">
        <v>170</v>
      </c>
      <c r="AA475" s="7" t="s">
        <v>171</v>
      </c>
      <c r="AB475" s="7" t="s">
        <v>172</v>
      </c>
      <c r="AC475" s="7">
        <v>1130</v>
      </c>
      <c r="AF475" s="7" t="s">
        <v>173</v>
      </c>
      <c r="AG475" s="7" t="s">
        <v>170</v>
      </c>
      <c r="AI475" s="7" t="s">
        <v>174</v>
      </c>
      <c r="AK475" s="7">
        <v>1</v>
      </c>
      <c r="AL475" s="7">
        <v>1</v>
      </c>
      <c r="AN475" s="7">
        <v>44.71</v>
      </c>
      <c r="AP475" s="7">
        <v>2235.39</v>
      </c>
      <c r="AQ475" s="30">
        <v>2190.6799999999998</v>
      </c>
      <c r="AS475" s="7">
        <v>44.71</v>
      </c>
      <c r="BG475" s="7">
        <v>44.71</v>
      </c>
      <c r="BO475" s="7">
        <v>22.35</v>
      </c>
      <c r="BR475" s="7">
        <v>111.77</v>
      </c>
      <c r="BS475" s="7">
        <v>2235.39</v>
      </c>
      <c r="BT475" s="7">
        <f t="shared" si="277"/>
        <v>2235.39</v>
      </c>
    </row>
    <row r="476" spans="1:73" ht="11.25" x14ac:dyDescent="0.2">
      <c r="A476" s="133">
        <f t="shared" si="276"/>
        <v>3</v>
      </c>
      <c r="B476" s="141">
        <v>45352</v>
      </c>
      <c r="C476" s="10" t="s">
        <v>102</v>
      </c>
      <c r="D476" s="42" t="str">
        <f t="shared" si="279"/>
        <v>NO</v>
      </c>
      <c r="E476" s="7">
        <v>341009</v>
      </c>
      <c r="F476" s="7" t="s">
        <v>1062</v>
      </c>
      <c r="G476" s="7" t="s">
        <v>1063</v>
      </c>
      <c r="H476" s="7">
        <v>45387</v>
      </c>
      <c r="I476" s="7">
        <v>42497382</v>
      </c>
      <c r="J476" s="7" t="s">
        <v>1064</v>
      </c>
      <c r="K476" s="7" t="s">
        <v>1065</v>
      </c>
      <c r="L476" s="7" t="s">
        <v>179</v>
      </c>
      <c r="N476" s="29">
        <v>45364</v>
      </c>
      <c r="Q476" s="7" t="s">
        <v>157</v>
      </c>
      <c r="R476" s="7" t="s">
        <v>245</v>
      </c>
      <c r="S476" s="7" t="s">
        <v>126</v>
      </c>
      <c r="T476" s="7" t="s">
        <v>200</v>
      </c>
      <c r="U476" s="7" t="s">
        <v>167</v>
      </c>
      <c r="V476" s="7" t="s">
        <v>246</v>
      </c>
      <c r="W476" s="7">
        <v>108803</v>
      </c>
      <c r="X476" s="7" t="s">
        <v>169</v>
      </c>
      <c r="Y476" s="7" t="s">
        <v>170</v>
      </c>
      <c r="AA476" s="7" t="s">
        <v>189</v>
      </c>
      <c r="AB476" s="7" t="s">
        <v>190</v>
      </c>
      <c r="AC476" s="7">
        <v>1584</v>
      </c>
      <c r="AF476" s="7" t="s">
        <v>173</v>
      </c>
      <c r="AG476" s="7" t="s">
        <v>170</v>
      </c>
      <c r="AI476" s="7" t="s">
        <v>174</v>
      </c>
      <c r="AK476" s="7">
        <v>1</v>
      </c>
      <c r="AL476" s="7">
        <v>1</v>
      </c>
      <c r="AM476" s="7">
        <v>12691.8</v>
      </c>
      <c r="AN476" s="7">
        <v>2667.25</v>
      </c>
      <c r="AP476" s="7">
        <v>4957.7299999999996</v>
      </c>
      <c r="AQ476" s="30">
        <v>14982.28</v>
      </c>
      <c r="AS476" s="7">
        <v>352.99</v>
      </c>
      <c r="AZ476" s="7">
        <v>156.66</v>
      </c>
      <c r="BG476" s="7">
        <v>352.99</v>
      </c>
      <c r="BO476" s="7">
        <v>176.5</v>
      </c>
      <c r="BP476" s="7">
        <v>5000</v>
      </c>
      <c r="BR476" s="7">
        <v>6039.14</v>
      </c>
      <c r="BS476" s="7">
        <v>4957.7299999999996</v>
      </c>
      <c r="BT476" s="7">
        <f t="shared" si="277"/>
        <v>17649.53</v>
      </c>
      <c r="BU476" s="144">
        <f>+AZ476/BT476</f>
        <v>8.8761570421421986E-3</v>
      </c>
    </row>
    <row r="477" spans="1:73" ht="11.25" hidden="1" x14ac:dyDescent="0.2">
      <c r="A477" s="133">
        <f t="shared" si="276"/>
        <v>3</v>
      </c>
      <c r="B477" s="141">
        <v>45352</v>
      </c>
      <c r="C477" s="10"/>
      <c r="D477" s="42" t="str">
        <f t="shared" si="279"/>
        <v>SI</v>
      </c>
      <c r="E477" s="7">
        <v>302687</v>
      </c>
      <c r="F477" s="7" t="s">
        <v>764</v>
      </c>
      <c r="G477" s="7" t="s">
        <v>158</v>
      </c>
      <c r="H477" s="7">
        <v>45369</v>
      </c>
      <c r="I477" s="7">
        <v>40132698</v>
      </c>
      <c r="J477" s="7" t="s">
        <v>762</v>
      </c>
      <c r="K477" s="7" t="s">
        <v>765</v>
      </c>
      <c r="L477" s="7" t="s">
        <v>179</v>
      </c>
      <c r="N477" s="29">
        <v>44728</v>
      </c>
      <c r="Q477" s="7" t="s">
        <v>157</v>
      </c>
      <c r="R477" s="7" t="s">
        <v>165</v>
      </c>
      <c r="S477" s="7" t="s">
        <v>126</v>
      </c>
      <c r="T477" s="7" t="s">
        <v>180</v>
      </c>
      <c r="U477" s="7" t="s">
        <v>167</v>
      </c>
      <c r="V477" s="7" t="s">
        <v>168</v>
      </c>
      <c r="W477" s="7">
        <v>108803</v>
      </c>
      <c r="X477" s="7" t="s">
        <v>169</v>
      </c>
      <c r="Y477" s="7" t="s">
        <v>170</v>
      </c>
      <c r="AA477" s="7" t="s">
        <v>208</v>
      </c>
      <c r="AB477" s="7" t="s">
        <v>209</v>
      </c>
      <c r="AC477" s="7">
        <v>1035</v>
      </c>
      <c r="AF477" s="7" t="s">
        <v>173</v>
      </c>
      <c r="AG477" s="7" t="s">
        <v>170</v>
      </c>
      <c r="AI477" s="7" t="s">
        <v>174</v>
      </c>
      <c r="AK477" s="7">
        <v>2</v>
      </c>
      <c r="AL477" s="7">
        <v>1</v>
      </c>
      <c r="AN477" s="7">
        <v>498.44</v>
      </c>
      <c r="AP477" s="7">
        <v>19937.64</v>
      </c>
      <c r="AQ477" s="30">
        <v>19439.2</v>
      </c>
      <c r="AR477" s="7">
        <v>498.44</v>
      </c>
      <c r="AS477" s="7"/>
      <c r="BG477" s="7">
        <v>398.75</v>
      </c>
      <c r="BO477" s="7">
        <v>199.38</v>
      </c>
      <c r="BR477" s="7">
        <v>1096.57</v>
      </c>
      <c r="BS477" s="7">
        <v>19937.64</v>
      </c>
      <c r="BT477" s="7">
        <f t="shared" si="277"/>
        <v>19937.64</v>
      </c>
    </row>
    <row r="478" spans="1:73" ht="11.25" x14ac:dyDescent="0.2">
      <c r="A478" s="133">
        <f t="shared" si="276"/>
        <v>3</v>
      </c>
      <c r="B478" s="141">
        <v>45352</v>
      </c>
      <c r="C478" s="10" t="s">
        <v>102</v>
      </c>
      <c r="D478" s="42" t="str">
        <f t="shared" si="279"/>
        <v>NO</v>
      </c>
      <c r="E478" s="7">
        <v>340775</v>
      </c>
      <c r="F478" s="7" t="s">
        <v>1066</v>
      </c>
      <c r="G478" s="7" t="s">
        <v>1067</v>
      </c>
      <c r="H478" s="7">
        <v>45387</v>
      </c>
      <c r="I478" s="7">
        <v>42721740</v>
      </c>
      <c r="J478" s="7" t="s">
        <v>1068</v>
      </c>
      <c r="K478" s="7" t="s">
        <v>1069</v>
      </c>
      <c r="L478" s="7" t="s">
        <v>179</v>
      </c>
      <c r="N478" s="29">
        <v>45361</v>
      </c>
      <c r="Q478" s="7" t="s">
        <v>157</v>
      </c>
      <c r="R478" s="7" t="s">
        <v>165</v>
      </c>
      <c r="S478" s="7" t="s">
        <v>126</v>
      </c>
      <c r="T478" s="7" t="s">
        <v>180</v>
      </c>
      <c r="U478" s="7" t="s">
        <v>167</v>
      </c>
      <c r="V478" s="7" t="s">
        <v>168</v>
      </c>
      <c r="W478" s="7">
        <v>108803</v>
      </c>
      <c r="X478" s="7" t="s">
        <v>169</v>
      </c>
      <c r="Y478" s="7" t="s">
        <v>170</v>
      </c>
      <c r="AA478" s="7" t="s">
        <v>171</v>
      </c>
      <c r="AB478" s="7" t="s">
        <v>172</v>
      </c>
      <c r="AC478" s="7">
        <v>1130</v>
      </c>
      <c r="AF478" s="7" t="s">
        <v>173</v>
      </c>
      <c r="AG478" s="7" t="s">
        <v>170</v>
      </c>
      <c r="AI478" s="7" t="s">
        <v>174</v>
      </c>
      <c r="AK478" s="7">
        <v>1</v>
      </c>
      <c r="AL478" s="7">
        <v>1</v>
      </c>
      <c r="AM478" s="7">
        <v>137460.46</v>
      </c>
      <c r="AN478" s="7">
        <v>28741.759999999998</v>
      </c>
      <c r="AP478" s="7">
        <v>48064.58</v>
      </c>
      <c r="AQ478" s="30">
        <v>156783.28</v>
      </c>
      <c r="AS478" s="7">
        <v>3710.5</v>
      </c>
      <c r="AZ478" s="7">
        <v>1662.99</v>
      </c>
      <c r="BG478" s="7">
        <v>3710.5</v>
      </c>
      <c r="BO478" s="7">
        <v>1855.25</v>
      </c>
      <c r="BP478" s="7">
        <v>5000</v>
      </c>
      <c r="BR478" s="7">
        <v>15939.24</v>
      </c>
      <c r="BS478" s="7">
        <v>48064.58</v>
      </c>
      <c r="BT478" s="7">
        <f t="shared" si="277"/>
        <v>185525.03999999998</v>
      </c>
      <c r="BU478" s="144">
        <f t="shared" ref="BU478:BU480" si="288">+AZ478/BT478</f>
        <v>8.9636956822647783E-3</v>
      </c>
    </row>
    <row r="479" spans="1:73" ht="11.25" x14ac:dyDescent="0.2">
      <c r="A479" s="133">
        <f t="shared" ref="A479:A489" si="289">IF(B479="","",VALUE(MONTH(B479)))</f>
        <v>3</v>
      </c>
      <c r="B479" s="141">
        <v>45352</v>
      </c>
      <c r="C479" s="10" t="s">
        <v>102</v>
      </c>
      <c r="D479" s="42" t="str">
        <f t="shared" si="279"/>
        <v>NO</v>
      </c>
      <c r="E479" s="7">
        <v>335392</v>
      </c>
      <c r="F479" s="7" t="s">
        <v>770</v>
      </c>
      <c r="G479" s="7" t="s">
        <v>771</v>
      </c>
      <c r="H479" s="7">
        <v>45387</v>
      </c>
      <c r="I479" s="7">
        <v>41938072</v>
      </c>
      <c r="J479" s="7" t="s">
        <v>772</v>
      </c>
      <c r="K479" s="7" t="s">
        <v>773</v>
      </c>
      <c r="L479" s="7" t="s">
        <v>179</v>
      </c>
      <c r="N479" s="29">
        <v>45262</v>
      </c>
      <c r="Q479" s="7" t="s">
        <v>157</v>
      </c>
      <c r="R479" s="7" t="s">
        <v>199</v>
      </c>
      <c r="S479" s="7" t="s">
        <v>126</v>
      </c>
      <c r="T479" s="7" t="s">
        <v>200</v>
      </c>
      <c r="U479" s="7" t="s">
        <v>167</v>
      </c>
      <c r="V479" s="7" t="s">
        <v>360</v>
      </c>
      <c r="W479" s="7">
        <v>108803</v>
      </c>
      <c r="X479" s="7" t="s">
        <v>169</v>
      </c>
      <c r="Y479" s="7" t="s">
        <v>170</v>
      </c>
      <c r="AA479" s="7" t="s">
        <v>189</v>
      </c>
      <c r="AB479" s="7" t="s">
        <v>190</v>
      </c>
      <c r="AC479" s="7">
        <v>1584</v>
      </c>
      <c r="AF479" s="7" t="s">
        <v>173</v>
      </c>
      <c r="AG479" s="7" t="s">
        <v>170</v>
      </c>
      <c r="AI479" s="7" t="s">
        <v>174</v>
      </c>
      <c r="AK479" s="7">
        <v>4</v>
      </c>
      <c r="AL479" s="7">
        <v>1</v>
      </c>
      <c r="AM479" s="7">
        <v>96103.38</v>
      </c>
      <c r="AN479" s="7">
        <v>20240.41</v>
      </c>
      <c r="AP479" s="7">
        <v>39724.54</v>
      </c>
      <c r="AQ479" s="30">
        <v>115587.51</v>
      </c>
      <c r="AS479" s="7">
        <v>2716.56</v>
      </c>
      <c r="AZ479" s="7">
        <v>1186.28</v>
      </c>
      <c r="BG479" s="7">
        <v>2716.56</v>
      </c>
      <c r="BO479" s="7">
        <v>1358.28</v>
      </c>
      <c r="BP479" s="7">
        <v>10000</v>
      </c>
      <c r="BR479" s="7">
        <v>17977.68</v>
      </c>
      <c r="BS479" s="7">
        <v>39724.54</v>
      </c>
      <c r="BT479" s="7">
        <f t="shared" si="277"/>
        <v>135827.92000000001</v>
      </c>
      <c r="BU479" s="144">
        <f t="shared" si="288"/>
        <v>8.7336977552185131E-3</v>
      </c>
    </row>
    <row r="480" spans="1:73" ht="11.25" x14ac:dyDescent="0.2">
      <c r="A480" s="133">
        <f t="shared" si="289"/>
        <v>3</v>
      </c>
      <c r="B480" s="141">
        <v>45352</v>
      </c>
      <c r="C480" s="10" t="s">
        <v>102</v>
      </c>
      <c r="D480" s="42" t="str">
        <f t="shared" si="279"/>
        <v>NO</v>
      </c>
      <c r="E480" s="7">
        <v>328895</v>
      </c>
      <c r="F480" s="7" t="s">
        <v>774</v>
      </c>
      <c r="G480" s="7" t="s">
        <v>775</v>
      </c>
      <c r="H480" s="7">
        <v>45387</v>
      </c>
      <c r="I480" s="7">
        <v>95994665</v>
      </c>
      <c r="J480" s="7" t="s">
        <v>776</v>
      </c>
      <c r="K480" s="7" t="s">
        <v>777</v>
      </c>
      <c r="L480" s="7" t="s">
        <v>164</v>
      </c>
      <c r="N480" s="29">
        <v>45352</v>
      </c>
      <c r="Q480" s="7" t="s">
        <v>157</v>
      </c>
      <c r="R480" s="7" t="s">
        <v>165</v>
      </c>
      <c r="S480" s="7" t="s">
        <v>126</v>
      </c>
      <c r="T480" s="7" t="s">
        <v>180</v>
      </c>
      <c r="U480" s="7" t="s">
        <v>167</v>
      </c>
      <c r="V480" s="7" t="s">
        <v>168</v>
      </c>
      <c r="W480" s="7">
        <v>108803</v>
      </c>
      <c r="X480" s="7" t="s">
        <v>169</v>
      </c>
      <c r="Y480" s="7" t="s">
        <v>170</v>
      </c>
      <c r="AA480" s="7" t="s">
        <v>171</v>
      </c>
      <c r="AB480" s="7" t="s">
        <v>172</v>
      </c>
      <c r="AC480" s="7">
        <v>1130</v>
      </c>
      <c r="AF480" s="7" t="s">
        <v>173</v>
      </c>
      <c r="AG480" s="7" t="s">
        <v>170</v>
      </c>
      <c r="AI480" s="7" t="s">
        <v>174</v>
      </c>
      <c r="AK480" s="7">
        <v>3</v>
      </c>
      <c r="AL480" s="7">
        <v>1</v>
      </c>
      <c r="AM480" s="7">
        <v>371143.24</v>
      </c>
      <c r="AN480" s="7">
        <v>77894.11</v>
      </c>
      <c r="AP480" s="7">
        <v>144341.60999999999</v>
      </c>
      <c r="AQ480" s="30">
        <v>437590.74</v>
      </c>
      <c r="AS480" s="7">
        <v>10309.700000000001</v>
      </c>
      <c r="AZ480" s="7">
        <v>4490.08</v>
      </c>
      <c r="BG480" s="7">
        <v>10309.700000000001</v>
      </c>
      <c r="BO480" s="7">
        <v>5154.8500000000004</v>
      </c>
      <c r="BP480" s="7">
        <v>10000</v>
      </c>
      <c r="BR480" s="7">
        <v>40264.33</v>
      </c>
      <c r="BS480" s="7">
        <v>144341.60999999999</v>
      </c>
      <c r="BT480" s="7">
        <f t="shared" si="277"/>
        <v>515484.85</v>
      </c>
      <c r="BU480" s="144">
        <f t="shared" si="288"/>
        <v>8.7104014793063268E-3</v>
      </c>
    </row>
    <row r="481" spans="1:73" ht="11.25" hidden="1" x14ac:dyDescent="0.2">
      <c r="A481" s="133">
        <f t="shared" si="289"/>
        <v>3</v>
      </c>
      <c r="B481" s="141">
        <v>45352</v>
      </c>
      <c r="C481" s="10"/>
      <c r="D481" s="42" t="str">
        <f t="shared" si="279"/>
        <v>NO</v>
      </c>
      <c r="E481" s="7">
        <v>334959</v>
      </c>
      <c r="F481" s="7" t="s">
        <v>778</v>
      </c>
      <c r="G481" s="7" t="s">
        <v>779</v>
      </c>
      <c r="H481" s="7">
        <v>45369</v>
      </c>
      <c r="I481" s="7">
        <v>38189132</v>
      </c>
      <c r="J481" s="7" t="s">
        <v>780</v>
      </c>
      <c r="K481" s="7" t="s">
        <v>917</v>
      </c>
      <c r="L481" s="7" t="s">
        <v>179</v>
      </c>
      <c r="N481" s="29">
        <v>45259</v>
      </c>
      <c r="Q481" s="7" t="s">
        <v>157</v>
      </c>
      <c r="R481" s="7" t="s">
        <v>214</v>
      </c>
      <c r="S481" s="7" t="s">
        <v>126</v>
      </c>
      <c r="T481" s="7" t="s">
        <v>206</v>
      </c>
      <c r="U481" s="7" t="s">
        <v>167</v>
      </c>
      <c r="V481" s="7" t="s">
        <v>215</v>
      </c>
      <c r="W481" s="7">
        <v>108803</v>
      </c>
      <c r="X481" s="7" t="s">
        <v>169</v>
      </c>
      <c r="Y481" s="7" t="s">
        <v>170</v>
      </c>
      <c r="AA481" s="7" t="s">
        <v>208</v>
      </c>
      <c r="AB481" s="7" t="s">
        <v>209</v>
      </c>
      <c r="AC481" s="7">
        <v>1035</v>
      </c>
      <c r="AF481" s="7" t="s">
        <v>173</v>
      </c>
      <c r="AG481" s="7" t="s">
        <v>170</v>
      </c>
      <c r="AI481" s="7" t="s">
        <v>174</v>
      </c>
      <c r="AK481" s="7">
        <v>1</v>
      </c>
      <c r="AL481" s="7">
        <v>1</v>
      </c>
      <c r="AN481" s="7">
        <v>49.14</v>
      </c>
      <c r="AP481" s="7">
        <v>2456.9</v>
      </c>
      <c r="AQ481" s="30">
        <v>2407.7600000000002</v>
      </c>
      <c r="AS481" s="7">
        <v>49.14</v>
      </c>
      <c r="BG481" s="7">
        <v>49.14</v>
      </c>
      <c r="BO481" s="7">
        <v>24.57</v>
      </c>
      <c r="BR481" s="7">
        <v>122.85</v>
      </c>
      <c r="BS481" s="7">
        <v>9827.61</v>
      </c>
      <c r="BT481" s="7">
        <f t="shared" si="277"/>
        <v>9827.61</v>
      </c>
    </row>
    <row r="482" spans="1:73" ht="11.25" x14ac:dyDescent="0.2">
      <c r="A482" s="133">
        <f t="shared" si="289"/>
        <v>3</v>
      </c>
      <c r="B482" s="141">
        <v>45352</v>
      </c>
      <c r="C482" s="10" t="s">
        <v>102</v>
      </c>
      <c r="D482" s="42" t="str">
        <f t="shared" si="279"/>
        <v>NO</v>
      </c>
      <c r="E482" s="7">
        <v>340772</v>
      </c>
      <c r="F482" s="7" t="s">
        <v>1070</v>
      </c>
      <c r="G482" s="7" t="s">
        <v>1071</v>
      </c>
      <c r="H482" s="7">
        <v>45387</v>
      </c>
      <c r="I482" s="7">
        <v>46278741</v>
      </c>
      <c r="J482" s="7" t="s">
        <v>1072</v>
      </c>
      <c r="K482" s="7" t="s">
        <v>1073</v>
      </c>
      <c r="L482" s="7" t="s">
        <v>179</v>
      </c>
      <c r="N482" s="29">
        <v>45360</v>
      </c>
      <c r="Q482" s="7" t="s">
        <v>157</v>
      </c>
      <c r="R482" s="7" t="s">
        <v>165</v>
      </c>
      <c r="S482" s="7" t="s">
        <v>126</v>
      </c>
      <c r="T482" s="7" t="s">
        <v>180</v>
      </c>
      <c r="U482" s="7" t="s">
        <v>167</v>
      </c>
      <c r="V482" s="7" t="s">
        <v>168</v>
      </c>
      <c r="W482" s="7">
        <v>108803</v>
      </c>
      <c r="X482" s="7" t="s">
        <v>169</v>
      </c>
      <c r="Y482" s="7" t="s">
        <v>170</v>
      </c>
      <c r="AA482" s="7" t="s">
        <v>171</v>
      </c>
      <c r="AB482" s="7" t="s">
        <v>172</v>
      </c>
      <c r="AC482" s="7">
        <v>1130</v>
      </c>
      <c r="AF482" s="7" t="s">
        <v>173</v>
      </c>
      <c r="AG482" s="7" t="s">
        <v>170</v>
      </c>
      <c r="AI482" s="7" t="s">
        <v>174</v>
      </c>
      <c r="AK482" s="7">
        <v>1</v>
      </c>
      <c r="AL482" s="7">
        <v>1</v>
      </c>
      <c r="AM482" s="7">
        <v>98337.1</v>
      </c>
      <c r="AN482" s="7">
        <v>20561.419999999998</v>
      </c>
      <c r="AP482" s="7">
        <v>34384.65</v>
      </c>
      <c r="AQ482" s="30">
        <v>112160.33</v>
      </c>
      <c r="AS482" s="7">
        <v>2654.44</v>
      </c>
      <c r="AZ482" s="7">
        <v>1189.68</v>
      </c>
      <c r="BG482" s="7">
        <v>2654.44</v>
      </c>
      <c r="BO482" s="7">
        <v>1327.22</v>
      </c>
      <c r="BP482" s="7">
        <v>5000</v>
      </c>
      <c r="BR482" s="7">
        <v>12825.78</v>
      </c>
      <c r="BS482" s="7">
        <v>34384.65</v>
      </c>
      <c r="BT482" s="7">
        <f t="shared" ref="BT482:BT489" si="290">+AM482+BS482</f>
        <v>132721.75</v>
      </c>
      <c r="BU482" s="144">
        <f t="shared" ref="BU482:BU483" si="291">+AZ482/BT482</f>
        <v>8.96371544226926E-3</v>
      </c>
    </row>
    <row r="483" spans="1:73" ht="11.25" x14ac:dyDescent="0.2">
      <c r="A483" s="133">
        <f t="shared" si="289"/>
        <v>3</v>
      </c>
      <c r="B483" s="141">
        <v>45352</v>
      </c>
      <c r="C483" s="10" t="s">
        <v>102</v>
      </c>
      <c r="D483" s="42" t="str">
        <f t="shared" si="279"/>
        <v>NO</v>
      </c>
      <c r="E483" s="7">
        <v>203239</v>
      </c>
      <c r="F483" s="7" t="s">
        <v>782</v>
      </c>
      <c r="G483" s="7" t="s">
        <v>783</v>
      </c>
      <c r="H483" s="7">
        <v>45390</v>
      </c>
      <c r="I483" s="7">
        <v>93328378</v>
      </c>
      <c r="J483" s="7" t="s">
        <v>784</v>
      </c>
      <c r="K483" s="7" t="s">
        <v>785</v>
      </c>
      <c r="L483" s="7" t="s">
        <v>164</v>
      </c>
      <c r="N483" s="29">
        <v>45010</v>
      </c>
      <c r="Q483" s="7" t="s">
        <v>157</v>
      </c>
      <c r="R483" s="7" t="s">
        <v>165</v>
      </c>
      <c r="S483" s="7" t="s">
        <v>126</v>
      </c>
      <c r="T483" s="7" t="s">
        <v>180</v>
      </c>
      <c r="U483" s="7" t="s">
        <v>167</v>
      </c>
      <c r="V483" s="7" t="s">
        <v>168</v>
      </c>
      <c r="W483" s="7">
        <v>108803</v>
      </c>
      <c r="X483" s="7" t="s">
        <v>169</v>
      </c>
      <c r="Y483" s="7" t="s">
        <v>170</v>
      </c>
      <c r="AA483" s="7" t="s">
        <v>171</v>
      </c>
      <c r="AB483" s="7" t="s">
        <v>172</v>
      </c>
      <c r="AC483" s="7">
        <v>1130</v>
      </c>
      <c r="AF483" s="7" t="s">
        <v>173</v>
      </c>
      <c r="AG483" s="7" t="s">
        <v>170</v>
      </c>
      <c r="AI483" s="7" t="s">
        <v>174</v>
      </c>
      <c r="AK483" s="7">
        <v>2</v>
      </c>
      <c r="AL483" s="7">
        <v>1</v>
      </c>
      <c r="AM483" s="7">
        <v>60873.83</v>
      </c>
      <c r="AN483" s="7">
        <v>12801.08</v>
      </c>
      <c r="AP483" s="7">
        <v>24993.58</v>
      </c>
      <c r="AQ483" s="30">
        <v>73066.33</v>
      </c>
      <c r="AS483" s="7">
        <v>1717.35</v>
      </c>
      <c r="AZ483" s="7">
        <v>735.19</v>
      </c>
      <c r="BG483" s="7">
        <v>1717.35</v>
      </c>
      <c r="BO483" s="7">
        <v>858.67</v>
      </c>
      <c r="BP483" s="7">
        <v>5000</v>
      </c>
      <c r="BR483" s="7">
        <v>10028.56</v>
      </c>
      <c r="BS483" s="7">
        <v>24993.58</v>
      </c>
      <c r="BT483" s="7">
        <f t="shared" si="290"/>
        <v>85867.41</v>
      </c>
      <c r="BU483" s="144">
        <f t="shared" si="291"/>
        <v>8.5619212224987348E-3</v>
      </c>
    </row>
    <row r="484" spans="1:73" ht="11.25" hidden="1" x14ac:dyDescent="0.2">
      <c r="A484" s="133">
        <f t="shared" si="289"/>
        <v>3</v>
      </c>
      <c r="B484" s="141">
        <v>45352</v>
      </c>
      <c r="C484" s="10"/>
      <c r="D484" s="42" t="str">
        <f t="shared" si="279"/>
        <v>NO</v>
      </c>
      <c r="E484" s="7">
        <v>328995</v>
      </c>
      <c r="F484" s="7" t="s">
        <v>794</v>
      </c>
      <c r="G484" s="7" t="s">
        <v>795</v>
      </c>
      <c r="H484" s="7">
        <v>45369</v>
      </c>
      <c r="I484" s="7">
        <v>37018114</v>
      </c>
      <c r="J484" s="7" t="s">
        <v>796</v>
      </c>
      <c r="K484" s="7" t="s">
        <v>797</v>
      </c>
      <c r="L484" s="7" t="s">
        <v>179</v>
      </c>
      <c r="N484" s="29">
        <v>45159</v>
      </c>
      <c r="Q484" s="7" t="s">
        <v>157</v>
      </c>
      <c r="R484" s="7" t="s">
        <v>165</v>
      </c>
      <c r="S484" s="7" t="s">
        <v>126</v>
      </c>
      <c r="T484" s="7" t="s">
        <v>166</v>
      </c>
      <c r="U484" s="7" t="s">
        <v>167</v>
      </c>
      <c r="V484" s="7" t="s">
        <v>168</v>
      </c>
      <c r="W484" s="7">
        <v>108803</v>
      </c>
      <c r="X484" s="7" t="s">
        <v>169</v>
      </c>
      <c r="Y484" s="7" t="s">
        <v>170</v>
      </c>
      <c r="AA484" s="7" t="s">
        <v>189</v>
      </c>
      <c r="AB484" s="7" t="s">
        <v>190</v>
      </c>
      <c r="AC484" s="7">
        <v>1584</v>
      </c>
      <c r="AF484" s="7" t="s">
        <v>173</v>
      </c>
      <c r="AG484" s="7" t="s">
        <v>170</v>
      </c>
      <c r="AI484" s="7" t="s">
        <v>174</v>
      </c>
      <c r="AK484" s="7">
        <v>1</v>
      </c>
      <c r="AL484" s="7">
        <v>1</v>
      </c>
      <c r="AN484" s="7">
        <v>11.83</v>
      </c>
      <c r="AP484" s="7">
        <v>591.55999999999995</v>
      </c>
      <c r="AQ484" s="30">
        <v>579.73</v>
      </c>
      <c r="AS484" s="7">
        <v>11.83</v>
      </c>
      <c r="BG484" s="7">
        <v>11.83</v>
      </c>
      <c r="BO484" s="7">
        <v>5.92</v>
      </c>
      <c r="BR484" s="7">
        <v>29.58</v>
      </c>
      <c r="BS484" s="7">
        <v>591.55999999999995</v>
      </c>
      <c r="BT484" s="7">
        <f t="shared" si="290"/>
        <v>591.55999999999995</v>
      </c>
    </row>
    <row r="485" spans="1:73" ht="11.25" x14ac:dyDescent="0.2">
      <c r="A485" s="133">
        <f t="shared" si="289"/>
        <v>3</v>
      </c>
      <c r="B485" s="141">
        <v>45352</v>
      </c>
      <c r="C485" s="10" t="s">
        <v>102</v>
      </c>
      <c r="D485" s="42" t="str">
        <f t="shared" si="279"/>
        <v>NO</v>
      </c>
      <c r="E485" s="7">
        <v>337378</v>
      </c>
      <c r="F485" s="7" t="s">
        <v>802</v>
      </c>
      <c r="G485" s="7" t="s">
        <v>803</v>
      </c>
      <c r="H485" s="7">
        <v>45387</v>
      </c>
      <c r="I485" s="7">
        <v>43815918</v>
      </c>
      <c r="J485" s="7" t="s">
        <v>804</v>
      </c>
      <c r="K485" s="7" t="s">
        <v>805</v>
      </c>
      <c r="L485" s="7" t="s">
        <v>179</v>
      </c>
      <c r="N485" s="29">
        <v>45341</v>
      </c>
      <c r="Q485" s="7" t="s">
        <v>157</v>
      </c>
      <c r="R485" s="7" t="s">
        <v>165</v>
      </c>
      <c r="S485" s="7" t="s">
        <v>126</v>
      </c>
      <c r="T485" s="7" t="s">
        <v>180</v>
      </c>
      <c r="U485" s="7" t="s">
        <v>167</v>
      </c>
      <c r="V485" s="7" t="s">
        <v>168</v>
      </c>
      <c r="W485" s="7">
        <v>108803</v>
      </c>
      <c r="X485" s="7" t="s">
        <v>169</v>
      </c>
      <c r="Y485" s="7" t="s">
        <v>170</v>
      </c>
      <c r="AA485" s="7" t="s">
        <v>171</v>
      </c>
      <c r="AB485" s="7" t="s">
        <v>172</v>
      </c>
      <c r="AC485" s="7">
        <v>1130</v>
      </c>
      <c r="AF485" s="7" t="s">
        <v>173</v>
      </c>
      <c r="AG485" s="7" t="s">
        <v>170</v>
      </c>
      <c r="AI485" s="7" t="s">
        <v>174</v>
      </c>
      <c r="AK485" s="7">
        <v>4</v>
      </c>
      <c r="AL485" s="7">
        <v>1</v>
      </c>
      <c r="AM485" s="7">
        <v>10573.89</v>
      </c>
      <c r="AN485" s="7">
        <v>2273.02</v>
      </c>
      <c r="AP485" s="7">
        <v>6803</v>
      </c>
      <c r="AQ485" s="30">
        <v>15103.87</v>
      </c>
      <c r="AS485" s="7">
        <v>347.53</v>
      </c>
      <c r="AZ485" s="7">
        <v>127.92</v>
      </c>
      <c r="BG485" s="7">
        <v>347.53</v>
      </c>
      <c r="BO485" s="7">
        <v>173.77</v>
      </c>
      <c r="BP485" s="7">
        <v>5000</v>
      </c>
      <c r="BR485" s="7">
        <v>5996.75</v>
      </c>
      <c r="BS485" s="7">
        <v>6803</v>
      </c>
      <c r="BT485" s="7">
        <f t="shared" si="290"/>
        <v>17376.89</v>
      </c>
      <c r="BU485" s="144">
        <f t="shared" ref="BU485:BU486" si="292">+AZ485/BT485</f>
        <v>7.3615013963948669E-3</v>
      </c>
    </row>
    <row r="486" spans="1:73" ht="11.25" x14ac:dyDescent="0.2">
      <c r="A486" s="133">
        <f t="shared" si="289"/>
        <v>3</v>
      </c>
      <c r="B486" s="141">
        <v>45352</v>
      </c>
      <c r="C486" s="10" t="s">
        <v>102</v>
      </c>
      <c r="D486" s="42" t="str">
        <f t="shared" si="279"/>
        <v>NO</v>
      </c>
      <c r="E486" s="7">
        <v>335391</v>
      </c>
      <c r="F486" s="7" t="s">
        <v>806</v>
      </c>
      <c r="G486" s="7" t="s">
        <v>807</v>
      </c>
      <c r="H486" s="7">
        <v>45387</v>
      </c>
      <c r="I486" s="7">
        <v>40897135</v>
      </c>
      <c r="J486" s="7" t="s">
        <v>808</v>
      </c>
      <c r="K486" s="7" t="s">
        <v>809</v>
      </c>
      <c r="L486" s="7" t="s">
        <v>179</v>
      </c>
      <c r="N486" s="29">
        <v>45263</v>
      </c>
      <c r="Q486" s="7" t="s">
        <v>157</v>
      </c>
      <c r="R486" s="7" t="s">
        <v>214</v>
      </c>
      <c r="S486" s="7" t="s">
        <v>126</v>
      </c>
      <c r="T486" s="7" t="s">
        <v>239</v>
      </c>
      <c r="U486" s="7" t="s">
        <v>167</v>
      </c>
      <c r="V486" s="7" t="s">
        <v>215</v>
      </c>
      <c r="W486" s="7">
        <v>108803</v>
      </c>
      <c r="X486" s="7" t="s">
        <v>169</v>
      </c>
      <c r="Y486" s="7" t="s">
        <v>170</v>
      </c>
      <c r="AA486" s="7" t="s">
        <v>171</v>
      </c>
      <c r="AB486" s="7" t="s">
        <v>172</v>
      </c>
      <c r="AC486" s="7">
        <v>1130</v>
      </c>
      <c r="AF486" s="7" t="s">
        <v>173</v>
      </c>
      <c r="AG486" s="7" t="s">
        <v>170</v>
      </c>
      <c r="AI486" s="7" t="s">
        <v>174</v>
      </c>
      <c r="AK486" s="7">
        <v>2</v>
      </c>
      <c r="AL486" s="7">
        <v>1</v>
      </c>
      <c r="AM486" s="7">
        <v>100241.7</v>
      </c>
      <c r="AN486" s="7">
        <v>21266.04</v>
      </c>
      <c r="AP486" s="7">
        <v>49138.07</v>
      </c>
      <c r="AQ486" s="30">
        <v>128113.73</v>
      </c>
      <c r="AS486" s="7">
        <v>2987.59</v>
      </c>
      <c r="AZ486" s="7">
        <v>1237.3599999999999</v>
      </c>
      <c r="BG486" s="7">
        <v>2987.59</v>
      </c>
      <c r="BO486" s="7">
        <v>1493.8</v>
      </c>
      <c r="BP486" s="7">
        <v>5000</v>
      </c>
      <c r="BR486" s="7">
        <v>13706.34</v>
      </c>
      <c r="BS486" s="7">
        <v>49138.07</v>
      </c>
      <c r="BT486" s="7">
        <f t="shared" si="290"/>
        <v>149379.76999999999</v>
      </c>
      <c r="BU486" s="144">
        <f t="shared" si="292"/>
        <v>8.2833170783433389E-3</v>
      </c>
    </row>
    <row r="487" spans="1:73" ht="11.25" hidden="1" x14ac:dyDescent="0.2">
      <c r="A487" s="133">
        <f t="shared" si="289"/>
        <v>3</v>
      </c>
      <c r="B487" s="141">
        <v>45352</v>
      </c>
      <c r="C487" s="10"/>
      <c r="D487" s="42" t="str">
        <f t="shared" ref="D487:D489" si="293">IF(AR487="","NO","SI")</f>
        <v>NO</v>
      </c>
      <c r="E487" s="7">
        <v>144625</v>
      </c>
      <c r="F487" s="7" t="s">
        <v>918</v>
      </c>
      <c r="G487" s="7" t="s">
        <v>919</v>
      </c>
      <c r="H487" s="7">
        <v>45369</v>
      </c>
      <c r="I487" s="7">
        <v>31654913</v>
      </c>
      <c r="J487" s="7" t="s">
        <v>920</v>
      </c>
      <c r="K487" s="7" t="s">
        <v>921</v>
      </c>
      <c r="L487" s="7" t="s">
        <v>179</v>
      </c>
      <c r="N487" s="29">
        <v>45346</v>
      </c>
      <c r="Q487" s="7" t="s">
        <v>157</v>
      </c>
      <c r="R487" s="7" t="s">
        <v>199</v>
      </c>
      <c r="S487" s="7" t="s">
        <v>126</v>
      </c>
      <c r="T487" s="7" t="s">
        <v>200</v>
      </c>
      <c r="U487" s="7" t="s">
        <v>167</v>
      </c>
      <c r="V487" s="7" t="s">
        <v>201</v>
      </c>
      <c r="W487" s="7">
        <v>108803</v>
      </c>
      <c r="X487" s="7" t="s">
        <v>169</v>
      </c>
      <c r="Y487" s="7" t="s">
        <v>170</v>
      </c>
      <c r="AA487" s="7" t="s">
        <v>189</v>
      </c>
      <c r="AB487" s="7" t="s">
        <v>190</v>
      </c>
      <c r="AC487" s="7">
        <v>1584</v>
      </c>
      <c r="AF487" s="7" t="s">
        <v>173</v>
      </c>
      <c r="AG487" s="7" t="s">
        <v>170</v>
      </c>
      <c r="AI487" s="7" t="s">
        <v>174</v>
      </c>
      <c r="AK487" s="7">
        <v>1</v>
      </c>
      <c r="AL487" s="7">
        <v>1</v>
      </c>
      <c r="AN487" s="7">
        <v>20.48</v>
      </c>
      <c r="AP487" s="7">
        <v>1023.83</v>
      </c>
      <c r="AQ487" s="30">
        <v>1003.35</v>
      </c>
      <c r="AS487" s="7">
        <v>20.48</v>
      </c>
      <c r="BG487" s="7">
        <v>20.48</v>
      </c>
      <c r="BO487" s="7">
        <v>10.24</v>
      </c>
      <c r="BR487" s="7">
        <v>51.2</v>
      </c>
      <c r="BS487" s="7">
        <v>1023.83</v>
      </c>
      <c r="BT487" s="7">
        <f t="shared" si="290"/>
        <v>1023.83</v>
      </c>
    </row>
    <row r="488" spans="1:73" ht="11.25" x14ac:dyDescent="0.2">
      <c r="A488" s="133">
        <f t="shared" si="289"/>
        <v>3</v>
      </c>
      <c r="B488" s="141">
        <v>45352</v>
      </c>
      <c r="C488" s="10" t="s">
        <v>102</v>
      </c>
      <c r="D488" s="42" t="str">
        <f t="shared" si="293"/>
        <v>NO</v>
      </c>
      <c r="E488" s="7">
        <v>327777</v>
      </c>
      <c r="F488" s="7" t="s">
        <v>1074</v>
      </c>
      <c r="G488" s="7" t="s">
        <v>1075</v>
      </c>
      <c r="H488" s="7">
        <v>45387</v>
      </c>
      <c r="I488" s="7">
        <v>19035508</v>
      </c>
      <c r="J488" s="7" t="s">
        <v>1076</v>
      </c>
      <c r="K488" s="7" t="s">
        <v>1077</v>
      </c>
      <c r="L488" s="7" t="s">
        <v>179</v>
      </c>
      <c r="N488" s="29">
        <v>45352</v>
      </c>
      <c r="Q488" s="7" t="s">
        <v>157</v>
      </c>
      <c r="R488" s="7" t="s">
        <v>165</v>
      </c>
      <c r="S488" s="7" t="s">
        <v>126</v>
      </c>
      <c r="T488" s="7" t="s">
        <v>180</v>
      </c>
      <c r="U488" s="7" t="s">
        <v>167</v>
      </c>
      <c r="V488" s="7" t="s">
        <v>168</v>
      </c>
      <c r="W488" s="7">
        <v>108803</v>
      </c>
      <c r="X488" s="7" t="s">
        <v>169</v>
      </c>
      <c r="Y488" s="7" t="s">
        <v>170</v>
      </c>
      <c r="AA488" s="7" t="s">
        <v>171</v>
      </c>
      <c r="AB488" s="7" t="s">
        <v>172</v>
      </c>
      <c r="AC488" s="7">
        <v>1130</v>
      </c>
      <c r="AF488" s="7" t="s">
        <v>173</v>
      </c>
      <c r="AG488" s="7" t="s">
        <v>170</v>
      </c>
      <c r="AI488" s="7" t="s">
        <v>174</v>
      </c>
      <c r="AK488" s="7">
        <v>1</v>
      </c>
      <c r="AL488" s="7">
        <v>1</v>
      </c>
      <c r="AM488" s="7">
        <v>9516.5</v>
      </c>
      <c r="AN488" s="7">
        <v>1989.83</v>
      </c>
      <c r="AP488" s="7">
        <v>3327.55</v>
      </c>
      <c r="AQ488" s="30">
        <v>10854.22</v>
      </c>
      <c r="AS488" s="7">
        <v>256.88</v>
      </c>
      <c r="AZ488" s="7">
        <v>115.13</v>
      </c>
      <c r="BG488" s="7">
        <v>256.88</v>
      </c>
      <c r="BO488" s="7">
        <v>128.44</v>
      </c>
      <c r="BP488" s="7">
        <v>5000</v>
      </c>
      <c r="BR488" s="7">
        <v>5757.33</v>
      </c>
      <c r="BS488" s="7">
        <v>3327.55</v>
      </c>
      <c r="BT488" s="7">
        <f t="shared" si="290"/>
        <v>12844.05</v>
      </c>
      <c r="BU488" s="144">
        <f t="shared" ref="BU488:BU489" si="294">+AZ488/BT488</f>
        <v>8.9636835733277274E-3</v>
      </c>
    </row>
    <row r="489" spans="1:73" ht="11.25" x14ac:dyDescent="0.2">
      <c r="A489" s="133">
        <f t="shared" si="289"/>
        <v>3</v>
      </c>
      <c r="B489" s="141">
        <v>45352</v>
      </c>
      <c r="C489" s="10" t="s">
        <v>102</v>
      </c>
      <c r="D489" s="42" t="str">
        <f t="shared" si="293"/>
        <v>NO</v>
      </c>
      <c r="E489" s="7">
        <v>310965</v>
      </c>
      <c r="F489" s="7" t="s">
        <v>810</v>
      </c>
      <c r="G489" s="7" t="s">
        <v>811</v>
      </c>
      <c r="H489" s="7">
        <v>45379</v>
      </c>
      <c r="I489" s="7">
        <v>35435756</v>
      </c>
      <c r="J489" s="7" t="s">
        <v>812</v>
      </c>
      <c r="K489" s="7" t="s">
        <v>813</v>
      </c>
      <c r="L489" s="7" t="s">
        <v>179</v>
      </c>
      <c r="N489" s="29">
        <v>45138</v>
      </c>
      <c r="Q489" s="7" t="s">
        <v>157</v>
      </c>
      <c r="R489" s="7" t="s">
        <v>165</v>
      </c>
      <c r="S489" s="7" t="s">
        <v>126</v>
      </c>
      <c r="T489" s="7" t="s">
        <v>166</v>
      </c>
      <c r="U489" s="7" t="s">
        <v>167</v>
      </c>
      <c r="V489" s="7" t="s">
        <v>168</v>
      </c>
      <c r="W489" s="7">
        <v>126908</v>
      </c>
      <c r="X489" s="7" t="s">
        <v>365</v>
      </c>
      <c r="Y489" s="7" t="s">
        <v>170</v>
      </c>
      <c r="AA489" s="7" t="s">
        <v>171</v>
      </c>
      <c r="AB489" s="7" t="s">
        <v>172</v>
      </c>
      <c r="AC489" s="7">
        <v>1130</v>
      </c>
      <c r="AF489" s="7" t="s">
        <v>173</v>
      </c>
      <c r="AG489" s="7" t="s">
        <v>170</v>
      </c>
      <c r="AI489" s="7" t="s">
        <v>174</v>
      </c>
      <c r="AK489" s="7">
        <v>2</v>
      </c>
      <c r="AL489" s="7">
        <v>1</v>
      </c>
      <c r="AM489" s="7">
        <v>120542.25</v>
      </c>
      <c r="AN489" s="7">
        <v>25572.58</v>
      </c>
      <c r="AP489" s="7">
        <v>60561.36</v>
      </c>
      <c r="AQ489" s="30">
        <v>155531.03</v>
      </c>
      <c r="AS489" s="7">
        <v>3622.07</v>
      </c>
      <c r="AZ489" s="7">
        <v>1458.32</v>
      </c>
      <c r="BG489" s="7">
        <v>3622.07</v>
      </c>
      <c r="BO489" s="7">
        <v>1811.03</v>
      </c>
      <c r="BP489" s="7">
        <v>5000</v>
      </c>
      <c r="BR489" s="7">
        <v>15513.49</v>
      </c>
      <c r="BS489" s="7">
        <v>60561.36</v>
      </c>
      <c r="BT489" s="7">
        <f t="shared" si="290"/>
        <v>181103.61</v>
      </c>
      <c r="BU489" s="144">
        <f t="shared" si="294"/>
        <v>8.0524071276105429E-3</v>
      </c>
    </row>
  </sheetData>
  <autoFilter ref="A101:BV489" xr:uid="{00000000-0001-0000-0300-000000000000}">
    <filterColumn colId="1">
      <filters>
        <dateGroupItem year="2024" month="3" dateTimeGrouping="month"/>
      </filters>
    </filterColumn>
    <filterColumn colId="2">
      <customFilters>
        <customFilter operator="notEqual" val=" "/>
      </customFilters>
    </filterColumn>
  </autoFilter>
  <mergeCells count="1">
    <mergeCell ref="E100:G100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25A5-8197-4FBE-B976-826E2CB1C2EE}">
  <dimension ref="A1:C99"/>
  <sheetViews>
    <sheetView workbookViewId="0">
      <selection activeCell="F13" sqref="F13"/>
    </sheetView>
  </sheetViews>
  <sheetFormatPr baseColWidth="10" defaultRowHeight="15" x14ac:dyDescent="0.25"/>
  <cols>
    <col min="1" max="1" width="13.7109375" style="163" customWidth="1"/>
    <col min="2" max="2" width="37.7109375" style="163" bestFit="1" customWidth="1"/>
    <col min="3" max="3" width="20.28515625" style="163" bestFit="1" customWidth="1"/>
    <col min="4" max="16384" width="11.42578125" style="163"/>
  </cols>
  <sheetData>
    <row r="1" spans="1:3" x14ac:dyDescent="0.25">
      <c r="A1" s="163" t="s">
        <v>1078</v>
      </c>
    </row>
    <row r="2" spans="1:3" x14ac:dyDescent="0.25">
      <c r="A2" s="164" t="s">
        <v>1096</v>
      </c>
    </row>
    <row r="3" spans="1:3" x14ac:dyDescent="0.25">
      <c r="A3" s="165"/>
    </row>
    <row r="4" spans="1:3" x14ac:dyDescent="0.25">
      <c r="A4" s="169" t="s">
        <v>44</v>
      </c>
      <c r="B4" s="169" t="s">
        <v>1097</v>
      </c>
      <c r="C4" s="169" t="s">
        <v>1098</v>
      </c>
    </row>
    <row r="5" spans="1:3" x14ac:dyDescent="0.25">
      <c r="A5" s="170">
        <v>20407836562</v>
      </c>
      <c r="B5" s="170" t="s">
        <v>927</v>
      </c>
      <c r="C5" s="170">
        <v>65888.25</v>
      </c>
    </row>
    <row r="6" spans="1:3" x14ac:dyDescent="0.25">
      <c r="A6" s="170">
        <v>20463611298</v>
      </c>
      <c r="B6" s="170" t="s">
        <v>931</v>
      </c>
      <c r="C6" s="170">
        <v>48521.929999999993</v>
      </c>
    </row>
    <row r="7" spans="1:3" x14ac:dyDescent="0.25">
      <c r="A7" s="170">
        <v>20416875147</v>
      </c>
      <c r="B7" s="170" t="s">
        <v>935</v>
      </c>
      <c r="C7" s="170">
        <v>19439.099999999999</v>
      </c>
    </row>
    <row r="8" spans="1:3" x14ac:dyDescent="0.25">
      <c r="A8" s="170">
        <v>20420393025</v>
      </c>
      <c r="B8" s="170" t="s">
        <v>181</v>
      </c>
      <c r="C8" s="170">
        <v>229980.28</v>
      </c>
    </row>
    <row r="9" spans="1:3" x14ac:dyDescent="0.25">
      <c r="A9" s="170">
        <v>20449633106</v>
      </c>
      <c r="B9" s="170" t="s">
        <v>822</v>
      </c>
      <c r="C9" s="170">
        <v>187617.65</v>
      </c>
    </row>
    <row r="10" spans="1:3" x14ac:dyDescent="0.25">
      <c r="A10" s="170">
        <v>27462129624</v>
      </c>
      <c r="B10" s="170" t="s">
        <v>937</v>
      </c>
      <c r="C10" s="170">
        <v>66124.03</v>
      </c>
    </row>
    <row r="11" spans="1:3" x14ac:dyDescent="0.25">
      <c r="A11" s="170">
        <v>27351279279</v>
      </c>
      <c r="B11" s="170" t="s">
        <v>832</v>
      </c>
      <c r="C11" s="170">
        <v>134052.77000000002</v>
      </c>
    </row>
    <row r="12" spans="1:3" x14ac:dyDescent="0.25">
      <c r="A12" s="170">
        <v>20469938485</v>
      </c>
      <c r="B12" s="170" t="s">
        <v>941</v>
      </c>
      <c r="C12" s="170">
        <v>133632.14000000001</v>
      </c>
    </row>
    <row r="13" spans="1:3" x14ac:dyDescent="0.25">
      <c r="A13" s="170">
        <v>27425280797</v>
      </c>
      <c r="B13" s="170" t="s">
        <v>945</v>
      </c>
      <c r="C13" s="170">
        <v>62605.59</v>
      </c>
    </row>
    <row r="14" spans="1:3" x14ac:dyDescent="0.25">
      <c r="A14" s="170">
        <v>20333062268</v>
      </c>
      <c r="B14" s="170" t="s">
        <v>948</v>
      </c>
      <c r="C14" s="170">
        <v>111315.03</v>
      </c>
    </row>
    <row r="15" spans="1:3" x14ac:dyDescent="0.25">
      <c r="A15" s="170">
        <v>27384575469</v>
      </c>
      <c r="B15" s="170" t="s">
        <v>952</v>
      </c>
      <c r="C15" s="170">
        <v>85884.58</v>
      </c>
    </row>
    <row r="16" spans="1:3" x14ac:dyDescent="0.25">
      <c r="A16" s="170">
        <v>23945982004</v>
      </c>
      <c r="B16" s="170" t="s">
        <v>276</v>
      </c>
      <c r="C16" s="170">
        <v>151145.68</v>
      </c>
    </row>
    <row r="17" spans="1:3" x14ac:dyDescent="0.25">
      <c r="A17" s="170">
        <v>27415852660</v>
      </c>
      <c r="B17" s="170" t="s">
        <v>288</v>
      </c>
      <c r="C17" s="170">
        <v>65750.89</v>
      </c>
    </row>
    <row r="18" spans="1:3" x14ac:dyDescent="0.25">
      <c r="A18" s="170">
        <v>27392095743</v>
      </c>
      <c r="B18" s="170" t="s">
        <v>304</v>
      </c>
      <c r="C18" s="170">
        <v>419522.54</v>
      </c>
    </row>
    <row r="19" spans="1:3" x14ac:dyDescent="0.25">
      <c r="A19" s="170">
        <v>27427153946</v>
      </c>
      <c r="B19" s="170" t="s">
        <v>308</v>
      </c>
      <c r="C19" s="170">
        <v>19439.099999999999</v>
      </c>
    </row>
    <row r="20" spans="1:3" x14ac:dyDescent="0.25">
      <c r="A20" s="170">
        <v>20386686409</v>
      </c>
      <c r="B20" s="170" t="s">
        <v>957</v>
      </c>
      <c r="C20" s="170">
        <v>159898.38</v>
      </c>
    </row>
    <row r="21" spans="1:3" x14ac:dyDescent="0.25">
      <c r="A21" s="170">
        <v>20445037711</v>
      </c>
      <c r="B21" s="170" t="s">
        <v>329</v>
      </c>
      <c r="C21" s="170">
        <v>570381.5</v>
      </c>
    </row>
    <row r="22" spans="1:3" x14ac:dyDescent="0.25">
      <c r="A22" s="170">
        <v>20381266150</v>
      </c>
      <c r="B22" s="170" t="s">
        <v>333</v>
      </c>
      <c r="C22" s="170">
        <v>38912.5</v>
      </c>
    </row>
    <row r="23" spans="1:3" x14ac:dyDescent="0.25">
      <c r="A23" s="170">
        <v>20385365870</v>
      </c>
      <c r="B23" s="170" t="s">
        <v>961</v>
      </c>
      <c r="C23" s="170">
        <v>11846.15</v>
      </c>
    </row>
    <row r="24" spans="1:3" x14ac:dyDescent="0.25">
      <c r="A24" s="170">
        <v>20955281617</v>
      </c>
      <c r="B24" s="170" t="s">
        <v>342</v>
      </c>
      <c r="C24" s="170">
        <v>38878.19</v>
      </c>
    </row>
    <row r="25" spans="1:3" x14ac:dyDescent="0.25">
      <c r="A25" s="170">
        <v>20311011333</v>
      </c>
      <c r="B25" s="170" t="s">
        <v>346</v>
      </c>
      <c r="C25" s="170">
        <v>537313.1</v>
      </c>
    </row>
    <row r="26" spans="1:3" x14ac:dyDescent="0.25">
      <c r="A26" s="170">
        <v>20405355168</v>
      </c>
      <c r="B26" s="170" t="s">
        <v>850</v>
      </c>
      <c r="C26" s="170">
        <v>143724.64000000001</v>
      </c>
    </row>
    <row r="27" spans="1:3" x14ac:dyDescent="0.25">
      <c r="A27" s="170">
        <v>27402114822</v>
      </c>
      <c r="B27" s="170" t="s">
        <v>374</v>
      </c>
      <c r="C27" s="170">
        <v>76998.48</v>
      </c>
    </row>
    <row r="28" spans="1:3" x14ac:dyDescent="0.25">
      <c r="A28" s="170">
        <v>20437318396</v>
      </c>
      <c r="B28" s="170" t="s">
        <v>857</v>
      </c>
      <c r="C28" s="170">
        <v>100097.78</v>
      </c>
    </row>
    <row r="29" spans="1:3" x14ac:dyDescent="0.25">
      <c r="A29" s="170">
        <v>20359772131</v>
      </c>
      <c r="B29" s="170" t="s">
        <v>965</v>
      </c>
      <c r="C29" s="170">
        <v>76925.14</v>
      </c>
    </row>
    <row r="30" spans="1:3" x14ac:dyDescent="0.25">
      <c r="A30" s="170">
        <v>27454956406</v>
      </c>
      <c r="B30" s="170" t="s">
        <v>861</v>
      </c>
      <c r="C30" s="170">
        <v>48521.929999999993</v>
      </c>
    </row>
    <row r="31" spans="1:3" x14ac:dyDescent="0.25">
      <c r="A31" s="170">
        <v>20359717351</v>
      </c>
      <c r="B31" s="170" t="s">
        <v>970</v>
      </c>
      <c r="C31" s="170">
        <v>5466.6100000000006</v>
      </c>
    </row>
    <row r="32" spans="1:3" x14ac:dyDescent="0.25">
      <c r="A32" s="170">
        <v>20415513829</v>
      </c>
      <c r="B32" s="170" t="s">
        <v>864</v>
      </c>
      <c r="C32" s="170">
        <v>83438.23</v>
      </c>
    </row>
    <row r="33" spans="1:3" x14ac:dyDescent="0.25">
      <c r="A33" s="170">
        <v>27457524809</v>
      </c>
      <c r="B33" s="170" t="s">
        <v>868</v>
      </c>
      <c r="C33" s="170">
        <v>125150.98000000001</v>
      </c>
    </row>
    <row r="34" spans="1:3" x14ac:dyDescent="0.25">
      <c r="A34" s="170">
        <v>23413526604</v>
      </c>
      <c r="B34" s="170" t="s">
        <v>426</v>
      </c>
      <c r="C34" s="170">
        <v>146206.58000000002</v>
      </c>
    </row>
    <row r="35" spans="1:3" x14ac:dyDescent="0.25">
      <c r="A35" s="170">
        <v>27358605244</v>
      </c>
      <c r="B35" s="170" t="s">
        <v>871</v>
      </c>
      <c r="C35" s="170">
        <v>99351.069999999992</v>
      </c>
    </row>
    <row r="36" spans="1:3" x14ac:dyDescent="0.25">
      <c r="A36" s="170">
        <v>27423139914</v>
      </c>
      <c r="B36" s="170" t="s">
        <v>442</v>
      </c>
      <c r="C36" s="170">
        <v>54230.41</v>
      </c>
    </row>
    <row r="37" spans="1:3" x14ac:dyDescent="0.25">
      <c r="A37" s="170">
        <v>20388448998</v>
      </c>
      <c r="B37" s="170" t="s">
        <v>975</v>
      </c>
      <c r="C37" s="170">
        <v>105606.55</v>
      </c>
    </row>
    <row r="38" spans="1:3" x14ac:dyDescent="0.25">
      <c r="A38" s="170">
        <v>20366249541</v>
      </c>
      <c r="B38" s="170" t="s">
        <v>454</v>
      </c>
      <c r="C38" s="170">
        <v>36953.4</v>
      </c>
    </row>
    <row r="39" spans="1:3" x14ac:dyDescent="0.25">
      <c r="A39" s="170">
        <v>20191059035</v>
      </c>
      <c r="B39" s="170" t="s">
        <v>470</v>
      </c>
      <c r="C39" s="170">
        <v>56473.56</v>
      </c>
    </row>
    <row r="40" spans="1:3" x14ac:dyDescent="0.25">
      <c r="A40" s="170">
        <v>20391539333</v>
      </c>
      <c r="B40" s="170" t="s">
        <v>979</v>
      </c>
      <c r="C40" s="170">
        <v>22833.86</v>
      </c>
    </row>
    <row r="41" spans="1:3" x14ac:dyDescent="0.25">
      <c r="A41" s="170">
        <v>27424354037</v>
      </c>
      <c r="B41" s="170" t="s">
        <v>504</v>
      </c>
      <c r="C41" s="170">
        <v>126680.69</v>
      </c>
    </row>
    <row r="42" spans="1:3" x14ac:dyDescent="0.25">
      <c r="A42" s="170">
        <v>27374283281</v>
      </c>
      <c r="B42" s="170" t="s">
        <v>508</v>
      </c>
      <c r="C42" s="170">
        <v>193023.63</v>
      </c>
    </row>
    <row r="43" spans="1:3" x14ac:dyDescent="0.25">
      <c r="A43" s="170">
        <v>23433296559</v>
      </c>
      <c r="B43" s="170" t="s">
        <v>983</v>
      </c>
      <c r="C43" s="170">
        <v>88481.16</v>
      </c>
    </row>
    <row r="44" spans="1:3" x14ac:dyDescent="0.25">
      <c r="A44" s="170">
        <v>20440531130</v>
      </c>
      <c r="B44" s="170" t="s">
        <v>987</v>
      </c>
      <c r="C44" s="170">
        <v>182881.84000000003</v>
      </c>
    </row>
    <row r="45" spans="1:3" x14ac:dyDescent="0.25">
      <c r="A45" s="170">
        <v>20960542585</v>
      </c>
      <c r="B45" s="170" t="s">
        <v>516</v>
      </c>
      <c r="C45" s="170">
        <v>75962.55</v>
      </c>
    </row>
    <row r="46" spans="1:3" x14ac:dyDescent="0.25">
      <c r="A46" s="170">
        <v>20384659447</v>
      </c>
      <c r="B46" s="170" t="s">
        <v>520</v>
      </c>
      <c r="C46" s="170">
        <v>131009.12999999999</v>
      </c>
    </row>
    <row r="47" spans="1:3" x14ac:dyDescent="0.25">
      <c r="A47" s="170">
        <v>27403897405</v>
      </c>
      <c r="B47" s="170" t="s">
        <v>991</v>
      </c>
      <c r="C47" s="170">
        <v>34250.76</v>
      </c>
    </row>
    <row r="48" spans="1:3" x14ac:dyDescent="0.25">
      <c r="A48" s="170">
        <v>20420900075</v>
      </c>
      <c r="B48" s="170" t="s">
        <v>544</v>
      </c>
      <c r="C48" s="170">
        <v>93182.07</v>
      </c>
    </row>
    <row r="49" spans="1:3" x14ac:dyDescent="0.25">
      <c r="A49" s="170">
        <v>23325839554</v>
      </c>
      <c r="B49" s="170" t="s">
        <v>556</v>
      </c>
      <c r="C49" s="170">
        <v>470666.01999999996</v>
      </c>
    </row>
    <row r="50" spans="1:3" x14ac:dyDescent="0.25">
      <c r="A50" s="170">
        <v>27385891801</v>
      </c>
      <c r="B50" s="170" t="s">
        <v>999</v>
      </c>
      <c r="C50" s="170">
        <v>18552.5</v>
      </c>
    </row>
    <row r="51" spans="1:3" x14ac:dyDescent="0.25">
      <c r="A51" s="170">
        <v>20270371842</v>
      </c>
      <c r="B51" s="170" t="s">
        <v>875</v>
      </c>
      <c r="C51" s="170">
        <v>100458.09</v>
      </c>
    </row>
    <row r="52" spans="1:3" x14ac:dyDescent="0.25">
      <c r="A52" s="170">
        <v>23428993349</v>
      </c>
      <c r="B52" s="170" t="s">
        <v>1002</v>
      </c>
      <c r="C52" s="170">
        <v>18224.16</v>
      </c>
    </row>
    <row r="53" spans="1:3" x14ac:dyDescent="0.25">
      <c r="A53" s="170">
        <v>20452270340</v>
      </c>
      <c r="B53" s="170" t="s">
        <v>1007</v>
      </c>
      <c r="C53" s="170">
        <v>19439.099999999999</v>
      </c>
    </row>
    <row r="54" spans="1:3" x14ac:dyDescent="0.25">
      <c r="A54" s="170">
        <v>27404915067</v>
      </c>
      <c r="B54" s="170" t="s">
        <v>1011</v>
      </c>
      <c r="C54" s="170">
        <v>46185.72</v>
      </c>
    </row>
    <row r="55" spans="1:3" x14ac:dyDescent="0.25">
      <c r="A55" s="170">
        <v>27190005084</v>
      </c>
      <c r="B55" s="170" t="s">
        <v>584</v>
      </c>
      <c r="C55" s="170">
        <v>221367.05</v>
      </c>
    </row>
    <row r="56" spans="1:3" x14ac:dyDescent="0.25">
      <c r="A56" s="170">
        <v>20446198549</v>
      </c>
      <c r="B56" s="170" t="s">
        <v>1015</v>
      </c>
      <c r="C56" s="170">
        <v>475739.55</v>
      </c>
    </row>
    <row r="57" spans="1:3" x14ac:dyDescent="0.25">
      <c r="A57" s="170">
        <v>20361544804</v>
      </c>
      <c r="B57" s="170" t="s">
        <v>1019</v>
      </c>
      <c r="C57" s="170">
        <v>162631.71</v>
      </c>
    </row>
    <row r="58" spans="1:3" x14ac:dyDescent="0.25">
      <c r="A58" s="170">
        <v>20417434489</v>
      </c>
      <c r="B58" s="170" t="s">
        <v>1023</v>
      </c>
      <c r="C58" s="170">
        <v>13867.51</v>
      </c>
    </row>
    <row r="59" spans="1:3" x14ac:dyDescent="0.25">
      <c r="A59" s="170">
        <v>20414562176</v>
      </c>
      <c r="B59" s="170" t="s">
        <v>1027</v>
      </c>
      <c r="C59" s="170">
        <v>17009.21</v>
      </c>
    </row>
    <row r="60" spans="1:3" x14ac:dyDescent="0.25">
      <c r="A60" s="170">
        <v>27340591513</v>
      </c>
      <c r="B60" s="170" t="s">
        <v>879</v>
      </c>
      <c r="C60" s="170">
        <v>115204.49</v>
      </c>
    </row>
    <row r="61" spans="1:3" x14ac:dyDescent="0.25">
      <c r="A61" s="170">
        <v>20332881079</v>
      </c>
      <c r="B61" s="170" t="s">
        <v>617</v>
      </c>
      <c r="C61" s="170">
        <v>24807.079999999998</v>
      </c>
    </row>
    <row r="62" spans="1:3" x14ac:dyDescent="0.25">
      <c r="A62" s="170">
        <v>27445448724</v>
      </c>
      <c r="B62" s="170" t="s">
        <v>1031</v>
      </c>
      <c r="C62" s="170">
        <v>47094.81</v>
      </c>
    </row>
    <row r="63" spans="1:3" x14ac:dyDescent="0.25">
      <c r="A63" s="170">
        <v>27323597826</v>
      </c>
      <c r="B63" s="170" t="s">
        <v>625</v>
      </c>
      <c r="C63" s="170">
        <v>82423.929999999993</v>
      </c>
    </row>
    <row r="64" spans="1:3" x14ac:dyDescent="0.25">
      <c r="A64" s="170">
        <v>20950943190</v>
      </c>
      <c r="B64" s="170" t="s">
        <v>629</v>
      </c>
      <c r="C64" s="170">
        <v>275330.90000000002</v>
      </c>
    </row>
    <row r="65" spans="1:3" x14ac:dyDescent="0.25">
      <c r="A65" s="170">
        <v>20379335536</v>
      </c>
      <c r="B65" s="170" t="s">
        <v>1035</v>
      </c>
      <c r="C65" s="170">
        <v>171253.87</v>
      </c>
    </row>
    <row r="66" spans="1:3" x14ac:dyDescent="0.25">
      <c r="A66" s="170">
        <v>27432266279</v>
      </c>
      <c r="B66" s="170" t="s">
        <v>1039</v>
      </c>
      <c r="C66" s="170">
        <v>14271.169999999998</v>
      </c>
    </row>
    <row r="67" spans="1:3" x14ac:dyDescent="0.25">
      <c r="A67" s="170">
        <v>20314475489</v>
      </c>
      <c r="B67" s="170" t="s">
        <v>637</v>
      </c>
      <c r="C67" s="170">
        <v>161799.27000000002</v>
      </c>
    </row>
    <row r="68" spans="1:3" x14ac:dyDescent="0.25">
      <c r="A68" s="170">
        <v>27315638378</v>
      </c>
      <c r="B68" s="170" t="s">
        <v>1043</v>
      </c>
      <c r="C68" s="170">
        <v>11846.15</v>
      </c>
    </row>
    <row r="69" spans="1:3" x14ac:dyDescent="0.25">
      <c r="A69" s="170">
        <v>20434984492</v>
      </c>
      <c r="B69" s="170" t="s">
        <v>645</v>
      </c>
      <c r="C69" s="170">
        <v>543821.24</v>
      </c>
    </row>
    <row r="70" spans="1:3" x14ac:dyDescent="0.25">
      <c r="A70" s="170">
        <v>27440800284</v>
      </c>
      <c r="B70" s="170" t="s">
        <v>656</v>
      </c>
      <c r="C70" s="170">
        <v>330645.63</v>
      </c>
    </row>
    <row r="71" spans="1:3" x14ac:dyDescent="0.25">
      <c r="A71" s="170">
        <v>20362146756</v>
      </c>
      <c r="B71" s="170" t="s">
        <v>1047</v>
      </c>
      <c r="C71" s="170">
        <v>19439.099999999999</v>
      </c>
    </row>
    <row r="72" spans="1:3" x14ac:dyDescent="0.25">
      <c r="A72" s="170">
        <v>27407562254</v>
      </c>
      <c r="B72" s="170" t="s">
        <v>659</v>
      </c>
      <c r="C72" s="170">
        <v>146149.46</v>
      </c>
    </row>
    <row r="73" spans="1:3" x14ac:dyDescent="0.25">
      <c r="A73" s="170">
        <v>20438690566</v>
      </c>
      <c r="B73" s="170" t="s">
        <v>664</v>
      </c>
      <c r="C73" s="170">
        <v>113670.66</v>
      </c>
    </row>
    <row r="74" spans="1:3" x14ac:dyDescent="0.25">
      <c r="A74" s="170">
        <v>20308527426</v>
      </c>
      <c r="B74" s="170" t="s">
        <v>1050</v>
      </c>
      <c r="C74" s="170">
        <v>236914</v>
      </c>
    </row>
    <row r="75" spans="1:3" x14ac:dyDescent="0.25">
      <c r="A75" s="170">
        <v>27390313735</v>
      </c>
      <c r="B75" s="170" t="s">
        <v>676</v>
      </c>
      <c r="C75" s="170">
        <v>67074.44</v>
      </c>
    </row>
    <row r="76" spans="1:3" x14ac:dyDescent="0.25">
      <c r="A76" s="170">
        <v>20439127172</v>
      </c>
      <c r="B76" s="170" t="s">
        <v>893</v>
      </c>
      <c r="C76" s="170">
        <v>199995.87</v>
      </c>
    </row>
    <row r="77" spans="1:3" x14ac:dyDescent="0.25">
      <c r="A77" s="170">
        <v>20961974306</v>
      </c>
      <c r="B77" s="170" t="s">
        <v>688</v>
      </c>
      <c r="C77" s="170">
        <v>115614.31</v>
      </c>
    </row>
    <row r="78" spans="1:3" x14ac:dyDescent="0.25">
      <c r="A78" s="170">
        <v>27408855085</v>
      </c>
      <c r="B78" s="170" t="s">
        <v>697</v>
      </c>
      <c r="C78" s="170">
        <v>176180.43</v>
      </c>
    </row>
    <row r="79" spans="1:3" x14ac:dyDescent="0.25">
      <c r="A79" s="170">
        <v>27403456549</v>
      </c>
      <c r="B79" s="170" t="s">
        <v>897</v>
      </c>
      <c r="C79" s="170">
        <v>127286.93000000001</v>
      </c>
    </row>
    <row r="80" spans="1:3" x14ac:dyDescent="0.25">
      <c r="A80" s="170">
        <v>27385172244</v>
      </c>
      <c r="B80" s="170" t="s">
        <v>901</v>
      </c>
      <c r="C80" s="170">
        <v>208706.47</v>
      </c>
    </row>
    <row r="81" spans="1:3" x14ac:dyDescent="0.25">
      <c r="A81" s="170">
        <v>27319657563</v>
      </c>
      <c r="B81" s="170" t="s">
        <v>701</v>
      </c>
      <c r="C81" s="170">
        <v>61716.43</v>
      </c>
    </row>
    <row r="82" spans="1:3" x14ac:dyDescent="0.25">
      <c r="A82" s="170">
        <v>20955901313</v>
      </c>
      <c r="B82" s="170" t="s">
        <v>1055</v>
      </c>
      <c r="C82" s="170">
        <v>250845.28000000003</v>
      </c>
    </row>
    <row r="83" spans="1:3" x14ac:dyDescent="0.25">
      <c r="A83" s="170">
        <v>27386601599</v>
      </c>
      <c r="B83" s="170" t="s">
        <v>1059</v>
      </c>
      <c r="C83" s="170">
        <v>74210.010000000009</v>
      </c>
    </row>
    <row r="84" spans="1:3" x14ac:dyDescent="0.25">
      <c r="A84" s="170">
        <v>20283658970</v>
      </c>
      <c r="B84" s="170" t="s">
        <v>905</v>
      </c>
      <c r="C84" s="170">
        <v>84923.19</v>
      </c>
    </row>
    <row r="85" spans="1:3" x14ac:dyDescent="0.25">
      <c r="A85" s="170">
        <v>20431030374</v>
      </c>
      <c r="B85" s="170" t="s">
        <v>717</v>
      </c>
      <c r="C85" s="170">
        <v>372046.35</v>
      </c>
    </row>
    <row r="86" spans="1:3" x14ac:dyDescent="0.25">
      <c r="A86" s="170">
        <v>20375584574</v>
      </c>
      <c r="B86" s="170" t="s">
        <v>721</v>
      </c>
      <c r="C86" s="170">
        <v>359907.08</v>
      </c>
    </row>
    <row r="87" spans="1:3" x14ac:dyDescent="0.25">
      <c r="A87" s="170">
        <v>27456187620</v>
      </c>
      <c r="B87" s="170" t="s">
        <v>729</v>
      </c>
      <c r="C87" s="170">
        <v>267750.8</v>
      </c>
    </row>
    <row r="88" spans="1:3" x14ac:dyDescent="0.25">
      <c r="A88" s="170">
        <v>27448507977</v>
      </c>
      <c r="B88" s="170" t="s">
        <v>740</v>
      </c>
      <c r="C88" s="170">
        <v>52086.17</v>
      </c>
    </row>
    <row r="89" spans="1:3" x14ac:dyDescent="0.25">
      <c r="A89" s="170">
        <v>27421461932</v>
      </c>
      <c r="B89" s="170" t="s">
        <v>744</v>
      </c>
      <c r="C89" s="170">
        <v>114783.28</v>
      </c>
    </row>
    <row r="90" spans="1:3" x14ac:dyDescent="0.25">
      <c r="A90" s="170">
        <v>20424973824</v>
      </c>
      <c r="B90" s="170" t="s">
        <v>1062</v>
      </c>
      <c r="C90" s="170">
        <v>17649.53</v>
      </c>
    </row>
    <row r="91" spans="1:3" x14ac:dyDescent="0.25">
      <c r="A91" s="170">
        <v>20427217400</v>
      </c>
      <c r="B91" s="170" t="s">
        <v>1066</v>
      </c>
      <c r="C91" s="170">
        <v>185525.03999999998</v>
      </c>
    </row>
    <row r="92" spans="1:3" x14ac:dyDescent="0.25">
      <c r="A92" s="170">
        <v>20419380726</v>
      </c>
      <c r="B92" s="170" t="s">
        <v>770</v>
      </c>
      <c r="C92" s="170">
        <v>135827.92000000001</v>
      </c>
    </row>
    <row r="93" spans="1:3" x14ac:dyDescent="0.25">
      <c r="A93" s="170">
        <v>27959946650</v>
      </c>
      <c r="B93" s="170" t="s">
        <v>774</v>
      </c>
      <c r="C93" s="170">
        <v>515484.85</v>
      </c>
    </row>
    <row r="94" spans="1:3" x14ac:dyDescent="0.25">
      <c r="A94" s="170">
        <v>20462787414</v>
      </c>
      <c r="B94" s="170" t="s">
        <v>1070</v>
      </c>
      <c r="C94" s="170">
        <v>132721.75</v>
      </c>
    </row>
    <row r="95" spans="1:3" x14ac:dyDescent="0.25">
      <c r="A95" s="170">
        <v>27933283785</v>
      </c>
      <c r="B95" s="170" t="s">
        <v>782</v>
      </c>
      <c r="C95" s="170">
        <v>85867.41</v>
      </c>
    </row>
    <row r="96" spans="1:3" x14ac:dyDescent="0.25">
      <c r="A96" s="170">
        <v>27438159180</v>
      </c>
      <c r="B96" s="170" t="s">
        <v>802</v>
      </c>
      <c r="C96" s="170">
        <v>17376.89</v>
      </c>
    </row>
    <row r="97" spans="1:3" x14ac:dyDescent="0.25">
      <c r="A97" s="170">
        <v>27408971352</v>
      </c>
      <c r="B97" s="170" t="s">
        <v>806</v>
      </c>
      <c r="C97" s="170">
        <v>149379.76999999999</v>
      </c>
    </row>
    <row r="98" spans="1:3" x14ac:dyDescent="0.25">
      <c r="A98" s="170">
        <v>20190355080</v>
      </c>
      <c r="B98" s="170" t="s">
        <v>1074</v>
      </c>
      <c r="C98" s="170">
        <v>12844.05</v>
      </c>
    </row>
    <row r="99" spans="1:3" x14ac:dyDescent="0.25">
      <c r="A99" s="170">
        <v>23354357569</v>
      </c>
      <c r="B99" s="170" t="s">
        <v>810</v>
      </c>
      <c r="C99" s="170">
        <v>181103.61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A553-2526-4CD7-A3C6-F99DFFB9910F}">
  <dimension ref="A1:E14"/>
  <sheetViews>
    <sheetView tabSelected="1" workbookViewId="0">
      <selection activeCell="C15" sqref="C15"/>
    </sheetView>
  </sheetViews>
  <sheetFormatPr baseColWidth="10" defaultRowHeight="15" x14ac:dyDescent="0.25"/>
  <cols>
    <col min="1" max="1" width="24.140625" customWidth="1"/>
  </cols>
  <sheetData>
    <row r="1" spans="1:5" x14ac:dyDescent="0.25">
      <c r="A1" s="166" t="s">
        <v>1087</v>
      </c>
      <c r="B1" s="163"/>
      <c r="C1" s="163"/>
    </row>
    <row r="2" spans="1:5" x14ac:dyDescent="0.25">
      <c r="A2" s="166" t="s">
        <v>1088</v>
      </c>
      <c r="B2" s="163"/>
      <c r="C2" s="163"/>
    </row>
    <row r="3" spans="1:5" x14ac:dyDescent="0.25">
      <c r="A3" s="163"/>
      <c r="B3" s="163"/>
      <c r="C3" s="163"/>
    </row>
    <row r="4" spans="1:5" x14ac:dyDescent="0.25">
      <c r="A4" s="167" t="s">
        <v>1079</v>
      </c>
      <c r="B4" s="163"/>
      <c r="C4" s="163"/>
    </row>
    <row r="5" spans="1:5" x14ac:dyDescent="0.25">
      <c r="A5" s="166" t="s">
        <v>1089</v>
      </c>
      <c r="B5" s="166" t="s">
        <v>1080</v>
      </c>
      <c r="C5" s="163" t="s">
        <v>1092</v>
      </c>
    </row>
    <row r="6" spans="1:5" x14ac:dyDescent="0.25">
      <c r="A6" s="166"/>
      <c r="B6" s="166" t="s">
        <v>1080</v>
      </c>
      <c r="C6" s="166" t="s">
        <v>1093</v>
      </c>
      <c r="D6" s="168"/>
      <c r="E6" s="168"/>
    </row>
    <row r="7" spans="1:5" x14ac:dyDescent="0.25">
      <c r="A7" s="166"/>
      <c r="B7" s="166" t="s">
        <v>1080</v>
      </c>
      <c r="C7" s="166" t="s">
        <v>1090</v>
      </c>
      <c r="D7" s="168"/>
      <c r="E7" s="168"/>
    </row>
    <row r="8" spans="1:5" x14ac:dyDescent="0.25">
      <c r="A8" s="166"/>
      <c r="B8" s="166" t="s">
        <v>1080</v>
      </c>
      <c r="C8" s="166" t="s">
        <v>1091</v>
      </c>
      <c r="D8" s="168"/>
      <c r="E8" s="168"/>
    </row>
    <row r="9" spans="1:5" x14ac:dyDescent="0.25">
      <c r="A9" s="166" t="s">
        <v>1081</v>
      </c>
      <c r="B9" s="166" t="s">
        <v>1080</v>
      </c>
      <c r="C9" s="163" t="s">
        <v>1082</v>
      </c>
    </row>
    <row r="10" spans="1:5" x14ac:dyDescent="0.25">
      <c r="A10" s="163" t="s">
        <v>1094</v>
      </c>
      <c r="B10" s="166" t="s">
        <v>1080</v>
      </c>
      <c r="C10" s="163" t="s">
        <v>1095</v>
      </c>
    </row>
    <row r="11" spans="1:5" x14ac:dyDescent="0.25">
      <c r="A11" s="163" t="s">
        <v>1084</v>
      </c>
      <c r="B11" s="166" t="s">
        <v>1080</v>
      </c>
      <c r="C11" s="163" t="s">
        <v>1083</v>
      </c>
    </row>
    <row r="12" spans="1:5" x14ac:dyDescent="0.25">
      <c r="A12" s="163" t="s">
        <v>1085</v>
      </c>
      <c r="B12" s="166" t="s">
        <v>1080</v>
      </c>
      <c r="C12" s="163" t="s">
        <v>1086</v>
      </c>
    </row>
    <row r="14" spans="1:5" x14ac:dyDescent="0.25">
      <c r="A14" s="163" t="s">
        <v>1099</v>
      </c>
      <c r="B14" s="166" t="s">
        <v>1080</v>
      </c>
      <c r="C14" s="163" t="s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F56E7-9C7A-4CC5-9A25-288361531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02. Liquidacion anual (NEW)</vt:lpstr>
      <vt:lpstr>02. Liquidacion Anual 2024</vt:lpstr>
      <vt:lpstr>EJEMPLO DE NOMINA</vt:lpstr>
      <vt:lpstr>CVS</vt:lpstr>
      <vt:lpstr>INFO</vt:lpstr>
      <vt:lpstr>'02. Liquidacion anual (NEW)'!Área_de_impresión</vt:lpstr>
      <vt:lpstr>'02. Liquidacion Anual 2024'!Área_de_impresión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2024-04-17T12:58:41Z</dcterms:modified>
</cp:coreProperties>
</file>