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 activeTab="1"/>
  </bookViews>
  <sheets>
    <sheet name="定性" sheetId="2" r:id="rId1"/>
    <sheet name="总表" sheetId="1" r:id="rId2"/>
    <sheet name="资产表" sheetId="3" r:id="rId3"/>
    <sheet name="负债表" sheetId="4" r:id="rId4"/>
    <sheet name="原材料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<sst xmlns="http://schemas.openxmlformats.org/spreadsheetml/2006/main" count="215" uniqueCount="161">
  <si>
    <t>定性问题</t>
  </si>
  <si>
    <t>答案</t>
  </si>
  <si>
    <t>1.人们为什么喜欢酱油、蚝油？</t>
  </si>
  <si>
    <t>1.增色、增味</t>
  </si>
  <si>
    <t>2.酱油、蚝油持续受到更多人喜欢的原因是什么？</t>
  </si>
  <si>
    <t>3.酱油、蚝油的替代品是什么？人们为什么喜欢它们？</t>
  </si>
  <si>
    <t>4.为什么要从海天获得？</t>
  </si>
  <si>
    <t>价格(成本&lt;产能、生产技术、销售网络、采购系统&gt;)\便利(销售网络)</t>
  </si>
  <si>
    <t>5.粮油市场的发展情况是怎样的？</t>
  </si>
  <si>
    <t>6.佐餐市场的发展情况是怎样的？</t>
  </si>
  <si>
    <t>名称</t>
  </si>
  <si>
    <t>年份</t>
  </si>
  <si>
    <t>成立时间</t>
  </si>
  <si>
    <t>上市时间</t>
  </si>
  <si>
    <t>资本收益率
(资本=所有者权益+有息债务)</t>
  </si>
  <si>
    <t>资本收益率
(资本=总资产)</t>
  </si>
  <si>
    <t>净资产收益率</t>
  </si>
  <si>
    <t>资产收益率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</si>
  <si>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</si>
  <si>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</si>
  <si>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</si>
  <si>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</si>
  <si>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</si>
  <si>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总股份数同比增长率</t>
  </si>
  <si>
    <t>总资产同比增长</t>
  </si>
  <si>
    <t>总资产</t>
  </si>
  <si>
    <t>负债</t>
  </si>
  <si>
    <t>所有者权益</t>
  </si>
  <si>
    <t>净利润</t>
  </si>
  <si>
    <t>利息支出</t>
  </si>
  <si>
    <t>所得税</t>
  </si>
  <si>
    <t>经营性现金流量净额</t>
  </si>
  <si>
    <t>营业收入</t>
  </si>
  <si>
    <t>总股份数目</t>
  </si>
  <si>
    <t>流通股份数目</t>
  </si>
  <si>
    <t>发现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</si>
  <si>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</si>
  <si>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</si>
  <si>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</si>
  <si>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</si>
  <si>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</si>
  <si>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</si>
  <si>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</si>
  <si>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海天味业</t>
  </si>
  <si>
    <t>清乾隆年间
(佛山酱园)</t>
  </si>
  <si>
    <t xml:space="preserve">1.最近两年净利润下滑的厉害，需要对影响净利润下滑的因素进行探究;
2.从2019年开始股份实现了全部流通，需要对限制性国家股和法人股的知识进行了解。
3.股份数在2015年之后的2020年第一次开始大量扩张，需要找到这些扩张的资本都拿去干嘛了，评估效果将会如何。
4.2017年开始有利息支出，之前没有利息支出，但之前有贷款费用(这意味着之前没有贷款)，这些费用是哪里来的？
5.经营性现金流量同比增速从2019年大幅降低后，在2023年大幅回暖，其原因是什么？
</t>
  </si>
  <si>
    <t>1.营收下滑。营收下滑是由于疫情导致餐饮企业大量倒闭，人们的
吃饭需求由外出就餐大量转为在家就餐，而在家就餐对酱油的需求量下滑且海天酱油在个人购买酱油渠道(电商渠道&lt;顺丰、韵达、申通、京东、菜鸟等在快送方面的优劣&gt;)上不占优势引起。
2.等待中。
3.大量资本扩张是通过公积金转增股本和总股实现的。即通过留存利润和对历史公积的利用来实现。
4.等待中。</t>
  </si>
  <si>
    <t>送股(每股送0.2股)</t>
  </si>
  <si>
    <t>总营业收入220多亿
1.酱油占50%以上
2.蚝油占20%以上
3.酱占10%以上
4.其他占15%左右</t>
  </si>
  <si>
    <t>主要收入来源于北方区域和中部区域；南部区域和东部区域次之；最后是西部区域。</t>
  </si>
  <si>
    <t>1.消费群体变化:从主要构成由家庭过渡到餐馆，再继续向食品加工领域发展过渡。
2.调味品从由糖、盐、醋、酱、辣、酱油、味精等等构成的单味调味品到由火锅底料、川味调味料、酱汁等构成的复合调味品。复合调味品又分化出中式调味品和西式调味品。中式调味品又分化出火锅底料、川菜调味料和其他中式调味料(粤菜)。
3.原料从种植业到养殖业。</t>
  </si>
  <si>
    <t>单味调味品:糖(麦芽糖、蔗糖)、盐(海盐、井盐、池盐)、醋、酱、酱油、辣椒.
符合调味品：</t>
  </si>
  <si>
    <t>送股(每股送0.1股)</t>
  </si>
  <si>
    <t>送股+公积金转增(每股送0.1股转0.2股)</t>
  </si>
  <si>
    <t>公积金转增股本(每股转0.2股)</t>
  </si>
  <si>
    <t>回购注销(837,360 股)</t>
  </si>
  <si>
    <t>回购注销（3,744,000 股）</t>
  </si>
  <si>
    <t>回购注销(1,295,300股)</t>
  </si>
  <si>
    <t>公积金转增股本+回购注销(每股转0.8股， 198,000 股)</t>
  </si>
  <si>
    <t>发行新股+公积金转增+期权激励(发行7485万股，每股转1股,658万股)</t>
  </si>
  <si>
    <t>中炬高新</t>
  </si>
  <si>
    <t>清末民初
(香山酱园)</t>
  </si>
  <si>
    <t>1995
(2000)</t>
  </si>
  <si>
    <t>预计未决议的诉讼收益大幅增加</t>
  </si>
  <si>
    <t xml:space="preserve">总营收51亿。调味品营业收入49亿(占总营业收入的96%)，园区运营及城市开发营业收入1.5亿（占总营业收入的2.9%）,皮带轮、汽车、摩托车配件4千多万(0.8%)。
调味品营业收入的具体结构：
1.酱油占62.23%；
2.鸡精鸡粉占13.89%；
3.食用油占9.17%；
</t>
  </si>
  <si>
    <t>主要收入来源于南部区域和东部区域，中西部区域次之，北部区域最差</t>
  </si>
  <si>
    <t>千禾味业</t>
  </si>
  <si>
    <t>总营收32亿
1.酱油占65%左右
2.食醋占13%左右</t>
  </si>
  <si>
    <t>主要在西部区域和东部区域，北部区域和中部区域次之，最差的是南部区域</t>
  </si>
  <si>
    <t>恒顺醋业</t>
  </si>
  <si>
    <t>雪天盐业</t>
  </si>
  <si>
    <t>颐海国际</t>
  </si>
  <si>
    <t>天味食品</t>
  </si>
  <si>
    <t>1993
(2000、2007)</t>
  </si>
  <si>
    <t>宝立食品</t>
  </si>
  <si>
    <t>仲景食品</t>
  </si>
  <si>
    <t>安记食品</t>
  </si>
  <si>
    <t>日辰股份</t>
  </si>
  <si>
    <t>朱老六</t>
  </si>
  <si>
    <t>佳隆股份</t>
  </si>
  <si>
    <t>莲花控股</t>
  </si>
  <si>
    <t>太太乐</t>
  </si>
  <si>
    <t>涪陵榨菜</t>
  </si>
  <si>
    <t>安琪酵母</t>
  </si>
  <si>
    <t>加加食品</t>
  </si>
  <si>
    <t>中国粮油控股</t>
  </si>
  <si>
    <t>五得利面粉</t>
  </si>
  <si>
    <t>金龙鱼</t>
  </si>
  <si>
    <t>鲁花</t>
  </si>
  <si>
    <t>福临门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</si>
  <si>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</si>
  <si>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</si>
  <si>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</si>
  <si>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</si>
  <si>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</si>
  <si>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</si>
  <si>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</si>
  <si>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</si>
  <si>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</si>
  <si>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</si>
  <si>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</si>
  <si>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</si>
  <si>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</si>
  <si>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</si>
  <si>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</si>
  <si>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</si>
  <si>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</si>
  <si>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</si>
  <si>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</si>
  <si>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</si>
  <si>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</si>
  <si>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</si>
  <si>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</si>
  <si>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</si>
  <si>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</si>
  <si>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</si>
  <si>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</si>
  <si>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</si>
  <si>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</si>
  <si>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</si>
  <si>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</si>
  <si>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</si>
  <si>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</si>
  <si>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</si>
  <si>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</si>
  <si>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</si>
  <si>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</si>
  <si>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</si>
  <si>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</si>
  <si>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</si>
  <si>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</si>
  <si>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</si>
  <si>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</si>
  <si>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</si>
  <si>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</si>
  <si>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</si>
  <si>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</si>
  <si>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</si>
  <si>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</si>
  <si>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</si>
  <si>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</si>
  <si>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</si>
  <si>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</si>
  <si>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</si>
  <si>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</si>
  <si>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</si>
  <si>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</si>
  <si>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</si>
  <si>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</si>
  <si>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</si>
  <si>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</si>
  <si>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</si>
  <si>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</si>
  <si>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</si>
  <si>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</si>
  <si>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</si>
  <si>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</si>
  <si>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</si>
  <si>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>大豆</t>
  </si>
  <si>
    <t>小麦</t>
  </si>
  <si>
    <t>玻璃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</si>
</sst>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2" tint="-0.9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44" fontId="0" fillId="0" borderId="0" xfId="0" applyNumberFormat="1" applyBorder="1">
      <alignment vertical="center"/>
    </xf>
    <xf numFmtId="44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4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4" fontId="0" fillId="0" borderId="4" xfId="0" applyNumberFormat="1" applyBorder="1">
      <alignment vertical="center"/>
    </xf>
    <xf numFmtId="0" fontId="0" fillId="0" borderId="0" xfId="0" applyAlignment="1">
      <alignment horizontal="center" vertical="center"/>
    </xf>
    <xf numFmtId="44" fontId="0" fillId="2" borderId="5" xfId="0" applyNumberFormat="1" applyFill="1" applyBorder="1" applyAlignment="1">
      <alignment horizontal="center" vertical="center"/>
    </xf>
    <xf numFmtId="44" fontId="0" fillId="0" borderId="5" xfId="0" applyNumberFormat="1" applyBorder="1">
      <alignment vertical="center"/>
    </xf>
    <xf numFmtId="44" fontId="0" fillId="0" borderId="5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44" fontId="0" fillId="0" borderId="0" xfId="0" applyNumberFormat="1">
      <alignment vertical="center"/>
    </xf>
    <xf numFmtId="44" fontId="0" fillId="2" borderId="1" xfId="0" applyNumberFormat="1" applyFill="1" applyBorder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10" fontId="0" fillId="0" borderId="0" xfId="3" applyNumberFormat="1">
      <alignment vertical="center"/>
    </xf>
    <xf numFmtId="44" fontId="0" fillId="0" borderId="0" xfId="3" applyNumberFormat="1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44" fontId="0" fillId="0" borderId="6" xfId="0" applyNumberFormat="1" applyFill="1" applyBorder="1" applyAlignment="1">
      <alignment horizontal="center" vertical="center"/>
    </xf>
    <xf numFmtId="44" fontId="0" fillId="0" borderId="7" xfId="0" applyNumberFormat="1" applyFill="1" applyBorder="1" applyAlignment="1">
      <alignment horizontal="center" vertical="center"/>
    </xf>
    <xf numFmtId="44" fontId="0" fillId="0" borderId="2" xfId="0" applyNumberFormat="1" applyFill="1" applyBorder="1">
      <alignment vertical="center"/>
    </xf>
    <xf numFmtId="10" fontId="0" fillId="3" borderId="1" xfId="3" applyNumberForma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0" fillId="0" borderId="8" xfId="0" applyNumberFormat="1" applyFill="1" applyBorder="1">
      <alignment vertical="center"/>
    </xf>
    <xf numFmtId="44" fontId="0" fillId="0" borderId="4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44" fontId="0" fillId="0" borderId="1" xfId="3" applyNumberFormat="1" applyBorder="1" applyAlignment="1">
      <alignment horizontal="center" vertical="center"/>
    </xf>
    <xf numFmtId="44" fontId="0" fillId="0" borderId="1" xfId="3" applyNumberFormat="1" applyBorder="1">
      <alignment vertical="center"/>
    </xf>
    <xf numFmtId="4" fontId="0" fillId="0" borderId="1" xfId="0" applyNumberFormat="1" applyBorder="1">
      <alignment vertical="center"/>
    </xf>
    <xf numFmtId="44" fontId="1" fillId="0" borderId="1" xfId="0" applyNumberFormat="1" applyFont="1" applyBorder="1">
      <alignment vertical="center"/>
    </xf>
    <xf numFmtId="0" fontId="0" fillId="0" borderId="5" xfId="0" applyFill="1" applyBorder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176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 wrapText="1"/>
    </xf>
    <xf numFmtId="10" fontId="0" fillId="0" borderId="2" xfId="3" applyNumberFormat="1" applyBorder="1" applyAlignment="1">
      <alignment horizontal="center" vertical="center" wrapText="1"/>
    </xf>
    <xf numFmtId="10" fontId="0" fillId="0" borderId="2" xfId="3" applyNumberFormat="1" applyBorder="1" applyAlignment="1">
      <alignment horizontal="center" vertical="center"/>
    </xf>
    <xf numFmtId="10" fontId="2" fillId="3" borderId="1" xfId="3" applyNumberFormat="1" applyFont="1" applyFill="1" applyBorder="1" applyAlignment="1">
      <alignment horizontal="center" vertical="center"/>
    </xf>
    <xf numFmtId="10" fontId="3" fillId="2" borderId="1" xfId="3" applyNumberFormat="1" applyFont="1" applyFill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176" fontId="0" fillId="0" borderId="1" xfId="0" applyNumberFormat="1" applyFont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44" fontId="0" fillId="4" borderId="1" xfId="0" applyNumberFormat="1" applyFill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4" fontId="0" fillId="0" borderId="1" xfId="0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right" vertical="center" wrapText="1"/>
    </xf>
    <xf numFmtId="10" fontId="0" fillId="0" borderId="1" xfId="3" applyNumberFormat="1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"/>
    </sheetView>
  </sheetViews>
  <sheetFormatPr defaultColWidth="9.23076923076923" defaultRowHeight="16.8" outlineLevelRow="6" outlineLevelCol="1"/>
  <cols>
    <col min="1" max="1" width="53.1538461538462" customWidth="1"/>
    <col min="2" max="2" width="73.307692307692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1">
      <c r="A3" t="s">
        <v>4</v>
      </c>
    </row>
    <row r="4" spans="1:1">
      <c r="A4" t="s">
        <v>5</v>
      </c>
    </row>
    <row r="5" spans="1:2">
      <c r="A5" t="s">
        <v>6</v>
      </c>
      <c r="B5" t="s">
        <v>7</v>
      </c>
    </row>
    <row r="6" spans="1:1">
      <c r="A6" t="s">
        <v>8</v>
      </c>
    </row>
    <row r="7" spans="1:1">
      <c r="A7" t="s"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31"/>
  <sheetViews>
    <sheetView tabSelected="1" workbookViewId="0">
      <pane xSplit="4" ySplit="2" topLeftCell="E111" activePane="bottomRight" state="frozen"/>
      <selection/>
      <selection pane="topRight"/>
      <selection pane="bottomLeft"/>
      <selection pane="bottomRight" activeCell="F123" sqref="F123"/>
    </sheetView>
  </sheetViews>
  <sheetFormatPr defaultColWidth="9.23076923076923" defaultRowHeight="16.8"/>
  <cols>
    <col min="1" max="1" width="12.7692307692308" customWidth="1"/>
    <col min="2" max="2" width="9.23076923076923" style="19"/>
    <col min="3" max="3" width="13.1442307692308" style="19" customWidth="1"/>
    <col min="4" max="4" width="10.3076923076923" style="19" customWidth="1"/>
    <col min="5" max="5" width="30.7692307692308" style="50" customWidth="1"/>
    <col min="6" max="6" width="15.5384615384615" style="50" customWidth="1"/>
    <col min="7" max="7" width="15.1538461538462" style="19" customWidth="1"/>
    <col min="8" max="8" width="12.7692307692308" customWidth="1"/>
    <col min="9" max="9" width="12.9230769230769"/>
    <col min="10" max="10" width="20" customWidth="1"/>
    <col min="11" max="11" width="20" style="50" customWidth="1"/>
    <col min="12" max="12" width="20" style="51" customWidth="1"/>
    <col min="13" max="13" width="34.5384615384615" style="51" customWidth="1"/>
    <col min="14" max="14" width="20" style="51" customWidth="1"/>
    <col min="15" max="15" width="22.1057692307692" style="51" customWidth="1"/>
    <col min="16" max="16" width="20.9230769230769" style="19" customWidth="1"/>
    <col min="17" max="17" width="21.7692307692308" style="19"/>
    <col min="18" max="18" width="20.9230769230769" customWidth="1"/>
    <col min="19" max="19" width="19.8461538461538" customWidth="1"/>
    <col min="20" max="20" width="17.0769230769231" style="24" customWidth="1"/>
    <col min="21" max="21" width="19.8461538461538" style="24" customWidth="1"/>
    <col min="22" max="22" width="22.4615384615385" style="24" customWidth="1"/>
    <col min="23" max="23" width="20.9230769230769" customWidth="1"/>
    <col min="24" max="24" width="19.8461538461538" style="52" customWidth="1"/>
    <col min="25" max="25" width="15.1538461538462" style="52" customWidth="1"/>
    <col min="26" max="26" width="30.7596153846154" customWidth="1"/>
    <col min="27" max="28" width="61.8557692307692" style="53" customWidth="1"/>
    <col min="29" max="29" width="55.4615384615385" style="51" customWidth="1"/>
    <col min="30" max="31" width="24.5096153846154" style="53" customWidth="1"/>
    <col min="32" max="32" width="48.8461538461538" customWidth="1"/>
    <col min="33" max="33" width="44.7692307692308" customWidth="1"/>
    <col min="34" max="34" width="27.3076923076923" customWidth="1"/>
  </cols>
  <sheetData>
    <row r="1" s="19" customFormat="1" ht="29" customHeight="1" spans="1:34">
      <c r="A1" s="1" t="s">
        <v>10</v>
      </c>
      <c r="B1" s="1" t="s">
        <v>11</v>
      </c>
      <c r="C1" s="1" t="s">
        <v>12</v>
      </c>
      <c r="D1" s="1" t="s">
        <v>13</v>
      </c>
      <c r="E1" s="58" t="s">
        <v>14</v>
      </c>
      <c r="F1" s="58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32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1" t="s">
        <v>29</v>
      </c>
      <c r="U1" s="11" t="s">
        <v>30</v>
      </c>
      <c r="V1" s="11" t="s">
        <v>31</v>
      </c>
      <c r="W1" s="1" t="s">
        <v>32</v>
      </c>
      <c r="X1" s="66" t="s">
        <v>33</v>
      </c>
      <c r="Y1" s="66" t="s">
        <v>34</v>
      </c>
      <c r="Z1" s="1" t="s">
        <v>35</v>
      </c>
      <c r="AA1" s="1" t="s">
        <v>1</v>
      </c>
      <c r="AB1" s="1" t="s">
        <v>36</v>
      </c>
      <c r="AC1" s="1" t="s">
        <v>37</v>
      </c>
      <c r="AD1" s="54" t="s">
        <v>38</v>
      </c>
      <c r="AE1" s="54" t="s">
        <v>39</v>
      </c>
      <c r="AF1" s="1" t="s">
        <v>40</v>
      </c>
      <c r="AG1" s="79" t="s">
        <v>41</v>
      </c>
      <c r="AH1" s="79" t="s">
        <v>42</v>
      </c>
    </row>
    <row r="2" s="19" customFormat="1" spans="1:34">
      <c r="A2" s="12"/>
      <c r="B2" s="12"/>
      <c r="C2" s="12"/>
      <c r="D2" s="12"/>
      <c r="E2" s="59"/>
      <c r="F2" s="59"/>
      <c r="G2" s="12"/>
      <c r="H2" s="12"/>
      <c r="I2" s="12"/>
      <c r="J2" s="12"/>
      <c r="K2" s="60"/>
      <c r="L2" s="12"/>
      <c r="M2" s="12"/>
      <c r="N2" s="12"/>
      <c r="O2" s="12"/>
      <c r="P2" s="12"/>
      <c r="Q2" s="12"/>
      <c r="R2" s="12"/>
      <c r="S2" s="12"/>
      <c r="T2" s="63"/>
      <c r="U2" s="63"/>
      <c r="V2" s="63"/>
      <c r="W2" s="12"/>
      <c r="X2" s="67"/>
      <c r="Y2" s="67"/>
      <c r="Z2" s="12"/>
      <c r="AA2" s="12"/>
      <c r="AB2" s="12"/>
      <c r="AC2" s="12"/>
      <c r="AD2" s="12"/>
      <c r="AE2" s="77"/>
      <c r="AF2" s="12"/>
      <c r="AG2" s="80"/>
      <c r="AH2" s="80"/>
    </row>
    <row r="3" spans="1:34">
      <c r="A3" s="1" t="s">
        <v>43</v>
      </c>
      <c r="B3" s="1">
        <v>2023</v>
      </c>
      <c r="C3" s="54" t="s">
        <v>44</v>
      </c>
      <c r="D3" s="1">
        <v>2014</v>
      </c>
      <c r="E3" s="32">
        <f>(S3+T3)/(R3+负债表!F3)</f>
        <v>0.19181238474481</v>
      </c>
      <c r="F3" s="32">
        <f>(S3+T3)/P3</f>
        <v>0.147095403940763</v>
      </c>
      <c r="G3" s="32">
        <f>S3/R3</f>
        <v>0.194337185436872</v>
      </c>
      <c r="H3" s="32">
        <f>S3/P3</f>
        <v>0.146842012276646</v>
      </c>
      <c r="I3" s="32">
        <f>Q3/P3</f>
        <v>0.244395703547193</v>
      </c>
      <c r="J3" s="33">
        <f>(负债表!F3)/P3</f>
        <v>0.0112669571237568</v>
      </c>
      <c r="K3" s="33">
        <f>(S3-S4)/S4</f>
        <v>-0.0904344275443549</v>
      </c>
      <c r="L3" s="30">
        <f>(W3-W4)/W4</f>
        <v>-0.041013411874212</v>
      </c>
      <c r="M3" s="37">
        <f t="shared" ref="M3:M15" si="0">(V3-V4)/V4</f>
        <v>0.920377906332489</v>
      </c>
      <c r="N3" s="30">
        <f>(X3-X4)/X4</f>
        <v>0.199999999913678</v>
      </c>
      <c r="O3" s="30">
        <f t="shared" ref="O3:O13" si="1">(P3-P4)/P4</f>
        <v>0.128139993008127</v>
      </c>
      <c r="P3" s="15">
        <v>38423518405.62</v>
      </c>
      <c r="Q3" s="11">
        <f>P3-R3</f>
        <v>9390542813.5</v>
      </c>
      <c r="R3" s="15">
        <v>29032975592.12</v>
      </c>
      <c r="S3" s="15">
        <v>5642186761.43</v>
      </c>
      <c r="T3" s="15">
        <v>9736199.27</v>
      </c>
      <c r="U3" s="15">
        <v>1096850567.11</v>
      </c>
      <c r="V3" s="15">
        <v>7355650997.74</v>
      </c>
      <c r="W3" s="15">
        <v>24559312356.59</v>
      </c>
      <c r="X3" s="68">
        <v>5560600544</v>
      </c>
      <c r="Y3" s="72">
        <v>5560600544</v>
      </c>
      <c r="Z3" s="73" t="s">
        <v>45</v>
      </c>
      <c r="AA3" s="74" t="s">
        <v>46</v>
      </c>
      <c r="AB3" s="74"/>
      <c r="AC3" s="30" t="s">
        <v>47</v>
      </c>
      <c r="AD3" s="74" t="s">
        <v>48</v>
      </c>
      <c r="AE3" s="74" t="s">
        <v>49</v>
      </c>
      <c r="AF3" s="78" t="s">
        <v>50</v>
      </c>
      <c r="AG3" s="81" t="s">
        <v>51</v>
      </c>
      <c r="AH3" s="82"/>
    </row>
    <row r="4" spans="1:34">
      <c r="A4" s="1"/>
      <c r="B4" s="1">
        <v>2022</v>
      </c>
      <c r="C4" s="1"/>
      <c r="D4" s="1"/>
      <c r="E4" s="32">
        <f>(S4+T4)/(R4+负债表!F4)</f>
        <v>0.229272601353489</v>
      </c>
      <c r="F4" s="32">
        <f t="shared" ref="F4:F14" si="2">(S4+T4)/P4</f>
        <v>0.182492569233006</v>
      </c>
      <c r="G4" s="32">
        <f>S4/R4</f>
        <v>0.230734115590543</v>
      </c>
      <c r="H4" s="32">
        <f>S4/P4</f>
        <v>0.182129086367936</v>
      </c>
      <c r="I4" s="32">
        <f>Q4/P4</f>
        <v>0.210653847603796</v>
      </c>
      <c r="J4" s="33">
        <f>(负债表!F4)/P4</f>
        <v>0.00661711646225917</v>
      </c>
      <c r="K4" s="33">
        <f t="shared" ref="K3:K15" si="3">(S4-S5)/S5</f>
        <v>-0.0701950107999122</v>
      </c>
      <c r="L4" s="30">
        <f t="shared" ref="L4:L15" si="4">(W4-W5)/W5</f>
        <v>0.0242209145696001</v>
      </c>
      <c r="M4" s="30">
        <f t="shared" si="0"/>
        <v>-0.394273898792507</v>
      </c>
      <c r="N4" s="30">
        <f t="shared" ref="N4:N15" si="5">(X4-X5)/X5</f>
        <v>0.1</v>
      </c>
      <c r="O4" s="30">
        <f t="shared" si="1"/>
        <v>0.0216406881533577</v>
      </c>
      <c r="P4" s="14">
        <v>34059175850.3</v>
      </c>
      <c r="Q4" s="11">
        <f>P4-R4</f>
        <v>7174696439.08</v>
      </c>
      <c r="R4" s="14">
        <v>26884479411.22</v>
      </c>
      <c r="S4" s="14">
        <v>6203166580.06</v>
      </c>
      <c r="T4" s="14">
        <v>12379926.82</v>
      </c>
      <c r="U4" s="47">
        <v>1161039435.23</v>
      </c>
      <c r="V4" s="15">
        <v>3830314321.72</v>
      </c>
      <c r="W4" s="15">
        <v>25609651543.29</v>
      </c>
      <c r="X4" s="69">
        <v>4633833787</v>
      </c>
      <c r="Y4" s="72">
        <v>4633833787</v>
      </c>
      <c r="Z4" s="73"/>
      <c r="AA4" s="75"/>
      <c r="AB4" s="75"/>
      <c r="AC4" s="30" t="s">
        <v>52</v>
      </c>
      <c r="AD4" s="74"/>
      <c r="AE4" s="74"/>
      <c r="AF4" s="78"/>
      <c r="AG4" s="83"/>
      <c r="AH4" s="82"/>
    </row>
    <row r="5" spans="1:34">
      <c r="A5" s="1"/>
      <c r="B5" s="1">
        <v>2021</v>
      </c>
      <c r="C5" s="1"/>
      <c r="D5" s="1"/>
      <c r="E5" s="32">
        <f>(S5+T5)/(R5+负债表!F5)</f>
        <v>0.282830271598412</v>
      </c>
      <c r="F5" s="32">
        <f t="shared" si="2"/>
        <v>0.200255197052557</v>
      </c>
      <c r="G5" s="32">
        <f t="shared" ref="G5:G14" si="6">S5/R5</f>
        <v>0.283894192203626</v>
      </c>
      <c r="H5" s="32">
        <f t="shared" ref="H5:H14" si="7">S5/P5</f>
        <v>0.200117752959959</v>
      </c>
      <c r="I5" s="32">
        <f t="shared" ref="I5:I15" si="8">Q5/P5</f>
        <v>0.295097404400503</v>
      </c>
      <c r="J5" s="33">
        <f>(负债表!F5)/P5</f>
        <v>0.00313758666535379</v>
      </c>
      <c r="K5" s="33">
        <f t="shared" si="3"/>
        <v>0.0409485540539824</v>
      </c>
      <c r="L5" s="30">
        <f t="shared" si="4"/>
        <v>0.0970590269656729</v>
      </c>
      <c r="M5" s="30">
        <f t="shared" si="0"/>
        <v>-0.090199174607969</v>
      </c>
      <c r="N5" s="30">
        <f t="shared" si="5"/>
        <v>0.29999999987656</v>
      </c>
      <c r="O5" s="30">
        <f t="shared" si="1"/>
        <v>0.128805900053578</v>
      </c>
      <c r="P5" s="14">
        <v>33337724549.58</v>
      </c>
      <c r="Q5" s="11">
        <f t="shared" ref="Q5:Q14" si="9">P5-R5</f>
        <v>9837875983.2</v>
      </c>
      <c r="R5" s="14">
        <v>23499848566.38</v>
      </c>
      <c r="S5" s="14">
        <v>6671470525.66</v>
      </c>
      <c r="T5" s="14">
        <v>4582073.3</v>
      </c>
      <c r="U5" s="47">
        <v>1149269490.14</v>
      </c>
      <c r="V5" s="15">
        <v>6323508784.06</v>
      </c>
      <c r="W5" s="15">
        <v>25004031043.49</v>
      </c>
      <c r="X5" s="69">
        <v>4212576170</v>
      </c>
      <c r="Y5" s="72">
        <v>4212576170</v>
      </c>
      <c r="Z5" s="73"/>
      <c r="AA5" s="75"/>
      <c r="AB5" s="75"/>
      <c r="AC5" s="30" t="s">
        <v>53</v>
      </c>
      <c r="AD5" s="74"/>
      <c r="AE5" s="74"/>
      <c r="AF5" s="78"/>
      <c r="AG5" s="83"/>
      <c r="AH5" s="82"/>
    </row>
    <row r="6" spans="1:34">
      <c r="A6" s="1"/>
      <c r="B6" s="1">
        <v>2020</v>
      </c>
      <c r="C6" s="1"/>
      <c r="D6" s="1"/>
      <c r="E6" s="32">
        <f>(S6+T6)/(R6+负债表!F6)</f>
        <v>0.316621502214016</v>
      </c>
      <c r="F6" s="32">
        <f t="shared" si="2"/>
        <v>0.217187032745513</v>
      </c>
      <c r="G6" s="37">
        <f t="shared" si="6"/>
        <v>0.317813102988648</v>
      </c>
      <c r="H6" s="32">
        <f t="shared" si="7"/>
        <v>0.217007938929277</v>
      </c>
      <c r="I6" s="33">
        <f t="shared" si="8"/>
        <v>0.317183788558181</v>
      </c>
      <c r="J6" s="33">
        <f>(负债表!F6)/P6</f>
        <v>0.00313540974248281</v>
      </c>
      <c r="K6" s="33">
        <f t="shared" si="3"/>
        <v>0.196553348847028</v>
      </c>
      <c r="L6" s="37">
        <f t="shared" si="4"/>
        <v>0.151285589133775</v>
      </c>
      <c r="M6" s="30">
        <f t="shared" si="0"/>
        <v>0.0582959231918652</v>
      </c>
      <c r="N6" s="30">
        <f t="shared" si="5"/>
        <v>0.2</v>
      </c>
      <c r="O6" s="30">
        <f t="shared" si="1"/>
        <v>0.193090148946536</v>
      </c>
      <c r="P6" s="14">
        <v>29533620038.66</v>
      </c>
      <c r="Q6" s="11">
        <f t="shared" si="9"/>
        <v>9367585493.7</v>
      </c>
      <c r="R6" s="14">
        <v>20166034544.96</v>
      </c>
      <c r="S6" s="14">
        <v>6409030013.71</v>
      </c>
      <c r="T6" s="14">
        <v>5289288.72</v>
      </c>
      <c r="U6" s="47">
        <v>1233392261</v>
      </c>
      <c r="V6" s="15">
        <v>6950432014.98</v>
      </c>
      <c r="W6" s="15">
        <v>22791873936.49</v>
      </c>
      <c r="X6" s="69">
        <v>3240443208</v>
      </c>
      <c r="Y6" s="72">
        <v>3240443208</v>
      </c>
      <c r="Z6" s="73"/>
      <c r="AA6" s="75"/>
      <c r="AB6" s="75"/>
      <c r="AC6" s="30" t="s">
        <v>54</v>
      </c>
      <c r="AD6" s="74"/>
      <c r="AE6" s="74"/>
      <c r="AF6" s="78"/>
      <c r="AG6" s="83"/>
      <c r="AH6" s="82"/>
    </row>
    <row r="7" spans="1:34">
      <c r="A7" s="1"/>
      <c r="B7" s="1">
        <v>2019</v>
      </c>
      <c r="C7" s="1"/>
      <c r="D7" s="1"/>
      <c r="E7" s="32">
        <f>(S7+T7)/(R7+负债表!F7)</f>
        <v>0.322394621111401</v>
      </c>
      <c r="F7" s="32">
        <f t="shared" si="2"/>
        <v>0.216423791788316</v>
      </c>
      <c r="G7" s="37">
        <f t="shared" si="6"/>
        <v>0.322709797499474</v>
      </c>
      <c r="H7" s="32">
        <f t="shared" si="7"/>
        <v>0.216379850032756</v>
      </c>
      <c r="I7" s="33">
        <f t="shared" si="8"/>
        <v>0.329490918127118</v>
      </c>
      <c r="J7" s="33">
        <f>(负债表!F7)/P7</f>
        <v>0.00079179480499652</v>
      </c>
      <c r="K7" s="61">
        <f t="shared" si="3"/>
        <v>0.226618472154364</v>
      </c>
      <c r="L7" s="37">
        <f t="shared" si="4"/>
        <v>0.162166116197159</v>
      </c>
      <c r="M7" s="30">
        <f t="shared" si="0"/>
        <v>0.0952808340762969</v>
      </c>
      <c r="N7" s="30">
        <f t="shared" si="5"/>
        <v>0</v>
      </c>
      <c r="O7" s="30">
        <f t="shared" si="1"/>
        <v>0.228859589371038</v>
      </c>
      <c r="P7" s="14">
        <v>24753888098.68</v>
      </c>
      <c r="Q7" s="11">
        <f t="shared" si="9"/>
        <v>8156181316.85</v>
      </c>
      <c r="R7" s="14">
        <v>16597706781.83</v>
      </c>
      <c r="S7" s="14">
        <v>5356242594.52</v>
      </c>
      <c r="T7" s="14">
        <v>1087729.3</v>
      </c>
      <c r="U7" s="47">
        <v>1020956084.25</v>
      </c>
      <c r="V7" s="15">
        <v>6567569488.52</v>
      </c>
      <c r="W7" s="15">
        <v>19796889800.07</v>
      </c>
      <c r="X7" s="69">
        <v>2700369340</v>
      </c>
      <c r="Y7" s="72">
        <v>2700369340</v>
      </c>
      <c r="Z7" s="73"/>
      <c r="AA7" s="75"/>
      <c r="AB7" s="75"/>
      <c r="AC7" s="30"/>
      <c r="AD7" s="74"/>
      <c r="AE7" s="74"/>
      <c r="AF7" s="78"/>
      <c r="AG7" s="83"/>
      <c r="AH7" s="82"/>
    </row>
    <row r="8" spans="1:34">
      <c r="A8" s="1"/>
      <c r="B8" s="1">
        <v>2018</v>
      </c>
      <c r="C8" s="1"/>
      <c r="D8" s="1"/>
      <c r="E8" s="32">
        <f>(S8+T8)/(R8+负债表!F8)</f>
        <v>0.314024228199126</v>
      </c>
      <c r="F8" s="32">
        <f t="shared" si="2"/>
        <v>0.216804732804178</v>
      </c>
      <c r="G8" s="37">
        <f t="shared" si="6"/>
        <v>0.314424563871999</v>
      </c>
      <c r="H8" s="32">
        <f t="shared" si="7"/>
        <v>0.216775191060352</v>
      </c>
      <c r="I8" s="33">
        <f t="shared" si="8"/>
        <v>0.31056534390678</v>
      </c>
      <c r="J8" s="62">
        <f>(负债表!F8)/P8</f>
        <v>0.000973004638934144</v>
      </c>
      <c r="K8" s="61">
        <f t="shared" si="3"/>
        <v>0.236500047209247</v>
      </c>
      <c r="L8" s="37">
        <f t="shared" si="4"/>
        <v>0.168000000000082</v>
      </c>
      <c r="M8" s="37">
        <f t="shared" si="0"/>
        <v>0.270127298378713</v>
      </c>
      <c r="N8" s="30">
        <f t="shared" si="5"/>
        <v>-0.000309994788625395</v>
      </c>
      <c r="O8" s="30">
        <f t="shared" si="1"/>
        <v>0.233090948876772</v>
      </c>
      <c r="P8" s="14">
        <v>20143788853.33</v>
      </c>
      <c r="Q8" s="11">
        <f t="shared" si="9"/>
        <v>6255962712.82</v>
      </c>
      <c r="R8" s="14">
        <v>13887826140.51</v>
      </c>
      <c r="S8" s="14">
        <v>4366673677.36</v>
      </c>
      <c r="T8" s="14">
        <v>595082.65</v>
      </c>
      <c r="U8" s="47">
        <v>856132678.5</v>
      </c>
      <c r="V8" s="15">
        <v>5996242501.64</v>
      </c>
      <c r="W8" s="15">
        <v>17034475127.23</v>
      </c>
      <c r="X8" s="69">
        <v>2700369340</v>
      </c>
      <c r="Y8" s="72">
        <v>2696886700</v>
      </c>
      <c r="Z8" s="73"/>
      <c r="AA8" s="75"/>
      <c r="AB8" s="75"/>
      <c r="AC8" s="30" t="s">
        <v>55</v>
      </c>
      <c r="AD8" s="74"/>
      <c r="AE8" s="74"/>
      <c r="AF8" s="78"/>
      <c r="AG8" s="83"/>
      <c r="AH8" s="82"/>
    </row>
    <row r="9" spans="1:34">
      <c r="A9" s="1"/>
      <c r="B9" s="1">
        <v>2017</v>
      </c>
      <c r="C9" s="1"/>
      <c r="D9" s="1"/>
      <c r="E9" s="32">
        <f>(S9+T9)/(R9+负债表!F9)</f>
        <v>0.300243011642522</v>
      </c>
      <c r="F9" s="32">
        <f t="shared" si="2"/>
        <v>0.216216223892856</v>
      </c>
      <c r="G9" s="37">
        <f t="shared" si="6"/>
        <v>0.300189280364282</v>
      </c>
      <c r="H9" s="32">
        <f t="shared" si="7"/>
        <v>0.216177529989466</v>
      </c>
      <c r="I9" s="32">
        <f t="shared" si="8"/>
        <v>0.279862592937587</v>
      </c>
      <c r="J9" s="30">
        <f>(负债表!F9)/P9</f>
        <v>0</v>
      </c>
      <c r="K9" s="61">
        <f t="shared" si="3"/>
        <v>0.242107765186688</v>
      </c>
      <c r="L9" s="37">
        <f t="shared" si="4"/>
        <v>0.170625829671742</v>
      </c>
      <c r="M9" s="37">
        <f t="shared" si="0"/>
        <v>0.158792041156015</v>
      </c>
      <c r="N9" s="30">
        <f t="shared" si="5"/>
        <v>-0.00138412873846462</v>
      </c>
      <c r="O9" s="30">
        <f t="shared" si="1"/>
        <v>0.213347154646541</v>
      </c>
      <c r="P9" s="14">
        <v>16336012255.77</v>
      </c>
      <c r="Q9" s="11">
        <f t="shared" si="9"/>
        <v>4571838748.16</v>
      </c>
      <c r="R9" s="14">
        <v>11764173507.61</v>
      </c>
      <c r="S9" s="64">
        <v>3531478779.33</v>
      </c>
      <c r="T9" s="14">
        <v>632104.08</v>
      </c>
      <c r="U9" s="47">
        <v>683810161.82</v>
      </c>
      <c r="V9" s="15">
        <v>4720977581.77</v>
      </c>
      <c r="W9" s="70">
        <v>14584310896.6</v>
      </c>
      <c r="X9" s="69">
        <v>2701206700</v>
      </c>
      <c r="Y9" s="68">
        <v>2696886700</v>
      </c>
      <c r="Z9" s="73"/>
      <c r="AA9" s="75"/>
      <c r="AB9" s="75"/>
      <c r="AC9" s="30" t="s">
        <v>56</v>
      </c>
      <c r="AD9" s="74"/>
      <c r="AE9" s="74"/>
      <c r="AF9" s="78"/>
      <c r="AG9" s="83"/>
      <c r="AH9" s="82"/>
    </row>
    <row r="10" spans="1:34">
      <c r="A10" s="1"/>
      <c r="B10" s="1">
        <v>2016</v>
      </c>
      <c r="C10" s="1"/>
      <c r="D10" s="1"/>
      <c r="E10" s="32">
        <f>(S10+T10)/(R10+负债表!F10)</f>
        <v>0.283922451698562</v>
      </c>
      <c r="F10" s="32">
        <f t="shared" si="2"/>
        <v>0.211172007987417</v>
      </c>
      <c r="G10" s="32">
        <f t="shared" si="6"/>
        <v>0.283922451698562</v>
      </c>
      <c r="H10" s="32">
        <f t="shared" si="7"/>
        <v>0.211172007987417</v>
      </c>
      <c r="I10" s="32">
        <f t="shared" si="8"/>
        <v>0.256233500647508</v>
      </c>
      <c r="J10" s="30">
        <f>(负债表!F10)/P10</f>
        <v>0</v>
      </c>
      <c r="K10" s="33">
        <f t="shared" si="3"/>
        <v>0.132888627506352</v>
      </c>
      <c r="L10" s="30">
        <f t="shared" si="4"/>
        <v>0.103075946410378</v>
      </c>
      <c r="M10" s="37">
        <f t="shared" si="0"/>
        <v>0.856201925998797</v>
      </c>
      <c r="N10" s="30">
        <f t="shared" si="5"/>
        <v>-0.000478633501906331</v>
      </c>
      <c r="O10" s="30">
        <f t="shared" si="1"/>
        <v>0.170950632459131</v>
      </c>
      <c r="P10" s="14">
        <v>13463592998.27</v>
      </c>
      <c r="Q10" s="11">
        <f t="shared" si="9"/>
        <v>3449823565.24</v>
      </c>
      <c r="R10" s="14">
        <v>10013769433.03</v>
      </c>
      <c r="S10" s="14">
        <v>2843133968.17</v>
      </c>
      <c r="T10" s="15">
        <v>0</v>
      </c>
      <c r="U10" s="47">
        <v>570244775.78</v>
      </c>
      <c r="V10" s="15">
        <v>4074050747.76</v>
      </c>
      <c r="W10" s="15">
        <v>12458558940.81</v>
      </c>
      <c r="X10" s="69">
        <v>2704950700</v>
      </c>
      <c r="Y10" s="71">
        <v>271746700</v>
      </c>
      <c r="Z10" s="73"/>
      <c r="AA10" s="75"/>
      <c r="AB10" s="75"/>
      <c r="AC10" s="30" t="s">
        <v>57</v>
      </c>
      <c r="AD10" s="74"/>
      <c r="AE10" s="74"/>
      <c r="AF10" s="78"/>
      <c r="AG10" s="83"/>
      <c r="AH10" s="82"/>
    </row>
    <row r="11" spans="1:34">
      <c r="A11" s="1"/>
      <c r="B11" s="1">
        <v>2015</v>
      </c>
      <c r="C11" s="1"/>
      <c r="D11" s="1"/>
      <c r="E11" s="32">
        <f>(S11+T11)/(R11+负债表!F11)</f>
        <v>0.286778236485815</v>
      </c>
      <c r="F11" s="32">
        <f t="shared" si="2"/>
        <v>0.218266818385149</v>
      </c>
      <c r="G11" s="32">
        <f t="shared" si="6"/>
        <v>0.286778236485815</v>
      </c>
      <c r="H11" s="32">
        <f t="shared" si="7"/>
        <v>0.218266818385149</v>
      </c>
      <c r="I11" s="32">
        <f t="shared" si="8"/>
        <v>0.238900339649918</v>
      </c>
      <c r="J11" s="30">
        <f>(负债表!F11)/P11</f>
        <v>0</v>
      </c>
      <c r="K11" s="37">
        <f t="shared" si="3"/>
        <v>0.200835017389606</v>
      </c>
      <c r="L11" s="37">
        <f t="shared" si="4"/>
        <v>0.150469779869341</v>
      </c>
      <c r="M11" s="30">
        <f t="shared" si="0"/>
        <v>-0.19877086920991</v>
      </c>
      <c r="N11" s="30">
        <f t="shared" si="5"/>
        <v>0.799868314289895</v>
      </c>
      <c r="O11" s="30">
        <f t="shared" si="1"/>
        <v>0.0452164356824559</v>
      </c>
      <c r="P11" s="14">
        <v>11498002242.84</v>
      </c>
      <c r="Q11" s="11">
        <f t="shared" si="9"/>
        <v>2746876641.11</v>
      </c>
      <c r="R11" s="14">
        <v>8751125601.73</v>
      </c>
      <c r="S11" s="65">
        <v>2509632367.33</v>
      </c>
      <c r="T11" s="15">
        <v>0</v>
      </c>
      <c r="U11" s="47">
        <v>501670546.62</v>
      </c>
      <c r="V11" s="15">
        <v>2194831656.35</v>
      </c>
      <c r="W11" s="15">
        <v>11294380030.09</v>
      </c>
      <c r="X11" s="69">
        <v>2706246000</v>
      </c>
      <c r="Y11" s="68">
        <v>269460000</v>
      </c>
      <c r="Z11" s="73"/>
      <c r="AA11" s="75"/>
      <c r="AB11" s="75"/>
      <c r="AC11" s="30" t="s">
        <v>58</v>
      </c>
      <c r="AD11" s="74"/>
      <c r="AE11" s="74"/>
      <c r="AF11" s="78"/>
      <c r="AG11" s="83"/>
      <c r="AH11" s="82"/>
    </row>
    <row r="12" spans="1:34">
      <c r="A12" s="1"/>
      <c r="B12" s="1">
        <v>2014</v>
      </c>
      <c r="C12" s="1"/>
      <c r="D12" s="1"/>
      <c r="E12" s="32">
        <f>(S12+T12)/(R12+负债表!F12)</f>
        <v>0.279103975335185</v>
      </c>
      <c r="F12" s="32">
        <f t="shared" si="2"/>
        <v>0.189981190285575</v>
      </c>
      <c r="G12" s="32">
        <f t="shared" si="6"/>
        <v>0.279103975335185</v>
      </c>
      <c r="H12" s="32">
        <f t="shared" si="7"/>
        <v>0.189981190285575</v>
      </c>
      <c r="I12" s="33">
        <f t="shared" si="8"/>
        <v>0.31931750503582</v>
      </c>
      <c r="J12" s="30">
        <f>(负债表!F12)/P12</f>
        <v>0</v>
      </c>
      <c r="K12" s="37">
        <f t="shared" si="3"/>
        <v>0.300972112855687</v>
      </c>
      <c r="L12" s="37">
        <f t="shared" si="4"/>
        <v>0.168491970709073</v>
      </c>
      <c r="M12" s="37">
        <f t="shared" si="0"/>
        <v>0.419204572504822</v>
      </c>
      <c r="N12" s="30">
        <f t="shared" si="5"/>
        <v>1.11473980309423</v>
      </c>
      <c r="O12" s="30">
        <f t="shared" si="1"/>
        <v>0.636476167495483</v>
      </c>
      <c r="P12" s="14">
        <v>11000594566.17</v>
      </c>
      <c r="Q12" s="11">
        <f t="shared" si="9"/>
        <v>3512682410.78</v>
      </c>
      <c r="R12" s="14">
        <v>7487912155.39</v>
      </c>
      <c r="S12" s="65">
        <v>2089906049.53</v>
      </c>
      <c r="T12" s="15">
        <v>0</v>
      </c>
      <c r="U12" s="47">
        <v>402320381.83</v>
      </c>
      <c r="V12" s="15">
        <v>2739330825.61</v>
      </c>
      <c r="W12" s="15">
        <v>9817189662.62</v>
      </c>
      <c r="X12" s="69">
        <v>1503580000</v>
      </c>
      <c r="Y12" s="68">
        <v>149700000</v>
      </c>
      <c r="Z12" s="73"/>
      <c r="AA12" s="75"/>
      <c r="AB12" s="75"/>
      <c r="AC12" s="30" t="s">
        <v>59</v>
      </c>
      <c r="AD12" s="74"/>
      <c r="AE12" s="74"/>
      <c r="AF12" s="78"/>
      <c r="AG12" s="83"/>
      <c r="AH12" s="82"/>
    </row>
    <row r="13" spans="1:34">
      <c r="A13" s="1"/>
      <c r="B13" s="1">
        <v>2013</v>
      </c>
      <c r="C13" s="1"/>
      <c r="D13" s="1"/>
      <c r="E13" s="32">
        <f>(S13+T13)/(R13+负债表!F13)</f>
        <v>0.410382890750542</v>
      </c>
      <c r="F13" s="32">
        <f t="shared" si="2"/>
        <v>0.238974907380858</v>
      </c>
      <c r="G13" s="37">
        <f t="shared" si="6"/>
        <v>0.410382890750542</v>
      </c>
      <c r="H13" s="32">
        <f t="shared" si="7"/>
        <v>0.238974907380858</v>
      </c>
      <c r="I13" s="33">
        <f t="shared" si="8"/>
        <v>0.417678190862682</v>
      </c>
      <c r="J13" s="30">
        <f>(负债表!F13)/P13</f>
        <v>0</v>
      </c>
      <c r="K13" s="37">
        <f t="shared" si="3"/>
        <v>0.330293877918502</v>
      </c>
      <c r="L13" s="37">
        <f t="shared" si="4"/>
        <v>0.188412255311032</v>
      </c>
      <c r="M13" s="30">
        <f t="shared" si="0"/>
        <v>-0.110977796082027</v>
      </c>
      <c r="N13" s="30">
        <f t="shared" si="5"/>
        <v>0</v>
      </c>
      <c r="O13" s="30">
        <f t="shared" si="1"/>
        <v>0.100147047607915</v>
      </c>
      <c r="P13" s="14">
        <v>6722123294.35</v>
      </c>
      <c r="Q13" s="11">
        <f t="shared" si="9"/>
        <v>2807684296.34</v>
      </c>
      <c r="R13" s="14">
        <v>3914438998.01</v>
      </c>
      <c r="S13" s="65">
        <v>1606418791.67</v>
      </c>
      <c r="T13" s="15">
        <v>0</v>
      </c>
      <c r="U13" s="47">
        <v>369200360.24</v>
      </c>
      <c r="V13" s="15">
        <v>1930187429.41</v>
      </c>
      <c r="W13" s="15">
        <v>8401589320.86</v>
      </c>
      <c r="X13" s="69">
        <f>71100*10000</f>
        <v>711000000</v>
      </c>
      <c r="Y13" s="71">
        <v>0</v>
      </c>
      <c r="Z13" s="73"/>
      <c r="AA13" s="75"/>
      <c r="AB13" s="75"/>
      <c r="AC13" s="30"/>
      <c r="AD13" s="74"/>
      <c r="AE13" s="74"/>
      <c r="AF13" s="78"/>
      <c r="AG13" s="83"/>
      <c r="AH13" s="82"/>
    </row>
    <row r="14" spans="1:34">
      <c r="A14" s="1"/>
      <c r="B14" s="1">
        <v>2012</v>
      </c>
      <c r="C14" s="1"/>
      <c r="D14" s="1"/>
      <c r="E14" s="32">
        <f>(S14+T14)/(R14+负债表!F14)</f>
        <v>0.330033006657443</v>
      </c>
      <c r="F14" s="32">
        <f t="shared" si="2"/>
        <v>0.197631172458521</v>
      </c>
      <c r="G14" s="37">
        <f t="shared" si="6"/>
        <v>0.330033006657443</v>
      </c>
      <c r="H14" s="32">
        <f t="shared" si="7"/>
        <v>0.197631172458521</v>
      </c>
      <c r="I14" s="33">
        <f t="shared" si="8"/>
        <v>0.401177553541935</v>
      </c>
      <c r="J14" s="30">
        <f>(负债表!F14)/P14</f>
        <v>0</v>
      </c>
      <c r="K14" s="37">
        <f t="shared" si="3"/>
        <v>0.263561963932884</v>
      </c>
      <c r="L14" s="37">
        <f t="shared" si="4"/>
        <v>0.160745719949092</v>
      </c>
      <c r="M14" s="30" t="e">
        <f t="shared" si="0"/>
        <v>#DIV/0!</v>
      </c>
      <c r="N14" s="30" t="e">
        <f t="shared" si="5"/>
        <v>#DIV/0!</v>
      </c>
      <c r="O14" s="30"/>
      <c r="P14" s="14">
        <v>6110204366.74</v>
      </c>
      <c r="Q14" s="11">
        <f t="shared" si="9"/>
        <v>2451276839.49</v>
      </c>
      <c r="R14" s="11">
        <v>3658927527.25</v>
      </c>
      <c r="S14" s="65">
        <v>1207566852.96</v>
      </c>
      <c r="T14" s="15">
        <v>0</v>
      </c>
      <c r="U14" s="47">
        <v>282068894.05</v>
      </c>
      <c r="V14" s="15">
        <v>2171135232.51</v>
      </c>
      <c r="W14" s="15">
        <v>7069591619.67</v>
      </c>
      <c r="X14" s="69">
        <f>71100*10000</f>
        <v>711000000</v>
      </c>
      <c r="Y14" s="71">
        <v>0</v>
      </c>
      <c r="Z14" s="73"/>
      <c r="AA14" s="75"/>
      <c r="AB14" s="75"/>
      <c r="AC14" s="30"/>
      <c r="AD14" s="74"/>
      <c r="AE14" s="74"/>
      <c r="AF14" s="78"/>
      <c r="AG14" s="83"/>
      <c r="AH14" s="82"/>
    </row>
    <row r="15" spans="1:34">
      <c r="A15" s="1"/>
      <c r="B15" s="1">
        <v>2011</v>
      </c>
      <c r="C15" s="1"/>
      <c r="D15" s="1"/>
      <c r="E15" s="32"/>
      <c r="F15" s="32"/>
      <c r="G15" s="1"/>
      <c r="H15" s="1"/>
      <c r="I15" s="32"/>
      <c r="J15" s="30"/>
      <c r="K15" s="33">
        <f t="shared" si="3"/>
        <v>0.173794144238016</v>
      </c>
      <c r="L15" s="30">
        <f t="shared" si="4"/>
        <v>0.104261047185661</v>
      </c>
      <c r="M15" s="30" t="e">
        <f t="shared" si="0"/>
        <v>#DIV/0!</v>
      </c>
      <c r="N15" s="30" t="e">
        <f t="shared" si="5"/>
        <v>#DIV/0!</v>
      </c>
      <c r="O15" s="30"/>
      <c r="P15" s="1"/>
      <c r="Q15" s="1"/>
      <c r="R15" s="2"/>
      <c r="S15" s="65">
        <v>955684713.08</v>
      </c>
      <c r="T15" s="15"/>
      <c r="U15" s="15"/>
      <c r="V15" s="15"/>
      <c r="W15" s="38">
        <v>6090560144.37</v>
      </c>
      <c r="X15" s="71"/>
      <c r="Y15" s="71"/>
      <c r="Z15" s="73"/>
      <c r="AA15" s="75"/>
      <c r="AB15" s="75"/>
      <c r="AC15" s="30"/>
      <c r="AD15" s="74"/>
      <c r="AE15" s="74"/>
      <c r="AF15" s="78"/>
      <c r="AG15" s="83"/>
      <c r="AH15" s="82"/>
    </row>
    <row r="16" spans="1:34">
      <c r="A16" s="1"/>
      <c r="B16" s="1">
        <v>2010</v>
      </c>
      <c r="C16" s="1"/>
      <c r="D16" s="1"/>
      <c r="E16" s="32"/>
      <c r="F16" s="32"/>
      <c r="G16" s="1"/>
      <c r="H16" s="1"/>
      <c r="I16" s="1"/>
      <c r="J16" s="6"/>
      <c r="K16" s="32"/>
      <c r="L16" s="30"/>
      <c r="M16" s="30"/>
      <c r="N16" s="30"/>
      <c r="O16" s="30"/>
      <c r="P16" s="1"/>
      <c r="Q16" s="1"/>
      <c r="R16" s="2"/>
      <c r="S16" s="65">
        <v>814184256.9</v>
      </c>
      <c r="T16" s="15"/>
      <c r="U16" s="15"/>
      <c r="V16" s="15"/>
      <c r="W16" s="38">
        <v>5515507551.31</v>
      </c>
      <c r="X16" s="71"/>
      <c r="Y16" s="71"/>
      <c r="Z16" s="73"/>
      <c r="AA16" s="75"/>
      <c r="AB16" s="75"/>
      <c r="AC16" s="30"/>
      <c r="AD16" s="74"/>
      <c r="AE16" s="74"/>
      <c r="AF16" s="78"/>
      <c r="AG16" s="83"/>
      <c r="AH16" s="82"/>
    </row>
    <row r="17" spans="1:34">
      <c r="A17" s="1" t="s">
        <v>60</v>
      </c>
      <c r="B17" s="1">
        <v>2023</v>
      </c>
      <c r="C17" s="54" t="s">
        <v>61</v>
      </c>
      <c r="D17" s="54" t="s">
        <v>62</v>
      </c>
      <c r="E17" s="32"/>
      <c r="F17" s="32">
        <f t="shared" ref="F17:F28" si="10">(S17+T17)/P17</f>
        <v>0.258931822172073</v>
      </c>
      <c r="G17" s="30">
        <f>S17/R17</f>
        <v>0.33401093467221</v>
      </c>
      <c r="H17" s="30">
        <f>S17/P17</f>
        <v>0.2585301811751</v>
      </c>
      <c r="I17" s="33">
        <f>Q17/P17</f>
        <v>0.225982881581961</v>
      </c>
      <c r="J17" s="30"/>
      <c r="K17" s="33">
        <f>(S17-S18)/S18</f>
        <v>-4.13225929112134</v>
      </c>
      <c r="L17" s="30">
        <f>(W17-W18)/W18</f>
        <v>-0.0378108110572284</v>
      </c>
      <c r="M17" s="37">
        <f>(V17-V18)/V18</f>
        <v>0.242385889392273</v>
      </c>
      <c r="N17" s="30">
        <f t="shared" ref="N17:N27" si="11">(X17-X18)/X18</f>
        <v>0</v>
      </c>
      <c r="O17" s="30"/>
      <c r="P17" s="15">
        <v>6718881439.74</v>
      </c>
      <c r="Q17" s="11">
        <f>P17-R17</f>
        <v>1518352188.76</v>
      </c>
      <c r="R17" s="15">
        <v>5200529250.98</v>
      </c>
      <c r="S17" s="15">
        <v>1737033635.91</v>
      </c>
      <c r="T17" s="15">
        <v>2698578.24</v>
      </c>
      <c r="U17" s="15">
        <v>64551857.2</v>
      </c>
      <c r="V17" s="15">
        <v>841908805.69</v>
      </c>
      <c r="W17" s="15">
        <v>5139091906.63</v>
      </c>
      <c r="X17" s="68">
        <v>785375950</v>
      </c>
      <c r="Y17" s="68">
        <v>785375950</v>
      </c>
      <c r="Z17" s="2"/>
      <c r="AA17" s="75"/>
      <c r="AB17" s="76" t="s">
        <v>63</v>
      </c>
      <c r="AC17" s="30"/>
      <c r="AD17" s="74" t="s">
        <v>64</v>
      </c>
      <c r="AE17" s="74" t="s">
        <v>65</v>
      </c>
      <c r="AF17" s="78"/>
      <c r="AG17" s="83"/>
      <c r="AH17" s="82"/>
    </row>
    <row r="18" spans="1:34">
      <c r="A18" s="1"/>
      <c r="B18" s="1">
        <v>2022</v>
      </c>
      <c r="C18" s="1"/>
      <c r="D18" s="1"/>
      <c r="E18" s="32"/>
      <c r="F18" s="32">
        <f t="shared" si="10"/>
        <v>-0.0893635366701453</v>
      </c>
      <c r="G18" s="30">
        <f>S18/R18</f>
        <v>-0.160054464613054</v>
      </c>
      <c r="H18" s="30">
        <f>S18/P18</f>
        <v>-0.0891095891977247</v>
      </c>
      <c r="I18" s="33">
        <f>Q18/P18</f>
        <v>0.443254585786438</v>
      </c>
      <c r="J18" s="30"/>
      <c r="K18" s="33">
        <f t="shared" ref="K18:K27" si="12">(S18-S19)/S19</f>
        <v>-1.70715132355257</v>
      </c>
      <c r="L18" s="30">
        <f>(W18-W19)/W19</f>
        <v>0.044059172814461</v>
      </c>
      <c r="M18" s="30">
        <f t="shared" ref="M18:M27" si="13">(V18-V19)/V19</f>
        <v>-0.441106354921029</v>
      </c>
      <c r="N18" s="30">
        <f t="shared" si="11"/>
        <v>-0.0141359756797898</v>
      </c>
      <c r="O18" s="30"/>
      <c r="P18" s="14">
        <v>6223376570.5</v>
      </c>
      <c r="Q18" s="11">
        <f>P18-R18</f>
        <v>2758540203.95</v>
      </c>
      <c r="R18" s="14">
        <v>3464836366.55</v>
      </c>
      <c r="S18" s="65">
        <v>-554562529.62</v>
      </c>
      <c r="T18" s="15">
        <v>-1580410.75</v>
      </c>
      <c r="U18" s="15">
        <v>80152748.71</v>
      </c>
      <c r="V18" s="15">
        <v>677654835.65</v>
      </c>
      <c r="W18" s="15">
        <v>5341040998.68</v>
      </c>
      <c r="X18" s="68">
        <v>785375950</v>
      </c>
      <c r="Y18" s="68">
        <v>785375950</v>
      </c>
      <c r="Z18" s="2"/>
      <c r="AA18" s="75"/>
      <c r="AB18" s="75"/>
      <c r="AC18" s="30"/>
      <c r="AD18" s="75"/>
      <c r="AE18" s="75"/>
      <c r="AF18" s="78"/>
      <c r="AG18" s="83"/>
      <c r="AH18" s="82"/>
    </row>
    <row r="19" spans="1:34">
      <c r="A19" s="1"/>
      <c r="B19" s="1">
        <v>2021</v>
      </c>
      <c r="C19" s="1"/>
      <c r="D19" s="1"/>
      <c r="E19" s="32"/>
      <c r="F19" s="32">
        <f t="shared" si="10"/>
        <v>0.135919835740443</v>
      </c>
      <c r="G19" s="30">
        <f t="shared" ref="G19:G28" si="14">S19/R19</f>
        <v>0.184506426584944</v>
      </c>
      <c r="H19" s="30">
        <f t="shared" ref="H19:H28" si="15">S19/P19</f>
        <v>0.132522213799464</v>
      </c>
      <c r="I19" s="30">
        <f t="shared" ref="I19:I28" si="16">Q19/P19</f>
        <v>0.281747436919482</v>
      </c>
      <c r="J19" s="30"/>
      <c r="K19" s="33">
        <f t="shared" si="12"/>
        <v>-0.192666937239026</v>
      </c>
      <c r="L19" s="30">
        <f t="shared" ref="L19:L27" si="17">(W19-W20)/W20</f>
        <v>-0.00150781658783711</v>
      </c>
      <c r="M19" s="37">
        <f t="shared" si="13"/>
        <v>0.211283085648605</v>
      </c>
      <c r="N19" s="30">
        <f t="shared" si="11"/>
        <v>0</v>
      </c>
      <c r="O19" s="30"/>
      <c r="P19" s="14">
        <v>5917652808.13</v>
      </c>
      <c r="Q19" s="11">
        <f t="shared" ref="Q19:Q28" si="18">P19-R19</f>
        <v>1667283511.27</v>
      </c>
      <c r="R19" s="14">
        <v>4250369296.86</v>
      </c>
      <c r="S19" s="65">
        <v>784220450.63</v>
      </c>
      <c r="T19" s="15">
        <v>20105947.02</v>
      </c>
      <c r="U19" s="15">
        <v>92303153.39</v>
      </c>
      <c r="V19" s="15">
        <v>1212493363.66</v>
      </c>
      <c r="W19" s="15">
        <v>5115649704.3</v>
      </c>
      <c r="X19" s="68">
        <v>796637194</v>
      </c>
      <c r="Y19" s="68">
        <v>796637194</v>
      </c>
      <c r="Z19" s="2"/>
      <c r="AA19" s="75"/>
      <c r="AB19" s="75"/>
      <c r="AC19" s="30"/>
      <c r="AD19" s="75"/>
      <c r="AE19" s="75"/>
      <c r="AF19" s="78"/>
      <c r="AG19" s="83"/>
      <c r="AH19" s="82"/>
    </row>
    <row r="20" spans="1:34">
      <c r="A20" s="1"/>
      <c r="B20" s="1">
        <v>2020</v>
      </c>
      <c r="C20" s="1"/>
      <c r="D20" s="1"/>
      <c r="E20" s="32"/>
      <c r="F20" s="32">
        <f t="shared" si="10"/>
        <v>0.147404291199012</v>
      </c>
      <c r="G20" s="30">
        <f t="shared" si="14"/>
        <v>0.194599733296717</v>
      </c>
      <c r="H20" s="30">
        <f t="shared" si="15"/>
        <v>0.145875176804194</v>
      </c>
      <c r="I20" s="30">
        <f t="shared" si="16"/>
        <v>0.250383470044278</v>
      </c>
      <c r="J20" s="30"/>
      <c r="K20" s="37">
        <f t="shared" si="12"/>
        <v>0.227517922860407</v>
      </c>
      <c r="L20" s="30">
        <f t="shared" si="17"/>
        <v>0.0959455191484949</v>
      </c>
      <c r="M20" s="30">
        <f t="shared" si="13"/>
        <v>-0.0546526687995923</v>
      </c>
      <c r="N20" s="30">
        <f t="shared" si="11"/>
        <v>0</v>
      </c>
      <c r="O20" s="30"/>
      <c r="P20" s="14">
        <v>6658923560.27</v>
      </c>
      <c r="Q20" s="11">
        <f t="shared" si="18"/>
        <v>1667284387.78</v>
      </c>
      <c r="R20" s="14">
        <v>4991639172.49</v>
      </c>
      <c r="S20" s="65">
        <v>971371651.68</v>
      </c>
      <c r="T20" s="15">
        <v>10182255.87</v>
      </c>
      <c r="U20" s="15">
        <v>158704875.24</v>
      </c>
      <c r="V20" s="15">
        <v>1000999170.24</v>
      </c>
      <c r="W20" s="15">
        <v>5123374813.83</v>
      </c>
      <c r="X20" s="68">
        <v>796637194</v>
      </c>
      <c r="Y20" s="68">
        <v>796637194</v>
      </c>
      <c r="Z20" s="2"/>
      <c r="AA20" s="75"/>
      <c r="AB20" s="75"/>
      <c r="AC20" s="30"/>
      <c r="AD20" s="75"/>
      <c r="AE20" s="75"/>
      <c r="AF20" s="78"/>
      <c r="AG20" s="83"/>
      <c r="AH20" s="82"/>
    </row>
    <row r="21" spans="1:34">
      <c r="A21" s="1"/>
      <c r="B21" s="1">
        <v>2019</v>
      </c>
      <c r="C21" s="1"/>
      <c r="D21" s="1"/>
      <c r="E21" s="32"/>
      <c r="F21" s="32">
        <f t="shared" si="10"/>
        <v>0.141528959158248</v>
      </c>
      <c r="G21" s="30">
        <f t="shared" si="14"/>
        <v>0.186379631043394</v>
      </c>
      <c r="H21" s="30">
        <f t="shared" si="15"/>
        <v>0.132913370366435</v>
      </c>
      <c r="I21" s="30">
        <f t="shared" si="16"/>
        <v>0.286867510025872</v>
      </c>
      <c r="J21" s="30"/>
      <c r="K21" s="33">
        <f t="shared" si="12"/>
        <v>0.161605538848774</v>
      </c>
      <c r="L21" s="30">
        <f t="shared" si="17"/>
        <v>0.12201698396675</v>
      </c>
      <c r="M21" s="37">
        <f t="shared" si="13"/>
        <v>0.463396481204402</v>
      </c>
      <c r="N21" s="30">
        <f t="shared" si="11"/>
        <v>0</v>
      </c>
      <c r="O21" s="30"/>
      <c r="P21" s="14">
        <v>5953726937.24</v>
      </c>
      <c r="Q21" s="11">
        <f t="shared" si="18"/>
        <v>1707930821.86</v>
      </c>
      <c r="R21" s="14">
        <v>4245796115.38</v>
      </c>
      <c r="S21" s="65">
        <v>791329913.47</v>
      </c>
      <c r="T21" s="15">
        <v>51294863.07</v>
      </c>
      <c r="U21" s="15">
        <v>136691992.21</v>
      </c>
      <c r="V21" s="15">
        <v>1058869197.81</v>
      </c>
      <c r="W21" s="15">
        <v>4674844437.35</v>
      </c>
      <c r="X21" s="68">
        <v>796637194</v>
      </c>
      <c r="Y21" s="68">
        <v>796637194</v>
      </c>
      <c r="Z21" s="2"/>
      <c r="AA21" s="75"/>
      <c r="AB21" s="75"/>
      <c r="AC21" s="30"/>
      <c r="AD21" s="75"/>
      <c r="AE21" s="75"/>
      <c r="AF21" s="78"/>
      <c r="AG21" s="83"/>
      <c r="AH21" s="82"/>
    </row>
    <row r="22" spans="1:34">
      <c r="A22" s="1"/>
      <c r="B22" s="1">
        <v>2018</v>
      </c>
      <c r="C22" s="1"/>
      <c r="D22" s="1"/>
      <c r="E22" s="32"/>
      <c r="F22" s="32">
        <f t="shared" si="10"/>
        <v>0.123400232469235</v>
      </c>
      <c r="G22" s="30">
        <f t="shared" si="14"/>
        <v>0.172561498486247</v>
      </c>
      <c r="H22" s="30">
        <f t="shared" si="15"/>
        <v>0.113849206275734</v>
      </c>
      <c r="I22" s="33">
        <f t="shared" si="16"/>
        <v>0.340239814359238</v>
      </c>
      <c r="J22" s="30"/>
      <c r="K22" s="37">
        <f t="shared" si="12"/>
        <v>0.332092262949975</v>
      </c>
      <c r="L22" s="37">
        <f t="shared" si="17"/>
        <v>0.154346322704087</v>
      </c>
      <c r="M22" s="30">
        <f t="shared" si="13"/>
        <v>0.112130615685547</v>
      </c>
      <c r="N22" s="30">
        <f t="shared" si="11"/>
        <v>0</v>
      </c>
      <c r="O22" s="30"/>
      <c r="P22" s="14">
        <v>5983687463.75</v>
      </c>
      <c r="Q22" s="11">
        <f t="shared" si="18"/>
        <v>2035888711.85</v>
      </c>
      <c r="R22" s="14">
        <v>3947798751.9</v>
      </c>
      <c r="S22" s="65">
        <v>681238068.35</v>
      </c>
      <c r="T22" s="15">
        <v>57150355.7</v>
      </c>
      <c r="U22" s="15">
        <v>111327569.02</v>
      </c>
      <c r="V22" s="15">
        <v>723569594.03</v>
      </c>
      <c r="W22" s="15">
        <v>4166464950.31</v>
      </c>
      <c r="X22" s="68">
        <v>796637194</v>
      </c>
      <c r="Y22" s="68">
        <v>796637194</v>
      </c>
      <c r="Z22" s="2"/>
      <c r="AA22" s="75"/>
      <c r="AB22" s="75"/>
      <c r="AC22" s="30"/>
      <c r="AD22" s="75"/>
      <c r="AE22" s="75"/>
      <c r="AF22" s="78"/>
      <c r="AG22" s="83"/>
      <c r="AH22" s="82"/>
    </row>
    <row r="23" spans="1:34">
      <c r="A23" s="1"/>
      <c r="B23" s="1">
        <v>2017</v>
      </c>
      <c r="C23" s="1"/>
      <c r="D23" s="1"/>
      <c r="E23" s="32"/>
      <c r="F23" s="32">
        <f t="shared" si="10"/>
        <v>0.107981762462568</v>
      </c>
      <c r="G23" s="30">
        <f t="shared" si="14"/>
        <v>0.148226520751638</v>
      </c>
      <c r="H23" s="30">
        <f t="shared" si="15"/>
        <v>0.0964047932056491</v>
      </c>
      <c r="I23" s="33">
        <f t="shared" si="16"/>
        <v>0.349611711070378</v>
      </c>
      <c r="J23" s="30"/>
      <c r="K23" s="37">
        <f t="shared" si="12"/>
        <v>0.246525457918945</v>
      </c>
      <c r="L23" s="30">
        <f t="shared" si="17"/>
        <v>0.142933638506007</v>
      </c>
      <c r="M23" s="30">
        <f t="shared" si="13"/>
        <v>-0.0385026890171281</v>
      </c>
      <c r="N23" s="30">
        <f t="shared" si="11"/>
        <v>0</v>
      </c>
      <c r="O23" s="30"/>
      <c r="P23" s="14">
        <v>5304762875.94</v>
      </c>
      <c r="Q23" s="11">
        <f t="shared" si="18"/>
        <v>1854607225.88</v>
      </c>
      <c r="R23" s="14">
        <v>3450155650.06</v>
      </c>
      <c r="S23" s="65">
        <v>511404568.06</v>
      </c>
      <c r="T23" s="15">
        <v>61413076.73</v>
      </c>
      <c r="U23" s="15">
        <v>97773235.58</v>
      </c>
      <c r="V23" s="15">
        <v>650615659.55</v>
      </c>
      <c r="W23" s="15">
        <v>3609371700.99</v>
      </c>
      <c r="X23" s="68">
        <v>796637194</v>
      </c>
      <c r="Y23" s="68">
        <v>796637194</v>
      </c>
      <c r="Z23" s="2"/>
      <c r="AA23" s="75"/>
      <c r="AB23" s="75"/>
      <c r="AC23" s="30"/>
      <c r="AD23" s="75"/>
      <c r="AE23" s="75"/>
      <c r="AF23" s="78"/>
      <c r="AG23" s="83"/>
      <c r="AH23" s="82"/>
    </row>
    <row r="24" spans="1:34">
      <c r="A24" s="1"/>
      <c r="B24" s="1">
        <v>2016</v>
      </c>
      <c r="C24" s="1"/>
      <c r="D24" s="1"/>
      <c r="E24" s="32"/>
      <c r="F24" s="32">
        <f t="shared" si="10"/>
        <v>0.0964580983452112</v>
      </c>
      <c r="G24" s="30">
        <f t="shared" si="14"/>
        <v>0.132810018005808</v>
      </c>
      <c r="H24" s="30">
        <f t="shared" si="15"/>
        <v>0.0835420859181533</v>
      </c>
      <c r="I24" s="33">
        <f t="shared" si="16"/>
        <v>0.370965480070186</v>
      </c>
      <c r="J24" s="30"/>
      <c r="K24" s="37">
        <f t="shared" si="12"/>
        <v>0.496971412499224</v>
      </c>
      <c r="L24" s="30">
        <f t="shared" si="17"/>
        <v>0.144785649301856</v>
      </c>
      <c r="M24" s="37">
        <f t="shared" si="13"/>
        <v>0.717656680281128</v>
      </c>
      <c r="N24" s="30">
        <f t="shared" si="11"/>
        <v>0</v>
      </c>
      <c r="O24" s="30"/>
      <c r="P24" s="14">
        <v>4910866585.04</v>
      </c>
      <c r="Q24" s="11">
        <f t="shared" si="18"/>
        <v>1821761980.28</v>
      </c>
      <c r="R24" s="14">
        <v>3089104604.76</v>
      </c>
      <c r="S24" s="65">
        <v>410264038.18</v>
      </c>
      <c r="T24" s="15">
        <v>63428813.84</v>
      </c>
      <c r="U24" s="15">
        <v>75998454.21</v>
      </c>
      <c r="V24" s="15">
        <v>676669245.06</v>
      </c>
      <c r="W24" s="15">
        <v>3157988862.51</v>
      </c>
      <c r="X24" s="68">
        <v>796637194</v>
      </c>
      <c r="Y24" s="68">
        <v>796637194</v>
      </c>
      <c r="Z24" s="2"/>
      <c r="AA24" s="75"/>
      <c r="AB24" s="75"/>
      <c r="AC24" s="30"/>
      <c r="AD24" s="75"/>
      <c r="AE24" s="75"/>
      <c r="AF24" s="78"/>
      <c r="AG24" s="83"/>
      <c r="AH24" s="82"/>
    </row>
    <row r="25" spans="1:34">
      <c r="A25" s="1"/>
      <c r="B25" s="1">
        <v>2015</v>
      </c>
      <c r="C25" s="1"/>
      <c r="D25" s="1"/>
      <c r="E25" s="32"/>
      <c r="F25" s="32">
        <f t="shared" si="10"/>
        <v>0.0741579481353309</v>
      </c>
      <c r="G25" s="30">
        <f t="shared" si="14"/>
        <v>0.0979289181850914</v>
      </c>
      <c r="H25" s="30">
        <f t="shared" si="15"/>
        <v>0.060591582801739</v>
      </c>
      <c r="I25" s="33">
        <f t="shared" si="16"/>
        <v>0.381269762551473</v>
      </c>
      <c r="J25" s="30"/>
      <c r="K25" s="33">
        <f t="shared" si="12"/>
        <v>-0.0634488224879556</v>
      </c>
      <c r="L25" s="30">
        <f t="shared" si="17"/>
        <v>0.0441684194682816</v>
      </c>
      <c r="M25" s="37">
        <f t="shared" si="13"/>
        <v>0.176095081596958</v>
      </c>
      <c r="N25" s="30">
        <f t="shared" si="11"/>
        <v>0</v>
      </c>
      <c r="O25" s="30"/>
      <c r="P25" s="14">
        <v>4523115170.58</v>
      </c>
      <c r="Q25" s="11">
        <f t="shared" si="18"/>
        <v>1724527047.08</v>
      </c>
      <c r="R25" s="14">
        <v>2798588123.5</v>
      </c>
      <c r="S25" s="65">
        <v>274062707.38</v>
      </c>
      <c r="T25" s="15">
        <v>61362232.85</v>
      </c>
      <c r="U25" s="15">
        <v>65056564.18</v>
      </c>
      <c r="V25" s="15">
        <v>393949066.09</v>
      </c>
      <c r="W25" s="15">
        <v>2758585298.86</v>
      </c>
      <c r="X25" s="68">
        <v>796637194</v>
      </c>
      <c r="Y25" s="68">
        <v>796637194</v>
      </c>
      <c r="Z25" s="2"/>
      <c r="AA25" s="75"/>
      <c r="AB25" s="75"/>
      <c r="AC25" s="30"/>
      <c r="AD25" s="75"/>
      <c r="AE25" s="75"/>
      <c r="AF25" s="78"/>
      <c r="AG25" s="83"/>
      <c r="AH25" s="82"/>
    </row>
    <row r="26" spans="1:34">
      <c r="A26" s="1"/>
      <c r="B26" s="1">
        <v>2014</v>
      </c>
      <c r="C26" s="1"/>
      <c r="D26" s="1"/>
      <c r="E26" s="32"/>
      <c r="F26" s="32">
        <f t="shared" si="10"/>
        <v>0.080085434624652</v>
      </c>
      <c r="G26" s="30">
        <f t="shared" si="14"/>
        <v>0.112009784784847</v>
      </c>
      <c r="H26" s="30">
        <f t="shared" si="15"/>
        <v>0.0720945826561604</v>
      </c>
      <c r="I26" s="33">
        <f t="shared" si="16"/>
        <v>0.35635460067491</v>
      </c>
      <c r="J26" s="30"/>
      <c r="K26" s="37">
        <f t="shared" si="12"/>
        <v>0.328006614094497</v>
      </c>
      <c r="L26" s="30">
        <f t="shared" si="17"/>
        <v>0.139637431020141</v>
      </c>
      <c r="M26" s="37">
        <f t="shared" si="13"/>
        <v>1.47997787138535</v>
      </c>
      <c r="N26" s="30">
        <f t="shared" si="11"/>
        <v>0</v>
      </c>
      <c r="O26" s="30"/>
      <c r="P26" s="14">
        <v>4058969587.71</v>
      </c>
      <c r="Q26" s="11">
        <f t="shared" si="18"/>
        <v>1446432486.58</v>
      </c>
      <c r="R26" s="14">
        <v>2612537101.13</v>
      </c>
      <c r="S26" s="65">
        <v>292629718.44</v>
      </c>
      <c r="T26" s="15">
        <v>32434625.12</v>
      </c>
      <c r="U26" s="15">
        <v>51394587.66</v>
      </c>
      <c r="V26" s="15">
        <v>334963620.08</v>
      </c>
      <c r="W26" s="15">
        <v>2641896888.88</v>
      </c>
      <c r="X26" s="68">
        <v>796637194</v>
      </c>
      <c r="Y26" s="68">
        <v>796637194</v>
      </c>
      <c r="Z26" s="2"/>
      <c r="AA26" s="75"/>
      <c r="AB26" s="75"/>
      <c r="AC26" s="30"/>
      <c r="AD26" s="75"/>
      <c r="AE26" s="75"/>
      <c r="AF26" s="78"/>
      <c r="AG26" s="83"/>
      <c r="AH26" s="82"/>
    </row>
    <row r="27" spans="1:34">
      <c r="A27" s="1"/>
      <c r="B27" s="1">
        <v>2013</v>
      </c>
      <c r="C27" s="1"/>
      <c r="D27" s="1"/>
      <c r="E27" s="32"/>
      <c r="F27" s="32">
        <f t="shared" si="10"/>
        <v>0.0685897167369739</v>
      </c>
      <c r="G27" s="30">
        <f t="shared" si="14"/>
        <v>0.0923980798268776</v>
      </c>
      <c r="H27" s="30">
        <f t="shared" si="15"/>
        <v>0.0596172346064413</v>
      </c>
      <c r="I27" s="33">
        <f t="shared" si="16"/>
        <v>0.354778424853162</v>
      </c>
      <c r="J27" s="30"/>
      <c r="K27" s="37">
        <f t="shared" si="12"/>
        <v>0.800068850009729</v>
      </c>
      <c r="L27" s="37">
        <f t="shared" si="17"/>
        <v>0.321404611520922</v>
      </c>
      <c r="M27" s="30">
        <f t="shared" si="13"/>
        <v>-0.44206624168004</v>
      </c>
      <c r="N27" s="30">
        <f t="shared" si="11"/>
        <v>0</v>
      </c>
      <c r="O27" s="30"/>
      <c r="P27" s="14">
        <v>3696122566.48</v>
      </c>
      <c r="Q27" s="11">
        <f t="shared" si="18"/>
        <v>1311304542.2</v>
      </c>
      <c r="R27" s="14">
        <v>2384818024.28</v>
      </c>
      <c r="S27" s="65">
        <v>220352606.18</v>
      </c>
      <c r="T27" s="15">
        <v>33163393.68</v>
      </c>
      <c r="U27" s="15">
        <v>42004915.4</v>
      </c>
      <c r="V27" s="15">
        <v>135067181.02</v>
      </c>
      <c r="W27" s="15">
        <v>2318190695.54</v>
      </c>
      <c r="X27" s="68">
        <v>796637194</v>
      </c>
      <c r="Y27" s="68">
        <v>796637194</v>
      </c>
      <c r="Z27" s="2"/>
      <c r="AA27" s="75"/>
      <c r="AB27" s="75"/>
      <c r="AC27" s="30"/>
      <c r="AD27" s="75"/>
      <c r="AE27" s="75"/>
      <c r="AF27" s="78"/>
      <c r="AG27" s="83"/>
      <c r="AH27" s="82"/>
    </row>
    <row r="28" spans="1:34">
      <c r="A28" s="1"/>
      <c r="B28" s="1">
        <v>2012</v>
      </c>
      <c r="C28" s="1"/>
      <c r="D28" s="1"/>
      <c r="E28" s="32"/>
      <c r="F28" s="32">
        <f t="shared" si="10"/>
        <v>0.0468819626470807</v>
      </c>
      <c r="G28" s="30">
        <f t="shared" si="14"/>
        <v>0.0559079336901412</v>
      </c>
      <c r="H28" s="30">
        <f t="shared" si="15"/>
        <v>0.03502441393669</v>
      </c>
      <c r="I28" s="33">
        <f t="shared" si="16"/>
        <v>0.373534101066837</v>
      </c>
      <c r="J28" s="30"/>
      <c r="K28" s="30"/>
      <c r="L28" s="30"/>
      <c r="M28" s="30"/>
      <c r="N28" s="30"/>
      <c r="O28" s="30"/>
      <c r="P28" s="14">
        <v>3495088667.33</v>
      </c>
      <c r="Q28" s="11">
        <f t="shared" si="18"/>
        <v>1305534803.5</v>
      </c>
      <c r="R28" s="14">
        <v>2189553863.83</v>
      </c>
      <c r="S28" s="65">
        <v>122413432.23</v>
      </c>
      <c r="T28" s="15">
        <v>41443184.12</v>
      </c>
      <c r="U28" s="15">
        <v>22906699.05</v>
      </c>
      <c r="V28" s="15">
        <v>242084618.48</v>
      </c>
      <c r="W28" s="15">
        <v>1754338281.65</v>
      </c>
      <c r="X28" s="68">
        <v>796637194</v>
      </c>
      <c r="Y28" s="68">
        <v>796637194</v>
      </c>
      <c r="Z28" s="2"/>
      <c r="AA28" s="75"/>
      <c r="AB28" s="75"/>
      <c r="AC28" s="30"/>
      <c r="AD28" s="75"/>
      <c r="AE28" s="75"/>
      <c r="AF28" s="78"/>
      <c r="AG28" s="83"/>
      <c r="AH28" s="82"/>
    </row>
    <row r="29" spans="1:34">
      <c r="A29" s="1"/>
      <c r="B29" s="1">
        <v>2011</v>
      </c>
      <c r="C29" s="1"/>
      <c r="D29" s="1"/>
      <c r="E29" s="32"/>
      <c r="F29" s="32"/>
      <c r="G29" s="1"/>
      <c r="H29" s="1"/>
      <c r="I29" s="1"/>
      <c r="J29" s="6"/>
      <c r="K29" s="32"/>
      <c r="L29" s="30"/>
      <c r="M29" s="30"/>
      <c r="N29" s="30"/>
      <c r="O29" s="30"/>
      <c r="P29" s="1"/>
      <c r="Q29" s="1"/>
      <c r="R29" s="2"/>
      <c r="S29" s="2"/>
      <c r="T29" s="15"/>
      <c r="U29" s="15"/>
      <c r="V29" s="15"/>
      <c r="W29" s="2"/>
      <c r="X29" s="71"/>
      <c r="Y29" s="71"/>
      <c r="Z29" s="2"/>
      <c r="AA29" s="75"/>
      <c r="AB29" s="75"/>
      <c r="AC29" s="30"/>
      <c r="AD29" s="75"/>
      <c r="AE29" s="75"/>
      <c r="AF29" s="78"/>
      <c r="AG29" s="83"/>
      <c r="AH29" s="82"/>
    </row>
    <row r="30" spans="1:34">
      <c r="A30" s="1"/>
      <c r="B30" s="1">
        <v>2010</v>
      </c>
      <c r="C30" s="1"/>
      <c r="D30" s="1"/>
      <c r="E30" s="32"/>
      <c r="F30" s="32"/>
      <c r="G30" s="1"/>
      <c r="H30" s="1"/>
      <c r="I30" s="1"/>
      <c r="J30" s="6"/>
      <c r="K30" s="32"/>
      <c r="L30" s="30"/>
      <c r="M30" s="30"/>
      <c r="N30" s="30"/>
      <c r="O30" s="30"/>
      <c r="P30" s="1"/>
      <c r="Q30" s="1"/>
      <c r="R30" s="2"/>
      <c r="S30" s="2"/>
      <c r="T30" s="15"/>
      <c r="U30" s="15"/>
      <c r="V30" s="15"/>
      <c r="W30" s="2"/>
      <c r="X30" s="71"/>
      <c r="Y30" s="71"/>
      <c r="Z30" s="2"/>
      <c r="AA30" s="75"/>
      <c r="AB30" s="75"/>
      <c r="AC30" s="30"/>
      <c r="AD30" s="75"/>
      <c r="AE30" s="75"/>
      <c r="AF30" s="78"/>
      <c r="AG30" s="83"/>
      <c r="AH30" s="82"/>
    </row>
    <row r="31" spans="1:34">
      <c r="A31" s="1" t="s">
        <v>66</v>
      </c>
      <c r="B31" s="1">
        <v>2023</v>
      </c>
      <c r="C31" s="1">
        <v>1996</v>
      </c>
      <c r="D31" s="1">
        <v>2016</v>
      </c>
      <c r="E31" s="32">
        <f>(S31+T31)/(R31+负债表!F31)</f>
        <v>0.145235411107123</v>
      </c>
      <c r="F31" s="32">
        <f>(S31+T31)/P31</f>
        <v>0.124292110925563</v>
      </c>
      <c r="G31" s="30">
        <f>S31/R31</f>
        <v>0.145233997925144</v>
      </c>
      <c r="H31" s="30">
        <f>S31/P31</f>
        <v>0.124290901527869</v>
      </c>
      <c r="I31" s="30">
        <f>Q31/P31</f>
        <v>0.144202436732955</v>
      </c>
      <c r="J31" s="30">
        <f>(负债表!F31)/P31</f>
        <v>0</v>
      </c>
      <c r="K31" s="37">
        <f>(S31-S32)/S32</f>
        <v>0.542210500449144</v>
      </c>
      <c r="L31" s="37">
        <f>(W31-W32)/W32</f>
        <v>0.316164682857814</v>
      </c>
      <c r="M31" s="30">
        <f>(V31-V32)/V32</f>
        <v>-0.392241868303597</v>
      </c>
      <c r="N31" s="30">
        <f t="shared" ref="N31:N38" si="19">(X31-X32)/X32</f>
        <v>0.0645826251064263</v>
      </c>
      <c r="O31" s="30"/>
      <c r="P31" s="15">
        <v>4267793815.23</v>
      </c>
      <c r="Q31" s="11">
        <f>P31-R31</f>
        <v>615426267.63</v>
      </c>
      <c r="R31" s="15">
        <v>3652367547.6</v>
      </c>
      <c r="S31" s="15">
        <v>530447940.83</v>
      </c>
      <c r="T31" s="15">
        <v>5161.46</v>
      </c>
      <c r="U31" s="15">
        <v>98762845.55</v>
      </c>
      <c r="V31" s="15">
        <v>470030322.18</v>
      </c>
      <c r="W31" s="15">
        <v>3206797965.72</v>
      </c>
      <c r="X31" s="71">
        <v>1027821086</v>
      </c>
      <c r="Y31" s="71">
        <v>958538590</v>
      </c>
      <c r="Z31" s="2"/>
      <c r="AA31" s="75"/>
      <c r="AB31" s="75"/>
      <c r="AC31" s="30"/>
      <c r="AD31" s="74" t="s">
        <v>67</v>
      </c>
      <c r="AE31" s="74" t="s">
        <v>68</v>
      </c>
      <c r="AF31" s="78"/>
      <c r="AG31" s="83"/>
      <c r="AH31" s="82"/>
    </row>
    <row r="32" spans="1:34">
      <c r="A32" s="1"/>
      <c r="B32" s="1">
        <v>2022</v>
      </c>
      <c r="C32" s="1"/>
      <c r="D32" s="1"/>
      <c r="E32" s="32">
        <f>(S32+T32)/(R32+负债表!F32)</f>
        <v>0.142814736028508</v>
      </c>
      <c r="F32" s="32">
        <f>(S32+T32)/P32</f>
        <v>0.108881967128426</v>
      </c>
      <c r="G32" s="30">
        <f>S32/R32</f>
        <v>0.146174949199638</v>
      </c>
      <c r="H32" s="30">
        <f>S32/P32</f>
        <v>0.108448021445581</v>
      </c>
      <c r="I32" s="30">
        <f>Q32/P32</f>
        <v>0.258094344897165</v>
      </c>
      <c r="J32" s="30">
        <f>(负债表!F32)/P32</f>
        <v>0.020494431584935</v>
      </c>
      <c r="K32" s="37">
        <f t="shared" ref="K32:K40" si="20">(S32-S33)/S33</f>
        <v>0.553525427321262</v>
      </c>
      <c r="L32" s="37">
        <f>(W32-W33)/W33</f>
        <v>0.265511357801264</v>
      </c>
      <c r="M32" s="37">
        <f t="shared" ref="M32:M40" si="21">(V32-V33)/V33</f>
        <v>3.34027256643339</v>
      </c>
      <c r="N32" s="30">
        <f t="shared" si="19"/>
        <v>0.208675707551295</v>
      </c>
      <c r="O32" s="30"/>
      <c r="P32" s="14">
        <v>3171593207.19</v>
      </c>
      <c r="Q32" s="11">
        <f>P32-R32</f>
        <v>818570271.09</v>
      </c>
      <c r="R32" s="14">
        <v>2353022936.1</v>
      </c>
      <c r="S32" s="14">
        <v>343953008.15</v>
      </c>
      <c r="T32" s="15">
        <v>1376299.18</v>
      </c>
      <c r="U32" s="15">
        <v>57707967.16</v>
      </c>
      <c r="V32" s="15">
        <v>773383847.4</v>
      </c>
      <c r="W32" s="15">
        <v>2436471672.19</v>
      </c>
      <c r="X32" s="71">
        <v>965468590</v>
      </c>
      <c r="Y32" s="71">
        <v>958538590</v>
      </c>
      <c r="Z32" s="2"/>
      <c r="AA32" s="75"/>
      <c r="AB32" s="75"/>
      <c r="AC32" s="30"/>
      <c r="AD32" s="75"/>
      <c r="AE32" s="74"/>
      <c r="AF32" s="78"/>
      <c r="AG32" s="83"/>
      <c r="AH32" s="82"/>
    </row>
    <row r="33" spans="1:34">
      <c r="A33" s="1"/>
      <c r="B33" s="1">
        <v>2021</v>
      </c>
      <c r="C33" s="1"/>
      <c r="D33" s="1"/>
      <c r="E33" s="32">
        <f>(S33+T33)/(R33+负债表!F33)</f>
        <v>0.106745425966457</v>
      </c>
      <c r="F33" s="32">
        <f t="shared" ref="F33:F41" si="22">(S33+T33)/P33</f>
        <v>0.0923400343109796</v>
      </c>
      <c r="G33" s="30">
        <f t="shared" ref="G33:G41" si="23">S33/R33</f>
        <v>0.106734499493711</v>
      </c>
      <c r="H33" s="30">
        <f t="shared" ref="H33:H41" si="24">S33/P33</f>
        <v>0.0923305823756004</v>
      </c>
      <c r="I33" s="30">
        <f t="shared" ref="I33:I41" si="25">Q33/P33</f>
        <v>0.134950903282766</v>
      </c>
      <c r="J33" s="30">
        <f>(负债表!F33)/P33</f>
        <v>0</v>
      </c>
      <c r="K33" s="33">
        <f t="shared" si="20"/>
        <v>0.0758040630428128</v>
      </c>
      <c r="L33" s="30">
        <f t="shared" ref="L33:L40" si="26">(W33-W34)/W34</f>
        <v>0.137019947464054</v>
      </c>
      <c r="M33" s="30">
        <f t="shared" si="21"/>
        <v>-0.528641106023548</v>
      </c>
      <c r="N33" s="30">
        <f t="shared" si="19"/>
        <v>0.199957601552533</v>
      </c>
      <c r="O33" s="30"/>
      <c r="P33" s="14">
        <v>2397922657.19</v>
      </c>
      <c r="Q33" s="11">
        <f t="shared" ref="Q33:Q41" si="27">P33-R33</f>
        <v>323601828.59</v>
      </c>
      <c r="R33" s="14">
        <v>2074320828.6</v>
      </c>
      <c r="S33" s="14">
        <v>221401595.43</v>
      </c>
      <c r="T33" s="15">
        <v>22665.01</v>
      </c>
      <c r="U33" s="15">
        <v>39840870.93</v>
      </c>
      <c r="V33" s="15">
        <v>178187852.39</v>
      </c>
      <c r="W33" s="15">
        <v>1925286294.09</v>
      </c>
      <c r="X33" s="71">
        <v>798782158</v>
      </c>
      <c r="Y33" s="71">
        <v>794566246</v>
      </c>
      <c r="Z33" s="2"/>
      <c r="AA33" s="75"/>
      <c r="AB33" s="75"/>
      <c r="AC33" s="30"/>
      <c r="AD33" s="75"/>
      <c r="AE33" s="74"/>
      <c r="AF33" s="78"/>
      <c r="AG33" s="83"/>
      <c r="AH33" s="82"/>
    </row>
    <row r="34" spans="1:34">
      <c r="A34" s="1"/>
      <c r="B34" s="1">
        <v>2020</v>
      </c>
      <c r="C34" s="1"/>
      <c r="D34" s="1"/>
      <c r="E34" s="32">
        <f>(S34+T34)/(R34+负债表!F34)</f>
        <v>0.107906602396317</v>
      </c>
      <c r="F34" s="32">
        <f t="shared" si="22"/>
        <v>0.0937074701353158</v>
      </c>
      <c r="G34" s="30">
        <f t="shared" si="23"/>
        <v>0.108435539151202</v>
      </c>
      <c r="H34" s="30">
        <f t="shared" si="24"/>
        <v>0.0941668055611486</v>
      </c>
      <c r="I34" s="30">
        <f t="shared" si="25"/>
        <v>0.131587242538234</v>
      </c>
      <c r="J34" s="30">
        <f>(负债表!F34)/P34</f>
        <v>0</v>
      </c>
      <c r="K34" s="33">
        <f t="shared" si="20"/>
        <v>0.038067685806363</v>
      </c>
      <c r="L34" s="37">
        <f t="shared" si="26"/>
        <v>0.249512951393242</v>
      </c>
      <c r="M34" s="37">
        <f t="shared" si="21"/>
        <v>0.968989207210425</v>
      </c>
      <c r="N34" s="30">
        <f t="shared" si="19"/>
        <v>0.428945553936482</v>
      </c>
      <c r="O34" s="30"/>
      <c r="P34" s="14">
        <v>2185494550.48</v>
      </c>
      <c r="Q34" s="11">
        <f t="shared" si="27"/>
        <v>287583201.48</v>
      </c>
      <c r="R34" s="14">
        <v>1897911349</v>
      </c>
      <c r="S34" s="14">
        <v>205801040.39</v>
      </c>
      <c r="T34" s="15">
        <v>-1003875.07</v>
      </c>
      <c r="U34" s="15">
        <v>51143969.08</v>
      </c>
      <c r="V34" s="15">
        <v>378030105.44</v>
      </c>
      <c r="W34" s="15">
        <v>1693273982.03</v>
      </c>
      <c r="X34" s="71">
        <v>665675318</v>
      </c>
      <c r="Y34" s="71">
        <v>659771876</v>
      </c>
      <c r="Z34" s="2"/>
      <c r="AA34" s="75"/>
      <c r="AB34" s="75"/>
      <c r="AC34" s="30"/>
      <c r="AD34" s="75"/>
      <c r="AE34" s="74"/>
      <c r="AF34" s="78"/>
      <c r="AG34" s="83"/>
      <c r="AH34" s="82"/>
    </row>
    <row r="35" spans="1:34">
      <c r="A35" s="1"/>
      <c r="B35" s="1">
        <v>2019</v>
      </c>
      <c r="C35" s="1"/>
      <c r="D35" s="1"/>
      <c r="E35" s="32">
        <f>(S35+T35)/(R35+负债表!F35)</f>
        <v>0.114026445828948</v>
      </c>
      <c r="F35" s="32">
        <f t="shared" si="22"/>
        <v>0.0971055801939866</v>
      </c>
      <c r="G35" s="30">
        <f t="shared" si="23"/>
        <v>0.12448980369023</v>
      </c>
      <c r="H35" s="30">
        <f t="shared" si="24"/>
        <v>0.096447124320194</v>
      </c>
      <c r="I35" s="30">
        <f t="shared" si="25"/>
        <v>0.225260853007811</v>
      </c>
      <c r="J35" s="30">
        <f>(负债表!F35)/P35</f>
        <v>0.0768666317203696</v>
      </c>
      <c r="K35" s="33">
        <f t="shared" si="20"/>
        <v>-0.17402301476168</v>
      </c>
      <c r="L35" s="37">
        <f t="shared" si="26"/>
        <v>0.271906286261509</v>
      </c>
      <c r="M35" s="30">
        <f t="shared" si="21"/>
        <v>-0.211249282950964</v>
      </c>
      <c r="N35" s="30">
        <f t="shared" si="19"/>
        <v>0.428101919470848</v>
      </c>
      <c r="O35" s="30"/>
      <c r="P35" s="14">
        <v>2055571609.08</v>
      </c>
      <c r="Q35" s="11">
        <f t="shared" si="27"/>
        <v>463039814.08</v>
      </c>
      <c r="R35" s="14">
        <v>1592531795</v>
      </c>
      <c r="S35" s="14">
        <v>198253970.53</v>
      </c>
      <c r="T35" s="15">
        <v>1353503.2</v>
      </c>
      <c r="U35" s="15">
        <v>33750491.3</v>
      </c>
      <c r="V35" s="15">
        <v>191991964.23</v>
      </c>
      <c r="W35" s="15">
        <v>1355147203.67</v>
      </c>
      <c r="X35" s="71">
        <v>465850722</v>
      </c>
      <c r="Y35" s="71">
        <v>459810506</v>
      </c>
      <c r="Z35" s="2"/>
      <c r="AA35" s="75"/>
      <c r="AB35" s="75"/>
      <c r="AC35" s="30"/>
      <c r="AD35" s="75"/>
      <c r="AE35" s="74"/>
      <c r="AF35" s="78"/>
      <c r="AG35" s="83"/>
      <c r="AH35" s="82"/>
    </row>
    <row r="36" spans="1:34">
      <c r="A36" s="1"/>
      <c r="B36" s="1">
        <v>2018</v>
      </c>
      <c r="C36" s="1"/>
      <c r="D36" s="1"/>
      <c r="E36" s="32">
        <f>(S36+T36)/(R36+负债表!F36)</f>
        <v>0.143116464671999</v>
      </c>
      <c r="F36" s="32">
        <f t="shared" si="22"/>
        <v>0.125470247715255</v>
      </c>
      <c r="G36" s="30">
        <f t="shared" si="23"/>
        <v>0.1837137290892</v>
      </c>
      <c r="H36" s="30">
        <f t="shared" si="24"/>
        <v>0.124290923391616</v>
      </c>
      <c r="I36" s="62">
        <f t="shared" si="25"/>
        <v>0.323453266079702</v>
      </c>
      <c r="J36" s="33">
        <f>(负债表!F36)/P36</f>
        <v>0.200153567493754</v>
      </c>
      <c r="K36" s="37">
        <f t="shared" si="20"/>
        <v>0.666142883870169</v>
      </c>
      <c r="L36" s="30">
        <f t="shared" si="26"/>
        <v>0.123689887095143</v>
      </c>
      <c r="M36" s="37">
        <f t="shared" si="21"/>
        <v>0.392173526031768</v>
      </c>
      <c r="N36" s="30">
        <f t="shared" si="19"/>
        <v>0.00066725115127926</v>
      </c>
      <c r="O36" s="30"/>
      <c r="P36" s="14">
        <v>1931143438.96</v>
      </c>
      <c r="Q36" s="11">
        <f t="shared" si="27"/>
        <v>624634652.6</v>
      </c>
      <c r="R36" s="14">
        <v>1306508786.36</v>
      </c>
      <c r="S36" s="14">
        <v>240023601.23</v>
      </c>
      <c r="T36" s="15">
        <v>2277444.43</v>
      </c>
      <c r="U36" s="15">
        <v>45130726.95</v>
      </c>
      <c r="V36" s="15">
        <v>243412728.61</v>
      </c>
      <c r="W36" s="15">
        <v>1065445794.48</v>
      </c>
      <c r="X36" s="71">
        <v>326202714</v>
      </c>
      <c r="Y36" s="71">
        <v>134964546</v>
      </c>
      <c r="Z36" s="2"/>
      <c r="AA36" s="75"/>
      <c r="AB36" s="75"/>
      <c r="AC36" s="30"/>
      <c r="AD36" s="75"/>
      <c r="AE36" s="74"/>
      <c r="AF36" s="78"/>
      <c r="AG36" s="83"/>
      <c r="AH36" s="82"/>
    </row>
    <row r="37" spans="1:34">
      <c r="A37" s="1"/>
      <c r="B37" s="1">
        <v>2017</v>
      </c>
      <c r="C37" s="1"/>
      <c r="D37" s="1"/>
      <c r="E37" s="32">
        <f>(S37+T37)/(R37+负债表!F37)</f>
        <v>0.137059155792044</v>
      </c>
      <c r="F37" s="32">
        <f t="shared" si="22"/>
        <v>0.121803221086439</v>
      </c>
      <c r="G37" s="30">
        <f t="shared" si="23"/>
        <v>0.135523232361733</v>
      </c>
      <c r="H37" s="30">
        <f t="shared" si="24"/>
        <v>0.120438259949236</v>
      </c>
      <c r="I37" s="30">
        <f t="shared" si="25"/>
        <v>0.111309125008419</v>
      </c>
      <c r="J37" s="30">
        <f>(负债表!F37)/P37</f>
        <v>0</v>
      </c>
      <c r="K37" s="37">
        <f t="shared" si="20"/>
        <v>0.439319600747544</v>
      </c>
      <c r="L37" s="37">
        <f t="shared" si="26"/>
        <v>0.230010498376745</v>
      </c>
      <c r="M37" s="37">
        <f t="shared" si="21"/>
        <v>1.51602566066035</v>
      </c>
      <c r="N37" s="30">
        <f t="shared" si="19"/>
        <v>1.0374075</v>
      </c>
      <c r="O37" s="30"/>
      <c r="P37" s="14">
        <v>1196126831.38</v>
      </c>
      <c r="Q37" s="11">
        <f t="shared" si="27"/>
        <v>133139831</v>
      </c>
      <c r="R37" s="14">
        <v>1062987000.38</v>
      </c>
      <c r="S37" s="14">
        <v>144059434.25</v>
      </c>
      <c r="T37" s="15">
        <v>1632666.64</v>
      </c>
      <c r="U37" s="15">
        <v>26757461.94</v>
      </c>
      <c r="V37" s="15">
        <v>174843670.03</v>
      </c>
      <c r="W37" s="15">
        <v>948167111.51</v>
      </c>
      <c r="X37" s="71">
        <v>325985200</v>
      </c>
      <c r="Y37" s="71">
        <v>133190272</v>
      </c>
      <c r="Z37" s="2"/>
      <c r="AA37" s="75"/>
      <c r="AB37" s="75"/>
      <c r="AC37" s="30"/>
      <c r="AD37" s="75"/>
      <c r="AE37" s="74"/>
      <c r="AF37" s="78"/>
      <c r="AG37" s="83"/>
      <c r="AH37" s="82"/>
    </row>
    <row r="38" spans="1:34">
      <c r="A38" s="1"/>
      <c r="B38" s="1">
        <v>2016</v>
      </c>
      <c r="C38" s="1"/>
      <c r="D38" s="1"/>
      <c r="E38" s="32">
        <f>(S38+T38)/(R38+负债表!F38)</f>
        <v>0.113936862701639</v>
      </c>
      <c r="F38" s="32">
        <f t="shared" si="22"/>
        <v>0.0988176824631842</v>
      </c>
      <c r="G38" s="30">
        <f t="shared" si="23"/>
        <v>0.112405921712588</v>
      </c>
      <c r="H38" s="30">
        <f t="shared" si="24"/>
        <v>0.0974898940991835</v>
      </c>
      <c r="I38" s="30">
        <f t="shared" si="25"/>
        <v>0.132697880913633</v>
      </c>
      <c r="J38" s="30">
        <f>(负债表!F38)/P38</f>
        <v>0</v>
      </c>
      <c r="K38" s="37">
        <f t="shared" si="20"/>
        <v>0.504387235419186</v>
      </c>
      <c r="L38" s="37">
        <f t="shared" si="26"/>
        <v>0.236174394035559</v>
      </c>
      <c r="M38" s="30">
        <f t="shared" si="21"/>
        <v>-0.0484970528270128</v>
      </c>
      <c r="N38" s="30">
        <f t="shared" si="19"/>
        <v>0.333333333333333</v>
      </c>
      <c r="O38" s="30"/>
      <c r="P38" s="14">
        <v>1026655803.71</v>
      </c>
      <c r="Q38" s="11">
        <f t="shared" si="27"/>
        <v>136235049.58</v>
      </c>
      <c r="R38" s="14">
        <v>890420754.13</v>
      </c>
      <c r="S38" s="65">
        <v>100088565.58</v>
      </c>
      <c r="T38" s="15">
        <v>1363181.63</v>
      </c>
      <c r="U38" s="15">
        <v>21883612.08</v>
      </c>
      <c r="V38" s="15">
        <v>69492005.89</v>
      </c>
      <c r="W38" s="15">
        <v>770860990.83</v>
      </c>
      <c r="X38" s="71">
        <v>160000000</v>
      </c>
      <c r="Y38" s="71">
        <v>40000000</v>
      </c>
      <c r="Z38" s="2"/>
      <c r="AA38" s="75"/>
      <c r="AB38" s="75"/>
      <c r="AC38" s="30"/>
      <c r="AD38" s="75"/>
      <c r="AE38" s="74"/>
      <c r="AF38" s="78"/>
      <c r="AG38" s="83"/>
      <c r="AH38" s="82"/>
    </row>
    <row r="39" spans="1:34">
      <c r="A39" s="1"/>
      <c r="B39" s="1">
        <v>2015</v>
      </c>
      <c r="C39" s="1"/>
      <c r="D39" s="1"/>
      <c r="E39" s="32">
        <f>(S39+T39)/(R39+负债表!F39)</f>
        <v>0.122839457489786</v>
      </c>
      <c r="F39" s="32">
        <f t="shared" si="22"/>
        <v>0.102122372604976</v>
      </c>
      <c r="G39" s="30">
        <f t="shared" si="23"/>
        <v>0.142313135043809</v>
      </c>
      <c r="H39" s="30">
        <f t="shared" si="24"/>
        <v>0.0918782510478093</v>
      </c>
      <c r="I39" s="33">
        <f t="shared" si="25"/>
        <v>0.35439373871199</v>
      </c>
      <c r="J39" s="33">
        <f>(负债表!F39)/P39</f>
        <v>0.185742026076958</v>
      </c>
      <c r="K39" s="37">
        <f t="shared" si="20"/>
        <v>0.256007377514907</v>
      </c>
      <c r="L39" s="30">
        <f t="shared" si="26"/>
        <v>-0.0417807283033406</v>
      </c>
      <c r="M39" s="30">
        <f t="shared" si="21"/>
        <v>-0.263953922366121</v>
      </c>
      <c r="N39" s="30"/>
      <c r="O39" s="30"/>
      <c r="P39" s="14">
        <v>724122606.18</v>
      </c>
      <c r="Q39" s="11">
        <f t="shared" si="27"/>
        <v>256624517.69</v>
      </c>
      <c r="R39" s="14">
        <v>467498088.49</v>
      </c>
      <c r="S39" s="65">
        <v>66531118.6</v>
      </c>
      <c r="T39" s="15">
        <f>741.8*10000</f>
        <v>7418000</v>
      </c>
      <c r="U39" s="15">
        <v>14353571.4</v>
      </c>
      <c r="V39" s="15">
        <v>73033936.57</v>
      </c>
      <c r="W39" s="15">
        <v>623585955.63</v>
      </c>
      <c r="X39" s="71">
        <v>120000000</v>
      </c>
      <c r="Y39" s="71">
        <v>0</v>
      </c>
      <c r="Z39" s="2"/>
      <c r="AA39" s="75"/>
      <c r="AB39" s="75"/>
      <c r="AC39" s="30"/>
      <c r="AD39" s="75"/>
      <c r="AE39" s="74"/>
      <c r="AF39" s="78"/>
      <c r="AG39" s="83"/>
      <c r="AH39" s="82"/>
    </row>
    <row r="40" spans="1:34">
      <c r="A40" s="1"/>
      <c r="B40" s="1">
        <v>2014</v>
      </c>
      <c r="C40" s="1"/>
      <c r="D40" s="1"/>
      <c r="E40" s="32">
        <f>(S40+T40)/(R40+负债表!F40)</f>
        <v>0.112953965295478</v>
      </c>
      <c r="F40" s="32">
        <f t="shared" si="22"/>
        <v>0.092404743820588</v>
      </c>
      <c r="G40" s="30">
        <f t="shared" si="23"/>
        <v>0.132106454316004</v>
      </c>
      <c r="H40" s="30">
        <f t="shared" si="24"/>
        <v>0.0816127318149368</v>
      </c>
      <c r="I40" s="33">
        <f t="shared" si="25"/>
        <v>0.382219951042547</v>
      </c>
      <c r="J40" s="33">
        <f>(负债表!F40)/P40</f>
        <v>0.200294319471006</v>
      </c>
      <c r="K40" s="33">
        <f t="shared" si="20"/>
        <v>-0.248319190709499</v>
      </c>
      <c r="L40" s="30">
        <f t="shared" si="26"/>
        <v>0.0622324251897966</v>
      </c>
      <c r="M40" s="30">
        <f t="shared" si="21"/>
        <v>0.100879794803475</v>
      </c>
      <c r="N40" s="30"/>
      <c r="O40" s="30"/>
      <c r="P40" s="47">
        <v>649044867.29</v>
      </c>
      <c r="Q40" s="11">
        <f t="shared" si="27"/>
        <v>248077897.4</v>
      </c>
      <c r="R40" s="47">
        <v>400966969.89</v>
      </c>
      <c r="S40" s="65">
        <v>52970324.69</v>
      </c>
      <c r="T40" s="15">
        <f>700.45*10000</f>
        <v>7004500</v>
      </c>
      <c r="U40" s="15">
        <v>11307733.43</v>
      </c>
      <c r="V40" s="15">
        <v>99224680.07</v>
      </c>
      <c r="W40" s="15">
        <v>650775844.37</v>
      </c>
      <c r="X40" s="71"/>
      <c r="Y40" s="71"/>
      <c r="Z40" s="2"/>
      <c r="AA40" s="75"/>
      <c r="AB40" s="75"/>
      <c r="AC40" s="30"/>
      <c r="AD40" s="75"/>
      <c r="AE40" s="74"/>
      <c r="AF40" s="78"/>
      <c r="AG40" s="83"/>
      <c r="AH40" s="82"/>
    </row>
    <row r="41" spans="1:34">
      <c r="A41" s="1"/>
      <c r="B41" s="1">
        <v>2013</v>
      </c>
      <c r="C41" s="1"/>
      <c r="D41" s="1"/>
      <c r="E41" s="32">
        <f>(S41+T41)/(R41+负债表!F41)</f>
        <v>0.168783406243362</v>
      </c>
      <c r="F41" s="32">
        <f t="shared" si="22"/>
        <v>0.143815880807212</v>
      </c>
      <c r="G41" s="30">
        <f t="shared" si="23"/>
        <v>0.195099189143853</v>
      </c>
      <c r="H41" s="30">
        <f t="shared" si="24"/>
        <v>0.136095595161915</v>
      </c>
      <c r="I41" s="33">
        <f t="shared" si="25"/>
        <v>0.30242869917021</v>
      </c>
      <c r="J41" s="33">
        <f>(负债表!F41)/P41</f>
        <v>0.154502276828963</v>
      </c>
      <c r="K41" s="32"/>
      <c r="L41" s="30"/>
      <c r="M41" s="30"/>
      <c r="N41" s="30"/>
      <c r="O41" s="30"/>
      <c r="P41" s="47">
        <v>517791722.18</v>
      </c>
      <c r="Q41" s="11">
        <f t="shared" si="27"/>
        <v>156595076.98</v>
      </c>
      <c r="R41" s="47">
        <v>361196645.2</v>
      </c>
      <c r="S41" s="65">
        <v>70469172.6</v>
      </c>
      <c r="T41" s="15">
        <f>399.75*10000</f>
        <v>3997500</v>
      </c>
      <c r="U41" s="15">
        <v>13149040.82</v>
      </c>
      <c r="V41" s="15">
        <v>90132165.69</v>
      </c>
      <c r="W41" s="15">
        <v>612649198.93</v>
      </c>
      <c r="X41" s="71"/>
      <c r="Y41" s="71"/>
      <c r="Z41" s="2"/>
      <c r="AA41" s="75"/>
      <c r="AB41" s="75"/>
      <c r="AC41" s="30"/>
      <c r="AD41" s="75"/>
      <c r="AE41" s="74"/>
      <c r="AF41" s="78"/>
      <c r="AG41" s="83"/>
      <c r="AH41" s="82"/>
    </row>
    <row r="42" spans="1:34">
      <c r="A42" s="1"/>
      <c r="B42" s="1">
        <v>2012</v>
      </c>
      <c r="C42" s="1"/>
      <c r="D42" s="1"/>
      <c r="E42" s="32"/>
      <c r="F42" s="32"/>
      <c r="G42" s="1"/>
      <c r="H42" s="1"/>
      <c r="I42" s="1"/>
      <c r="J42" s="6"/>
      <c r="K42" s="32"/>
      <c r="L42" s="30"/>
      <c r="M42" s="30"/>
      <c r="N42" s="30"/>
      <c r="O42" s="30"/>
      <c r="P42" s="1"/>
      <c r="Q42" s="1"/>
      <c r="R42" s="2"/>
      <c r="S42" s="2"/>
      <c r="T42" s="15"/>
      <c r="U42" s="15"/>
      <c r="V42" s="15"/>
      <c r="W42" s="2"/>
      <c r="X42" s="71"/>
      <c r="Y42" s="71"/>
      <c r="Z42" s="2"/>
      <c r="AA42" s="75"/>
      <c r="AB42" s="75"/>
      <c r="AC42" s="30"/>
      <c r="AD42" s="75"/>
      <c r="AE42" s="74"/>
      <c r="AF42" s="78"/>
      <c r="AG42" s="83"/>
      <c r="AH42" s="82"/>
    </row>
    <row r="43" spans="1:34">
      <c r="A43" s="1"/>
      <c r="B43" s="1">
        <v>2011</v>
      </c>
      <c r="C43" s="1"/>
      <c r="D43" s="1"/>
      <c r="E43" s="32"/>
      <c r="F43" s="32"/>
      <c r="G43" s="1"/>
      <c r="H43" s="1"/>
      <c r="I43" s="1"/>
      <c r="J43" s="6"/>
      <c r="K43" s="32"/>
      <c r="L43" s="30"/>
      <c r="M43" s="30"/>
      <c r="N43" s="30"/>
      <c r="O43" s="30"/>
      <c r="P43" s="1"/>
      <c r="Q43" s="1"/>
      <c r="R43" s="2"/>
      <c r="S43" s="2"/>
      <c r="T43" s="15"/>
      <c r="U43" s="15"/>
      <c r="V43" s="15"/>
      <c r="W43" s="2"/>
      <c r="X43" s="71"/>
      <c r="Y43" s="71"/>
      <c r="Z43" s="2"/>
      <c r="AA43" s="75"/>
      <c r="AB43" s="75"/>
      <c r="AC43" s="30"/>
      <c r="AD43" s="75"/>
      <c r="AE43" s="74"/>
      <c r="AF43" s="78"/>
      <c r="AG43" s="83"/>
      <c r="AH43" s="82"/>
    </row>
    <row r="44" spans="1:34">
      <c r="A44" s="1"/>
      <c r="B44" s="1">
        <v>2010</v>
      </c>
      <c r="C44" s="1"/>
      <c r="D44" s="1"/>
      <c r="E44" s="32"/>
      <c r="F44" s="32"/>
      <c r="G44" s="1"/>
      <c r="H44" s="1"/>
      <c r="I44" s="1"/>
      <c r="J44" s="6"/>
      <c r="K44" s="32"/>
      <c r="L44" s="30"/>
      <c r="M44" s="30"/>
      <c r="N44" s="30"/>
      <c r="O44" s="30"/>
      <c r="P44" s="1"/>
      <c r="Q44" s="1"/>
      <c r="R44" s="2"/>
      <c r="S44" s="2"/>
      <c r="T44" s="15"/>
      <c r="U44" s="15"/>
      <c r="V44" s="15"/>
      <c r="W44" s="2"/>
      <c r="X44" s="71"/>
      <c r="Y44" s="71"/>
      <c r="Z44" s="2"/>
      <c r="AA44" s="75"/>
      <c r="AB44" s="75"/>
      <c r="AC44" s="30"/>
      <c r="AD44" s="75"/>
      <c r="AE44" s="74"/>
      <c r="AF44" s="78"/>
      <c r="AG44" s="83"/>
      <c r="AH44" s="82"/>
    </row>
    <row r="45" spans="1:34">
      <c r="A45" s="1" t="s">
        <v>69</v>
      </c>
      <c r="B45" s="1"/>
      <c r="C45" s="1"/>
      <c r="D45" s="55">
        <v>2001</v>
      </c>
      <c r="E45" s="32"/>
      <c r="F45" s="32"/>
      <c r="G45" s="1"/>
      <c r="H45" s="2"/>
      <c r="I45" s="2"/>
      <c r="J45" s="2"/>
      <c r="K45" s="32"/>
      <c r="L45" s="30"/>
      <c r="M45" s="30"/>
      <c r="N45" s="30"/>
      <c r="O45" s="30"/>
      <c r="P45" s="1"/>
      <c r="Q45" s="1"/>
      <c r="R45" s="2"/>
      <c r="S45" s="2"/>
      <c r="T45" s="15"/>
      <c r="U45" s="15"/>
      <c r="V45" s="15"/>
      <c r="W45" s="2"/>
      <c r="X45" s="71"/>
      <c r="Y45" s="71"/>
      <c r="Z45" s="2"/>
      <c r="AA45" s="75"/>
      <c r="AB45" s="75"/>
      <c r="AC45" s="30"/>
      <c r="AD45" s="75"/>
      <c r="AE45" s="75"/>
      <c r="AF45" s="78"/>
      <c r="AG45" s="83"/>
      <c r="AH45" s="82"/>
    </row>
    <row r="46" spans="1:34">
      <c r="A46" s="1"/>
      <c r="B46" s="1"/>
      <c r="C46" s="1"/>
      <c r="D46" s="56"/>
      <c r="E46" s="32"/>
      <c r="F46" s="32"/>
      <c r="G46" s="1"/>
      <c r="H46" s="2"/>
      <c r="I46" s="2"/>
      <c r="J46" s="2"/>
      <c r="K46" s="32"/>
      <c r="L46" s="30"/>
      <c r="M46" s="30"/>
      <c r="N46" s="30"/>
      <c r="O46" s="30"/>
      <c r="P46" s="1"/>
      <c r="Q46" s="1"/>
      <c r="R46" s="2"/>
      <c r="S46" s="2"/>
      <c r="T46" s="15"/>
      <c r="U46" s="15"/>
      <c r="V46" s="15"/>
      <c r="W46" s="2"/>
      <c r="X46" s="71"/>
      <c r="Y46" s="71"/>
      <c r="Z46" s="2"/>
      <c r="AA46" s="75"/>
      <c r="AB46" s="75"/>
      <c r="AC46" s="30"/>
      <c r="AD46" s="75"/>
      <c r="AE46" s="75"/>
      <c r="AF46" s="78"/>
      <c r="AG46" s="83"/>
      <c r="AH46" s="82"/>
    </row>
    <row r="47" spans="1:34">
      <c r="A47" s="1"/>
      <c r="B47" s="1"/>
      <c r="C47" s="1"/>
      <c r="D47" s="56"/>
      <c r="E47" s="32"/>
      <c r="F47" s="32"/>
      <c r="G47" s="1"/>
      <c r="H47" s="2"/>
      <c r="I47" s="2"/>
      <c r="J47" s="2"/>
      <c r="K47" s="32"/>
      <c r="L47" s="30"/>
      <c r="M47" s="30"/>
      <c r="N47" s="30"/>
      <c r="O47" s="30"/>
      <c r="P47" s="1"/>
      <c r="Q47" s="1"/>
      <c r="R47" s="2"/>
      <c r="S47" s="2"/>
      <c r="T47" s="15"/>
      <c r="U47" s="15"/>
      <c r="V47" s="15"/>
      <c r="W47" s="2"/>
      <c r="X47" s="71"/>
      <c r="Y47" s="71"/>
      <c r="Z47" s="2"/>
      <c r="AA47" s="75"/>
      <c r="AB47" s="75"/>
      <c r="AC47" s="30"/>
      <c r="AD47" s="75"/>
      <c r="AE47" s="75"/>
      <c r="AF47" s="78"/>
      <c r="AG47" s="83"/>
      <c r="AH47" s="82"/>
    </row>
    <row r="48" spans="1:34">
      <c r="A48" s="1"/>
      <c r="B48" s="1"/>
      <c r="C48" s="1"/>
      <c r="D48" s="56"/>
      <c r="E48" s="32"/>
      <c r="F48" s="32"/>
      <c r="G48" s="1"/>
      <c r="H48" s="2"/>
      <c r="I48" s="2"/>
      <c r="J48" s="2"/>
      <c r="K48" s="32"/>
      <c r="L48" s="30"/>
      <c r="M48" s="30"/>
      <c r="N48" s="30"/>
      <c r="O48" s="30"/>
      <c r="P48" s="1"/>
      <c r="Q48" s="1"/>
      <c r="R48" s="2"/>
      <c r="S48" s="2"/>
      <c r="T48" s="15"/>
      <c r="U48" s="15"/>
      <c r="V48" s="15"/>
      <c r="W48" s="2"/>
      <c r="X48" s="71"/>
      <c r="Y48" s="71"/>
      <c r="Z48" s="2"/>
      <c r="AA48" s="75"/>
      <c r="AB48" s="75"/>
      <c r="AC48" s="30"/>
      <c r="AD48" s="75"/>
      <c r="AE48" s="75"/>
      <c r="AF48" s="78"/>
      <c r="AG48" s="83"/>
      <c r="AH48" s="82"/>
    </row>
    <row r="49" spans="1:34">
      <c r="A49" s="1"/>
      <c r="B49" s="1"/>
      <c r="C49" s="1"/>
      <c r="D49" s="56"/>
      <c r="E49" s="32"/>
      <c r="F49" s="32"/>
      <c r="G49" s="1"/>
      <c r="H49" s="2"/>
      <c r="I49" s="2"/>
      <c r="J49" s="2"/>
      <c r="K49" s="32"/>
      <c r="L49" s="30"/>
      <c r="M49" s="30"/>
      <c r="N49" s="30"/>
      <c r="O49" s="30"/>
      <c r="P49" s="1"/>
      <c r="Q49" s="1"/>
      <c r="R49" s="2"/>
      <c r="S49" s="2"/>
      <c r="T49" s="15"/>
      <c r="U49" s="15"/>
      <c r="V49" s="15"/>
      <c r="W49" s="2"/>
      <c r="X49" s="71"/>
      <c r="Y49" s="71"/>
      <c r="Z49" s="2"/>
      <c r="AA49" s="75"/>
      <c r="AB49" s="75"/>
      <c r="AC49" s="30"/>
      <c r="AD49" s="75"/>
      <c r="AE49" s="75"/>
      <c r="AF49" s="78"/>
      <c r="AG49" s="83"/>
      <c r="AH49" s="82"/>
    </row>
    <row r="50" spans="1:34">
      <c r="A50" s="1"/>
      <c r="B50" s="1"/>
      <c r="C50" s="1"/>
      <c r="D50" s="56"/>
      <c r="E50" s="32"/>
      <c r="F50" s="32"/>
      <c r="G50" s="1"/>
      <c r="H50" s="2"/>
      <c r="I50" s="2"/>
      <c r="J50" s="2"/>
      <c r="K50" s="32"/>
      <c r="L50" s="30"/>
      <c r="M50" s="30"/>
      <c r="N50" s="30"/>
      <c r="O50" s="30"/>
      <c r="P50" s="1"/>
      <c r="Q50" s="1"/>
      <c r="R50" s="2"/>
      <c r="S50" s="2"/>
      <c r="T50" s="15"/>
      <c r="U50" s="15"/>
      <c r="V50" s="15"/>
      <c r="W50" s="2"/>
      <c r="X50" s="71"/>
      <c r="Y50" s="71"/>
      <c r="Z50" s="2"/>
      <c r="AA50" s="75"/>
      <c r="AB50" s="75"/>
      <c r="AC50" s="30"/>
      <c r="AD50" s="75"/>
      <c r="AE50" s="75"/>
      <c r="AF50" s="78"/>
      <c r="AG50" s="83"/>
      <c r="AH50" s="82"/>
    </row>
    <row r="51" spans="1:34">
      <c r="A51" s="1"/>
      <c r="B51" s="1"/>
      <c r="C51" s="1"/>
      <c r="D51" s="56"/>
      <c r="E51" s="32"/>
      <c r="F51" s="32"/>
      <c r="G51" s="1"/>
      <c r="H51" s="2"/>
      <c r="I51" s="2"/>
      <c r="J51" s="2"/>
      <c r="K51" s="32"/>
      <c r="L51" s="30"/>
      <c r="M51" s="30"/>
      <c r="N51" s="30"/>
      <c r="O51" s="30"/>
      <c r="P51" s="1"/>
      <c r="Q51" s="1"/>
      <c r="R51" s="2"/>
      <c r="S51" s="2"/>
      <c r="T51" s="15"/>
      <c r="U51" s="15"/>
      <c r="V51" s="15"/>
      <c r="W51" s="2"/>
      <c r="X51" s="71"/>
      <c r="Y51" s="71"/>
      <c r="Z51" s="2"/>
      <c r="AA51" s="75"/>
      <c r="AB51" s="75"/>
      <c r="AC51" s="30"/>
      <c r="AD51" s="75"/>
      <c r="AE51" s="75"/>
      <c r="AF51" s="78"/>
      <c r="AG51" s="83"/>
      <c r="AH51" s="82"/>
    </row>
    <row r="52" spans="1:34">
      <c r="A52" s="1"/>
      <c r="B52" s="1"/>
      <c r="C52" s="1"/>
      <c r="D52" s="56"/>
      <c r="E52" s="32"/>
      <c r="F52" s="32"/>
      <c r="G52" s="1"/>
      <c r="H52" s="2"/>
      <c r="I52" s="2"/>
      <c r="J52" s="2"/>
      <c r="K52" s="32"/>
      <c r="L52" s="30"/>
      <c r="M52" s="30"/>
      <c r="N52" s="30"/>
      <c r="O52" s="30"/>
      <c r="P52" s="1"/>
      <c r="Q52" s="1"/>
      <c r="R52" s="2"/>
      <c r="S52" s="2"/>
      <c r="T52" s="15"/>
      <c r="U52" s="15"/>
      <c r="V52" s="15"/>
      <c r="W52" s="2"/>
      <c r="X52" s="71"/>
      <c r="Y52" s="71"/>
      <c r="Z52" s="2"/>
      <c r="AA52" s="75"/>
      <c r="AB52" s="75"/>
      <c r="AC52" s="30"/>
      <c r="AD52" s="75"/>
      <c r="AE52" s="75"/>
      <c r="AF52" s="78"/>
      <c r="AG52" s="83"/>
      <c r="AH52" s="82"/>
    </row>
    <row r="53" spans="1:34">
      <c r="A53" s="1"/>
      <c r="B53" s="1"/>
      <c r="C53" s="1"/>
      <c r="D53" s="57"/>
      <c r="E53" s="32"/>
      <c r="F53" s="32"/>
      <c r="G53" s="1"/>
      <c r="H53" s="2"/>
      <c r="I53" s="2"/>
      <c r="J53" s="2"/>
      <c r="K53" s="32"/>
      <c r="L53" s="30"/>
      <c r="M53" s="30"/>
      <c r="N53" s="30"/>
      <c r="O53" s="30"/>
      <c r="P53" s="1"/>
      <c r="Q53" s="1"/>
      <c r="R53" s="2"/>
      <c r="S53" s="2"/>
      <c r="T53" s="15"/>
      <c r="U53" s="15"/>
      <c r="V53" s="15"/>
      <c r="W53" s="2"/>
      <c r="X53" s="71"/>
      <c r="Y53" s="71"/>
      <c r="Z53" s="2"/>
      <c r="AA53" s="75"/>
      <c r="AB53" s="75"/>
      <c r="AC53" s="30"/>
      <c r="AD53" s="75"/>
      <c r="AE53" s="75"/>
      <c r="AF53" s="78"/>
      <c r="AG53" s="83"/>
      <c r="AH53" s="82"/>
    </row>
    <row r="54" spans="1:34">
      <c r="A54" s="1" t="s">
        <v>70</v>
      </c>
      <c r="B54" s="1"/>
      <c r="C54" s="1"/>
      <c r="D54" s="55"/>
      <c r="E54" s="32"/>
      <c r="F54" s="32"/>
      <c r="G54" s="1"/>
      <c r="H54" s="2"/>
      <c r="I54" s="2"/>
      <c r="J54" s="2"/>
      <c r="K54" s="32"/>
      <c r="L54" s="30"/>
      <c r="M54" s="30"/>
      <c r="N54" s="30"/>
      <c r="O54" s="30"/>
      <c r="P54" s="1"/>
      <c r="Q54" s="1"/>
      <c r="R54" s="2"/>
      <c r="S54" s="2"/>
      <c r="T54" s="15"/>
      <c r="U54" s="15"/>
      <c r="V54" s="15"/>
      <c r="W54" s="2"/>
      <c r="X54" s="71"/>
      <c r="Y54" s="71"/>
      <c r="Z54" s="2"/>
      <c r="AA54" s="75"/>
      <c r="AB54" s="75"/>
      <c r="AC54" s="30"/>
      <c r="AD54" s="75"/>
      <c r="AE54" s="75"/>
      <c r="AF54" s="78"/>
      <c r="AG54" s="83"/>
      <c r="AH54" s="82"/>
    </row>
    <row r="55" spans="1:34">
      <c r="A55" s="1"/>
      <c r="B55" s="1"/>
      <c r="C55" s="1"/>
      <c r="D55" s="56"/>
      <c r="E55" s="32"/>
      <c r="F55" s="32"/>
      <c r="G55" s="1"/>
      <c r="H55" s="2"/>
      <c r="I55" s="2"/>
      <c r="J55" s="2"/>
      <c r="K55" s="32"/>
      <c r="L55" s="30"/>
      <c r="M55" s="30"/>
      <c r="N55" s="30"/>
      <c r="O55" s="30"/>
      <c r="P55" s="1"/>
      <c r="Q55" s="1"/>
      <c r="R55" s="2"/>
      <c r="S55" s="2"/>
      <c r="T55" s="15"/>
      <c r="U55" s="15"/>
      <c r="V55" s="15"/>
      <c r="W55" s="2"/>
      <c r="X55" s="71"/>
      <c r="Y55" s="71"/>
      <c r="Z55" s="2"/>
      <c r="AA55" s="75"/>
      <c r="AB55" s="75"/>
      <c r="AC55" s="30"/>
      <c r="AD55" s="75"/>
      <c r="AE55" s="75"/>
      <c r="AF55" s="78"/>
      <c r="AG55" s="83"/>
      <c r="AH55" s="82"/>
    </row>
    <row r="56" spans="1:34">
      <c r="A56" s="1"/>
      <c r="B56" s="1"/>
      <c r="C56" s="1"/>
      <c r="D56" s="56"/>
      <c r="E56" s="32"/>
      <c r="F56" s="32"/>
      <c r="G56" s="1"/>
      <c r="H56" s="2"/>
      <c r="I56" s="2"/>
      <c r="J56" s="2"/>
      <c r="K56" s="32"/>
      <c r="L56" s="30"/>
      <c r="M56" s="30"/>
      <c r="N56" s="30"/>
      <c r="O56" s="30"/>
      <c r="P56" s="1"/>
      <c r="Q56" s="1"/>
      <c r="R56" s="2"/>
      <c r="S56" s="2"/>
      <c r="T56" s="15"/>
      <c r="U56" s="15"/>
      <c r="V56" s="15"/>
      <c r="W56" s="2"/>
      <c r="X56" s="71"/>
      <c r="Y56" s="71"/>
      <c r="Z56" s="2"/>
      <c r="AA56" s="75"/>
      <c r="AB56" s="75"/>
      <c r="AC56" s="30"/>
      <c r="AD56" s="75"/>
      <c r="AE56" s="75"/>
      <c r="AF56" s="78"/>
      <c r="AG56" s="83"/>
      <c r="AH56" s="82"/>
    </row>
    <row r="57" spans="1:34">
      <c r="A57" s="1"/>
      <c r="B57" s="1"/>
      <c r="C57" s="1"/>
      <c r="D57" s="56"/>
      <c r="E57" s="32"/>
      <c r="F57" s="32"/>
      <c r="G57" s="1"/>
      <c r="H57" s="2"/>
      <c r="I57" s="2"/>
      <c r="J57" s="2"/>
      <c r="K57" s="32"/>
      <c r="L57" s="30"/>
      <c r="M57" s="30"/>
      <c r="N57" s="30"/>
      <c r="O57" s="30"/>
      <c r="P57" s="1"/>
      <c r="Q57" s="1"/>
      <c r="R57" s="2"/>
      <c r="S57" s="2"/>
      <c r="T57" s="15"/>
      <c r="U57" s="15"/>
      <c r="V57" s="15"/>
      <c r="W57" s="2"/>
      <c r="X57" s="71"/>
      <c r="Y57" s="71"/>
      <c r="Z57" s="2"/>
      <c r="AA57" s="75"/>
      <c r="AB57" s="75"/>
      <c r="AC57" s="30"/>
      <c r="AD57" s="75"/>
      <c r="AE57" s="75"/>
      <c r="AF57" s="78"/>
      <c r="AG57" s="83"/>
      <c r="AH57" s="82"/>
    </row>
    <row r="58" spans="1:34">
      <c r="A58" s="1"/>
      <c r="B58" s="1"/>
      <c r="C58" s="1"/>
      <c r="D58" s="56"/>
      <c r="E58" s="32"/>
      <c r="F58" s="32"/>
      <c r="G58" s="1"/>
      <c r="H58" s="2"/>
      <c r="I58" s="2"/>
      <c r="J58" s="2"/>
      <c r="K58" s="32"/>
      <c r="L58" s="30"/>
      <c r="M58" s="30"/>
      <c r="N58" s="30"/>
      <c r="O58" s="30"/>
      <c r="P58" s="1"/>
      <c r="Q58" s="1"/>
      <c r="R58" s="2"/>
      <c r="S58" s="2"/>
      <c r="T58" s="15"/>
      <c r="U58" s="15"/>
      <c r="V58" s="15"/>
      <c r="W58" s="2"/>
      <c r="X58" s="71"/>
      <c r="Y58" s="71"/>
      <c r="Z58" s="2"/>
      <c r="AA58" s="75"/>
      <c r="AB58" s="75"/>
      <c r="AC58" s="30"/>
      <c r="AD58" s="75"/>
      <c r="AE58" s="75"/>
      <c r="AF58" s="78"/>
      <c r="AG58" s="83"/>
      <c r="AH58" s="82"/>
    </row>
    <row r="59" spans="1:34">
      <c r="A59" s="1"/>
      <c r="B59" s="1"/>
      <c r="C59" s="1"/>
      <c r="D59" s="56"/>
      <c r="E59" s="32"/>
      <c r="F59" s="32"/>
      <c r="G59" s="1"/>
      <c r="H59" s="2"/>
      <c r="I59" s="2"/>
      <c r="J59" s="2"/>
      <c r="K59" s="32"/>
      <c r="L59" s="30"/>
      <c r="M59" s="30"/>
      <c r="N59" s="30"/>
      <c r="O59" s="30"/>
      <c r="P59" s="1"/>
      <c r="Q59" s="1"/>
      <c r="R59" s="2"/>
      <c r="S59" s="2"/>
      <c r="T59" s="15"/>
      <c r="U59" s="15"/>
      <c r="V59" s="15"/>
      <c r="W59" s="2"/>
      <c r="X59" s="71"/>
      <c r="Y59" s="71"/>
      <c r="Z59" s="2"/>
      <c r="AA59" s="75"/>
      <c r="AB59" s="75"/>
      <c r="AC59" s="30"/>
      <c r="AD59" s="75"/>
      <c r="AE59" s="75"/>
      <c r="AF59" s="78"/>
      <c r="AG59" s="83"/>
      <c r="AH59" s="82"/>
    </row>
    <row r="60" spans="1:34">
      <c r="A60" s="1"/>
      <c r="B60" s="1"/>
      <c r="C60" s="1"/>
      <c r="D60" s="56"/>
      <c r="E60" s="32"/>
      <c r="F60" s="32"/>
      <c r="G60" s="1"/>
      <c r="H60" s="2"/>
      <c r="I60" s="2"/>
      <c r="J60" s="2"/>
      <c r="K60" s="32"/>
      <c r="L60" s="30"/>
      <c r="M60" s="30"/>
      <c r="N60" s="30"/>
      <c r="O60" s="30"/>
      <c r="P60" s="1"/>
      <c r="Q60" s="1"/>
      <c r="R60" s="2"/>
      <c r="S60" s="2"/>
      <c r="T60" s="15"/>
      <c r="U60" s="15"/>
      <c r="V60" s="15"/>
      <c r="W60" s="2"/>
      <c r="X60" s="71"/>
      <c r="Y60" s="71"/>
      <c r="Z60" s="2"/>
      <c r="AA60" s="75"/>
      <c r="AB60" s="75"/>
      <c r="AC60" s="30"/>
      <c r="AD60" s="75"/>
      <c r="AE60" s="75"/>
      <c r="AF60" s="78"/>
      <c r="AG60" s="83"/>
      <c r="AH60" s="82"/>
    </row>
    <row r="61" spans="1:34">
      <c r="A61" s="1"/>
      <c r="B61" s="1"/>
      <c r="C61" s="1"/>
      <c r="D61" s="56"/>
      <c r="E61" s="32"/>
      <c r="F61" s="32"/>
      <c r="G61" s="1"/>
      <c r="H61" s="2"/>
      <c r="I61" s="2"/>
      <c r="J61" s="2"/>
      <c r="K61" s="32"/>
      <c r="L61" s="30"/>
      <c r="M61" s="30"/>
      <c r="N61" s="30"/>
      <c r="O61" s="30"/>
      <c r="P61" s="1"/>
      <c r="Q61" s="1"/>
      <c r="R61" s="2"/>
      <c r="S61" s="2"/>
      <c r="T61" s="15"/>
      <c r="U61" s="15"/>
      <c r="V61" s="15"/>
      <c r="W61" s="2"/>
      <c r="X61" s="71"/>
      <c r="Y61" s="71"/>
      <c r="Z61" s="2"/>
      <c r="AA61" s="75"/>
      <c r="AB61" s="75"/>
      <c r="AC61" s="30"/>
      <c r="AD61" s="75"/>
      <c r="AE61" s="75"/>
      <c r="AF61" s="78"/>
      <c r="AG61" s="83"/>
      <c r="AH61" s="82"/>
    </row>
    <row r="62" spans="1:34">
      <c r="A62" s="1"/>
      <c r="B62" s="1"/>
      <c r="C62" s="1"/>
      <c r="D62" s="56"/>
      <c r="E62" s="32"/>
      <c r="F62" s="32"/>
      <c r="G62" s="1"/>
      <c r="H62" s="2"/>
      <c r="I62" s="2"/>
      <c r="J62" s="2"/>
      <c r="K62" s="32"/>
      <c r="L62" s="30"/>
      <c r="M62" s="30"/>
      <c r="N62" s="30"/>
      <c r="O62" s="30"/>
      <c r="P62" s="1"/>
      <c r="Q62" s="1"/>
      <c r="R62" s="2"/>
      <c r="S62" s="2"/>
      <c r="T62" s="15"/>
      <c r="U62" s="15"/>
      <c r="V62" s="15"/>
      <c r="W62" s="2"/>
      <c r="X62" s="71"/>
      <c r="Y62" s="71"/>
      <c r="Z62" s="2"/>
      <c r="AA62" s="75"/>
      <c r="AB62" s="75"/>
      <c r="AC62" s="30"/>
      <c r="AD62" s="75"/>
      <c r="AE62" s="75"/>
      <c r="AF62" s="78"/>
      <c r="AG62" s="83"/>
      <c r="AH62" s="82"/>
    </row>
    <row r="63" spans="1:34">
      <c r="A63" s="1"/>
      <c r="B63" s="1"/>
      <c r="C63" s="1"/>
      <c r="D63" s="57"/>
      <c r="E63" s="32"/>
      <c r="F63" s="32"/>
      <c r="G63" s="1"/>
      <c r="H63" s="2"/>
      <c r="I63" s="2"/>
      <c r="J63" s="2"/>
      <c r="K63" s="32"/>
      <c r="L63" s="30"/>
      <c r="M63" s="30"/>
      <c r="N63" s="30"/>
      <c r="O63" s="30"/>
      <c r="P63" s="1"/>
      <c r="Q63" s="1"/>
      <c r="R63" s="2"/>
      <c r="S63" s="2"/>
      <c r="T63" s="15"/>
      <c r="U63" s="15"/>
      <c r="V63" s="15"/>
      <c r="W63" s="2"/>
      <c r="X63" s="71"/>
      <c r="Y63" s="71"/>
      <c r="Z63" s="2"/>
      <c r="AA63" s="75"/>
      <c r="AB63" s="75"/>
      <c r="AC63" s="30"/>
      <c r="AD63" s="75"/>
      <c r="AE63" s="75"/>
      <c r="AF63" s="78"/>
      <c r="AG63" s="83"/>
      <c r="AH63" s="82"/>
    </row>
    <row r="64" spans="1:34">
      <c r="A64" s="1" t="s">
        <v>71</v>
      </c>
      <c r="B64" s="1">
        <v>2023</v>
      </c>
      <c r="C64" s="1">
        <v>2005</v>
      </c>
      <c r="D64" s="1">
        <v>2016</v>
      </c>
      <c r="E64" s="32">
        <f>(S64+T64)/(R64+负债表!F45)</f>
        <v>0.17907164091712</v>
      </c>
      <c r="F64" s="32">
        <f>(S64+T64)/P64</f>
        <v>0.150529082963605</v>
      </c>
      <c r="G64" s="32">
        <f>S64/R64</f>
        <v>0.178218693325945</v>
      </c>
      <c r="H64" s="32">
        <f>S64/P64</f>
        <v>0.149812088256581</v>
      </c>
      <c r="I64" s="32">
        <f>Q64/P64</f>
        <v>0.15939183785514</v>
      </c>
      <c r="J64" s="30"/>
      <c r="K64" s="33">
        <f>(S64-S65)/S65</f>
        <v>0.111572992673894</v>
      </c>
      <c r="L64" s="33">
        <f>(W64-W65)/W65</f>
        <v>9.14265486103734e-5</v>
      </c>
      <c r="M64" s="37">
        <f>(V64-V65)/V65</f>
        <v>-0.245966822505594</v>
      </c>
      <c r="N64" s="30">
        <f>(X64-X65)/X65</f>
        <v>-0.00974305091221702</v>
      </c>
      <c r="O64" s="30"/>
      <c r="P64" s="11">
        <f>6054438*1000</f>
        <v>6054438000</v>
      </c>
      <c r="Q64" s="11">
        <f t="shared" ref="Q64:Q75" si="28">P64-R64</f>
        <v>965028000</v>
      </c>
      <c r="R64" s="15">
        <f>5089410*1000</f>
        <v>5089410000</v>
      </c>
      <c r="S64" s="15">
        <f>907028*1000</f>
        <v>907028000</v>
      </c>
      <c r="T64" s="15">
        <f>4341*1000</f>
        <v>4341000</v>
      </c>
      <c r="U64" s="15">
        <f>357089*1000</f>
        <v>357089000</v>
      </c>
      <c r="V64" s="15">
        <f>958999*1000</f>
        <v>958999000</v>
      </c>
      <c r="W64" s="15">
        <f>6147573*1000</f>
        <v>6147573000</v>
      </c>
      <c r="X64" s="71">
        <v>1036700000</v>
      </c>
      <c r="Y64" s="71"/>
      <c r="Z64" s="2"/>
      <c r="AA64" s="75"/>
      <c r="AB64" s="75"/>
      <c r="AC64" s="30"/>
      <c r="AD64" s="76"/>
      <c r="AE64" s="76"/>
      <c r="AF64" s="78"/>
      <c r="AG64" s="83"/>
      <c r="AH64" s="82"/>
    </row>
    <row r="65" spans="1:34">
      <c r="A65" s="1"/>
      <c r="B65" s="1">
        <v>2022</v>
      </c>
      <c r="C65" s="1"/>
      <c r="D65" s="1"/>
      <c r="E65" s="32">
        <f>(S65+T65)/(R65+负债表!F46)</f>
        <v>0.181141325993422</v>
      </c>
      <c r="F65" s="32">
        <f>(S65+T65)/P65</f>
        <v>0.148045149121115</v>
      </c>
      <c r="G65" s="32">
        <f t="shared" ref="G65:G75" si="29">S65/R65</f>
        <v>0.179850611227058</v>
      </c>
      <c r="H65" s="32">
        <f t="shared" ref="H65:H75" si="30">S65/P65</f>
        <v>0.146990259746693</v>
      </c>
      <c r="I65" s="32">
        <f t="shared" ref="I65:I75" si="31">Q65/P65</f>
        <v>0.182709145418914</v>
      </c>
      <c r="J65" s="30"/>
      <c r="K65" s="33">
        <f t="shared" ref="K65:K75" si="32">(S65-S66)/S66</f>
        <v>-0.0484782971200815</v>
      </c>
      <c r="L65" s="33">
        <f t="shared" ref="L65:L75" si="33">(W65-W66)/W66</f>
        <v>0.034394610993776</v>
      </c>
      <c r="M65" s="37">
        <f t="shared" ref="M65:M75" si="34">(V65-V66)/V66</f>
        <v>0.533264455586512</v>
      </c>
      <c r="N65" s="30">
        <f t="shared" ref="N65:N75" si="35">(X65-X66)/X66</f>
        <v>0</v>
      </c>
      <c r="O65" s="30"/>
      <c r="P65" s="11">
        <f>5551293*1000</f>
        <v>5551293000</v>
      </c>
      <c r="Q65" s="11">
        <f t="shared" si="28"/>
        <v>1014272000</v>
      </c>
      <c r="R65" s="15">
        <f>4537021*1000</f>
        <v>4537021000</v>
      </c>
      <c r="S65" s="15">
        <f>815986*1000</f>
        <v>815986000</v>
      </c>
      <c r="T65" s="15">
        <f>5856*1000</f>
        <v>5856000</v>
      </c>
      <c r="U65" s="15">
        <f>326161*1000</f>
        <v>326161000</v>
      </c>
      <c r="V65" s="15">
        <f>1271826*1000</f>
        <v>1271826000</v>
      </c>
      <c r="W65" s="15">
        <f>6147011*1000</f>
        <v>6147011000</v>
      </c>
      <c r="X65" s="71">
        <v>1046900000</v>
      </c>
      <c r="Y65" s="71"/>
      <c r="Z65" s="2"/>
      <c r="AA65" s="75"/>
      <c r="AB65" s="75"/>
      <c r="AC65" s="30"/>
      <c r="AD65" s="76"/>
      <c r="AE65" s="76"/>
      <c r="AF65" s="78"/>
      <c r="AG65" s="83"/>
      <c r="AH65" s="82"/>
    </row>
    <row r="66" spans="1:34">
      <c r="A66" s="1"/>
      <c r="B66" s="1">
        <v>2021</v>
      </c>
      <c r="C66" s="1"/>
      <c r="D66" s="1"/>
      <c r="E66" s="32">
        <f>(S66+T66)/(R66+负债表!F47)</f>
        <v>0.210048540475708</v>
      </c>
      <c r="F66" s="32">
        <f>(S66+T66)/P66</f>
        <v>0.17243167838743</v>
      </c>
      <c r="G66" s="32">
        <f t="shared" si="29"/>
        <v>0.208716013878721</v>
      </c>
      <c r="H66" s="32">
        <f t="shared" si="30"/>
        <v>0.171337789341145</v>
      </c>
      <c r="I66" s="32">
        <f t="shared" si="31"/>
        <v>0.179086519730562</v>
      </c>
      <c r="J66" s="30"/>
      <c r="K66" s="33">
        <f t="shared" si="32"/>
        <v>-0.127486999687647</v>
      </c>
      <c r="L66" s="33">
        <f t="shared" si="33"/>
        <v>0.108692857733207</v>
      </c>
      <c r="M66" s="30">
        <f t="shared" si="34"/>
        <v>-0.308040682241728</v>
      </c>
      <c r="N66" s="30" t="e">
        <f t="shared" si="35"/>
        <v>#DIV/0!</v>
      </c>
      <c r="O66" s="30"/>
      <c r="P66" s="11">
        <f>5005078*1000</f>
        <v>5005078000</v>
      </c>
      <c r="Q66" s="11">
        <f t="shared" si="28"/>
        <v>896342000</v>
      </c>
      <c r="R66" s="15">
        <f>4108736*1000</f>
        <v>4108736000</v>
      </c>
      <c r="S66" s="15">
        <f>857559*1000</f>
        <v>857559000</v>
      </c>
      <c r="T66" s="15">
        <f>5475*1000</f>
        <v>5475000</v>
      </c>
      <c r="U66" s="15">
        <f>312602*1000</f>
        <v>312602000</v>
      </c>
      <c r="V66" s="15">
        <f>829489*1000</f>
        <v>829489000</v>
      </c>
      <c r="W66" s="15">
        <f>5942617*1000</f>
        <v>5942617000</v>
      </c>
      <c r="X66" s="71">
        <v>1046900000</v>
      </c>
      <c r="Y66" s="71"/>
      <c r="Z66" s="2"/>
      <c r="AA66" s="75"/>
      <c r="AB66" s="75"/>
      <c r="AC66" s="30"/>
      <c r="AD66" s="76"/>
      <c r="AE66" s="76"/>
      <c r="AF66" s="78"/>
      <c r="AG66" s="83"/>
      <c r="AH66" s="82"/>
    </row>
    <row r="67" spans="1:34">
      <c r="A67" s="1"/>
      <c r="B67" s="1">
        <v>2020</v>
      </c>
      <c r="C67" s="1"/>
      <c r="D67" s="1"/>
      <c r="E67" s="32">
        <f>(S67+T67)/(R67+负债表!F48)</f>
        <v>0.280302721976146</v>
      </c>
      <c r="F67" s="32">
        <f>(S67+T67)/P67</f>
        <v>0.229715716107026</v>
      </c>
      <c r="G67" s="32">
        <f t="shared" si="29"/>
        <v>0.279731510846323</v>
      </c>
      <c r="H67" s="32">
        <f t="shared" si="30"/>
        <v>0.229247593026342</v>
      </c>
      <c r="I67" s="32">
        <f t="shared" si="31"/>
        <v>0.180472759994906</v>
      </c>
      <c r="J67" s="30"/>
      <c r="K67" s="37">
        <f t="shared" si="32"/>
        <v>0.236295369211514</v>
      </c>
      <c r="L67" s="37">
        <f t="shared" si="33"/>
        <v>0.251613781521396</v>
      </c>
      <c r="M67" s="37">
        <f t="shared" si="34"/>
        <v>0.260000084087316</v>
      </c>
      <c r="N67" s="30" t="e">
        <f t="shared" si="35"/>
        <v>#DIV/0!</v>
      </c>
      <c r="O67" s="30"/>
      <c r="P67" s="11">
        <f>4287334*1000</f>
        <v>4287334000</v>
      </c>
      <c r="Q67" s="11">
        <f t="shared" si="28"/>
        <v>773747000</v>
      </c>
      <c r="R67" s="15">
        <f>3513587*1000</f>
        <v>3513587000</v>
      </c>
      <c r="S67" s="15">
        <f>982861*1000</f>
        <v>982861000</v>
      </c>
      <c r="T67" s="15">
        <f>2007*1000</f>
        <v>2007000</v>
      </c>
      <c r="U67" s="15">
        <f>312602*1000</f>
        <v>312602000</v>
      </c>
      <c r="V67" s="15">
        <f>1198754*1000</f>
        <v>1198754000</v>
      </c>
      <c r="W67" s="15">
        <f>5360021*1000</f>
        <v>5360021000</v>
      </c>
      <c r="X67" s="71"/>
      <c r="Y67" s="71"/>
      <c r="Z67" s="2"/>
      <c r="AA67" s="75"/>
      <c r="AB67" s="75"/>
      <c r="AC67" s="30"/>
      <c r="AD67" s="76"/>
      <c r="AE67" s="76"/>
      <c r="AF67" s="78"/>
      <c r="AG67" s="83"/>
      <c r="AH67" s="82"/>
    </row>
    <row r="68" spans="1:34">
      <c r="A68" s="1"/>
      <c r="B68" s="1">
        <v>2019</v>
      </c>
      <c r="C68" s="1"/>
      <c r="D68" s="1"/>
      <c r="E68" s="32">
        <f>(S68+U68)/(R68+负债表!F49)</f>
        <v>0.400865495884203</v>
      </c>
      <c r="F68" s="32">
        <f>(S68+U68)/P68</f>
        <v>0.330224101993175</v>
      </c>
      <c r="G68" s="32">
        <f t="shared" si="29"/>
        <v>0.291408417508294</v>
      </c>
      <c r="H68" s="32">
        <f t="shared" si="30"/>
        <v>0.240055789218453</v>
      </c>
      <c r="I68" s="32">
        <f t="shared" si="31"/>
        <v>0.176222185786311</v>
      </c>
      <c r="J68" s="30"/>
      <c r="K68" s="37">
        <f t="shared" si="32"/>
        <v>0.450993239691625</v>
      </c>
      <c r="L68" s="37">
        <f t="shared" si="33"/>
        <v>0.597125054962514</v>
      </c>
      <c r="M68" s="37">
        <f t="shared" si="34"/>
        <v>1.89554464636258</v>
      </c>
      <c r="N68" s="30" t="e">
        <f t="shared" si="35"/>
        <v>#DIV/0!</v>
      </c>
      <c r="O68" s="30"/>
      <c r="P68" s="11">
        <f>3311751*1000</f>
        <v>3311751000</v>
      </c>
      <c r="Q68" s="11">
        <f t="shared" si="28"/>
        <v>583604000</v>
      </c>
      <c r="R68" s="15">
        <f>2728147*1000</f>
        <v>2728147000</v>
      </c>
      <c r="S68" s="15">
        <f>795005*1000</f>
        <v>795005000</v>
      </c>
      <c r="T68" s="15">
        <v>1560</v>
      </c>
      <c r="U68" s="15">
        <f>298615*1000</f>
        <v>298615000</v>
      </c>
      <c r="V68" s="15">
        <f>951392*1000</f>
        <v>951392000</v>
      </c>
      <c r="W68" s="15">
        <f>4282488*1000</f>
        <v>4282488000</v>
      </c>
      <c r="X68" s="71"/>
      <c r="Y68" s="71"/>
      <c r="Z68" s="2"/>
      <c r="AA68" s="75"/>
      <c r="AB68" s="75"/>
      <c r="AC68" s="30"/>
      <c r="AD68" s="76"/>
      <c r="AE68" s="76"/>
      <c r="AF68" s="78"/>
      <c r="AG68" s="83"/>
      <c r="AH68" s="82"/>
    </row>
    <row r="69" spans="1:34">
      <c r="A69" s="1"/>
      <c r="B69" s="1">
        <v>2018</v>
      </c>
      <c r="C69" s="1"/>
      <c r="D69" s="1"/>
      <c r="E69" s="32">
        <f>(S69+U69)/(R69+负债表!F50)</f>
        <v>0.358137706088235</v>
      </c>
      <c r="F69" s="32">
        <f>(S69+U69)/P69</f>
        <v>0.296705698000722</v>
      </c>
      <c r="G69" s="32">
        <f t="shared" si="29"/>
        <v>0.268617129499574</v>
      </c>
      <c r="H69" s="32">
        <f t="shared" si="30"/>
        <v>0.222540747729829</v>
      </c>
      <c r="I69" s="32">
        <f t="shared" si="31"/>
        <v>0.171531807579003</v>
      </c>
      <c r="J69" s="30"/>
      <c r="K69" s="37">
        <f t="shared" si="32"/>
        <v>1.09852541269294</v>
      </c>
      <c r="L69" s="37">
        <f t="shared" si="33"/>
        <v>0.628805002487515</v>
      </c>
      <c r="M69" s="30">
        <f t="shared" si="34"/>
        <v>-0.0697362982089569</v>
      </c>
      <c r="N69" s="30" t="e">
        <f t="shared" si="35"/>
        <v>#DIV/0!</v>
      </c>
      <c r="O69" s="30"/>
      <c r="P69" s="11">
        <f>2462039*1000</f>
        <v>2462039000</v>
      </c>
      <c r="Q69" s="11">
        <f t="shared" si="28"/>
        <v>422318000</v>
      </c>
      <c r="R69" s="15">
        <f>2039721*1000</f>
        <v>2039721000</v>
      </c>
      <c r="S69" s="15">
        <f>547904*1000</f>
        <v>547904000</v>
      </c>
      <c r="T69" s="15">
        <v>0</v>
      </c>
      <c r="U69" s="15">
        <f>182597*1000</f>
        <v>182597000</v>
      </c>
      <c r="V69" s="15">
        <f>328571*1000</f>
        <v>328571000</v>
      </c>
      <c r="W69" s="15">
        <f>2681373*1000</f>
        <v>2681373000</v>
      </c>
      <c r="X69" s="71"/>
      <c r="Y69" s="71"/>
      <c r="Z69" s="2"/>
      <c r="AA69" s="75"/>
      <c r="AB69" s="75"/>
      <c r="AC69" s="30"/>
      <c r="AD69" s="76"/>
      <c r="AE69" s="76"/>
      <c r="AF69" s="78"/>
      <c r="AG69" s="83"/>
      <c r="AH69" s="82"/>
    </row>
    <row r="70" spans="1:34">
      <c r="A70" s="1"/>
      <c r="B70" s="1">
        <v>2017</v>
      </c>
      <c r="C70" s="1"/>
      <c r="D70" s="1"/>
      <c r="E70" s="32">
        <f>(S70+T70)/(R70+负债表!F51)</f>
        <v>0.173388524042558</v>
      </c>
      <c r="F70" s="32">
        <f t="shared" ref="F70:F75" si="36">(S70+T70)/P70</f>
        <v>0.144512813757305</v>
      </c>
      <c r="G70" s="32">
        <f t="shared" si="29"/>
        <v>0.173388524042558</v>
      </c>
      <c r="H70" s="32">
        <f t="shared" si="30"/>
        <v>0.144512813757305</v>
      </c>
      <c r="I70" s="32">
        <f t="shared" si="31"/>
        <v>0.166537609364302</v>
      </c>
      <c r="J70" s="30"/>
      <c r="K70" s="37">
        <f t="shared" si="32"/>
        <v>0.398296915167095</v>
      </c>
      <c r="L70" s="37">
        <f t="shared" si="33"/>
        <v>0.513051302648679</v>
      </c>
      <c r="M70" s="37">
        <f t="shared" si="34"/>
        <v>0.576843919229619</v>
      </c>
      <c r="N70" s="30" t="e">
        <f t="shared" si="35"/>
        <v>#DIV/0!</v>
      </c>
      <c r="O70" s="30"/>
      <c r="P70" s="11">
        <f>1806691*1000</f>
        <v>1806691000</v>
      </c>
      <c r="Q70" s="11">
        <f t="shared" si="28"/>
        <v>300882000</v>
      </c>
      <c r="R70" s="15">
        <f>1505809*1000</f>
        <v>1505809000</v>
      </c>
      <c r="S70" s="15">
        <f>261090*1000</f>
        <v>261090000</v>
      </c>
      <c r="T70" s="15">
        <v>0</v>
      </c>
      <c r="U70" s="15">
        <f>107990*1000</f>
        <v>107990000</v>
      </c>
      <c r="V70" s="15">
        <f>353202*1000</f>
        <v>353202000</v>
      </c>
      <c r="W70" s="15">
        <f>1646221*1000</f>
        <v>1646221000</v>
      </c>
      <c r="X70" s="71"/>
      <c r="Y70" s="71"/>
      <c r="Z70" s="2"/>
      <c r="AA70" s="75"/>
      <c r="AB70" s="75"/>
      <c r="AC70" s="30"/>
      <c r="AD70" s="76"/>
      <c r="AE70" s="76"/>
      <c r="AF70" s="78"/>
      <c r="AG70" s="83"/>
      <c r="AH70" s="82"/>
    </row>
    <row r="71" spans="1:34">
      <c r="A71" s="1"/>
      <c r="B71" s="1">
        <v>2016</v>
      </c>
      <c r="C71" s="1"/>
      <c r="D71" s="1"/>
      <c r="E71" s="32">
        <f>(S71+T71)/(R71+负债表!F52)</f>
        <v>0.147464273162719</v>
      </c>
      <c r="F71" s="32">
        <f t="shared" si="36"/>
        <v>0.13115435783393</v>
      </c>
      <c r="G71" s="32">
        <f t="shared" si="29"/>
        <v>0.147464273162719</v>
      </c>
      <c r="H71" s="32">
        <f t="shared" si="30"/>
        <v>0.13115435783393</v>
      </c>
      <c r="I71" s="32">
        <f t="shared" si="31"/>
        <v>0.11060248681924</v>
      </c>
      <c r="J71" s="30"/>
      <c r="K71" s="37">
        <f t="shared" si="32"/>
        <v>0.49919307570636</v>
      </c>
      <c r="L71" s="37">
        <f t="shared" si="33"/>
        <v>0.28403625939559</v>
      </c>
      <c r="M71" s="37">
        <f t="shared" si="34"/>
        <v>1.49886208973873</v>
      </c>
      <c r="N71" s="30" t="e">
        <f t="shared" si="35"/>
        <v>#DIV/0!</v>
      </c>
      <c r="O71" s="30"/>
      <c r="P71" s="11">
        <f>1423666*1000</f>
        <v>1423666000</v>
      </c>
      <c r="Q71" s="11">
        <f t="shared" si="28"/>
        <v>157461000</v>
      </c>
      <c r="R71" s="15">
        <f>1266205*1000</f>
        <v>1266205000</v>
      </c>
      <c r="S71" s="15">
        <f>186720*1000</f>
        <v>186720000</v>
      </c>
      <c r="T71" s="15">
        <v>0</v>
      </c>
      <c r="U71" s="15">
        <f>68369*1000</f>
        <v>68369000</v>
      </c>
      <c r="V71" s="15">
        <f>223993*1000</f>
        <v>223993000</v>
      </c>
      <c r="W71" s="15">
        <f>1088014*1000</f>
        <v>1088014000</v>
      </c>
      <c r="X71" s="71"/>
      <c r="Y71" s="71"/>
      <c r="Z71" s="2"/>
      <c r="AA71" s="75"/>
      <c r="AB71" s="75"/>
      <c r="AC71" s="30"/>
      <c r="AD71" s="76"/>
      <c r="AE71" s="76"/>
      <c r="AF71" s="78"/>
      <c r="AG71" s="83"/>
      <c r="AH71" s="82"/>
    </row>
    <row r="72" spans="1:34">
      <c r="A72" s="1"/>
      <c r="B72" s="1">
        <v>2015</v>
      </c>
      <c r="C72" s="1"/>
      <c r="D72" s="1"/>
      <c r="E72" s="32">
        <f>(S72+T72)/(R72+负债表!F53)</f>
        <v>0.87756122995406</v>
      </c>
      <c r="F72" s="32">
        <f t="shared" si="36"/>
        <v>0.211324410720709</v>
      </c>
      <c r="G72" s="32">
        <f t="shared" si="29"/>
        <v>0.87756122995406</v>
      </c>
      <c r="H72" s="32">
        <f t="shared" si="30"/>
        <v>0.211324410720709</v>
      </c>
      <c r="I72" s="32">
        <f t="shared" si="31"/>
        <v>0.759191263803015</v>
      </c>
      <c r="J72" s="30"/>
      <c r="K72" s="37">
        <f t="shared" si="32"/>
        <v>1.92982827569984</v>
      </c>
      <c r="L72" s="37">
        <f t="shared" si="33"/>
        <v>0.700695059119164</v>
      </c>
      <c r="M72" s="37">
        <f t="shared" si="34"/>
        <v>0.222525299364447</v>
      </c>
      <c r="N72" s="30" t="e">
        <f t="shared" si="35"/>
        <v>#DIV/0!</v>
      </c>
      <c r="O72" s="30"/>
      <c r="P72" s="11">
        <f>589364*1000</f>
        <v>589364000</v>
      </c>
      <c r="Q72" s="11">
        <f t="shared" si="28"/>
        <v>447440000</v>
      </c>
      <c r="R72" s="15">
        <f>141924*1000</f>
        <v>141924000</v>
      </c>
      <c r="S72" s="15">
        <f>124547*1000</f>
        <v>124547000</v>
      </c>
      <c r="T72" s="15">
        <v>0</v>
      </c>
      <c r="U72" s="15">
        <f>42373*1000</f>
        <v>42373000</v>
      </c>
      <c r="V72" s="15">
        <f>89638*1000</f>
        <v>89638000</v>
      </c>
      <c r="W72" s="15">
        <f>847339*1000</f>
        <v>847339000</v>
      </c>
      <c r="X72" s="71"/>
      <c r="Y72" s="71"/>
      <c r="Z72" s="2"/>
      <c r="AA72" s="75"/>
      <c r="AB72" s="75"/>
      <c r="AC72" s="30"/>
      <c r="AD72" s="76"/>
      <c r="AE72" s="76"/>
      <c r="AF72" s="78"/>
      <c r="AG72" s="83"/>
      <c r="AH72" s="82"/>
    </row>
    <row r="73" spans="1:34">
      <c r="A73" s="1"/>
      <c r="B73" s="1">
        <v>2014</v>
      </c>
      <c r="C73" s="1"/>
      <c r="D73" s="1"/>
      <c r="E73" s="32">
        <f>(S73+T73)/(R73+负债表!F54)</f>
        <v>0.929424111242293</v>
      </c>
      <c r="F73" s="32">
        <f t="shared" si="36"/>
        <v>0.148825257232081</v>
      </c>
      <c r="G73" s="32">
        <f t="shared" si="29"/>
        <v>0.929424111242293</v>
      </c>
      <c r="H73" s="32">
        <f t="shared" si="30"/>
        <v>0.148825257232081</v>
      </c>
      <c r="I73" s="32">
        <f t="shared" si="31"/>
        <v>0.839873685832018</v>
      </c>
      <c r="J73" s="30"/>
      <c r="K73" s="37">
        <f t="shared" si="32"/>
        <v>0.926667875271936</v>
      </c>
      <c r="L73" s="37">
        <f t="shared" si="33"/>
        <v>0.577364237026812</v>
      </c>
      <c r="M73" s="30">
        <f t="shared" si="34"/>
        <v>-13.5939539677087</v>
      </c>
      <c r="N73" s="30" t="e">
        <f t="shared" si="35"/>
        <v>#DIV/0!</v>
      </c>
      <c r="O73" s="30"/>
      <c r="P73" s="11">
        <f>285637*1000</f>
        <v>285637000</v>
      </c>
      <c r="Q73" s="11">
        <f t="shared" si="28"/>
        <v>239899000</v>
      </c>
      <c r="R73" s="15">
        <f>45738*1000</f>
        <v>45738000</v>
      </c>
      <c r="S73" s="15">
        <f>42510*1000</f>
        <v>42510000</v>
      </c>
      <c r="T73" s="15">
        <v>0</v>
      </c>
      <c r="U73" s="15">
        <f>14646*1000</f>
        <v>14646000</v>
      </c>
      <c r="V73" s="15">
        <f>73322*1000</f>
        <v>73322000</v>
      </c>
      <c r="W73" s="15">
        <f>498231*1000</f>
        <v>498231000</v>
      </c>
      <c r="X73" s="71"/>
      <c r="Y73" s="71"/>
      <c r="Z73" s="2"/>
      <c r="AA73" s="75"/>
      <c r="AB73" s="75"/>
      <c r="AC73" s="30"/>
      <c r="AD73" s="76"/>
      <c r="AE73" s="76"/>
      <c r="AF73" s="78"/>
      <c r="AG73" s="83"/>
      <c r="AH73" s="82"/>
    </row>
    <row r="74" spans="1:34">
      <c r="A74" s="1"/>
      <c r="B74" s="1">
        <v>2013</v>
      </c>
      <c r="C74" s="1"/>
      <c r="D74" s="1"/>
      <c r="E74" s="32">
        <f>(S74+T74)/(R74+负债表!F55)</f>
        <v>0.585469405084116</v>
      </c>
      <c r="F74" s="32">
        <f t="shared" si="36"/>
        <v>0.0981752328235613</v>
      </c>
      <c r="G74" s="32">
        <f t="shared" si="29"/>
        <v>0.585469405084116</v>
      </c>
      <c r="H74" s="32">
        <f t="shared" si="30"/>
        <v>0.0981752328235613</v>
      </c>
      <c r="I74" s="32">
        <f t="shared" si="31"/>
        <v>0.832313641035681</v>
      </c>
      <c r="J74" s="30"/>
      <c r="K74" s="30"/>
      <c r="L74" s="30"/>
      <c r="M74" s="30"/>
      <c r="N74" s="30"/>
      <c r="O74" s="30"/>
      <c r="P74" s="15">
        <f>224741*1000</f>
        <v>224741000</v>
      </c>
      <c r="Q74" s="11">
        <f t="shared" si="28"/>
        <v>187055000</v>
      </c>
      <c r="R74" s="15">
        <f>37686*1000</f>
        <v>37686000</v>
      </c>
      <c r="S74" s="15">
        <f>22064*1000</f>
        <v>22064000</v>
      </c>
      <c r="T74" s="15">
        <v>0</v>
      </c>
      <c r="U74" s="15">
        <f>7455*1000</f>
        <v>7455000</v>
      </c>
      <c r="V74" s="15">
        <f>-5822*1000</f>
        <v>-5822000</v>
      </c>
      <c r="W74" s="15">
        <f>315863*1000</f>
        <v>315863000</v>
      </c>
      <c r="X74" s="85"/>
      <c r="Y74" s="71"/>
      <c r="Z74" s="2"/>
      <c r="AA74" s="75"/>
      <c r="AB74" s="75"/>
      <c r="AC74" s="30"/>
      <c r="AD74" s="76"/>
      <c r="AE74" s="76"/>
      <c r="AF74" s="78"/>
      <c r="AG74" s="83"/>
      <c r="AH74" s="82"/>
    </row>
    <row r="75" spans="1:34">
      <c r="A75" s="1" t="s">
        <v>72</v>
      </c>
      <c r="B75" s="1">
        <v>2023</v>
      </c>
      <c r="C75" s="54" t="s">
        <v>73</v>
      </c>
      <c r="D75" s="1">
        <v>2019</v>
      </c>
      <c r="E75" s="30">
        <f>(S75+T75)/(R75+负债表!F55)</f>
        <v>0.105761538368452</v>
      </c>
      <c r="F75" s="30">
        <f t="shared" si="36"/>
        <v>0.0882708487594691</v>
      </c>
      <c r="G75" s="30">
        <f t="shared" si="29"/>
        <v>0.105761538368452</v>
      </c>
      <c r="H75" s="30">
        <f t="shared" si="30"/>
        <v>0.0882708487594691</v>
      </c>
      <c r="I75" s="30">
        <f t="shared" si="31"/>
        <v>0.165378547615757</v>
      </c>
      <c r="J75" s="30"/>
      <c r="K75" s="37">
        <f t="shared" si="32"/>
        <v>0.366699981260592</v>
      </c>
      <c r="L75" s="30">
        <f t="shared" si="33"/>
        <v>0.170159892383379</v>
      </c>
      <c r="M75" s="30">
        <f t="shared" si="34"/>
        <v>0.103433230985893</v>
      </c>
      <c r="N75" s="37">
        <f t="shared" si="35"/>
        <v>0.39635410905143</v>
      </c>
      <c r="O75" s="30"/>
      <c r="P75" s="15">
        <v>5273690813.13</v>
      </c>
      <c r="Q75" s="11">
        <f t="shared" si="28"/>
        <v>872155327.25</v>
      </c>
      <c r="R75" s="15">
        <v>4401535485.88</v>
      </c>
      <c r="S75" s="15">
        <v>465513164.17</v>
      </c>
      <c r="T75" s="15">
        <v>0</v>
      </c>
      <c r="U75" s="15">
        <v>70027686.17</v>
      </c>
      <c r="V75" s="15">
        <v>602633193.74</v>
      </c>
      <c r="W75" s="15">
        <v>3148561102.73</v>
      </c>
      <c r="X75" s="85">
        <v>1065493714</v>
      </c>
      <c r="Y75" s="71">
        <v>1059111534</v>
      </c>
      <c r="Z75" s="2"/>
      <c r="AA75" s="75"/>
      <c r="AB75" s="75"/>
      <c r="AC75" s="30"/>
      <c r="AD75" s="76"/>
      <c r="AE75" s="76"/>
      <c r="AF75" s="78"/>
      <c r="AG75" s="83"/>
      <c r="AH75" s="82"/>
    </row>
    <row r="76" spans="1:34">
      <c r="A76" s="1"/>
      <c r="B76" s="1">
        <v>2022</v>
      </c>
      <c r="C76" s="1"/>
      <c r="D76" s="1"/>
      <c r="E76" s="30">
        <f>(S76+T76)/(R76+负债表!F56)</f>
        <v>0.0846289294660696</v>
      </c>
      <c r="F76" s="30">
        <f t="shared" ref="F76:F82" si="37">(S76+T76)/P76</f>
        <v>0.0706416091972044</v>
      </c>
      <c r="G76" s="30">
        <f t="shared" ref="G76:G82" si="38">S76/R76</f>
        <v>0.084628047380315</v>
      </c>
      <c r="H76" s="30">
        <f t="shared" ref="H76:H82" si="39">S76/P76</f>
        <v>0.0706408729010283</v>
      </c>
      <c r="I76" s="30">
        <f t="shared" ref="I76:I82" si="40">Q76/P76</f>
        <v>0.165278237088809</v>
      </c>
      <c r="J76" s="30"/>
      <c r="K76" s="37">
        <f t="shared" ref="K76:K82" si="41">(S76-S77)/S77</f>
        <v>0.847272571171295</v>
      </c>
      <c r="L76" s="30">
        <f t="shared" ref="L76:L82" si="42">(W76-W77)/W77</f>
        <v>0.328394500954267</v>
      </c>
      <c r="M76" s="30">
        <f t="shared" ref="M76:M82" si="43">(V76-V77)/V77</f>
        <v>1.27225643552297</v>
      </c>
      <c r="N76" s="30">
        <f t="shared" ref="N76:N82" si="44">(X76-X77)/X77</f>
        <v>0.0117642739377563</v>
      </c>
      <c r="O76" s="30"/>
      <c r="P76" s="14">
        <v>4821728151.31</v>
      </c>
      <c r="Q76" s="11">
        <f t="shared" ref="Q76:Q82" si="45">P76-R76</f>
        <v>796926728.570001</v>
      </c>
      <c r="R76" s="11">
        <v>4024801422.74</v>
      </c>
      <c r="S76" s="15">
        <v>340611085.5</v>
      </c>
      <c r="T76" s="15">
        <v>3550.22</v>
      </c>
      <c r="U76" s="15">
        <v>63187916.37</v>
      </c>
      <c r="V76" s="15">
        <v>546143778.18</v>
      </c>
      <c r="W76" s="15">
        <v>2690710152.71</v>
      </c>
      <c r="X76" s="71">
        <v>763054090</v>
      </c>
      <c r="Y76" s="71">
        <v>754181690</v>
      </c>
      <c r="Z76" s="2"/>
      <c r="AA76" s="75"/>
      <c r="AB76" s="75"/>
      <c r="AC76" s="30"/>
      <c r="AD76" s="76"/>
      <c r="AE76" s="76"/>
      <c r="AF76" s="78"/>
      <c r="AG76" s="83"/>
      <c r="AH76" s="82"/>
    </row>
    <row r="77" spans="1:34">
      <c r="A77" s="1"/>
      <c r="B77" s="1">
        <v>2021</v>
      </c>
      <c r="C77" s="1"/>
      <c r="D77" s="1"/>
      <c r="E77" s="30">
        <f>(S77+T77)/(R77+负债表!F57)</f>
        <v>0.048548259817474</v>
      </c>
      <c r="F77" s="30">
        <f t="shared" si="37"/>
        <v>0.0436549277425337</v>
      </c>
      <c r="G77" s="30">
        <f t="shared" si="38"/>
        <v>0.0484705989829108</v>
      </c>
      <c r="H77" s="30">
        <f t="shared" si="39"/>
        <v>0.0435850945881833</v>
      </c>
      <c r="I77" s="30">
        <f t="shared" si="40"/>
        <v>0.100793150842843</v>
      </c>
      <c r="J77" s="30"/>
      <c r="K77" s="30">
        <f t="shared" si="41"/>
        <v>-0.493822471316296</v>
      </c>
      <c r="L77" s="30">
        <f t="shared" si="42"/>
        <v>-0.143412163367192</v>
      </c>
      <c r="M77" s="30">
        <f t="shared" si="43"/>
        <v>-0.318707334708892</v>
      </c>
      <c r="N77" s="30">
        <f t="shared" si="44"/>
        <v>0.196269870829109</v>
      </c>
      <c r="O77" s="30"/>
      <c r="P77" s="14">
        <v>4230481534.85</v>
      </c>
      <c r="Q77" s="11">
        <f t="shared" si="45"/>
        <v>426403563.48</v>
      </c>
      <c r="R77" s="11">
        <v>3804077971.37</v>
      </c>
      <c r="S77" s="15">
        <v>184385937.85</v>
      </c>
      <c r="T77" s="15">
        <v>295427.87</v>
      </c>
      <c r="U77" s="15">
        <v>31742347.75</v>
      </c>
      <c r="V77" s="15">
        <v>240353055.95</v>
      </c>
      <c r="W77" s="15">
        <v>2025535449.58</v>
      </c>
      <c r="X77" s="71">
        <v>754181690</v>
      </c>
      <c r="Y77" s="71">
        <v>185549690</v>
      </c>
      <c r="Z77" s="2"/>
      <c r="AA77" s="75"/>
      <c r="AB77" s="75"/>
      <c r="AC77" s="30"/>
      <c r="AD77" s="76"/>
      <c r="AE77" s="76"/>
      <c r="AF77" s="78"/>
      <c r="AG77" s="83"/>
      <c r="AH77" s="82"/>
    </row>
    <row r="78" spans="1:34">
      <c r="A78" s="1"/>
      <c r="B78" s="1">
        <v>2020</v>
      </c>
      <c r="C78" s="1"/>
      <c r="D78" s="1"/>
      <c r="E78" s="30">
        <f>(S78+T78)/(R78+负债表!F58)</f>
        <v>0.0976688123161366</v>
      </c>
      <c r="F78" s="30">
        <f t="shared" si="37"/>
        <v>0.0849120199541975</v>
      </c>
      <c r="G78" s="30">
        <f t="shared" si="38"/>
        <v>0.0976688123161366</v>
      </c>
      <c r="H78" s="30">
        <f t="shared" si="39"/>
        <v>0.0849120199541975</v>
      </c>
      <c r="I78" s="30">
        <f t="shared" si="40"/>
        <v>0.130612752007751</v>
      </c>
      <c r="J78" s="30"/>
      <c r="K78" s="37">
        <f t="shared" si="41"/>
        <v>0.226619416939976</v>
      </c>
      <c r="L78" s="30">
        <f t="shared" si="42"/>
        <v>0.36896660405246</v>
      </c>
      <c r="M78" s="30">
        <f t="shared" si="43"/>
        <v>-0.0665886473014246</v>
      </c>
      <c r="N78" s="37">
        <f t="shared" si="44"/>
        <v>0.525927172610763</v>
      </c>
      <c r="O78" s="30"/>
      <c r="P78" s="14">
        <v>4289984896.09</v>
      </c>
      <c r="Q78" s="11">
        <f t="shared" si="45"/>
        <v>560326733.35</v>
      </c>
      <c r="R78" s="11">
        <v>3729658162.74</v>
      </c>
      <c r="S78" s="15">
        <v>364271283.1</v>
      </c>
      <c r="T78" s="15">
        <v>0</v>
      </c>
      <c r="U78" s="15">
        <v>63782745.42</v>
      </c>
      <c r="V78" s="15">
        <v>352789730.75</v>
      </c>
      <c r="W78" s="15">
        <v>2364655862.43</v>
      </c>
      <c r="X78" s="71">
        <v>630444441</v>
      </c>
      <c r="Y78" s="71">
        <v>125214750</v>
      </c>
      <c r="Z78" s="2"/>
      <c r="AA78" s="75"/>
      <c r="AB78" s="75"/>
      <c r="AC78" s="30"/>
      <c r="AD78" s="76"/>
      <c r="AE78" s="76"/>
      <c r="AF78" s="78"/>
      <c r="AG78" s="83"/>
      <c r="AH78" s="82"/>
    </row>
    <row r="79" spans="1:34">
      <c r="A79" s="1"/>
      <c r="B79" s="1">
        <v>2019</v>
      </c>
      <c r="C79" s="1"/>
      <c r="D79" s="1"/>
      <c r="E79" s="30">
        <f>(S79+T79)/(R79+负债表!F59)</f>
        <v>0.161229752299337</v>
      </c>
      <c r="F79" s="30">
        <f t="shared" si="37"/>
        <v>0.138621979433332</v>
      </c>
      <c r="G79" s="30">
        <f t="shared" si="38"/>
        <v>0.161229752299337</v>
      </c>
      <c r="H79" s="30">
        <f t="shared" si="39"/>
        <v>0.138621979433332</v>
      </c>
      <c r="I79" s="30">
        <f t="shared" si="40"/>
        <v>0.14022084971037</v>
      </c>
      <c r="J79" s="30"/>
      <c r="K79" s="30">
        <f t="shared" si="41"/>
        <v>0.113893184008093</v>
      </c>
      <c r="L79" s="30">
        <f t="shared" si="42"/>
        <v>0.222575353222556</v>
      </c>
      <c r="M79" s="30">
        <f t="shared" si="43"/>
        <v>0.426577366038062</v>
      </c>
      <c r="N79" s="30">
        <f t="shared" si="44"/>
        <v>0.111124557935643</v>
      </c>
      <c r="O79" s="30"/>
      <c r="P79" s="14">
        <v>2142313400.4</v>
      </c>
      <c r="Q79" s="11">
        <f t="shared" si="45"/>
        <v>300397005.35</v>
      </c>
      <c r="R79" s="11">
        <v>1841916395.05</v>
      </c>
      <c r="S79" s="15">
        <v>296971724.13</v>
      </c>
      <c r="T79" s="15"/>
      <c r="U79" s="15">
        <v>49454352.38</v>
      </c>
      <c r="V79" s="15">
        <v>377957402.95</v>
      </c>
      <c r="W79" s="15">
        <v>1727329107.54</v>
      </c>
      <c r="X79" s="71">
        <f>41315.5*10000</f>
        <v>413155000</v>
      </c>
      <c r="Y79" s="71"/>
      <c r="Z79" s="2"/>
      <c r="AA79" s="75"/>
      <c r="AB79" s="75"/>
      <c r="AC79" s="30"/>
      <c r="AD79" s="76"/>
      <c r="AE79" s="76"/>
      <c r="AF79" s="78"/>
      <c r="AG79" s="83"/>
      <c r="AH79" s="82"/>
    </row>
    <row r="80" spans="1:34">
      <c r="A80" s="1"/>
      <c r="B80" s="1">
        <v>2018</v>
      </c>
      <c r="C80" s="1"/>
      <c r="D80" s="1"/>
      <c r="E80" s="30">
        <f>(S80+T80)/(R80+负债表!F60)</f>
        <v>0.23422240183561</v>
      </c>
      <c r="F80" s="30">
        <f t="shared" si="37"/>
        <v>0.192243448630542</v>
      </c>
      <c r="G80" s="30">
        <f t="shared" si="38"/>
        <v>0.23422240183561</v>
      </c>
      <c r="H80" s="30">
        <f t="shared" si="39"/>
        <v>0.192243448630542</v>
      </c>
      <c r="I80" s="30">
        <f t="shared" si="40"/>
        <v>0.179226892372709</v>
      </c>
      <c r="J80" s="30"/>
      <c r="K80" s="37">
        <f t="shared" si="41"/>
        <v>0.450479550269318</v>
      </c>
      <c r="L80" s="30">
        <f t="shared" si="42"/>
        <v>0.325614220708547</v>
      </c>
      <c r="M80" s="30">
        <f t="shared" si="43"/>
        <v>0.179288329598614</v>
      </c>
      <c r="N80" s="30" t="e">
        <f t="shared" si="44"/>
        <v>#DIV/0!</v>
      </c>
      <c r="O80" s="30"/>
      <c r="P80" s="14">
        <v>1386819709.64</v>
      </c>
      <c r="Q80" s="11">
        <f t="shared" si="45"/>
        <v>248555386.84</v>
      </c>
      <c r="R80" s="11">
        <v>1138264322.8</v>
      </c>
      <c r="S80" s="15">
        <v>266607003.61</v>
      </c>
      <c r="T80" s="15"/>
      <c r="U80" s="15">
        <v>44107324.88</v>
      </c>
      <c r="V80" s="15">
        <v>264939996.91</v>
      </c>
      <c r="W80" s="15">
        <v>1412861058.41</v>
      </c>
      <c r="X80" s="71">
        <f>37183.5*10000</f>
        <v>371835000</v>
      </c>
      <c r="Y80" s="71"/>
      <c r="Z80" s="2"/>
      <c r="AA80" s="75"/>
      <c r="AB80" s="75"/>
      <c r="AC80" s="30"/>
      <c r="AD80" s="76"/>
      <c r="AE80" s="76"/>
      <c r="AF80" s="78"/>
      <c r="AG80" s="83"/>
      <c r="AH80" s="82"/>
    </row>
    <row r="81" spans="1:34">
      <c r="A81" s="1"/>
      <c r="B81" s="1">
        <v>2017</v>
      </c>
      <c r="C81" s="1"/>
      <c r="D81" s="1"/>
      <c r="E81" s="30">
        <f>(S81+T81)/(R81+负债表!F61)</f>
        <v>0.19739669059221</v>
      </c>
      <c r="F81" s="30">
        <f t="shared" si="37"/>
        <v>0.154115934423393</v>
      </c>
      <c r="G81" s="30">
        <f t="shared" si="38"/>
        <v>0.19739669059221</v>
      </c>
      <c r="H81" s="30">
        <f t="shared" si="39"/>
        <v>0.154115934423393</v>
      </c>
      <c r="I81" s="30">
        <f t="shared" si="40"/>
        <v>0.219257759788019</v>
      </c>
      <c r="J81" s="30"/>
      <c r="K81" s="30">
        <f t="shared" si="41"/>
        <v>-0.0960311781525517</v>
      </c>
      <c r="L81" s="30">
        <f t="shared" si="42"/>
        <v>0.0832576082351315</v>
      </c>
      <c r="M81" s="30">
        <f t="shared" si="43"/>
        <v>0.35935701080957</v>
      </c>
      <c r="N81" s="30" t="e">
        <f t="shared" si="44"/>
        <v>#DIV/0!</v>
      </c>
      <c r="O81" s="30"/>
      <c r="P81" s="14">
        <v>1192648317.5</v>
      </c>
      <c r="Q81" s="11">
        <f t="shared" si="45"/>
        <v>261497398.31</v>
      </c>
      <c r="R81" s="11">
        <v>931150919.19</v>
      </c>
      <c r="S81" s="47">
        <v>183806109.89</v>
      </c>
      <c r="T81" s="15"/>
      <c r="U81" s="15">
        <v>31104245.35</v>
      </c>
      <c r="V81" s="47">
        <v>224660916.47</v>
      </c>
      <c r="W81" s="15">
        <v>1065816160.04</v>
      </c>
      <c r="X81" s="71"/>
      <c r="Y81" s="71"/>
      <c r="Z81" s="2"/>
      <c r="AA81" s="75"/>
      <c r="AB81" s="75"/>
      <c r="AC81" s="30"/>
      <c r="AD81" s="76"/>
      <c r="AE81" s="76"/>
      <c r="AF81" s="78"/>
      <c r="AG81" s="83"/>
      <c r="AH81" s="82"/>
    </row>
    <row r="82" spans="1:34">
      <c r="A82" s="1"/>
      <c r="B82" s="1">
        <v>2016</v>
      </c>
      <c r="C82" s="1"/>
      <c r="D82" s="1"/>
      <c r="E82" s="30">
        <f>(S82+T82)/(R82+负债表!F62)</f>
        <v>0.215038899190976</v>
      </c>
      <c r="F82" s="30">
        <f t="shared" si="37"/>
        <v>0.176579382228985</v>
      </c>
      <c r="G82" s="30">
        <f t="shared" si="38"/>
        <v>0.215038899190976</v>
      </c>
      <c r="H82" s="30">
        <f t="shared" si="39"/>
        <v>0.176579382228985</v>
      </c>
      <c r="I82" s="30">
        <f t="shared" si="40"/>
        <v>0.178849115702713</v>
      </c>
      <c r="J82" s="30"/>
      <c r="K82" s="30" t="e">
        <f t="shared" si="41"/>
        <v>#DIV/0!</v>
      </c>
      <c r="L82" s="30" t="e">
        <f t="shared" si="42"/>
        <v>#DIV/0!</v>
      </c>
      <c r="M82" s="30" t="e">
        <f t="shared" si="43"/>
        <v>#DIV/0!</v>
      </c>
      <c r="N82" s="30" t="e">
        <f t="shared" si="44"/>
        <v>#DIV/0!</v>
      </c>
      <c r="O82" s="30"/>
      <c r="P82" s="14">
        <v>1151506778.33</v>
      </c>
      <c r="Q82" s="11">
        <f t="shared" si="45"/>
        <v>205945969.03</v>
      </c>
      <c r="R82" s="11">
        <v>945560809.3</v>
      </c>
      <c r="S82" s="15">
        <v>203332355.55</v>
      </c>
      <c r="T82" s="15"/>
      <c r="U82" s="15">
        <v>33853562.4</v>
      </c>
      <c r="V82" s="15">
        <v>165269987.71</v>
      </c>
      <c r="W82" s="15">
        <v>983899076.21</v>
      </c>
      <c r="X82" s="71"/>
      <c r="Y82" s="71"/>
      <c r="Z82" s="2"/>
      <c r="AA82" s="75"/>
      <c r="AB82" s="75"/>
      <c r="AC82" s="30"/>
      <c r="AD82" s="76"/>
      <c r="AE82" s="76"/>
      <c r="AF82" s="78"/>
      <c r="AG82" s="83"/>
      <c r="AH82" s="82"/>
    </row>
    <row r="83" spans="1:34">
      <c r="A83" s="1"/>
      <c r="B83" s="1">
        <v>2015</v>
      </c>
      <c r="C83" s="1"/>
      <c r="D83" s="1"/>
      <c r="E83" s="32"/>
      <c r="F83" s="32"/>
      <c r="G83" s="1"/>
      <c r="H83" s="1"/>
      <c r="I83" s="1"/>
      <c r="J83" s="6"/>
      <c r="K83" s="32"/>
      <c r="L83" s="30"/>
      <c r="M83" s="30"/>
      <c r="N83" s="30"/>
      <c r="O83" s="30"/>
      <c r="P83" s="1"/>
      <c r="Q83" s="1"/>
      <c r="R83" s="2"/>
      <c r="S83" s="15"/>
      <c r="T83" s="15"/>
      <c r="U83" s="15"/>
      <c r="V83" s="15"/>
      <c r="W83" s="15"/>
      <c r="X83" s="71"/>
      <c r="Y83" s="71"/>
      <c r="Z83" s="2"/>
      <c r="AA83" s="75"/>
      <c r="AB83" s="75"/>
      <c r="AC83" s="30"/>
      <c r="AD83" s="76"/>
      <c r="AE83" s="76"/>
      <c r="AF83" s="78"/>
      <c r="AG83" s="83"/>
      <c r="AH83" s="82"/>
    </row>
    <row r="84" spans="1:34">
      <c r="A84" s="1"/>
      <c r="B84" s="1">
        <v>2014</v>
      </c>
      <c r="C84" s="1"/>
      <c r="D84" s="1"/>
      <c r="E84" s="32"/>
      <c r="F84" s="32"/>
      <c r="G84" s="1"/>
      <c r="H84" s="1"/>
      <c r="I84" s="1"/>
      <c r="J84" s="6"/>
      <c r="K84" s="32"/>
      <c r="L84" s="30"/>
      <c r="M84" s="30"/>
      <c r="N84" s="30"/>
      <c r="O84" s="30"/>
      <c r="P84" s="1"/>
      <c r="Q84" s="1"/>
      <c r="R84" s="2"/>
      <c r="S84" s="2"/>
      <c r="T84" s="15"/>
      <c r="U84" s="15"/>
      <c r="V84" s="15"/>
      <c r="W84" s="15"/>
      <c r="X84" s="71"/>
      <c r="Y84" s="71"/>
      <c r="Z84" s="2"/>
      <c r="AA84" s="75"/>
      <c r="AB84" s="75"/>
      <c r="AC84" s="30"/>
      <c r="AD84" s="76"/>
      <c r="AE84" s="76"/>
      <c r="AF84" s="78"/>
      <c r="AG84" s="83"/>
      <c r="AH84" s="82"/>
    </row>
    <row r="85" spans="1:34">
      <c r="A85" s="1" t="s">
        <v>74</v>
      </c>
      <c r="B85" s="1">
        <v>2023</v>
      </c>
      <c r="C85" s="1">
        <v>2001</v>
      </c>
      <c r="D85" s="1">
        <v>2022</v>
      </c>
      <c r="E85" s="30">
        <f>(S85+T85)/(R85+负债表!F65)</f>
        <v>0.209874651464404</v>
      </c>
      <c r="F85" s="30">
        <f>(S85+T85)/P85</f>
        <v>0.165529254626829</v>
      </c>
      <c r="G85" s="30">
        <f>S85/R85</f>
        <v>0.207669847447724</v>
      </c>
      <c r="H85" s="30">
        <f>S85/P85</f>
        <v>0.163790313964234</v>
      </c>
      <c r="I85" s="30">
        <f>Q85/P85</f>
        <v>0.211294677695256</v>
      </c>
      <c r="J85" s="30"/>
      <c r="K85" s="37">
        <f>(S85-S86)/S86</f>
        <v>0.350291368963823</v>
      </c>
      <c r="L85" s="37">
        <f>(W85-W86)/W86</f>
        <v>0.163108676657796</v>
      </c>
      <c r="M85" s="30">
        <f>(V85-V86)/V86</f>
        <v>-0.340110490509044</v>
      </c>
      <c r="N85" s="30">
        <f>(X85-X86)/X86</f>
        <v>0</v>
      </c>
      <c r="O85" s="30"/>
      <c r="P85" s="84">
        <v>1900213941.21</v>
      </c>
      <c r="Q85" s="11">
        <f>P85-R85</f>
        <v>401505092.26</v>
      </c>
      <c r="R85" s="47">
        <v>1498708848.95</v>
      </c>
      <c r="S85" s="47">
        <v>311236638.03</v>
      </c>
      <c r="T85" s="15">
        <v>3304359.29</v>
      </c>
      <c r="U85" s="15">
        <v>98273947.14</v>
      </c>
      <c r="V85" s="15">
        <v>166476870.38</v>
      </c>
      <c r="W85" s="47">
        <v>2369000730.8</v>
      </c>
      <c r="X85" s="71">
        <f>40001*10000</f>
        <v>400010000</v>
      </c>
      <c r="Y85" s="71">
        <f>15881*10000</f>
        <v>158810000</v>
      </c>
      <c r="Z85" s="2"/>
      <c r="AA85" s="75"/>
      <c r="AB85" s="75"/>
      <c r="AC85" s="30"/>
      <c r="AD85" s="76"/>
      <c r="AE85" s="76"/>
      <c r="AF85" s="78"/>
      <c r="AG85" s="83"/>
      <c r="AH85" s="82"/>
    </row>
    <row r="86" spans="1:34">
      <c r="A86" s="1"/>
      <c r="B86" s="1">
        <v>2022</v>
      </c>
      <c r="C86" s="1"/>
      <c r="D86" s="1"/>
      <c r="E86" s="30">
        <f>(S86+T86)/(R86+负债表!F66)</f>
        <v>0.205088776702911</v>
      </c>
      <c r="F86" s="30">
        <f>(S86+T86)/P86</f>
        <v>0.153261970099354</v>
      </c>
      <c r="G86" s="30">
        <f>S86/R86</f>
        <v>0.201398867035439</v>
      </c>
      <c r="H86" s="30">
        <f>S86/P86</f>
        <v>0.150504516306821</v>
      </c>
      <c r="I86" s="30">
        <f>Q86/P86</f>
        <v>0.252704255380258</v>
      </c>
      <c r="J86" s="30"/>
      <c r="K86" s="37">
        <f>(S86-S87)/S87</f>
        <v>0.183299304079798</v>
      </c>
      <c r="L86" s="37">
        <f>(W86-W87)/W87</f>
        <v>0.290975496258507</v>
      </c>
      <c r="M86" s="30">
        <f>(V86-V87)/V87</f>
        <v>0.410166795148268</v>
      </c>
      <c r="N86" s="30">
        <f>(X86-X87)/X87</f>
        <v>0.111138888888889</v>
      </c>
      <c r="O86" s="30"/>
      <c r="P86" s="84">
        <v>1531488328.63</v>
      </c>
      <c r="Q86" s="11">
        <f>P86-R86</f>
        <v>387013617.71</v>
      </c>
      <c r="R86" s="47">
        <v>1144474710.92</v>
      </c>
      <c r="S86" s="47">
        <v>230495910.13</v>
      </c>
      <c r="T86" s="15">
        <v>4223008.3</v>
      </c>
      <c r="U86" s="15">
        <v>64783651.91</v>
      </c>
      <c r="V86" s="15">
        <v>252279916.54</v>
      </c>
      <c r="W86" s="47">
        <v>2036783645.71</v>
      </c>
      <c r="X86" s="71">
        <f>40001*10000</f>
        <v>400010000</v>
      </c>
      <c r="Y86" s="71">
        <f>4001*10000</f>
        <v>40010000</v>
      </c>
      <c r="Z86" s="2"/>
      <c r="AA86" s="75"/>
      <c r="AB86" s="75"/>
      <c r="AC86" s="30"/>
      <c r="AD86" s="76"/>
      <c r="AE86" s="76"/>
      <c r="AF86" s="78"/>
      <c r="AG86" s="83"/>
      <c r="AH86" s="82"/>
    </row>
    <row r="87" spans="1:34">
      <c r="A87" s="1"/>
      <c r="B87" s="1">
        <v>2021</v>
      </c>
      <c r="C87" s="1"/>
      <c r="D87" s="1"/>
      <c r="E87" s="30">
        <f>(S87+T87)/(R87+负债表!F67)</f>
        <v>0.29503250319617</v>
      </c>
      <c r="F87" s="30">
        <f>(S87+T87)/P87</f>
        <v>0.179137262873947</v>
      </c>
      <c r="G87" s="30">
        <f>S87/R87</f>
        <v>0.287471127201362</v>
      </c>
      <c r="H87" s="30">
        <f>S87/P87</f>
        <v>0.174546161267864</v>
      </c>
      <c r="I87" s="30">
        <f>Q87/P87</f>
        <v>0.392821940181835</v>
      </c>
      <c r="J87" s="30"/>
      <c r="K87" s="37">
        <f>(S87-S88)/S88</f>
        <v>0.452380788948507</v>
      </c>
      <c r="L87" s="37">
        <f>(W87-W88)/W88</f>
        <v>0.743719881243184</v>
      </c>
      <c r="M87" s="30">
        <f>(V87-V88)/V88</f>
        <v>0.363865678911838</v>
      </c>
      <c r="N87" s="30" t="e">
        <f>(X87-X88)/X88</f>
        <v>#DIV/0!</v>
      </c>
      <c r="O87" s="30"/>
      <c r="P87" s="84">
        <v>1115984885.46</v>
      </c>
      <c r="Q87" s="11">
        <f>P87-R87</f>
        <v>438383347.92</v>
      </c>
      <c r="R87" s="47">
        <v>677601537.54</v>
      </c>
      <c r="S87" s="47">
        <v>194790877.79</v>
      </c>
      <c r="T87" s="15">
        <f>512.36*10000</f>
        <v>5123600</v>
      </c>
      <c r="U87" s="15">
        <v>53699711.96</v>
      </c>
      <c r="V87" s="15">
        <v>178900763.66</v>
      </c>
      <c r="W87" s="47">
        <v>1577708989.53</v>
      </c>
      <c r="X87" s="71">
        <f>36000*10000</f>
        <v>360000000</v>
      </c>
      <c r="Y87" s="71">
        <f>4001*10000</f>
        <v>40010000</v>
      </c>
      <c r="Z87" s="2"/>
      <c r="AA87" s="75"/>
      <c r="AB87" s="75"/>
      <c r="AC87" s="30"/>
      <c r="AD87" s="76"/>
      <c r="AE87" s="76"/>
      <c r="AF87" s="78"/>
      <c r="AG87" s="83"/>
      <c r="AH87" s="82"/>
    </row>
    <row r="88" spans="1:34">
      <c r="A88" s="1"/>
      <c r="B88" s="1">
        <v>2020</v>
      </c>
      <c r="C88" s="1"/>
      <c r="D88" s="1"/>
      <c r="E88" s="30">
        <f>(S88+T88)/(R88+负债表!F68)</f>
        <v>0.285900905898735</v>
      </c>
      <c r="F88" s="30">
        <f>(S88+T88)/P88</f>
        <v>0.16770364164916</v>
      </c>
      <c r="G88" s="30">
        <f>S88/R88</f>
        <v>0.276818735455834</v>
      </c>
      <c r="H88" s="30">
        <f>S88/P88</f>
        <v>0.162376225660166</v>
      </c>
      <c r="I88" s="30">
        <f>Q88/P88</f>
        <v>0.413420390809954</v>
      </c>
      <c r="J88" s="30"/>
      <c r="K88" s="37">
        <f>(S88-S89)/S89</f>
        <v>0.641237592165881</v>
      </c>
      <c r="L88" s="37">
        <f>(W88-W89)/W89</f>
        <v>0.217848323481965</v>
      </c>
      <c r="M88" s="30">
        <f>(V88-V89)/V89</f>
        <v>0.0993629629903871</v>
      </c>
      <c r="N88" s="30" t="e">
        <f>(X88-X89)/X89</f>
        <v>#DIV/0!</v>
      </c>
      <c r="O88" s="30"/>
      <c r="P88" s="84">
        <v>825972668.38</v>
      </c>
      <c r="Q88" s="11">
        <f>P88-R88</f>
        <v>341473943.36</v>
      </c>
      <c r="R88" s="47">
        <v>484498725.02</v>
      </c>
      <c r="S88" s="47">
        <v>134118324.39</v>
      </c>
      <c r="T88" s="15">
        <f>440.03*10000</f>
        <v>4400300</v>
      </c>
      <c r="U88" s="15">
        <v>37360923.8</v>
      </c>
      <c r="V88" s="15">
        <v>131171834.9</v>
      </c>
      <c r="W88" s="47">
        <v>904794976.82</v>
      </c>
      <c r="X88" s="71"/>
      <c r="Y88" s="71"/>
      <c r="Z88" s="2"/>
      <c r="AA88" s="75"/>
      <c r="AB88" s="75"/>
      <c r="AC88" s="30"/>
      <c r="AD88" s="76"/>
      <c r="AE88" s="76"/>
      <c r="AF88" s="78"/>
      <c r="AG88" s="83"/>
      <c r="AH88" s="82"/>
    </row>
    <row r="89" spans="1:34">
      <c r="A89" s="1"/>
      <c r="B89" s="1">
        <v>2019</v>
      </c>
      <c r="C89" s="1"/>
      <c r="D89" s="1"/>
      <c r="E89" s="30">
        <f>(S89+T89)/(R89+负债表!F69)</f>
        <v>0.250034200180491</v>
      </c>
      <c r="F89" s="30">
        <f>(S89+T89)/P89</f>
        <v>0.136969626628775</v>
      </c>
      <c r="G89" s="30">
        <f>S89/R89</f>
        <v>0.234868235980624</v>
      </c>
      <c r="H89" s="30">
        <f>S89/P89</f>
        <v>0.128661657349286</v>
      </c>
      <c r="I89" s="30">
        <f>Q89/P89</f>
        <v>0.452196433408305</v>
      </c>
      <c r="J89" s="30"/>
      <c r="K89" s="30" t="e">
        <f>(S89-S90)/S90</f>
        <v>#DIV/0!</v>
      </c>
      <c r="L89" s="30" t="e">
        <f>(W89-W90)/W90</f>
        <v>#DIV/0!</v>
      </c>
      <c r="M89" s="30" t="e">
        <f>(V89-V90)/V90</f>
        <v>#DIV/0!</v>
      </c>
      <c r="N89" s="30" t="e">
        <f>(X89-X90)/X90</f>
        <v>#DIV/0!</v>
      </c>
      <c r="O89" s="30"/>
      <c r="P89" s="84">
        <v>635137158.37</v>
      </c>
      <c r="Q89" s="11">
        <f>P89-R89</f>
        <v>287206757.74</v>
      </c>
      <c r="R89" s="47">
        <v>347930400.63</v>
      </c>
      <c r="S89" s="47">
        <v>81717799.44</v>
      </c>
      <c r="T89" s="15">
        <f>527.67*10000</f>
        <v>5276700</v>
      </c>
      <c r="U89" s="15">
        <v>30886576.06</v>
      </c>
      <c r="V89" s="15">
        <v>119316221.59</v>
      </c>
      <c r="W89" s="47">
        <v>742945537.12</v>
      </c>
      <c r="X89" s="71"/>
      <c r="Y89" s="71"/>
      <c r="Z89" s="2"/>
      <c r="AA89" s="75"/>
      <c r="AB89" s="75"/>
      <c r="AC89" s="30"/>
      <c r="AD89" s="76"/>
      <c r="AE89" s="76"/>
      <c r="AF89" s="78"/>
      <c r="AG89" s="83"/>
      <c r="AH89" s="82"/>
    </row>
    <row r="90" spans="1:34">
      <c r="A90" s="1"/>
      <c r="B90" s="1">
        <v>2018</v>
      </c>
      <c r="C90" s="1"/>
      <c r="D90" s="1"/>
      <c r="E90" s="32"/>
      <c r="F90" s="32"/>
      <c r="G90" s="1"/>
      <c r="H90" s="1"/>
      <c r="I90" s="1"/>
      <c r="J90" s="6"/>
      <c r="K90" s="32"/>
      <c r="L90" s="30"/>
      <c r="M90" s="30"/>
      <c r="N90" s="30"/>
      <c r="O90" s="30"/>
      <c r="P90" s="1"/>
      <c r="Q90" s="1"/>
      <c r="R90" s="2"/>
      <c r="S90" s="2"/>
      <c r="T90" s="15"/>
      <c r="U90" s="15"/>
      <c r="V90" s="15"/>
      <c r="W90" s="2"/>
      <c r="X90" s="71"/>
      <c r="Y90" s="71"/>
      <c r="Z90" s="2"/>
      <c r="AA90" s="75"/>
      <c r="AB90" s="75"/>
      <c r="AC90" s="30"/>
      <c r="AD90" s="76"/>
      <c r="AE90" s="76"/>
      <c r="AF90" s="78"/>
      <c r="AG90" s="83"/>
      <c r="AH90" s="82"/>
    </row>
    <row r="91" spans="1:34">
      <c r="A91" s="1"/>
      <c r="B91" s="1">
        <v>2017</v>
      </c>
      <c r="C91" s="1"/>
      <c r="D91" s="1"/>
      <c r="E91" s="32"/>
      <c r="F91" s="32"/>
      <c r="G91" s="1"/>
      <c r="H91" s="1"/>
      <c r="I91" s="1"/>
      <c r="J91" s="6"/>
      <c r="K91" s="32"/>
      <c r="L91" s="30"/>
      <c r="M91" s="30"/>
      <c r="N91" s="30"/>
      <c r="O91" s="30"/>
      <c r="P91" s="1"/>
      <c r="Q91" s="1"/>
      <c r="R91" s="2"/>
      <c r="S91" s="2"/>
      <c r="T91" s="15"/>
      <c r="U91" s="15"/>
      <c r="V91" s="15"/>
      <c r="W91" s="2"/>
      <c r="X91" s="71"/>
      <c r="Y91" s="71"/>
      <c r="Z91" s="2"/>
      <c r="AA91" s="75"/>
      <c r="AB91" s="75"/>
      <c r="AC91" s="30"/>
      <c r="AD91" s="76"/>
      <c r="AE91" s="76"/>
      <c r="AF91" s="78"/>
      <c r="AG91" s="83"/>
      <c r="AH91" s="82"/>
    </row>
    <row r="92" spans="1:34">
      <c r="A92" s="1"/>
      <c r="B92" s="1">
        <v>2016</v>
      </c>
      <c r="C92" s="1"/>
      <c r="D92" s="1"/>
      <c r="E92" s="32"/>
      <c r="F92" s="32"/>
      <c r="G92" s="1"/>
      <c r="H92" s="1"/>
      <c r="I92" s="1"/>
      <c r="J92" s="6"/>
      <c r="K92" s="32"/>
      <c r="L92" s="30"/>
      <c r="M92" s="30"/>
      <c r="N92" s="30"/>
      <c r="O92" s="30"/>
      <c r="P92" s="1"/>
      <c r="Q92" s="1"/>
      <c r="R92" s="2"/>
      <c r="S92" s="2"/>
      <c r="T92" s="15"/>
      <c r="U92" s="15"/>
      <c r="V92" s="15"/>
      <c r="W92" s="2"/>
      <c r="X92" s="71"/>
      <c r="Y92" s="71"/>
      <c r="Z92" s="2"/>
      <c r="AA92" s="75"/>
      <c r="AB92" s="75"/>
      <c r="AC92" s="30"/>
      <c r="AD92" s="76"/>
      <c r="AE92" s="76"/>
      <c r="AF92" s="78"/>
      <c r="AG92" s="83"/>
      <c r="AH92" s="82"/>
    </row>
    <row r="93" spans="1:34">
      <c r="A93" s="1"/>
      <c r="B93" s="1">
        <v>2015</v>
      </c>
      <c r="C93" s="1"/>
      <c r="D93" s="1"/>
      <c r="E93" s="32"/>
      <c r="F93" s="32"/>
      <c r="G93" s="1"/>
      <c r="H93" s="1"/>
      <c r="I93" s="1"/>
      <c r="J93" s="6"/>
      <c r="K93" s="32"/>
      <c r="L93" s="30"/>
      <c r="M93" s="30"/>
      <c r="N93" s="30"/>
      <c r="O93" s="30"/>
      <c r="P93" s="1"/>
      <c r="Q93" s="1"/>
      <c r="R93" s="2"/>
      <c r="S93" s="2"/>
      <c r="T93" s="15"/>
      <c r="U93" s="15"/>
      <c r="V93" s="15"/>
      <c r="W93" s="2"/>
      <c r="X93" s="71"/>
      <c r="Y93" s="71"/>
      <c r="Z93" s="2"/>
      <c r="AA93" s="75"/>
      <c r="AB93" s="75"/>
      <c r="AC93" s="30"/>
      <c r="AD93" s="76"/>
      <c r="AE93" s="76"/>
      <c r="AF93" s="78"/>
      <c r="AG93" s="83"/>
      <c r="AH93" s="82"/>
    </row>
    <row r="94" spans="1:34">
      <c r="A94" s="1"/>
      <c r="B94" s="1">
        <v>2014</v>
      </c>
      <c r="C94" s="1"/>
      <c r="D94" s="1"/>
      <c r="E94" s="32"/>
      <c r="F94" s="32"/>
      <c r="G94" s="1"/>
      <c r="H94" s="1"/>
      <c r="I94" s="1"/>
      <c r="J94" s="6"/>
      <c r="K94" s="32"/>
      <c r="L94" s="30"/>
      <c r="M94" s="30"/>
      <c r="N94" s="30"/>
      <c r="O94" s="30"/>
      <c r="P94" s="1"/>
      <c r="Q94" s="1"/>
      <c r="R94" s="2"/>
      <c r="S94" s="2"/>
      <c r="T94" s="15"/>
      <c r="U94" s="15"/>
      <c r="V94" s="15"/>
      <c r="W94" s="2"/>
      <c r="X94" s="71"/>
      <c r="Y94" s="71"/>
      <c r="Z94" s="2"/>
      <c r="AA94" s="75"/>
      <c r="AB94" s="75"/>
      <c r="AC94" s="30"/>
      <c r="AD94" s="76"/>
      <c r="AE94" s="76"/>
      <c r="AF94" s="78"/>
      <c r="AG94" s="83"/>
      <c r="AH94" s="82"/>
    </row>
    <row r="95" spans="1:34">
      <c r="A95" s="1" t="s">
        <v>75</v>
      </c>
      <c r="B95" s="1">
        <v>2023</v>
      </c>
      <c r="C95" s="1">
        <v>2002</v>
      </c>
      <c r="D95" s="1">
        <v>2020</v>
      </c>
      <c r="E95" s="30">
        <f>(S95+T95)/(R95+负债表!F75)</f>
        <v>0.10245119423451</v>
      </c>
      <c r="F95" s="30">
        <f t="shared" ref="F95:F102" si="46">(S95+T95)/P95</f>
        <v>0.0906630630018566</v>
      </c>
      <c r="G95" s="30">
        <f t="shared" ref="G95:G102" si="47">S95/R95</f>
        <v>0.102730830066408</v>
      </c>
      <c r="H95" s="30">
        <f t="shared" ref="H95:H102" si="48">S95/P95</f>
        <v>0.0909105236706594</v>
      </c>
      <c r="I95" s="30">
        <f t="shared" ref="I95:I102" si="49">Q95/P95</f>
        <v>0.115060945074691</v>
      </c>
      <c r="J95" s="30"/>
      <c r="K95" s="30">
        <f t="shared" ref="K95:K102" si="50">(S95-S96)/S96</f>
        <v>0.368767216512146</v>
      </c>
      <c r="L95" s="30">
        <f t="shared" ref="L95:L102" si="51">(W95-W96)/W96</f>
        <v>0.127708191807445</v>
      </c>
      <c r="M95" s="30">
        <f t="shared" ref="M95:M102" si="52">(V95-V96)/V96</f>
        <v>0.866754842116478</v>
      </c>
      <c r="N95" s="30">
        <f t="shared" ref="N95:N102" si="53">(X95-X96)/X96</f>
        <v>0</v>
      </c>
      <c r="O95" s="30"/>
      <c r="P95" s="84">
        <v>1895108189.39</v>
      </c>
      <c r="Q95" s="11">
        <f>P95-R95</f>
        <v>218052939.29</v>
      </c>
      <c r="R95" s="47">
        <v>1677055250.1</v>
      </c>
      <c r="S95" s="47">
        <v>172285277.91</v>
      </c>
      <c r="T95" s="15">
        <v>-468964.74</v>
      </c>
      <c r="U95" s="15">
        <v>27397384.39</v>
      </c>
      <c r="V95" s="15">
        <v>226028593.03</v>
      </c>
      <c r="W95" s="47">
        <v>994249429.79</v>
      </c>
      <c r="X95" s="71">
        <v>100000000</v>
      </c>
      <c r="Y95" s="71">
        <v>84644897</v>
      </c>
      <c r="Z95" s="2"/>
      <c r="AA95" s="75"/>
      <c r="AB95" s="75"/>
      <c r="AC95" s="30"/>
      <c r="AD95" s="76"/>
      <c r="AE95" s="76"/>
      <c r="AF95" s="78"/>
      <c r="AG95" s="83"/>
      <c r="AH95" s="82"/>
    </row>
    <row r="96" spans="1:34">
      <c r="A96" s="1"/>
      <c r="B96" s="1">
        <v>2022</v>
      </c>
      <c r="C96" s="1"/>
      <c r="D96" s="1"/>
      <c r="E96" s="30">
        <f>(S96+T96)/(R96+负债表!F76)</f>
        <v>0.0792293073483222</v>
      </c>
      <c r="F96" s="30">
        <f t="shared" si="46"/>
        <v>0.0698664040285519</v>
      </c>
      <c r="G96" s="30">
        <f t="shared" si="47"/>
        <v>0.0784342563988962</v>
      </c>
      <c r="H96" s="30">
        <f t="shared" si="48"/>
        <v>0.0691653080236143</v>
      </c>
      <c r="I96" s="30">
        <f t="shared" si="49"/>
        <v>0.118174746607432</v>
      </c>
      <c r="J96" s="30"/>
      <c r="K96" s="30">
        <f t="shared" si="50"/>
        <v>0.0624500781842894</v>
      </c>
      <c r="L96" s="30">
        <f t="shared" si="51"/>
        <v>0.0935372203340933</v>
      </c>
      <c r="M96" s="30">
        <f t="shared" si="52"/>
        <v>0.0115857620814162</v>
      </c>
      <c r="N96" s="30">
        <f t="shared" si="53"/>
        <v>0</v>
      </c>
      <c r="O96" s="30"/>
      <c r="P96" s="84">
        <v>1819827642.74</v>
      </c>
      <c r="Q96" s="11">
        <f t="shared" ref="Q96:Q101" si="54">P96-R96</f>
        <v>215057670.55</v>
      </c>
      <c r="R96" s="47">
        <v>1604769972.19</v>
      </c>
      <c r="S96" s="47">
        <v>125868939.46</v>
      </c>
      <c r="T96" s="15">
        <v>1275873.89</v>
      </c>
      <c r="U96" s="15">
        <v>16983371.39</v>
      </c>
      <c r="V96" s="15">
        <v>121081026.78</v>
      </c>
      <c r="W96" s="47">
        <v>881654879.35</v>
      </c>
      <c r="X96" s="71">
        <v>100000000</v>
      </c>
      <c r="Y96" s="71">
        <v>38688750</v>
      </c>
      <c r="Z96" s="2"/>
      <c r="AA96" s="75"/>
      <c r="AB96" s="75"/>
      <c r="AC96" s="30"/>
      <c r="AD96" s="76"/>
      <c r="AE96" s="76"/>
      <c r="AF96" s="78"/>
      <c r="AG96" s="83"/>
      <c r="AH96" s="82"/>
    </row>
    <row r="97" spans="1:34">
      <c r="A97" s="1"/>
      <c r="B97" s="1">
        <v>2021</v>
      </c>
      <c r="C97" s="1"/>
      <c r="D97" s="1"/>
      <c r="E97" s="30">
        <f>(S97+T97)/(R97+负债表!F77)</f>
        <v>0.0775945913041197</v>
      </c>
      <c r="F97" s="30">
        <f t="shared" si="46"/>
        <v>0.0701077406011549</v>
      </c>
      <c r="G97" s="30">
        <f t="shared" si="47"/>
        <v>0.0773759850117556</v>
      </c>
      <c r="H97" s="30">
        <f t="shared" si="48"/>
        <v>0.0699102269216412</v>
      </c>
      <c r="I97" s="30">
        <f t="shared" si="49"/>
        <v>0.0964867599291973</v>
      </c>
      <c r="J97" s="30"/>
      <c r="K97" s="30">
        <f t="shared" si="50"/>
        <v>-0.0740571132909316</v>
      </c>
      <c r="L97" s="30">
        <f t="shared" si="51"/>
        <v>0.109502470820768</v>
      </c>
      <c r="M97" s="30">
        <f t="shared" si="52"/>
        <v>0.113297383060443</v>
      </c>
      <c r="N97" s="30">
        <f t="shared" si="53"/>
        <v>0</v>
      </c>
      <c r="O97" s="30"/>
      <c r="P97" s="84">
        <v>1694608296.62</v>
      </c>
      <c r="Q97" s="11">
        <f t="shared" si="54"/>
        <v>163507263.89</v>
      </c>
      <c r="R97" s="47">
        <v>1531101032.73</v>
      </c>
      <c r="S97" s="47">
        <v>118470450.56</v>
      </c>
      <c r="T97" s="15">
        <v>334708.32</v>
      </c>
      <c r="U97" s="15">
        <v>16432074.78</v>
      </c>
      <c r="V97" s="15">
        <v>119694277.36</v>
      </c>
      <c r="W97" s="47">
        <v>806241308.44</v>
      </c>
      <c r="X97" s="71">
        <v>100000000</v>
      </c>
      <c r="Y97" s="71">
        <v>38688750</v>
      </c>
      <c r="Z97" s="2"/>
      <c r="AA97" s="75"/>
      <c r="AB97" s="75"/>
      <c r="AC97" s="30"/>
      <c r="AD97" s="76"/>
      <c r="AE97" s="76"/>
      <c r="AF97" s="78"/>
      <c r="AG97" s="83"/>
      <c r="AH97" s="82"/>
    </row>
    <row r="98" spans="1:34">
      <c r="A98" s="1"/>
      <c r="B98" s="1">
        <v>2020</v>
      </c>
      <c r="C98" s="1"/>
      <c r="D98" s="1"/>
      <c r="E98" s="30">
        <f>(S98+T98)/(R98+负债表!F78)</f>
        <v>0.0880118408669267</v>
      </c>
      <c r="F98" s="30">
        <f t="shared" si="46"/>
        <v>0.0816484954838919</v>
      </c>
      <c r="G98" s="30">
        <f t="shared" si="47"/>
        <v>0.0874107192256096</v>
      </c>
      <c r="H98" s="30">
        <f t="shared" si="48"/>
        <v>0.0810908355470823</v>
      </c>
      <c r="I98" s="30">
        <f t="shared" si="49"/>
        <v>0.072301014503902</v>
      </c>
      <c r="J98" s="30"/>
      <c r="K98" s="30">
        <f t="shared" si="50"/>
        <v>0.398945613318533</v>
      </c>
      <c r="L98" s="30">
        <f t="shared" si="51"/>
        <v>0.156765042886879</v>
      </c>
      <c r="M98" s="30">
        <f t="shared" si="52"/>
        <v>-0.387252580428202</v>
      </c>
      <c r="N98" s="30" t="e">
        <f t="shared" si="53"/>
        <v>#DIV/0!</v>
      </c>
      <c r="O98" s="30"/>
      <c r="P98" s="84">
        <v>1577807677.98</v>
      </c>
      <c r="Q98" s="11">
        <f t="shared" si="54"/>
        <v>114077095.81</v>
      </c>
      <c r="R98" s="47">
        <v>1463730582.17</v>
      </c>
      <c r="S98" s="47">
        <v>127945742.94</v>
      </c>
      <c r="T98" s="15">
        <v>879880.13</v>
      </c>
      <c r="U98" s="15">
        <v>19583832.57</v>
      </c>
      <c r="V98" s="15">
        <v>107513301.64</v>
      </c>
      <c r="W98" s="47">
        <v>726669232.06</v>
      </c>
      <c r="X98" s="71">
        <v>100000000</v>
      </c>
      <c r="Y98" s="71">
        <v>23710250</v>
      </c>
      <c r="Z98" s="2"/>
      <c r="AA98" s="75"/>
      <c r="AB98" s="75"/>
      <c r="AC98" s="30"/>
      <c r="AD98" s="76"/>
      <c r="AE98" s="76"/>
      <c r="AF98" s="78"/>
      <c r="AG98" s="83"/>
      <c r="AH98" s="82"/>
    </row>
    <row r="99" spans="1:34">
      <c r="A99" s="1"/>
      <c r="B99" s="1">
        <v>2019</v>
      </c>
      <c r="C99" s="1"/>
      <c r="D99" s="1"/>
      <c r="E99" s="30">
        <f>(S99+T99)/(R99+负债表!F79)</f>
        <v>0.20452808394638</v>
      </c>
      <c r="F99" s="30">
        <f t="shared" si="46"/>
        <v>0.159902947723986</v>
      </c>
      <c r="G99" s="30">
        <f t="shared" si="47"/>
        <v>0.198590900101881</v>
      </c>
      <c r="H99" s="30">
        <f t="shared" si="48"/>
        <v>0.155261173452226</v>
      </c>
      <c r="I99" s="30">
        <f t="shared" si="49"/>
        <v>0.218185861625209</v>
      </c>
      <c r="J99" s="30"/>
      <c r="K99" s="30">
        <f t="shared" si="50"/>
        <v>0.129112257667516</v>
      </c>
      <c r="L99" s="30">
        <f t="shared" si="51"/>
        <v>0.186137845310722</v>
      </c>
      <c r="M99" s="30">
        <f t="shared" si="52"/>
        <v>0.250502333995237</v>
      </c>
      <c r="N99" s="30" t="e">
        <f t="shared" si="53"/>
        <v>#DIV/0!</v>
      </c>
      <c r="O99" s="30"/>
      <c r="P99" s="84">
        <v>589063543.36</v>
      </c>
      <c r="Q99" s="11">
        <f t="shared" si="54"/>
        <v>128525336.76</v>
      </c>
      <c r="R99" s="47">
        <v>460538206.6</v>
      </c>
      <c r="S99" s="47">
        <v>91458696.98</v>
      </c>
      <c r="T99" s="15">
        <f>273.43*10000</f>
        <v>2734300</v>
      </c>
      <c r="U99" s="15">
        <v>13724218.79</v>
      </c>
      <c r="V99" s="15">
        <v>175461043.5</v>
      </c>
      <c r="W99" s="47">
        <v>628190864.28</v>
      </c>
      <c r="X99" s="71"/>
      <c r="Y99" s="71"/>
      <c r="Z99" s="2"/>
      <c r="AA99" s="75"/>
      <c r="AB99" s="75"/>
      <c r="AC99" s="30"/>
      <c r="AD99" s="76"/>
      <c r="AE99" s="76"/>
      <c r="AF99" s="78"/>
      <c r="AG99" s="83"/>
      <c r="AH99" s="82"/>
    </row>
    <row r="100" spans="1:34">
      <c r="A100" s="1"/>
      <c r="B100" s="1">
        <v>2018</v>
      </c>
      <c r="C100" s="1"/>
      <c r="D100" s="1"/>
      <c r="E100" s="30">
        <f>(S100+T100)/(R100+负债表!F80)</f>
        <v>0.181354690138168</v>
      </c>
      <c r="F100" s="30">
        <f t="shared" si="46"/>
        <v>0.127449008649477</v>
      </c>
      <c r="G100" s="30">
        <f t="shared" si="47"/>
        <v>0.176210888966881</v>
      </c>
      <c r="H100" s="30">
        <f t="shared" si="48"/>
        <v>0.123834145645542</v>
      </c>
      <c r="I100" s="30">
        <f t="shared" si="49"/>
        <v>0.297238971033074</v>
      </c>
      <c r="J100" s="30"/>
      <c r="K100" s="30">
        <f t="shared" si="50"/>
        <v>0.0253788506174712</v>
      </c>
      <c r="L100" s="30">
        <f t="shared" si="51"/>
        <v>0.0249147173159786</v>
      </c>
      <c r="M100" s="30">
        <f t="shared" si="52"/>
        <v>0.431411640061279</v>
      </c>
      <c r="N100" s="30" t="e">
        <f t="shared" si="53"/>
        <v>#DIV/0!</v>
      </c>
      <c r="O100" s="30"/>
      <c r="P100" s="84">
        <v>654105009.63</v>
      </c>
      <c r="Q100" s="11">
        <f t="shared" si="54"/>
        <v>194425500.01</v>
      </c>
      <c r="R100" s="47">
        <v>459679509.62</v>
      </c>
      <c r="S100" s="47">
        <v>81000535.03</v>
      </c>
      <c r="T100" s="15">
        <f>236.45*10000</f>
        <v>2364500</v>
      </c>
      <c r="U100" s="15">
        <v>12886404.23</v>
      </c>
      <c r="V100" s="15">
        <v>140312447.83</v>
      </c>
      <c r="W100" s="47">
        <v>529610337.25</v>
      </c>
      <c r="X100" s="71"/>
      <c r="Y100" s="71"/>
      <c r="Z100" s="2"/>
      <c r="AA100" s="75"/>
      <c r="AB100" s="75"/>
      <c r="AC100" s="30"/>
      <c r="AD100" s="76"/>
      <c r="AE100" s="76"/>
      <c r="AF100" s="78"/>
      <c r="AG100" s="83"/>
      <c r="AH100" s="82"/>
    </row>
    <row r="101" spans="1:34">
      <c r="A101" s="1"/>
      <c r="B101" s="1">
        <v>2017</v>
      </c>
      <c r="C101" s="1"/>
      <c r="D101" s="1"/>
      <c r="E101" s="30">
        <f>(S101+T101)/(R101+负债表!F81)</f>
        <v>0.214139947647988</v>
      </c>
      <c r="F101" s="30">
        <f t="shared" si="46"/>
        <v>0.132822086830895</v>
      </c>
      <c r="G101" s="30">
        <f t="shared" si="47"/>
        <v>0.196663802656418</v>
      </c>
      <c r="H101" s="30">
        <f t="shared" si="48"/>
        <v>0.121982362281437</v>
      </c>
      <c r="I101" s="30">
        <f t="shared" si="49"/>
        <v>0.379741667588182</v>
      </c>
      <c r="J101" s="30"/>
      <c r="K101" s="30" t="e">
        <f t="shared" si="50"/>
        <v>#DIV/0!</v>
      </c>
      <c r="L101" s="30" t="e">
        <f t="shared" si="51"/>
        <v>#DIV/0!</v>
      </c>
      <c r="M101" s="30" t="e">
        <f t="shared" si="52"/>
        <v>#DIV/0!</v>
      </c>
      <c r="N101" s="30" t="e">
        <f t="shared" si="53"/>
        <v>#DIV/0!</v>
      </c>
      <c r="O101" s="30"/>
      <c r="P101" s="84">
        <v>647599481.7</v>
      </c>
      <c r="Q101" s="11">
        <f t="shared" si="54"/>
        <v>245920507.11</v>
      </c>
      <c r="R101" s="47">
        <v>401678974.59</v>
      </c>
      <c r="S101" s="47">
        <v>78995714.59</v>
      </c>
      <c r="T101" s="15">
        <f>701.98*10000</f>
        <v>7019800</v>
      </c>
      <c r="U101" s="15">
        <v>12892961.73</v>
      </c>
      <c r="V101" s="15">
        <v>98023827.6</v>
      </c>
      <c r="W101" s="47">
        <v>516736005.74</v>
      </c>
      <c r="X101" s="71"/>
      <c r="Y101" s="71"/>
      <c r="Z101" s="2"/>
      <c r="AA101" s="75"/>
      <c r="AB101" s="75"/>
      <c r="AC101" s="30"/>
      <c r="AD101" s="76"/>
      <c r="AE101" s="76"/>
      <c r="AF101" s="78"/>
      <c r="AG101" s="83"/>
      <c r="AH101" s="82"/>
    </row>
    <row r="102" spans="1:34">
      <c r="A102" s="1"/>
      <c r="B102" s="1">
        <v>2016</v>
      </c>
      <c r="C102" s="1"/>
      <c r="D102" s="1"/>
      <c r="E102" s="30" t="e">
        <f>(S102+T102)/(R102+负债表!F82)</f>
        <v>#DIV/0!</v>
      </c>
      <c r="F102" s="30" t="e">
        <f t="shared" si="46"/>
        <v>#DIV/0!</v>
      </c>
      <c r="G102" s="30" t="e">
        <f t="shared" si="47"/>
        <v>#DIV/0!</v>
      </c>
      <c r="H102" s="30" t="e">
        <f t="shared" si="48"/>
        <v>#DIV/0!</v>
      </c>
      <c r="I102" s="30" t="e">
        <f t="shared" si="49"/>
        <v>#DIV/0!</v>
      </c>
      <c r="J102" s="30"/>
      <c r="K102" s="30" t="e">
        <f t="shared" si="50"/>
        <v>#DIV/0!</v>
      </c>
      <c r="L102" s="30" t="e">
        <f t="shared" si="51"/>
        <v>#DIV/0!</v>
      </c>
      <c r="M102" s="30" t="e">
        <f t="shared" si="52"/>
        <v>#DIV/0!</v>
      </c>
      <c r="N102" s="30" t="e">
        <f t="shared" si="53"/>
        <v>#DIV/0!</v>
      </c>
      <c r="O102" s="30"/>
      <c r="P102" s="1"/>
      <c r="Q102" s="1"/>
      <c r="R102" s="2"/>
      <c r="S102" s="2"/>
      <c r="T102" s="15"/>
      <c r="U102" s="15"/>
      <c r="V102" s="15"/>
      <c r="W102" s="2"/>
      <c r="X102" s="71"/>
      <c r="Y102" s="71"/>
      <c r="Z102" s="2"/>
      <c r="AA102" s="75"/>
      <c r="AB102" s="75"/>
      <c r="AC102" s="30"/>
      <c r="AD102" s="76"/>
      <c r="AE102" s="76"/>
      <c r="AF102" s="78"/>
      <c r="AG102" s="83"/>
      <c r="AH102" s="82"/>
    </row>
    <row r="103" spans="1:34">
      <c r="A103" s="1"/>
      <c r="B103" s="1">
        <v>2015</v>
      </c>
      <c r="C103" s="1"/>
      <c r="D103" s="1"/>
      <c r="E103" s="32"/>
      <c r="F103" s="32"/>
      <c r="G103" s="1"/>
      <c r="H103" s="1"/>
      <c r="I103" s="1"/>
      <c r="J103" s="6"/>
      <c r="K103" s="32"/>
      <c r="L103" s="30"/>
      <c r="M103" s="30"/>
      <c r="N103" s="30"/>
      <c r="O103" s="30"/>
      <c r="P103" s="1"/>
      <c r="Q103" s="1"/>
      <c r="R103" s="2"/>
      <c r="S103" s="2"/>
      <c r="T103" s="15"/>
      <c r="U103" s="15"/>
      <c r="V103" s="15"/>
      <c r="W103" s="2"/>
      <c r="X103" s="71"/>
      <c r="Y103" s="71"/>
      <c r="Z103" s="2"/>
      <c r="AA103" s="75"/>
      <c r="AB103" s="75"/>
      <c r="AC103" s="30"/>
      <c r="AD103" s="76"/>
      <c r="AE103" s="76"/>
      <c r="AF103" s="78"/>
      <c r="AG103" s="83"/>
      <c r="AH103" s="82"/>
    </row>
    <row r="104" spans="1:34">
      <c r="A104" s="1"/>
      <c r="B104" s="1">
        <v>2014</v>
      </c>
      <c r="C104" s="1"/>
      <c r="D104" s="1"/>
      <c r="E104" s="32"/>
      <c r="F104" s="32"/>
      <c r="G104" s="1"/>
      <c r="H104" s="1"/>
      <c r="I104" s="1"/>
      <c r="J104" s="6"/>
      <c r="K104" s="32"/>
      <c r="L104" s="30"/>
      <c r="M104" s="30"/>
      <c r="N104" s="30"/>
      <c r="O104" s="30"/>
      <c r="P104" s="1"/>
      <c r="Q104" s="1"/>
      <c r="R104" s="2"/>
      <c r="S104" s="2"/>
      <c r="T104" s="15"/>
      <c r="U104" s="15"/>
      <c r="V104" s="15"/>
      <c r="W104" s="2"/>
      <c r="X104" s="71"/>
      <c r="Y104" s="71"/>
      <c r="Z104" s="2"/>
      <c r="AA104" s="75"/>
      <c r="AB104" s="75"/>
      <c r="AC104" s="30"/>
      <c r="AD104" s="76"/>
      <c r="AE104" s="76"/>
      <c r="AF104" s="78"/>
      <c r="AG104" s="83"/>
      <c r="AH104" s="82"/>
    </row>
    <row r="105" spans="1:34">
      <c r="A105" s="1" t="s">
        <v>76</v>
      </c>
      <c r="B105" s="1"/>
      <c r="C105" s="1"/>
      <c r="D105" s="55">
        <v>2015</v>
      </c>
      <c r="E105" s="32"/>
      <c r="F105" s="32"/>
      <c r="G105" s="1"/>
      <c r="H105" s="2"/>
      <c r="I105" s="2"/>
      <c r="J105" s="2"/>
      <c r="K105" s="32"/>
      <c r="L105" s="30"/>
      <c r="M105" s="30"/>
      <c r="N105" s="30"/>
      <c r="O105" s="30"/>
      <c r="P105" s="1"/>
      <c r="Q105" s="1"/>
      <c r="R105" s="2"/>
      <c r="S105" s="2"/>
      <c r="T105" s="15"/>
      <c r="U105" s="15"/>
      <c r="V105" s="15"/>
      <c r="W105" s="2"/>
      <c r="X105" s="71"/>
      <c r="Y105" s="71"/>
      <c r="Z105" s="2"/>
      <c r="AA105" s="75"/>
      <c r="AB105" s="75"/>
      <c r="AC105" s="30"/>
      <c r="AD105" s="75"/>
      <c r="AE105" s="75"/>
      <c r="AF105" s="78"/>
      <c r="AG105" s="83"/>
      <c r="AH105" s="82"/>
    </row>
    <row r="106" spans="1:34">
      <c r="A106" s="1"/>
      <c r="B106" s="1"/>
      <c r="C106" s="1"/>
      <c r="D106" s="56"/>
      <c r="E106" s="32"/>
      <c r="F106" s="32"/>
      <c r="G106" s="1"/>
      <c r="H106" s="2"/>
      <c r="I106" s="2"/>
      <c r="J106" s="2"/>
      <c r="K106" s="32"/>
      <c r="L106" s="30"/>
      <c r="M106" s="30"/>
      <c r="N106" s="30"/>
      <c r="O106" s="30"/>
      <c r="P106" s="1"/>
      <c r="Q106" s="1"/>
      <c r="R106" s="2"/>
      <c r="S106" s="2"/>
      <c r="T106" s="15"/>
      <c r="U106" s="15"/>
      <c r="V106" s="15"/>
      <c r="W106" s="2"/>
      <c r="X106" s="71"/>
      <c r="Y106" s="71"/>
      <c r="Z106" s="2"/>
      <c r="AA106" s="75"/>
      <c r="AB106" s="75"/>
      <c r="AC106" s="30"/>
      <c r="AD106" s="75"/>
      <c r="AE106" s="75"/>
      <c r="AF106" s="78"/>
      <c r="AG106" s="83"/>
      <c r="AH106" s="82"/>
    </row>
    <row r="107" spans="1:34">
      <c r="A107" s="1"/>
      <c r="B107" s="1"/>
      <c r="C107" s="1"/>
      <c r="D107" s="56"/>
      <c r="E107" s="32"/>
      <c r="F107" s="32"/>
      <c r="G107" s="1"/>
      <c r="H107" s="2"/>
      <c r="I107" s="2"/>
      <c r="J107" s="2"/>
      <c r="K107" s="32"/>
      <c r="L107" s="30"/>
      <c r="M107" s="30"/>
      <c r="N107" s="30"/>
      <c r="O107" s="30"/>
      <c r="P107" s="1"/>
      <c r="Q107" s="1"/>
      <c r="R107" s="2"/>
      <c r="S107" s="2"/>
      <c r="T107" s="15"/>
      <c r="U107" s="15"/>
      <c r="V107" s="15"/>
      <c r="W107" s="2"/>
      <c r="X107" s="71"/>
      <c r="Y107" s="71"/>
      <c r="Z107" s="2"/>
      <c r="AA107" s="75"/>
      <c r="AB107" s="75"/>
      <c r="AC107" s="30"/>
      <c r="AD107" s="75"/>
      <c r="AE107" s="75"/>
      <c r="AF107" s="78"/>
      <c r="AG107" s="83"/>
      <c r="AH107" s="82"/>
    </row>
    <row r="108" spans="1:34">
      <c r="A108" s="1"/>
      <c r="B108" s="1"/>
      <c r="C108" s="1"/>
      <c r="D108" s="56"/>
      <c r="E108" s="32"/>
      <c r="F108" s="32"/>
      <c r="G108" s="1"/>
      <c r="H108" s="2"/>
      <c r="I108" s="2"/>
      <c r="J108" s="2"/>
      <c r="K108" s="32"/>
      <c r="L108" s="30"/>
      <c r="M108" s="30"/>
      <c r="N108" s="30"/>
      <c r="O108" s="30"/>
      <c r="P108" s="1"/>
      <c r="Q108" s="1"/>
      <c r="R108" s="2"/>
      <c r="S108" s="2"/>
      <c r="T108" s="15"/>
      <c r="U108" s="15"/>
      <c r="V108" s="15"/>
      <c r="W108" s="2"/>
      <c r="X108" s="71"/>
      <c r="Y108" s="71"/>
      <c r="Z108" s="2"/>
      <c r="AA108" s="75"/>
      <c r="AB108" s="75"/>
      <c r="AC108" s="30"/>
      <c r="AD108" s="75"/>
      <c r="AE108" s="75"/>
      <c r="AF108" s="78"/>
      <c r="AG108" s="83"/>
      <c r="AH108" s="82"/>
    </row>
    <row r="109" spans="1:34">
      <c r="A109" s="1"/>
      <c r="B109" s="1"/>
      <c r="C109" s="1"/>
      <c r="D109" s="56"/>
      <c r="E109" s="32"/>
      <c r="F109" s="32"/>
      <c r="G109" s="1"/>
      <c r="H109" s="2"/>
      <c r="I109" s="2"/>
      <c r="J109" s="2"/>
      <c r="K109" s="32"/>
      <c r="L109" s="30"/>
      <c r="M109" s="30"/>
      <c r="N109" s="30"/>
      <c r="O109" s="30"/>
      <c r="P109" s="1"/>
      <c r="Q109" s="1"/>
      <c r="R109" s="2"/>
      <c r="S109" s="2"/>
      <c r="T109" s="15"/>
      <c r="U109" s="15"/>
      <c r="V109" s="15"/>
      <c r="W109" s="2"/>
      <c r="X109" s="71"/>
      <c r="Y109" s="71"/>
      <c r="Z109" s="2"/>
      <c r="AA109" s="75"/>
      <c r="AB109" s="75"/>
      <c r="AC109" s="30"/>
      <c r="AD109" s="75"/>
      <c r="AE109" s="75"/>
      <c r="AF109" s="78"/>
      <c r="AG109" s="83"/>
      <c r="AH109" s="82"/>
    </row>
    <row r="110" spans="1:34">
      <c r="A110" s="1"/>
      <c r="B110" s="1"/>
      <c r="C110" s="1"/>
      <c r="D110" s="56"/>
      <c r="E110" s="32"/>
      <c r="F110" s="32"/>
      <c r="G110" s="1"/>
      <c r="H110" s="2"/>
      <c r="I110" s="2"/>
      <c r="J110" s="2"/>
      <c r="K110" s="32"/>
      <c r="L110" s="30"/>
      <c r="M110" s="30"/>
      <c r="N110" s="30"/>
      <c r="O110" s="30"/>
      <c r="P110" s="1"/>
      <c r="Q110" s="1"/>
      <c r="R110" s="2"/>
      <c r="S110" s="2"/>
      <c r="T110" s="15"/>
      <c r="U110" s="15"/>
      <c r="V110" s="15"/>
      <c r="W110" s="2"/>
      <c r="X110" s="71"/>
      <c r="Y110" s="71"/>
      <c r="Z110" s="2"/>
      <c r="AA110" s="75"/>
      <c r="AB110" s="75"/>
      <c r="AC110" s="30"/>
      <c r="AD110" s="75"/>
      <c r="AE110" s="75"/>
      <c r="AF110" s="78"/>
      <c r="AG110" s="83"/>
      <c r="AH110" s="82"/>
    </row>
    <row r="111" spans="1:34">
      <c r="A111" s="1"/>
      <c r="B111" s="1"/>
      <c r="C111" s="1"/>
      <c r="D111" s="56"/>
      <c r="E111" s="32"/>
      <c r="F111" s="32"/>
      <c r="G111" s="1"/>
      <c r="H111" s="2"/>
      <c r="I111" s="2"/>
      <c r="J111" s="2"/>
      <c r="K111" s="32"/>
      <c r="L111" s="30"/>
      <c r="M111" s="30"/>
      <c r="N111" s="30"/>
      <c r="O111" s="30"/>
      <c r="P111" s="1"/>
      <c r="Q111" s="1"/>
      <c r="R111" s="2"/>
      <c r="S111" s="2"/>
      <c r="T111" s="15"/>
      <c r="U111" s="15"/>
      <c r="V111" s="15"/>
      <c r="W111" s="2"/>
      <c r="X111" s="71"/>
      <c r="Y111" s="71"/>
      <c r="Z111" s="2"/>
      <c r="AA111" s="75"/>
      <c r="AB111" s="75"/>
      <c r="AC111" s="30"/>
      <c r="AD111" s="75"/>
      <c r="AE111" s="75"/>
      <c r="AF111" s="78"/>
      <c r="AG111" s="83"/>
      <c r="AH111" s="82"/>
    </row>
    <row r="112" spans="1:34">
      <c r="A112" s="1"/>
      <c r="B112" s="1"/>
      <c r="C112" s="1"/>
      <c r="D112" s="56"/>
      <c r="E112" s="32"/>
      <c r="F112" s="32"/>
      <c r="G112" s="1"/>
      <c r="H112" s="2"/>
      <c r="I112" s="2"/>
      <c r="J112" s="2"/>
      <c r="K112" s="32"/>
      <c r="L112" s="30"/>
      <c r="M112" s="30"/>
      <c r="N112" s="30"/>
      <c r="O112" s="30"/>
      <c r="P112" s="1"/>
      <c r="Q112" s="1"/>
      <c r="R112" s="2"/>
      <c r="S112" s="2"/>
      <c r="T112" s="15"/>
      <c r="U112" s="15"/>
      <c r="V112" s="15"/>
      <c r="W112" s="2"/>
      <c r="X112" s="71"/>
      <c r="Y112" s="71"/>
      <c r="Z112" s="2"/>
      <c r="AA112" s="75"/>
      <c r="AB112" s="75"/>
      <c r="AC112" s="30"/>
      <c r="AD112" s="75"/>
      <c r="AE112" s="75"/>
      <c r="AF112" s="78"/>
      <c r="AG112" s="83"/>
      <c r="AH112" s="82"/>
    </row>
    <row r="113" spans="1:34">
      <c r="A113" s="1"/>
      <c r="B113" s="1"/>
      <c r="C113" s="1"/>
      <c r="D113" s="56"/>
      <c r="E113" s="32"/>
      <c r="F113" s="32"/>
      <c r="G113" s="1"/>
      <c r="H113" s="2"/>
      <c r="I113" s="2"/>
      <c r="J113" s="2"/>
      <c r="K113" s="32"/>
      <c r="L113" s="30"/>
      <c r="M113" s="30"/>
      <c r="N113" s="30"/>
      <c r="O113" s="30"/>
      <c r="P113" s="1"/>
      <c r="Q113" s="1"/>
      <c r="R113" s="2"/>
      <c r="S113" s="2"/>
      <c r="T113" s="15"/>
      <c r="U113" s="15"/>
      <c r="V113" s="15"/>
      <c r="W113" s="2"/>
      <c r="X113" s="71"/>
      <c r="Y113" s="71"/>
      <c r="Z113" s="2"/>
      <c r="AA113" s="75"/>
      <c r="AB113" s="75"/>
      <c r="AC113" s="30"/>
      <c r="AD113" s="75"/>
      <c r="AE113" s="75"/>
      <c r="AF113" s="78"/>
      <c r="AG113" s="83"/>
      <c r="AH113" s="82"/>
    </row>
    <row r="114" spans="1:34">
      <c r="A114" s="1"/>
      <c r="B114" s="1"/>
      <c r="C114" s="1"/>
      <c r="D114" s="57"/>
      <c r="E114" s="32"/>
      <c r="F114" s="32"/>
      <c r="G114" s="1"/>
      <c r="H114" s="2"/>
      <c r="I114" s="2"/>
      <c r="J114" s="2"/>
      <c r="K114" s="32"/>
      <c r="L114" s="30"/>
      <c r="M114" s="30"/>
      <c r="N114" s="30"/>
      <c r="O114" s="30"/>
      <c r="P114" s="1"/>
      <c r="Q114" s="1"/>
      <c r="R114" s="2"/>
      <c r="S114" s="2"/>
      <c r="T114" s="15"/>
      <c r="U114" s="15"/>
      <c r="V114" s="15"/>
      <c r="W114" s="2"/>
      <c r="X114" s="71"/>
      <c r="Y114" s="71"/>
      <c r="Z114" s="2"/>
      <c r="AA114" s="75"/>
      <c r="AB114" s="75"/>
      <c r="AC114" s="30"/>
      <c r="AD114" s="75"/>
      <c r="AE114" s="75"/>
      <c r="AF114" s="78"/>
      <c r="AG114" s="83"/>
      <c r="AH114" s="82"/>
    </row>
    <row r="115" spans="1:34">
      <c r="A115" s="1" t="s">
        <v>77</v>
      </c>
      <c r="B115" s="1"/>
      <c r="C115" s="1"/>
      <c r="D115" s="55">
        <v>2019</v>
      </c>
      <c r="E115" s="32"/>
      <c r="F115" s="32"/>
      <c r="G115" s="1"/>
      <c r="H115" s="2"/>
      <c r="I115" s="2"/>
      <c r="J115" s="2"/>
      <c r="K115" s="32"/>
      <c r="L115" s="30"/>
      <c r="M115" s="30"/>
      <c r="N115" s="30"/>
      <c r="O115" s="30"/>
      <c r="P115" s="1"/>
      <c r="Q115" s="1"/>
      <c r="R115" s="2"/>
      <c r="S115" s="2"/>
      <c r="T115" s="15"/>
      <c r="U115" s="15"/>
      <c r="V115" s="15"/>
      <c r="W115" s="2"/>
      <c r="X115" s="71"/>
      <c r="Y115" s="71"/>
      <c r="Z115" s="2"/>
      <c r="AA115" s="75"/>
      <c r="AB115" s="75"/>
      <c r="AC115" s="30"/>
      <c r="AD115" s="75"/>
      <c r="AE115" s="75"/>
      <c r="AF115" s="78"/>
      <c r="AG115" s="83"/>
      <c r="AH115" s="82"/>
    </row>
    <row r="116" spans="1:34">
      <c r="A116" s="1"/>
      <c r="B116" s="1"/>
      <c r="C116" s="1"/>
      <c r="D116" s="56"/>
      <c r="E116" s="32"/>
      <c r="F116" s="32"/>
      <c r="G116" s="1"/>
      <c r="H116" s="2"/>
      <c r="I116" s="2"/>
      <c r="J116" s="2"/>
      <c r="K116" s="32"/>
      <c r="L116" s="30"/>
      <c r="M116" s="30"/>
      <c r="N116" s="30"/>
      <c r="O116" s="30"/>
      <c r="P116" s="1"/>
      <c r="Q116" s="1"/>
      <c r="R116" s="2"/>
      <c r="S116" s="2"/>
      <c r="T116" s="15"/>
      <c r="U116" s="15"/>
      <c r="V116" s="15"/>
      <c r="W116" s="2"/>
      <c r="X116" s="71"/>
      <c r="Y116" s="71"/>
      <c r="Z116" s="2"/>
      <c r="AA116" s="75"/>
      <c r="AB116" s="75"/>
      <c r="AC116" s="30"/>
      <c r="AD116" s="75"/>
      <c r="AE116" s="75"/>
      <c r="AF116" s="78"/>
      <c r="AG116" s="83"/>
      <c r="AH116" s="82"/>
    </row>
    <row r="117" spans="1:34">
      <c r="A117" s="1"/>
      <c r="B117" s="1"/>
      <c r="C117" s="1"/>
      <c r="D117" s="56"/>
      <c r="E117" s="32"/>
      <c r="F117" s="32"/>
      <c r="G117" s="1"/>
      <c r="H117" s="2"/>
      <c r="I117" s="2"/>
      <c r="J117" s="2"/>
      <c r="K117" s="32"/>
      <c r="L117" s="30"/>
      <c r="M117" s="30"/>
      <c r="N117" s="30"/>
      <c r="O117" s="30"/>
      <c r="P117" s="1"/>
      <c r="Q117" s="1"/>
      <c r="R117" s="2"/>
      <c r="S117" s="2"/>
      <c r="T117" s="15"/>
      <c r="U117" s="15"/>
      <c r="V117" s="15"/>
      <c r="W117" s="2"/>
      <c r="X117" s="71"/>
      <c r="Y117" s="71"/>
      <c r="Z117" s="2"/>
      <c r="AA117" s="75"/>
      <c r="AB117" s="75"/>
      <c r="AC117" s="30"/>
      <c r="AD117" s="75"/>
      <c r="AE117" s="75"/>
      <c r="AF117" s="78"/>
      <c r="AG117" s="83"/>
      <c r="AH117" s="82"/>
    </row>
    <row r="118" spans="1:34">
      <c r="A118" s="1"/>
      <c r="B118" s="1"/>
      <c r="C118" s="1"/>
      <c r="D118" s="56"/>
      <c r="E118" s="32"/>
      <c r="F118" s="32"/>
      <c r="G118" s="1"/>
      <c r="H118" s="2"/>
      <c r="I118" s="2"/>
      <c r="J118" s="2"/>
      <c r="K118" s="32"/>
      <c r="L118" s="30"/>
      <c r="M118" s="30"/>
      <c r="N118" s="30"/>
      <c r="O118" s="30"/>
      <c r="P118" s="1"/>
      <c r="Q118" s="1"/>
      <c r="R118" s="2"/>
      <c r="S118" s="2"/>
      <c r="T118" s="15"/>
      <c r="U118" s="15"/>
      <c r="V118" s="15"/>
      <c r="W118" s="2"/>
      <c r="X118" s="71"/>
      <c r="Y118" s="71"/>
      <c r="Z118" s="2"/>
      <c r="AA118" s="75"/>
      <c r="AB118" s="75"/>
      <c r="AC118" s="30"/>
      <c r="AD118" s="75"/>
      <c r="AE118" s="75"/>
      <c r="AF118" s="78"/>
      <c r="AG118" s="83"/>
      <c r="AH118" s="82"/>
    </row>
    <row r="119" spans="1:34">
      <c r="A119" s="1"/>
      <c r="B119" s="1"/>
      <c r="C119" s="1"/>
      <c r="D119" s="56"/>
      <c r="E119" s="32"/>
      <c r="F119" s="32"/>
      <c r="G119" s="1"/>
      <c r="H119" s="2"/>
      <c r="I119" s="2"/>
      <c r="J119" s="2"/>
      <c r="K119" s="32"/>
      <c r="L119" s="30"/>
      <c r="M119" s="30"/>
      <c r="N119" s="30"/>
      <c r="O119" s="30"/>
      <c r="P119" s="1"/>
      <c r="Q119" s="1"/>
      <c r="R119" s="2"/>
      <c r="S119" s="2"/>
      <c r="T119" s="15"/>
      <c r="U119" s="15"/>
      <c r="V119" s="15"/>
      <c r="W119" s="2"/>
      <c r="X119" s="71"/>
      <c r="Y119" s="71"/>
      <c r="Z119" s="2"/>
      <c r="AA119" s="75"/>
      <c r="AB119" s="75"/>
      <c r="AC119" s="30"/>
      <c r="AD119" s="75"/>
      <c r="AE119" s="75"/>
      <c r="AF119" s="78"/>
      <c r="AG119" s="83"/>
      <c r="AH119" s="82"/>
    </row>
    <row r="120" spans="1:34">
      <c r="A120" s="1"/>
      <c r="B120" s="1"/>
      <c r="C120" s="1"/>
      <c r="D120" s="56"/>
      <c r="E120" s="32"/>
      <c r="F120" s="32"/>
      <c r="G120" s="1"/>
      <c r="H120" s="2"/>
      <c r="I120" s="2"/>
      <c r="J120" s="2"/>
      <c r="K120" s="32"/>
      <c r="L120" s="30"/>
      <c r="M120" s="30"/>
      <c r="N120" s="30"/>
      <c r="O120" s="30"/>
      <c r="P120" s="1"/>
      <c r="Q120" s="1"/>
      <c r="R120" s="2"/>
      <c r="S120" s="2"/>
      <c r="T120" s="15"/>
      <c r="U120" s="15"/>
      <c r="V120" s="15"/>
      <c r="W120" s="2"/>
      <c r="X120" s="71"/>
      <c r="Y120" s="71"/>
      <c r="Z120" s="2"/>
      <c r="AA120" s="75"/>
      <c r="AB120" s="75"/>
      <c r="AC120" s="30"/>
      <c r="AD120" s="75"/>
      <c r="AE120" s="75"/>
      <c r="AF120" s="78"/>
      <c r="AG120" s="83"/>
      <c r="AH120" s="82"/>
    </row>
    <row r="121" spans="1:34">
      <c r="A121" s="1"/>
      <c r="B121" s="1"/>
      <c r="C121" s="1"/>
      <c r="D121" s="56"/>
      <c r="E121" s="32"/>
      <c r="F121" s="32"/>
      <c r="G121" s="1"/>
      <c r="H121" s="2"/>
      <c r="I121" s="2"/>
      <c r="J121" s="2"/>
      <c r="K121" s="32"/>
      <c r="L121" s="30"/>
      <c r="M121" s="30"/>
      <c r="N121" s="30"/>
      <c r="O121" s="30"/>
      <c r="P121" s="1"/>
      <c r="Q121" s="1"/>
      <c r="R121" s="2"/>
      <c r="S121" s="2"/>
      <c r="T121" s="15"/>
      <c r="U121" s="15"/>
      <c r="V121" s="15"/>
      <c r="W121" s="2"/>
      <c r="X121" s="71"/>
      <c r="Y121" s="71"/>
      <c r="Z121" s="2"/>
      <c r="AA121" s="75"/>
      <c r="AB121" s="75"/>
      <c r="AC121" s="30"/>
      <c r="AD121" s="75"/>
      <c r="AE121" s="75"/>
      <c r="AF121" s="78"/>
      <c r="AG121" s="83"/>
      <c r="AH121" s="82"/>
    </row>
    <row r="122" spans="1:34">
      <c r="A122" s="1"/>
      <c r="B122" s="1"/>
      <c r="C122" s="1"/>
      <c r="D122" s="57"/>
      <c r="E122" s="32"/>
      <c r="F122" s="32"/>
      <c r="G122" s="1"/>
      <c r="H122" s="2"/>
      <c r="I122" s="2"/>
      <c r="J122" s="2"/>
      <c r="K122" s="32"/>
      <c r="L122" s="30"/>
      <c r="M122" s="30"/>
      <c r="N122" s="30"/>
      <c r="O122" s="30"/>
      <c r="P122" s="1"/>
      <c r="Q122" s="1"/>
      <c r="R122" s="2"/>
      <c r="S122" s="2"/>
      <c r="T122" s="15"/>
      <c r="U122" s="15"/>
      <c r="V122" s="15"/>
      <c r="W122" s="2"/>
      <c r="X122" s="71"/>
      <c r="Y122" s="71"/>
      <c r="Z122" s="2"/>
      <c r="AA122" s="75"/>
      <c r="AB122" s="75"/>
      <c r="AC122" s="30"/>
      <c r="AD122" s="75"/>
      <c r="AE122" s="75"/>
      <c r="AF122" s="78"/>
      <c r="AG122" s="83"/>
      <c r="AH122" s="82"/>
    </row>
    <row r="123" spans="1:34">
      <c r="A123" s="1" t="s">
        <v>78</v>
      </c>
      <c r="B123" s="1"/>
      <c r="C123" s="1"/>
      <c r="D123" s="55">
        <v>2021</v>
      </c>
      <c r="E123" s="32"/>
      <c r="F123" s="32"/>
      <c r="G123" s="1"/>
      <c r="H123" s="2"/>
      <c r="I123" s="2"/>
      <c r="J123" s="2"/>
      <c r="K123" s="32"/>
      <c r="L123" s="30"/>
      <c r="M123" s="30"/>
      <c r="N123" s="30"/>
      <c r="O123" s="30"/>
      <c r="P123" s="1"/>
      <c r="Q123" s="1"/>
      <c r="R123" s="2"/>
      <c r="S123" s="2"/>
      <c r="T123" s="15"/>
      <c r="U123" s="15"/>
      <c r="V123" s="15"/>
      <c r="W123" s="2"/>
      <c r="X123" s="71"/>
      <c r="Y123" s="71"/>
      <c r="Z123" s="2"/>
      <c r="AA123" s="75"/>
      <c r="AB123" s="75"/>
      <c r="AC123" s="30"/>
      <c r="AD123" s="75"/>
      <c r="AE123" s="75"/>
      <c r="AF123" s="78"/>
      <c r="AG123" s="83"/>
      <c r="AH123" s="82"/>
    </row>
    <row r="124" spans="1:34">
      <c r="A124" s="1"/>
      <c r="B124" s="1"/>
      <c r="C124" s="1"/>
      <c r="D124" s="56"/>
      <c r="E124" s="32"/>
      <c r="F124" s="32"/>
      <c r="G124" s="1"/>
      <c r="H124" s="2"/>
      <c r="I124" s="2"/>
      <c r="J124" s="2"/>
      <c r="K124" s="32"/>
      <c r="L124" s="30"/>
      <c r="M124" s="30"/>
      <c r="N124" s="30"/>
      <c r="O124" s="30"/>
      <c r="P124" s="1"/>
      <c r="Q124" s="1"/>
      <c r="R124" s="2"/>
      <c r="S124" s="2"/>
      <c r="T124" s="15"/>
      <c r="U124" s="15"/>
      <c r="V124" s="15"/>
      <c r="W124" s="2"/>
      <c r="X124" s="71"/>
      <c r="Y124" s="71"/>
      <c r="Z124" s="2"/>
      <c r="AA124" s="75"/>
      <c r="AB124" s="75"/>
      <c r="AC124" s="30"/>
      <c r="AD124" s="75"/>
      <c r="AE124" s="75"/>
      <c r="AF124" s="78"/>
      <c r="AG124" s="83"/>
      <c r="AH124" s="82"/>
    </row>
    <row r="125" spans="1:34">
      <c r="A125" s="1"/>
      <c r="B125" s="1"/>
      <c r="C125" s="1"/>
      <c r="D125" s="56"/>
      <c r="E125" s="32"/>
      <c r="F125" s="32"/>
      <c r="G125" s="1"/>
      <c r="H125" s="2"/>
      <c r="I125" s="2"/>
      <c r="J125" s="2"/>
      <c r="K125" s="32"/>
      <c r="L125" s="30"/>
      <c r="M125" s="30"/>
      <c r="N125" s="30"/>
      <c r="O125" s="30"/>
      <c r="P125" s="1"/>
      <c r="Q125" s="1"/>
      <c r="R125" s="2"/>
      <c r="S125" s="2"/>
      <c r="T125" s="15"/>
      <c r="U125" s="15"/>
      <c r="V125" s="15"/>
      <c r="W125" s="2"/>
      <c r="X125" s="71"/>
      <c r="Y125" s="71"/>
      <c r="Z125" s="2"/>
      <c r="AA125" s="75"/>
      <c r="AB125" s="75"/>
      <c r="AC125" s="30"/>
      <c r="AD125" s="75"/>
      <c r="AE125" s="75"/>
      <c r="AF125" s="78"/>
      <c r="AG125" s="83"/>
      <c r="AH125" s="82"/>
    </row>
    <row r="126" spans="1:34">
      <c r="A126" s="1"/>
      <c r="B126" s="1"/>
      <c r="C126" s="1"/>
      <c r="D126" s="56"/>
      <c r="E126" s="32"/>
      <c r="F126" s="32"/>
      <c r="G126" s="1"/>
      <c r="H126" s="2"/>
      <c r="I126" s="2"/>
      <c r="J126" s="2"/>
      <c r="K126" s="32"/>
      <c r="L126" s="30"/>
      <c r="M126" s="30"/>
      <c r="N126" s="30"/>
      <c r="O126" s="30"/>
      <c r="P126" s="1"/>
      <c r="Q126" s="1"/>
      <c r="R126" s="2"/>
      <c r="S126" s="2"/>
      <c r="T126" s="15"/>
      <c r="U126" s="15"/>
      <c r="V126" s="15"/>
      <c r="W126" s="2"/>
      <c r="X126" s="71"/>
      <c r="Y126" s="71"/>
      <c r="Z126" s="2"/>
      <c r="AA126" s="75"/>
      <c r="AB126" s="75"/>
      <c r="AC126" s="30"/>
      <c r="AD126" s="75"/>
      <c r="AE126" s="75"/>
      <c r="AF126" s="78"/>
      <c r="AG126" s="83"/>
      <c r="AH126" s="82"/>
    </row>
    <row r="127" spans="1:34">
      <c r="A127" s="1"/>
      <c r="B127" s="1"/>
      <c r="C127" s="1"/>
      <c r="D127" s="56"/>
      <c r="E127" s="32"/>
      <c r="F127" s="32"/>
      <c r="G127" s="1"/>
      <c r="H127" s="2"/>
      <c r="I127" s="2"/>
      <c r="J127" s="2"/>
      <c r="K127" s="32"/>
      <c r="L127" s="30"/>
      <c r="M127" s="30"/>
      <c r="N127" s="30"/>
      <c r="O127" s="30"/>
      <c r="P127" s="1"/>
      <c r="Q127" s="1"/>
      <c r="R127" s="2"/>
      <c r="S127" s="2"/>
      <c r="T127" s="15"/>
      <c r="U127" s="15"/>
      <c r="V127" s="15"/>
      <c r="W127" s="2"/>
      <c r="X127" s="71"/>
      <c r="Y127" s="71"/>
      <c r="Z127" s="2"/>
      <c r="AA127" s="75"/>
      <c r="AB127" s="75"/>
      <c r="AC127" s="30"/>
      <c r="AD127" s="75"/>
      <c r="AE127" s="75"/>
      <c r="AF127" s="78"/>
      <c r="AG127" s="83"/>
      <c r="AH127" s="82"/>
    </row>
    <row r="128" spans="1:34">
      <c r="A128" s="1"/>
      <c r="B128" s="1"/>
      <c r="C128" s="1"/>
      <c r="D128" s="56"/>
      <c r="E128" s="32"/>
      <c r="F128" s="32"/>
      <c r="G128" s="1"/>
      <c r="H128" s="2"/>
      <c r="I128" s="2"/>
      <c r="J128" s="2"/>
      <c r="K128" s="32"/>
      <c r="L128" s="30"/>
      <c r="M128" s="30"/>
      <c r="N128" s="30"/>
      <c r="O128" s="30"/>
      <c r="P128" s="1"/>
      <c r="Q128" s="1"/>
      <c r="R128" s="2"/>
      <c r="S128" s="2"/>
      <c r="T128" s="15"/>
      <c r="U128" s="15"/>
      <c r="V128" s="15"/>
      <c r="W128" s="2"/>
      <c r="X128" s="71"/>
      <c r="Y128" s="71"/>
      <c r="Z128" s="2"/>
      <c r="AA128" s="75"/>
      <c r="AB128" s="75"/>
      <c r="AC128" s="30"/>
      <c r="AD128" s="75"/>
      <c r="AE128" s="75"/>
      <c r="AF128" s="78"/>
      <c r="AG128" s="83"/>
      <c r="AH128" s="82"/>
    </row>
    <row r="129" spans="1:34">
      <c r="A129" s="1"/>
      <c r="B129" s="1"/>
      <c r="C129" s="1"/>
      <c r="D129" s="56"/>
      <c r="E129" s="32"/>
      <c r="F129" s="32"/>
      <c r="G129" s="1"/>
      <c r="H129" s="2"/>
      <c r="I129" s="2"/>
      <c r="J129" s="2"/>
      <c r="K129" s="32"/>
      <c r="L129" s="30"/>
      <c r="M129" s="30"/>
      <c r="N129" s="30"/>
      <c r="O129" s="30"/>
      <c r="P129" s="1"/>
      <c r="Q129" s="1"/>
      <c r="R129" s="2"/>
      <c r="S129" s="2"/>
      <c r="T129" s="15"/>
      <c r="U129" s="15"/>
      <c r="V129" s="15"/>
      <c r="W129" s="2"/>
      <c r="X129" s="71"/>
      <c r="Y129" s="71"/>
      <c r="Z129" s="2"/>
      <c r="AA129" s="75"/>
      <c r="AB129" s="75"/>
      <c r="AC129" s="30"/>
      <c r="AD129" s="75"/>
      <c r="AE129" s="75"/>
      <c r="AF129" s="78"/>
      <c r="AG129" s="83"/>
      <c r="AH129" s="82"/>
    </row>
    <row r="130" spans="1:34">
      <c r="A130" s="1"/>
      <c r="B130" s="1"/>
      <c r="C130" s="1"/>
      <c r="D130" s="57"/>
      <c r="E130" s="32"/>
      <c r="F130" s="32"/>
      <c r="G130" s="1"/>
      <c r="H130" s="2"/>
      <c r="I130" s="2"/>
      <c r="J130" s="2"/>
      <c r="K130" s="32"/>
      <c r="L130" s="30"/>
      <c r="M130" s="30"/>
      <c r="N130" s="30"/>
      <c r="O130" s="30"/>
      <c r="P130" s="1"/>
      <c r="Q130" s="1"/>
      <c r="R130" s="2"/>
      <c r="S130" s="2"/>
      <c r="T130" s="15"/>
      <c r="U130" s="15"/>
      <c r="V130" s="15"/>
      <c r="W130" s="2"/>
      <c r="X130" s="71"/>
      <c r="Y130" s="71"/>
      <c r="Z130" s="2"/>
      <c r="AA130" s="75"/>
      <c r="AB130" s="75"/>
      <c r="AC130" s="30"/>
      <c r="AD130" s="75"/>
      <c r="AE130" s="75"/>
      <c r="AF130" s="78"/>
      <c r="AG130" s="83"/>
      <c r="AH130" s="82"/>
    </row>
    <row r="131" spans="1:34">
      <c r="A131" s="1" t="s">
        <v>79</v>
      </c>
      <c r="B131" s="1"/>
      <c r="C131" s="1"/>
      <c r="D131" s="55">
        <v>2010</v>
      </c>
      <c r="E131" s="32"/>
      <c r="F131" s="32"/>
      <c r="G131" s="1"/>
      <c r="H131" s="2"/>
      <c r="I131" s="2"/>
      <c r="J131" s="2"/>
      <c r="K131" s="32"/>
      <c r="L131" s="30"/>
      <c r="M131" s="30"/>
      <c r="N131" s="30"/>
      <c r="O131" s="30"/>
      <c r="P131" s="1"/>
      <c r="Q131" s="1"/>
      <c r="R131" s="2"/>
      <c r="S131" s="2"/>
      <c r="T131" s="15"/>
      <c r="U131" s="15"/>
      <c r="V131" s="15"/>
      <c r="W131" s="2"/>
      <c r="X131" s="71"/>
      <c r="Y131" s="71"/>
      <c r="Z131" s="2"/>
      <c r="AA131" s="75"/>
      <c r="AB131" s="75"/>
      <c r="AC131" s="30"/>
      <c r="AD131" s="75"/>
      <c r="AE131" s="75"/>
      <c r="AF131" s="78"/>
      <c r="AG131" s="83"/>
      <c r="AH131" s="82"/>
    </row>
    <row r="132" spans="1:34">
      <c r="A132" s="1"/>
      <c r="B132" s="1"/>
      <c r="C132" s="1"/>
      <c r="D132" s="56"/>
      <c r="E132" s="32"/>
      <c r="F132" s="32"/>
      <c r="G132" s="1"/>
      <c r="H132" s="2"/>
      <c r="I132" s="2"/>
      <c r="J132" s="2"/>
      <c r="K132" s="32"/>
      <c r="L132" s="30"/>
      <c r="M132" s="30"/>
      <c r="N132" s="30"/>
      <c r="O132" s="30"/>
      <c r="P132" s="1"/>
      <c r="Q132" s="1"/>
      <c r="R132" s="2"/>
      <c r="S132" s="2"/>
      <c r="T132" s="15"/>
      <c r="U132" s="15"/>
      <c r="V132" s="15"/>
      <c r="W132" s="2"/>
      <c r="X132" s="71"/>
      <c r="Y132" s="71"/>
      <c r="Z132" s="2"/>
      <c r="AA132" s="75"/>
      <c r="AB132" s="75"/>
      <c r="AC132" s="30"/>
      <c r="AD132" s="75"/>
      <c r="AE132" s="75"/>
      <c r="AF132" s="78"/>
      <c r="AG132" s="83"/>
      <c r="AH132" s="82"/>
    </row>
    <row r="133" spans="1:34">
      <c r="A133" s="1"/>
      <c r="B133" s="1"/>
      <c r="C133" s="1"/>
      <c r="D133" s="56"/>
      <c r="E133" s="32"/>
      <c r="F133" s="32"/>
      <c r="G133" s="1"/>
      <c r="H133" s="2"/>
      <c r="I133" s="2"/>
      <c r="J133" s="2"/>
      <c r="K133" s="32"/>
      <c r="L133" s="30"/>
      <c r="M133" s="30"/>
      <c r="N133" s="30"/>
      <c r="O133" s="30"/>
      <c r="P133" s="1"/>
      <c r="Q133" s="1"/>
      <c r="R133" s="2"/>
      <c r="S133" s="2"/>
      <c r="T133" s="15"/>
      <c r="U133" s="15"/>
      <c r="V133" s="15"/>
      <c r="W133" s="2"/>
      <c r="X133" s="71"/>
      <c r="Y133" s="71"/>
      <c r="Z133" s="2"/>
      <c r="AA133" s="75"/>
      <c r="AB133" s="75"/>
      <c r="AC133" s="30"/>
      <c r="AD133" s="75"/>
      <c r="AE133" s="75"/>
      <c r="AF133" s="78"/>
      <c r="AG133" s="83"/>
      <c r="AH133" s="82"/>
    </row>
    <row r="134" spans="1:34">
      <c r="A134" s="1"/>
      <c r="B134" s="1"/>
      <c r="C134" s="1"/>
      <c r="D134" s="56"/>
      <c r="E134" s="32"/>
      <c r="F134" s="32"/>
      <c r="G134" s="1"/>
      <c r="H134" s="2"/>
      <c r="I134" s="2"/>
      <c r="J134" s="2"/>
      <c r="K134" s="32"/>
      <c r="L134" s="30"/>
      <c r="M134" s="30"/>
      <c r="N134" s="30"/>
      <c r="O134" s="30"/>
      <c r="P134" s="1"/>
      <c r="Q134" s="1"/>
      <c r="R134" s="2"/>
      <c r="S134" s="2"/>
      <c r="T134" s="15"/>
      <c r="U134" s="15"/>
      <c r="V134" s="15"/>
      <c r="W134" s="2"/>
      <c r="X134" s="71"/>
      <c r="Y134" s="71"/>
      <c r="Z134" s="2"/>
      <c r="AA134" s="75"/>
      <c r="AB134" s="75"/>
      <c r="AC134" s="30"/>
      <c r="AD134" s="75"/>
      <c r="AE134" s="75"/>
      <c r="AF134" s="78"/>
      <c r="AG134" s="83"/>
      <c r="AH134" s="82"/>
    </row>
    <row r="135" spans="1:34">
      <c r="A135" s="1"/>
      <c r="B135" s="1"/>
      <c r="C135" s="1"/>
      <c r="D135" s="56"/>
      <c r="E135" s="32"/>
      <c r="F135" s="32"/>
      <c r="G135" s="1"/>
      <c r="H135" s="2"/>
      <c r="I135" s="2"/>
      <c r="J135" s="2"/>
      <c r="K135" s="32"/>
      <c r="L135" s="30"/>
      <c r="M135" s="30"/>
      <c r="N135" s="30"/>
      <c r="O135" s="30"/>
      <c r="P135" s="1"/>
      <c r="Q135" s="1"/>
      <c r="R135" s="2"/>
      <c r="S135" s="2"/>
      <c r="T135" s="15"/>
      <c r="U135" s="15"/>
      <c r="V135" s="15"/>
      <c r="W135" s="2"/>
      <c r="X135" s="71"/>
      <c r="Y135" s="71"/>
      <c r="Z135" s="2"/>
      <c r="AA135" s="75"/>
      <c r="AB135" s="75"/>
      <c r="AC135" s="30"/>
      <c r="AD135" s="75"/>
      <c r="AE135" s="75"/>
      <c r="AF135" s="78"/>
      <c r="AG135" s="83"/>
      <c r="AH135" s="82"/>
    </row>
    <row r="136" spans="1:34">
      <c r="A136" s="1"/>
      <c r="B136" s="1"/>
      <c r="C136" s="1"/>
      <c r="D136" s="56"/>
      <c r="E136" s="32"/>
      <c r="F136" s="32"/>
      <c r="G136" s="1"/>
      <c r="H136" s="2"/>
      <c r="I136" s="2"/>
      <c r="J136" s="2"/>
      <c r="K136" s="32"/>
      <c r="L136" s="30"/>
      <c r="M136" s="30"/>
      <c r="N136" s="30"/>
      <c r="O136" s="30"/>
      <c r="P136" s="1"/>
      <c r="Q136" s="1"/>
      <c r="R136" s="2"/>
      <c r="S136" s="2"/>
      <c r="T136" s="15"/>
      <c r="U136" s="15"/>
      <c r="V136" s="15"/>
      <c r="W136" s="2"/>
      <c r="X136" s="71"/>
      <c r="Y136" s="71"/>
      <c r="Z136" s="2"/>
      <c r="AA136" s="75"/>
      <c r="AB136" s="75"/>
      <c r="AC136" s="30"/>
      <c r="AD136" s="75"/>
      <c r="AE136" s="75"/>
      <c r="AF136" s="78"/>
      <c r="AG136" s="83"/>
      <c r="AH136" s="82"/>
    </row>
    <row r="137" spans="1:34">
      <c r="A137" s="1"/>
      <c r="B137" s="1"/>
      <c r="C137" s="1"/>
      <c r="D137" s="56"/>
      <c r="E137" s="32"/>
      <c r="F137" s="32"/>
      <c r="G137" s="1"/>
      <c r="H137" s="2"/>
      <c r="I137" s="2"/>
      <c r="J137" s="2"/>
      <c r="K137" s="32"/>
      <c r="L137" s="30"/>
      <c r="M137" s="30"/>
      <c r="N137" s="30"/>
      <c r="O137" s="30"/>
      <c r="P137" s="1"/>
      <c r="Q137" s="1"/>
      <c r="R137" s="2"/>
      <c r="S137" s="2"/>
      <c r="T137" s="15"/>
      <c r="U137" s="15"/>
      <c r="V137" s="15"/>
      <c r="W137" s="2"/>
      <c r="X137" s="71"/>
      <c r="Y137" s="71"/>
      <c r="Z137" s="2"/>
      <c r="AA137" s="75"/>
      <c r="AB137" s="75"/>
      <c r="AC137" s="30"/>
      <c r="AD137" s="75"/>
      <c r="AE137" s="75"/>
      <c r="AF137" s="78"/>
      <c r="AG137" s="83"/>
      <c r="AH137" s="82"/>
    </row>
    <row r="138" spans="1:34">
      <c r="A138" s="1"/>
      <c r="B138" s="1"/>
      <c r="C138" s="1"/>
      <c r="D138" s="56"/>
      <c r="E138" s="32"/>
      <c r="F138" s="32"/>
      <c r="G138" s="1"/>
      <c r="H138" s="2"/>
      <c r="I138" s="2"/>
      <c r="J138" s="2"/>
      <c r="K138" s="32"/>
      <c r="L138" s="30"/>
      <c r="M138" s="30"/>
      <c r="N138" s="30"/>
      <c r="O138" s="30"/>
      <c r="P138" s="1"/>
      <c r="Q138" s="1"/>
      <c r="R138" s="2"/>
      <c r="S138" s="2"/>
      <c r="T138" s="15"/>
      <c r="U138" s="15"/>
      <c r="V138" s="15"/>
      <c r="W138" s="2"/>
      <c r="X138" s="71"/>
      <c r="Y138" s="71"/>
      <c r="Z138" s="2"/>
      <c r="AA138" s="75"/>
      <c r="AB138" s="75"/>
      <c r="AC138" s="30"/>
      <c r="AD138" s="75"/>
      <c r="AE138" s="75"/>
      <c r="AF138" s="78"/>
      <c r="AG138" s="83"/>
      <c r="AH138" s="82"/>
    </row>
    <row r="139" spans="1:34">
      <c r="A139" s="1"/>
      <c r="B139" s="1"/>
      <c r="C139" s="1"/>
      <c r="D139" s="56"/>
      <c r="E139" s="32"/>
      <c r="F139" s="32"/>
      <c r="G139" s="1"/>
      <c r="H139" s="2"/>
      <c r="I139" s="2"/>
      <c r="J139" s="2"/>
      <c r="K139" s="32"/>
      <c r="L139" s="30"/>
      <c r="M139" s="30"/>
      <c r="N139" s="30"/>
      <c r="O139" s="30"/>
      <c r="P139" s="1"/>
      <c r="Q139" s="1"/>
      <c r="R139" s="2"/>
      <c r="S139" s="2"/>
      <c r="T139" s="15"/>
      <c r="U139" s="15"/>
      <c r="V139" s="15"/>
      <c r="W139" s="2"/>
      <c r="X139" s="71"/>
      <c r="Y139" s="71"/>
      <c r="Z139" s="2"/>
      <c r="AA139" s="75"/>
      <c r="AB139" s="75"/>
      <c r="AC139" s="30"/>
      <c r="AD139" s="75"/>
      <c r="AE139" s="75"/>
      <c r="AF139" s="78"/>
      <c r="AG139" s="83"/>
      <c r="AH139" s="82"/>
    </row>
    <row r="140" spans="1:34">
      <c r="A140" s="1"/>
      <c r="B140" s="1"/>
      <c r="C140" s="1"/>
      <c r="D140" s="57"/>
      <c r="E140" s="32"/>
      <c r="F140" s="32"/>
      <c r="G140" s="1"/>
      <c r="H140" s="2"/>
      <c r="I140" s="2"/>
      <c r="J140" s="2"/>
      <c r="K140" s="32"/>
      <c r="L140" s="30"/>
      <c r="M140" s="30"/>
      <c r="N140" s="30"/>
      <c r="O140" s="30"/>
      <c r="P140" s="1"/>
      <c r="Q140" s="1"/>
      <c r="R140" s="2"/>
      <c r="S140" s="2"/>
      <c r="T140" s="15"/>
      <c r="U140" s="15"/>
      <c r="V140" s="15"/>
      <c r="W140" s="2"/>
      <c r="X140" s="71"/>
      <c r="Y140" s="71"/>
      <c r="Z140" s="2"/>
      <c r="AA140" s="75"/>
      <c r="AB140" s="75"/>
      <c r="AC140" s="30"/>
      <c r="AD140" s="75"/>
      <c r="AE140" s="75"/>
      <c r="AF140" s="78"/>
      <c r="AG140" s="83"/>
      <c r="AH140" s="82"/>
    </row>
    <row r="141" spans="1:34">
      <c r="A141" s="1" t="s">
        <v>80</v>
      </c>
      <c r="B141" s="1"/>
      <c r="C141" s="1"/>
      <c r="D141" s="55">
        <v>1998</v>
      </c>
      <c r="E141" s="32"/>
      <c r="F141" s="32"/>
      <c r="G141" s="1"/>
      <c r="H141" s="2"/>
      <c r="I141" s="2"/>
      <c r="J141" s="2"/>
      <c r="K141" s="32"/>
      <c r="L141" s="30"/>
      <c r="M141" s="30"/>
      <c r="N141" s="30"/>
      <c r="O141" s="30"/>
      <c r="P141" s="1"/>
      <c r="Q141" s="1"/>
      <c r="R141" s="2"/>
      <c r="S141" s="2"/>
      <c r="T141" s="15"/>
      <c r="U141" s="15"/>
      <c r="V141" s="15"/>
      <c r="W141" s="2"/>
      <c r="X141" s="71"/>
      <c r="Y141" s="71"/>
      <c r="Z141" s="2"/>
      <c r="AA141" s="75"/>
      <c r="AB141" s="75"/>
      <c r="AC141" s="30"/>
      <c r="AD141" s="75"/>
      <c r="AE141" s="75"/>
      <c r="AF141" s="78"/>
      <c r="AG141" s="83"/>
      <c r="AH141" s="82"/>
    </row>
    <row r="142" spans="1:34">
      <c r="A142" s="1"/>
      <c r="B142" s="1"/>
      <c r="C142" s="1"/>
      <c r="D142" s="56"/>
      <c r="E142" s="32"/>
      <c r="F142" s="32"/>
      <c r="G142" s="1"/>
      <c r="H142" s="2"/>
      <c r="I142" s="2"/>
      <c r="J142" s="2"/>
      <c r="K142" s="32"/>
      <c r="L142" s="30"/>
      <c r="M142" s="30"/>
      <c r="N142" s="30"/>
      <c r="O142" s="30"/>
      <c r="P142" s="1"/>
      <c r="Q142" s="1"/>
      <c r="R142" s="2"/>
      <c r="S142" s="2"/>
      <c r="T142" s="15"/>
      <c r="U142" s="15"/>
      <c r="V142" s="15"/>
      <c r="W142" s="2"/>
      <c r="X142" s="71"/>
      <c r="Y142" s="71"/>
      <c r="Z142" s="2"/>
      <c r="AA142" s="75"/>
      <c r="AB142" s="75"/>
      <c r="AC142" s="30"/>
      <c r="AD142" s="75"/>
      <c r="AE142" s="75"/>
      <c r="AF142" s="78"/>
      <c r="AG142" s="83"/>
      <c r="AH142" s="82"/>
    </row>
    <row r="143" spans="1:34">
      <c r="A143" s="1"/>
      <c r="B143" s="1"/>
      <c r="C143" s="1"/>
      <c r="D143" s="56"/>
      <c r="E143" s="32"/>
      <c r="F143" s="32"/>
      <c r="G143" s="1"/>
      <c r="H143" s="2"/>
      <c r="I143" s="2"/>
      <c r="J143" s="2"/>
      <c r="K143" s="32"/>
      <c r="L143" s="30"/>
      <c r="M143" s="30"/>
      <c r="N143" s="30"/>
      <c r="O143" s="30"/>
      <c r="P143" s="1"/>
      <c r="Q143" s="1"/>
      <c r="R143" s="2"/>
      <c r="S143" s="2"/>
      <c r="T143" s="15"/>
      <c r="U143" s="15"/>
      <c r="V143" s="15"/>
      <c r="W143" s="2"/>
      <c r="X143" s="71"/>
      <c r="Y143" s="71"/>
      <c r="Z143" s="2"/>
      <c r="AA143" s="75"/>
      <c r="AB143" s="75"/>
      <c r="AC143" s="30"/>
      <c r="AD143" s="75"/>
      <c r="AE143" s="75"/>
      <c r="AF143" s="78"/>
      <c r="AG143" s="83"/>
      <c r="AH143" s="82"/>
    </row>
    <row r="144" spans="1:34">
      <c r="A144" s="1"/>
      <c r="B144" s="1"/>
      <c r="C144" s="1"/>
      <c r="D144" s="56"/>
      <c r="E144" s="32"/>
      <c r="F144" s="32"/>
      <c r="G144" s="1"/>
      <c r="H144" s="2"/>
      <c r="I144" s="2"/>
      <c r="J144" s="2"/>
      <c r="K144" s="32"/>
      <c r="L144" s="30"/>
      <c r="M144" s="30"/>
      <c r="N144" s="30"/>
      <c r="O144" s="30"/>
      <c r="P144" s="1"/>
      <c r="Q144" s="1"/>
      <c r="R144" s="2"/>
      <c r="S144" s="2"/>
      <c r="T144" s="15"/>
      <c r="U144" s="15"/>
      <c r="V144" s="15"/>
      <c r="W144" s="2"/>
      <c r="X144" s="71"/>
      <c r="Y144" s="71"/>
      <c r="Z144" s="2"/>
      <c r="AA144" s="75"/>
      <c r="AB144" s="75"/>
      <c r="AC144" s="30"/>
      <c r="AD144" s="75"/>
      <c r="AE144" s="75"/>
      <c r="AF144" s="78"/>
      <c r="AG144" s="83"/>
      <c r="AH144" s="82"/>
    </row>
    <row r="145" spans="1:34">
      <c r="A145" s="1"/>
      <c r="B145" s="1"/>
      <c r="C145" s="1"/>
      <c r="D145" s="56"/>
      <c r="E145" s="32"/>
      <c r="F145" s="32"/>
      <c r="G145" s="1"/>
      <c r="H145" s="2"/>
      <c r="I145" s="2"/>
      <c r="J145" s="2"/>
      <c r="K145" s="32"/>
      <c r="L145" s="30"/>
      <c r="M145" s="30"/>
      <c r="N145" s="30"/>
      <c r="O145" s="30"/>
      <c r="P145" s="1"/>
      <c r="Q145" s="1"/>
      <c r="R145" s="2"/>
      <c r="S145" s="2"/>
      <c r="T145" s="15"/>
      <c r="U145" s="15"/>
      <c r="V145" s="15"/>
      <c r="W145" s="2"/>
      <c r="X145" s="71"/>
      <c r="Y145" s="71"/>
      <c r="Z145" s="2"/>
      <c r="AA145" s="75"/>
      <c r="AB145" s="75"/>
      <c r="AC145" s="30"/>
      <c r="AD145" s="75"/>
      <c r="AE145" s="75"/>
      <c r="AF145" s="78"/>
      <c r="AG145" s="83"/>
      <c r="AH145" s="82"/>
    </row>
    <row r="146" spans="1:34">
      <c r="A146" s="1"/>
      <c r="B146" s="1"/>
      <c r="C146" s="1"/>
      <c r="D146" s="56"/>
      <c r="E146" s="32"/>
      <c r="F146" s="32"/>
      <c r="G146" s="1"/>
      <c r="H146" s="2"/>
      <c r="I146" s="2"/>
      <c r="J146" s="2"/>
      <c r="K146" s="32"/>
      <c r="L146" s="30"/>
      <c r="M146" s="30"/>
      <c r="N146" s="30"/>
      <c r="O146" s="30"/>
      <c r="P146" s="1"/>
      <c r="Q146" s="1"/>
      <c r="R146" s="2"/>
      <c r="S146" s="2"/>
      <c r="T146" s="15"/>
      <c r="U146" s="15"/>
      <c r="V146" s="15"/>
      <c r="W146" s="2"/>
      <c r="X146" s="71"/>
      <c r="Y146" s="71"/>
      <c r="Z146" s="2"/>
      <c r="AA146" s="75"/>
      <c r="AB146" s="75"/>
      <c r="AC146" s="30"/>
      <c r="AD146" s="75"/>
      <c r="AE146" s="75"/>
      <c r="AF146" s="78"/>
      <c r="AG146" s="83"/>
      <c r="AH146" s="82"/>
    </row>
    <row r="147" spans="1:34">
      <c r="A147" s="1"/>
      <c r="B147" s="1"/>
      <c r="C147" s="1"/>
      <c r="D147" s="56"/>
      <c r="E147" s="32"/>
      <c r="F147" s="32"/>
      <c r="G147" s="1"/>
      <c r="H147" s="2"/>
      <c r="I147" s="2"/>
      <c r="J147" s="2"/>
      <c r="K147" s="32"/>
      <c r="L147" s="30"/>
      <c r="M147" s="30"/>
      <c r="N147" s="30"/>
      <c r="O147" s="30"/>
      <c r="P147" s="1"/>
      <c r="Q147" s="1"/>
      <c r="R147" s="2"/>
      <c r="S147" s="2"/>
      <c r="T147" s="15"/>
      <c r="U147" s="15"/>
      <c r="V147" s="15"/>
      <c r="W147" s="2"/>
      <c r="X147" s="71"/>
      <c r="Y147" s="71"/>
      <c r="Z147" s="2"/>
      <c r="AA147" s="75"/>
      <c r="AB147" s="75"/>
      <c r="AC147" s="30"/>
      <c r="AD147" s="75"/>
      <c r="AE147" s="75"/>
      <c r="AF147" s="78"/>
      <c r="AG147" s="83"/>
      <c r="AH147" s="82"/>
    </row>
    <row r="148" spans="1:34">
      <c r="A148" s="1"/>
      <c r="B148" s="1"/>
      <c r="C148" s="1"/>
      <c r="D148" s="56"/>
      <c r="E148" s="32"/>
      <c r="F148" s="32"/>
      <c r="G148" s="1"/>
      <c r="H148" s="2"/>
      <c r="I148" s="2"/>
      <c r="J148" s="2"/>
      <c r="K148" s="32"/>
      <c r="L148" s="30"/>
      <c r="M148" s="30"/>
      <c r="N148" s="30"/>
      <c r="O148" s="30"/>
      <c r="P148" s="1"/>
      <c r="Q148" s="1"/>
      <c r="R148" s="2"/>
      <c r="S148" s="2"/>
      <c r="T148" s="15"/>
      <c r="U148" s="15"/>
      <c r="V148" s="15"/>
      <c r="W148" s="2"/>
      <c r="X148" s="71"/>
      <c r="Y148" s="71"/>
      <c r="Z148" s="2"/>
      <c r="AA148" s="75"/>
      <c r="AB148" s="75"/>
      <c r="AC148" s="30"/>
      <c r="AD148" s="75"/>
      <c r="AE148" s="75"/>
      <c r="AF148" s="78"/>
      <c r="AG148" s="83"/>
      <c r="AH148" s="82"/>
    </row>
    <row r="149" spans="1:34">
      <c r="A149" s="1"/>
      <c r="B149" s="1"/>
      <c r="C149" s="1"/>
      <c r="D149" s="57"/>
      <c r="E149" s="32"/>
      <c r="F149" s="32"/>
      <c r="G149" s="1"/>
      <c r="H149" s="2"/>
      <c r="I149" s="2"/>
      <c r="J149" s="2"/>
      <c r="K149" s="32"/>
      <c r="L149" s="30"/>
      <c r="M149" s="30"/>
      <c r="N149" s="30"/>
      <c r="O149" s="30"/>
      <c r="P149" s="1"/>
      <c r="Q149" s="1"/>
      <c r="R149" s="2"/>
      <c r="S149" s="2"/>
      <c r="T149" s="15"/>
      <c r="U149" s="15"/>
      <c r="V149" s="15"/>
      <c r="W149" s="2"/>
      <c r="X149" s="71"/>
      <c r="Y149" s="71"/>
      <c r="Z149" s="2"/>
      <c r="AA149" s="75"/>
      <c r="AB149" s="75"/>
      <c r="AC149" s="30"/>
      <c r="AD149" s="75"/>
      <c r="AE149" s="75"/>
      <c r="AF149" s="78"/>
      <c r="AG149" s="83"/>
      <c r="AH149" s="82"/>
    </row>
    <row r="150" spans="1:34">
      <c r="A150" s="1" t="s">
        <v>81</v>
      </c>
      <c r="B150" s="1"/>
      <c r="C150" s="1"/>
      <c r="D150" s="55"/>
      <c r="E150" s="32"/>
      <c r="F150" s="32"/>
      <c r="G150" s="1"/>
      <c r="H150" s="2"/>
      <c r="I150" s="2"/>
      <c r="J150" s="2"/>
      <c r="K150" s="32"/>
      <c r="L150" s="30"/>
      <c r="M150" s="30"/>
      <c r="N150" s="30"/>
      <c r="O150" s="30"/>
      <c r="P150" s="1"/>
      <c r="Q150" s="1"/>
      <c r="R150" s="2"/>
      <c r="S150" s="2"/>
      <c r="T150" s="15"/>
      <c r="U150" s="15"/>
      <c r="V150" s="15"/>
      <c r="W150" s="2"/>
      <c r="X150" s="71"/>
      <c r="Y150" s="71"/>
      <c r="Z150" s="2"/>
      <c r="AA150" s="75"/>
      <c r="AB150" s="75"/>
      <c r="AC150" s="30"/>
      <c r="AD150" s="75"/>
      <c r="AE150" s="75"/>
      <c r="AF150" s="78"/>
      <c r="AG150" s="83"/>
      <c r="AH150" s="82"/>
    </row>
    <row r="151" spans="1:34">
      <c r="A151" s="1"/>
      <c r="B151" s="1"/>
      <c r="C151" s="1"/>
      <c r="D151" s="56"/>
      <c r="E151" s="32"/>
      <c r="F151" s="32"/>
      <c r="G151" s="1"/>
      <c r="H151" s="2"/>
      <c r="I151" s="2"/>
      <c r="J151" s="2"/>
      <c r="K151" s="32"/>
      <c r="L151" s="30"/>
      <c r="M151" s="30"/>
      <c r="N151" s="30"/>
      <c r="O151" s="30"/>
      <c r="P151" s="1"/>
      <c r="Q151" s="1"/>
      <c r="R151" s="2"/>
      <c r="S151" s="2"/>
      <c r="T151" s="15"/>
      <c r="U151" s="15"/>
      <c r="V151" s="15"/>
      <c r="W151" s="2"/>
      <c r="X151" s="71"/>
      <c r="Y151" s="71"/>
      <c r="Z151" s="2"/>
      <c r="AA151" s="75"/>
      <c r="AB151" s="75"/>
      <c r="AC151" s="30"/>
      <c r="AD151" s="75"/>
      <c r="AE151" s="75"/>
      <c r="AF151" s="78"/>
      <c r="AG151" s="83"/>
      <c r="AH151" s="82"/>
    </row>
    <row r="152" spans="1:34">
      <c r="A152" s="1"/>
      <c r="B152" s="1"/>
      <c r="C152" s="1"/>
      <c r="D152" s="56"/>
      <c r="E152" s="32"/>
      <c r="F152" s="32"/>
      <c r="G152" s="1"/>
      <c r="H152" s="2"/>
      <c r="I152" s="2"/>
      <c r="J152" s="2"/>
      <c r="K152" s="32"/>
      <c r="L152" s="30"/>
      <c r="M152" s="30"/>
      <c r="N152" s="30"/>
      <c r="O152" s="30"/>
      <c r="P152" s="1"/>
      <c r="Q152" s="1"/>
      <c r="R152" s="2"/>
      <c r="S152" s="2"/>
      <c r="T152" s="15"/>
      <c r="U152" s="15"/>
      <c r="V152" s="15"/>
      <c r="W152" s="2"/>
      <c r="X152" s="71"/>
      <c r="Y152" s="71"/>
      <c r="Z152" s="2"/>
      <c r="AA152" s="75"/>
      <c r="AB152" s="75"/>
      <c r="AC152" s="30"/>
      <c r="AD152" s="75"/>
      <c r="AE152" s="75"/>
      <c r="AF152" s="78"/>
      <c r="AG152" s="83"/>
      <c r="AH152" s="82"/>
    </row>
    <row r="153" spans="1:34">
      <c r="A153" s="1"/>
      <c r="B153" s="1"/>
      <c r="C153" s="1"/>
      <c r="D153" s="56"/>
      <c r="E153" s="32"/>
      <c r="F153" s="32"/>
      <c r="G153" s="1"/>
      <c r="H153" s="2"/>
      <c r="I153" s="2"/>
      <c r="J153" s="2"/>
      <c r="K153" s="32"/>
      <c r="L153" s="30"/>
      <c r="M153" s="30"/>
      <c r="N153" s="30"/>
      <c r="O153" s="30"/>
      <c r="P153" s="1"/>
      <c r="Q153" s="1"/>
      <c r="R153" s="2"/>
      <c r="S153" s="2"/>
      <c r="T153" s="15"/>
      <c r="U153" s="15"/>
      <c r="V153" s="15"/>
      <c r="W153" s="2"/>
      <c r="X153" s="71"/>
      <c r="Y153" s="71"/>
      <c r="Z153" s="2"/>
      <c r="AA153" s="75"/>
      <c r="AB153" s="75"/>
      <c r="AC153" s="30"/>
      <c r="AD153" s="75"/>
      <c r="AE153" s="75"/>
      <c r="AF153" s="78"/>
      <c r="AG153" s="83"/>
      <c r="AH153" s="82"/>
    </row>
    <row r="154" spans="1:34">
      <c r="A154" s="1"/>
      <c r="B154" s="1"/>
      <c r="C154" s="1"/>
      <c r="D154" s="56"/>
      <c r="E154" s="32"/>
      <c r="F154" s="32"/>
      <c r="G154" s="1"/>
      <c r="H154" s="2"/>
      <c r="I154" s="2"/>
      <c r="J154" s="2"/>
      <c r="K154" s="32"/>
      <c r="L154" s="30"/>
      <c r="M154" s="30"/>
      <c r="N154" s="30"/>
      <c r="O154" s="30"/>
      <c r="P154" s="1"/>
      <c r="Q154" s="1"/>
      <c r="R154" s="2"/>
      <c r="S154" s="2"/>
      <c r="T154" s="15"/>
      <c r="U154" s="15"/>
      <c r="V154" s="15"/>
      <c r="W154" s="2"/>
      <c r="X154" s="71"/>
      <c r="Y154" s="71"/>
      <c r="Z154" s="2"/>
      <c r="AA154" s="75"/>
      <c r="AB154" s="75"/>
      <c r="AC154" s="30"/>
      <c r="AD154" s="75"/>
      <c r="AE154" s="75"/>
      <c r="AF154" s="78"/>
      <c r="AG154" s="83"/>
      <c r="AH154" s="82"/>
    </row>
    <row r="155" spans="1:34">
      <c r="A155" s="1"/>
      <c r="B155" s="1"/>
      <c r="C155" s="1"/>
      <c r="D155" s="56"/>
      <c r="E155" s="32"/>
      <c r="F155" s="32"/>
      <c r="G155" s="1"/>
      <c r="H155" s="2"/>
      <c r="I155" s="2"/>
      <c r="J155" s="2"/>
      <c r="K155" s="32"/>
      <c r="L155" s="30"/>
      <c r="M155" s="30"/>
      <c r="N155" s="30"/>
      <c r="O155" s="30"/>
      <c r="P155" s="1"/>
      <c r="Q155" s="1"/>
      <c r="R155" s="2"/>
      <c r="S155" s="2"/>
      <c r="T155" s="15"/>
      <c r="U155" s="15"/>
      <c r="V155" s="15"/>
      <c r="W155" s="2"/>
      <c r="X155" s="71"/>
      <c r="Y155" s="71"/>
      <c r="Z155" s="2"/>
      <c r="AA155" s="75"/>
      <c r="AB155" s="75"/>
      <c r="AC155" s="30"/>
      <c r="AD155" s="75"/>
      <c r="AE155" s="75"/>
      <c r="AF155" s="78"/>
      <c r="AG155" s="83"/>
      <c r="AH155" s="82"/>
    </row>
    <row r="156" spans="1:34">
      <c r="A156" s="1"/>
      <c r="B156" s="1"/>
      <c r="C156" s="1"/>
      <c r="D156" s="56"/>
      <c r="E156" s="32"/>
      <c r="F156" s="32"/>
      <c r="G156" s="1"/>
      <c r="H156" s="2"/>
      <c r="I156" s="2"/>
      <c r="J156" s="2"/>
      <c r="K156" s="32"/>
      <c r="L156" s="30"/>
      <c r="M156" s="30"/>
      <c r="N156" s="30"/>
      <c r="O156" s="30"/>
      <c r="P156" s="1"/>
      <c r="Q156" s="1"/>
      <c r="R156" s="2"/>
      <c r="S156" s="2"/>
      <c r="T156" s="15"/>
      <c r="U156" s="15"/>
      <c r="V156" s="15"/>
      <c r="W156" s="2"/>
      <c r="X156" s="71"/>
      <c r="Y156" s="71"/>
      <c r="Z156" s="2"/>
      <c r="AA156" s="75"/>
      <c r="AB156" s="75"/>
      <c r="AC156" s="30"/>
      <c r="AD156" s="75"/>
      <c r="AE156" s="75"/>
      <c r="AF156" s="78"/>
      <c r="AG156" s="83"/>
      <c r="AH156" s="82"/>
    </row>
    <row r="157" spans="1:34">
      <c r="A157" s="1"/>
      <c r="B157" s="1"/>
      <c r="C157" s="1"/>
      <c r="D157" s="56"/>
      <c r="E157" s="32"/>
      <c r="F157" s="32"/>
      <c r="G157" s="1"/>
      <c r="H157" s="2"/>
      <c r="I157" s="2"/>
      <c r="J157" s="2"/>
      <c r="K157" s="32"/>
      <c r="L157" s="30"/>
      <c r="M157" s="30"/>
      <c r="N157" s="30"/>
      <c r="O157" s="30"/>
      <c r="P157" s="1"/>
      <c r="Q157" s="1"/>
      <c r="R157" s="2"/>
      <c r="S157" s="2"/>
      <c r="T157" s="15"/>
      <c r="U157" s="15"/>
      <c r="V157" s="15"/>
      <c r="W157" s="2"/>
      <c r="X157" s="71"/>
      <c r="Y157" s="71"/>
      <c r="Z157" s="2"/>
      <c r="AA157" s="75"/>
      <c r="AB157" s="75"/>
      <c r="AC157" s="30"/>
      <c r="AD157" s="75"/>
      <c r="AE157" s="75"/>
      <c r="AF157" s="78"/>
      <c r="AG157" s="83"/>
      <c r="AH157" s="82"/>
    </row>
    <row r="158" spans="1:34">
      <c r="A158" s="1"/>
      <c r="B158" s="1"/>
      <c r="C158" s="1"/>
      <c r="D158" s="56"/>
      <c r="E158" s="32"/>
      <c r="F158" s="32"/>
      <c r="G158" s="1"/>
      <c r="H158" s="2"/>
      <c r="I158" s="2"/>
      <c r="J158" s="2"/>
      <c r="K158" s="32"/>
      <c r="L158" s="30"/>
      <c r="M158" s="30"/>
      <c r="N158" s="30"/>
      <c r="O158" s="30"/>
      <c r="P158" s="1"/>
      <c r="Q158" s="1"/>
      <c r="R158" s="2"/>
      <c r="S158" s="2"/>
      <c r="T158" s="15"/>
      <c r="U158" s="15"/>
      <c r="V158" s="15"/>
      <c r="W158" s="2"/>
      <c r="X158" s="71"/>
      <c r="Y158" s="71"/>
      <c r="Z158" s="2"/>
      <c r="AA158" s="75"/>
      <c r="AB158" s="75"/>
      <c r="AC158" s="30"/>
      <c r="AD158" s="75"/>
      <c r="AE158" s="75"/>
      <c r="AF158" s="78"/>
      <c r="AG158" s="83"/>
      <c r="AH158" s="82"/>
    </row>
    <row r="159" spans="1:34">
      <c r="A159" s="1"/>
      <c r="B159" s="1"/>
      <c r="C159" s="1"/>
      <c r="D159" s="57"/>
      <c r="E159" s="32"/>
      <c r="F159" s="32"/>
      <c r="G159" s="1"/>
      <c r="H159" s="2"/>
      <c r="I159" s="2"/>
      <c r="J159" s="2"/>
      <c r="K159" s="32"/>
      <c r="L159" s="30"/>
      <c r="M159" s="30"/>
      <c r="N159" s="30"/>
      <c r="O159" s="30"/>
      <c r="P159" s="1"/>
      <c r="Q159" s="1"/>
      <c r="R159" s="2"/>
      <c r="S159" s="2"/>
      <c r="T159" s="15"/>
      <c r="U159" s="15"/>
      <c r="V159" s="15"/>
      <c r="W159" s="2"/>
      <c r="X159" s="71"/>
      <c r="Y159" s="71"/>
      <c r="Z159" s="2"/>
      <c r="AA159" s="75"/>
      <c r="AB159" s="75"/>
      <c r="AC159" s="30"/>
      <c r="AD159" s="75"/>
      <c r="AE159" s="75"/>
      <c r="AF159" s="78"/>
      <c r="AG159" s="83"/>
      <c r="AH159" s="82"/>
    </row>
    <row r="160" spans="1:34">
      <c r="A160" s="1" t="s">
        <v>82</v>
      </c>
      <c r="B160" s="1"/>
      <c r="C160" s="1"/>
      <c r="D160" s="55">
        <v>2010</v>
      </c>
      <c r="E160" s="32"/>
      <c r="F160" s="32"/>
      <c r="G160" s="1"/>
      <c r="H160" s="2"/>
      <c r="I160" s="2"/>
      <c r="J160" s="2"/>
      <c r="K160" s="32"/>
      <c r="L160" s="30"/>
      <c r="M160" s="30"/>
      <c r="N160" s="30"/>
      <c r="O160" s="30"/>
      <c r="P160" s="1"/>
      <c r="Q160" s="1"/>
      <c r="R160" s="2"/>
      <c r="S160" s="2"/>
      <c r="T160" s="15"/>
      <c r="U160" s="15"/>
      <c r="V160" s="15"/>
      <c r="W160" s="2"/>
      <c r="X160" s="71"/>
      <c r="Y160" s="71"/>
      <c r="Z160" s="2"/>
      <c r="AA160" s="75"/>
      <c r="AB160" s="75"/>
      <c r="AC160" s="30"/>
      <c r="AD160" s="75"/>
      <c r="AE160" s="75"/>
      <c r="AF160" s="78"/>
      <c r="AG160" s="83"/>
      <c r="AH160" s="82"/>
    </row>
    <row r="161" spans="1:34">
      <c r="A161" s="1"/>
      <c r="B161" s="1"/>
      <c r="C161" s="1"/>
      <c r="D161" s="56"/>
      <c r="E161" s="32"/>
      <c r="F161" s="32"/>
      <c r="G161" s="1"/>
      <c r="H161" s="2"/>
      <c r="I161" s="2"/>
      <c r="J161" s="2"/>
      <c r="K161" s="32"/>
      <c r="L161" s="30"/>
      <c r="M161" s="30"/>
      <c r="N161" s="30"/>
      <c r="O161" s="30"/>
      <c r="P161" s="1"/>
      <c r="Q161" s="1"/>
      <c r="R161" s="2"/>
      <c r="S161" s="2"/>
      <c r="T161" s="15"/>
      <c r="U161" s="15"/>
      <c r="V161" s="15"/>
      <c r="W161" s="2"/>
      <c r="X161" s="71"/>
      <c r="Y161" s="71"/>
      <c r="Z161" s="2"/>
      <c r="AA161" s="75"/>
      <c r="AB161" s="75"/>
      <c r="AC161" s="30"/>
      <c r="AD161" s="75"/>
      <c r="AE161" s="75"/>
      <c r="AF161" s="78"/>
      <c r="AG161" s="83"/>
      <c r="AH161" s="82"/>
    </row>
    <row r="162" spans="1:34">
      <c r="A162" s="1"/>
      <c r="B162" s="1"/>
      <c r="C162" s="1"/>
      <c r="D162" s="56"/>
      <c r="E162" s="32"/>
      <c r="F162" s="32"/>
      <c r="G162" s="1"/>
      <c r="H162" s="2"/>
      <c r="I162" s="2"/>
      <c r="J162" s="2"/>
      <c r="K162" s="32"/>
      <c r="L162" s="30"/>
      <c r="M162" s="30"/>
      <c r="N162" s="30"/>
      <c r="O162" s="30"/>
      <c r="P162" s="1"/>
      <c r="Q162" s="1"/>
      <c r="R162" s="2"/>
      <c r="S162" s="2"/>
      <c r="T162" s="15"/>
      <c r="U162" s="15"/>
      <c r="V162" s="15"/>
      <c r="W162" s="2"/>
      <c r="X162" s="71"/>
      <c r="Y162" s="71"/>
      <c r="Z162" s="2"/>
      <c r="AA162" s="75"/>
      <c r="AB162" s="75"/>
      <c r="AC162" s="30"/>
      <c r="AD162" s="75"/>
      <c r="AE162" s="75"/>
      <c r="AF162" s="78"/>
      <c r="AG162" s="83"/>
      <c r="AH162" s="82"/>
    </row>
    <row r="163" spans="1:34">
      <c r="A163" s="1"/>
      <c r="B163" s="1"/>
      <c r="C163" s="1"/>
      <c r="D163" s="56"/>
      <c r="E163" s="32"/>
      <c r="F163" s="32"/>
      <c r="G163" s="1"/>
      <c r="H163" s="2"/>
      <c r="I163" s="2"/>
      <c r="J163" s="2"/>
      <c r="K163" s="32"/>
      <c r="L163" s="30"/>
      <c r="M163" s="30"/>
      <c r="N163" s="30"/>
      <c r="O163" s="30"/>
      <c r="P163" s="1"/>
      <c r="Q163" s="1"/>
      <c r="R163" s="2"/>
      <c r="S163" s="2"/>
      <c r="T163" s="15"/>
      <c r="U163" s="15"/>
      <c r="V163" s="15"/>
      <c r="W163" s="2"/>
      <c r="X163" s="71"/>
      <c r="Y163" s="71"/>
      <c r="Z163" s="2"/>
      <c r="AA163" s="75"/>
      <c r="AB163" s="75"/>
      <c r="AC163" s="30"/>
      <c r="AD163" s="75"/>
      <c r="AE163" s="75"/>
      <c r="AF163" s="78"/>
      <c r="AG163" s="83"/>
      <c r="AH163" s="82"/>
    </row>
    <row r="164" spans="1:34">
      <c r="A164" s="1"/>
      <c r="B164" s="1"/>
      <c r="C164" s="1"/>
      <c r="D164" s="56"/>
      <c r="E164" s="32"/>
      <c r="F164" s="32"/>
      <c r="G164" s="1"/>
      <c r="H164" s="2"/>
      <c r="I164" s="2"/>
      <c r="J164" s="2"/>
      <c r="K164" s="32"/>
      <c r="L164" s="30"/>
      <c r="M164" s="30"/>
      <c r="N164" s="30"/>
      <c r="O164" s="30"/>
      <c r="P164" s="1"/>
      <c r="Q164" s="1"/>
      <c r="R164" s="2"/>
      <c r="S164" s="2"/>
      <c r="T164" s="15"/>
      <c r="U164" s="15"/>
      <c r="V164" s="15"/>
      <c r="W164" s="2"/>
      <c r="X164" s="71"/>
      <c r="Y164" s="71"/>
      <c r="Z164" s="2"/>
      <c r="AA164" s="75"/>
      <c r="AB164" s="75"/>
      <c r="AC164" s="30"/>
      <c r="AD164" s="75"/>
      <c r="AE164" s="75"/>
      <c r="AF164" s="78"/>
      <c r="AG164" s="83"/>
      <c r="AH164" s="82"/>
    </row>
    <row r="165" spans="1:34">
      <c r="A165" s="1"/>
      <c r="B165" s="1"/>
      <c r="C165" s="1"/>
      <c r="D165" s="56"/>
      <c r="E165" s="32"/>
      <c r="F165" s="32"/>
      <c r="G165" s="1"/>
      <c r="H165" s="2"/>
      <c r="I165" s="2"/>
      <c r="J165" s="2"/>
      <c r="K165" s="32"/>
      <c r="L165" s="30"/>
      <c r="M165" s="30"/>
      <c r="N165" s="30"/>
      <c r="O165" s="30"/>
      <c r="P165" s="1"/>
      <c r="Q165" s="1"/>
      <c r="R165" s="2"/>
      <c r="S165" s="2"/>
      <c r="T165" s="15"/>
      <c r="U165" s="15"/>
      <c r="V165" s="15"/>
      <c r="W165" s="2"/>
      <c r="X165" s="71"/>
      <c r="Y165" s="71"/>
      <c r="Z165" s="2"/>
      <c r="AA165" s="75"/>
      <c r="AB165" s="75"/>
      <c r="AC165" s="30"/>
      <c r="AD165" s="75"/>
      <c r="AE165" s="75"/>
      <c r="AF165" s="78"/>
      <c r="AG165" s="83"/>
      <c r="AH165" s="82"/>
    </row>
    <row r="166" spans="1:34">
      <c r="A166" s="1"/>
      <c r="B166" s="1"/>
      <c r="C166" s="1"/>
      <c r="D166" s="56"/>
      <c r="E166" s="32"/>
      <c r="F166" s="32"/>
      <c r="G166" s="1"/>
      <c r="H166" s="2"/>
      <c r="I166" s="2"/>
      <c r="J166" s="2"/>
      <c r="K166" s="32"/>
      <c r="L166" s="30"/>
      <c r="M166" s="30"/>
      <c r="N166" s="30"/>
      <c r="O166" s="30"/>
      <c r="P166" s="1"/>
      <c r="Q166" s="1"/>
      <c r="R166" s="2"/>
      <c r="S166" s="2"/>
      <c r="T166" s="15"/>
      <c r="U166" s="15"/>
      <c r="V166" s="15"/>
      <c r="W166" s="2"/>
      <c r="X166" s="71"/>
      <c r="Y166" s="71"/>
      <c r="Z166" s="2"/>
      <c r="AA166" s="75"/>
      <c r="AB166" s="75"/>
      <c r="AC166" s="30"/>
      <c r="AD166" s="75"/>
      <c r="AE166" s="75"/>
      <c r="AF166" s="78"/>
      <c r="AG166" s="83"/>
      <c r="AH166" s="82"/>
    </row>
    <row r="167" spans="1:34">
      <c r="A167" s="1"/>
      <c r="B167" s="1"/>
      <c r="C167" s="1"/>
      <c r="D167" s="57"/>
      <c r="E167" s="32"/>
      <c r="F167" s="32"/>
      <c r="G167" s="1"/>
      <c r="H167" s="2"/>
      <c r="I167" s="2"/>
      <c r="J167" s="2"/>
      <c r="K167" s="32"/>
      <c r="L167" s="30"/>
      <c r="M167" s="30"/>
      <c r="N167" s="30"/>
      <c r="O167" s="30"/>
      <c r="P167" s="1"/>
      <c r="Q167" s="1"/>
      <c r="R167" s="2"/>
      <c r="S167" s="2"/>
      <c r="T167" s="15"/>
      <c r="U167" s="15"/>
      <c r="V167" s="15"/>
      <c r="W167" s="2"/>
      <c r="X167" s="71"/>
      <c r="Y167" s="71"/>
      <c r="Z167" s="2"/>
      <c r="AA167" s="75"/>
      <c r="AB167" s="75"/>
      <c r="AC167" s="30"/>
      <c r="AD167" s="75"/>
      <c r="AE167" s="75"/>
      <c r="AF167" s="78"/>
      <c r="AG167" s="83"/>
      <c r="AH167" s="82"/>
    </row>
    <row r="168" spans="1:34">
      <c r="A168" s="1" t="s">
        <v>83</v>
      </c>
      <c r="B168" s="1"/>
      <c r="C168" s="1"/>
      <c r="D168" s="55">
        <v>2000</v>
      </c>
      <c r="E168" s="32"/>
      <c r="F168" s="32"/>
      <c r="G168" s="1"/>
      <c r="H168" s="2"/>
      <c r="I168" s="2"/>
      <c r="J168" s="2"/>
      <c r="K168" s="32"/>
      <c r="L168" s="30"/>
      <c r="M168" s="30"/>
      <c r="N168" s="30"/>
      <c r="O168" s="30"/>
      <c r="P168" s="1"/>
      <c r="Q168" s="1"/>
      <c r="R168" s="2"/>
      <c r="S168" s="2"/>
      <c r="T168" s="15"/>
      <c r="U168" s="15"/>
      <c r="V168" s="15"/>
      <c r="W168" s="2"/>
      <c r="X168" s="71"/>
      <c r="Y168" s="71"/>
      <c r="Z168" s="2"/>
      <c r="AA168" s="75"/>
      <c r="AB168" s="75"/>
      <c r="AC168" s="30"/>
      <c r="AD168" s="75"/>
      <c r="AE168" s="75"/>
      <c r="AF168" s="78"/>
      <c r="AG168" s="83"/>
      <c r="AH168" s="82"/>
    </row>
    <row r="169" spans="1:34">
      <c r="A169" s="1"/>
      <c r="B169" s="1"/>
      <c r="C169" s="1"/>
      <c r="D169" s="56"/>
      <c r="E169" s="32"/>
      <c r="F169" s="32"/>
      <c r="G169" s="1"/>
      <c r="H169" s="2"/>
      <c r="I169" s="2"/>
      <c r="J169" s="2"/>
      <c r="K169" s="32"/>
      <c r="L169" s="30"/>
      <c r="M169" s="30"/>
      <c r="N169" s="30"/>
      <c r="O169" s="30"/>
      <c r="P169" s="1"/>
      <c r="Q169" s="1"/>
      <c r="R169" s="2"/>
      <c r="S169" s="2"/>
      <c r="T169" s="15"/>
      <c r="U169" s="15"/>
      <c r="V169" s="15"/>
      <c r="W169" s="2"/>
      <c r="X169" s="71"/>
      <c r="Y169" s="71"/>
      <c r="Z169" s="2"/>
      <c r="AA169" s="75"/>
      <c r="AB169" s="75"/>
      <c r="AC169" s="30"/>
      <c r="AD169" s="75"/>
      <c r="AE169" s="75"/>
      <c r="AF169" s="78"/>
      <c r="AG169" s="83"/>
      <c r="AH169" s="82"/>
    </row>
    <row r="170" spans="1:34">
      <c r="A170" s="1"/>
      <c r="B170" s="1"/>
      <c r="C170" s="1"/>
      <c r="D170" s="56"/>
      <c r="E170" s="32"/>
      <c r="F170" s="32"/>
      <c r="G170" s="1"/>
      <c r="H170" s="2"/>
      <c r="I170" s="2"/>
      <c r="J170" s="2"/>
      <c r="K170" s="32"/>
      <c r="L170" s="30"/>
      <c r="M170" s="30"/>
      <c r="N170" s="30"/>
      <c r="O170" s="30"/>
      <c r="P170" s="1"/>
      <c r="Q170" s="1"/>
      <c r="R170" s="2"/>
      <c r="S170" s="2"/>
      <c r="T170" s="15"/>
      <c r="U170" s="15"/>
      <c r="V170" s="15"/>
      <c r="W170" s="2"/>
      <c r="X170" s="71"/>
      <c r="Y170" s="71"/>
      <c r="Z170" s="2"/>
      <c r="AA170" s="75"/>
      <c r="AB170" s="75"/>
      <c r="AC170" s="30"/>
      <c r="AD170" s="75"/>
      <c r="AE170" s="75"/>
      <c r="AF170" s="78"/>
      <c r="AG170" s="83"/>
      <c r="AH170" s="82"/>
    </row>
    <row r="171" spans="1:34">
      <c r="A171" s="1"/>
      <c r="B171" s="1"/>
      <c r="C171" s="1"/>
      <c r="D171" s="56"/>
      <c r="E171" s="32"/>
      <c r="F171" s="32"/>
      <c r="G171" s="1"/>
      <c r="H171" s="2"/>
      <c r="I171" s="2"/>
      <c r="J171" s="2"/>
      <c r="K171" s="32"/>
      <c r="L171" s="30"/>
      <c r="M171" s="30"/>
      <c r="N171" s="30"/>
      <c r="O171" s="30"/>
      <c r="P171" s="1"/>
      <c r="Q171" s="1"/>
      <c r="R171" s="2"/>
      <c r="S171" s="2"/>
      <c r="T171" s="15"/>
      <c r="U171" s="15"/>
      <c r="V171" s="15"/>
      <c r="W171" s="2"/>
      <c r="X171" s="71"/>
      <c r="Y171" s="71"/>
      <c r="Z171" s="2"/>
      <c r="AA171" s="75"/>
      <c r="AB171" s="75"/>
      <c r="AC171" s="30"/>
      <c r="AD171" s="75"/>
      <c r="AE171" s="75"/>
      <c r="AF171" s="78"/>
      <c r="AG171" s="83"/>
      <c r="AH171" s="82"/>
    </row>
    <row r="172" spans="1:34">
      <c r="A172" s="1"/>
      <c r="B172" s="1"/>
      <c r="C172" s="1"/>
      <c r="D172" s="56"/>
      <c r="E172" s="32"/>
      <c r="F172" s="32"/>
      <c r="G172" s="1"/>
      <c r="H172" s="2"/>
      <c r="I172" s="2"/>
      <c r="J172" s="2"/>
      <c r="K172" s="32"/>
      <c r="L172" s="30"/>
      <c r="M172" s="30"/>
      <c r="N172" s="30"/>
      <c r="O172" s="30"/>
      <c r="P172" s="1"/>
      <c r="Q172" s="1"/>
      <c r="R172" s="2"/>
      <c r="S172" s="2"/>
      <c r="T172" s="15"/>
      <c r="U172" s="15"/>
      <c r="V172" s="15"/>
      <c r="W172" s="2"/>
      <c r="X172" s="71"/>
      <c r="Y172" s="71"/>
      <c r="Z172" s="2"/>
      <c r="AA172" s="75"/>
      <c r="AB172" s="75"/>
      <c r="AC172" s="30"/>
      <c r="AD172" s="75"/>
      <c r="AE172" s="75"/>
      <c r="AF172" s="78"/>
      <c r="AG172" s="83"/>
      <c r="AH172" s="82"/>
    </row>
    <row r="173" spans="1:34">
      <c r="A173" s="1"/>
      <c r="B173" s="1"/>
      <c r="C173" s="1"/>
      <c r="D173" s="56"/>
      <c r="E173" s="32"/>
      <c r="F173" s="32"/>
      <c r="G173" s="1"/>
      <c r="H173" s="2"/>
      <c r="I173" s="2"/>
      <c r="J173" s="2"/>
      <c r="K173" s="32"/>
      <c r="L173" s="30"/>
      <c r="M173" s="30"/>
      <c r="N173" s="30"/>
      <c r="O173" s="30"/>
      <c r="P173" s="1"/>
      <c r="Q173" s="1"/>
      <c r="R173" s="2"/>
      <c r="S173" s="2"/>
      <c r="T173" s="15"/>
      <c r="U173" s="15"/>
      <c r="V173" s="15"/>
      <c r="W173" s="2"/>
      <c r="X173" s="71"/>
      <c r="Y173" s="71"/>
      <c r="Z173" s="2"/>
      <c r="AA173" s="75"/>
      <c r="AB173" s="75"/>
      <c r="AC173" s="30"/>
      <c r="AD173" s="75"/>
      <c r="AE173" s="75"/>
      <c r="AF173" s="78"/>
      <c r="AG173" s="83"/>
      <c r="AH173" s="82"/>
    </row>
    <row r="174" spans="1:34">
      <c r="A174" s="1"/>
      <c r="B174" s="1"/>
      <c r="C174" s="1"/>
      <c r="D174" s="56"/>
      <c r="E174" s="32"/>
      <c r="F174" s="32"/>
      <c r="G174" s="1"/>
      <c r="H174" s="2"/>
      <c r="I174" s="2"/>
      <c r="J174" s="2"/>
      <c r="K174" s="32"/>
      <c r="L174" s="30"/>
      <c r="M174" s="30"/>
      <c r="N174" s="30"/>
      <c r="O174" s="30"/>
      <c r="P174" s="1"/>
      <c r="Q174" s="1"/>
      <c r="R174" s="2"/>
      <c r="S174" s="2"/>
      <c r="T174" s="15"/>
      <c r="U174" s="15"/>
      <c r="V174" s="15"/>
      <c r="W174" s="2"/>
      <c r="X174" s="71"/>
      <c r="Y174" s="71"/>
      <c r="Z174" s="2"/>
      <c r="AA174" s="75"/>
      <c r="AB174" s="75"/>
      <c r="AC174" s="30"/>
      <c r="AD174" s="75"/>
      <c r="AE174" s="75"/>
      <c r="AF174" s="78"/>
      <c r="AG174" s="83"/>
      <c r="AH174" s="82"/>
    </row>
    <row r="175" spans="1:34">
      <c r="A175" s="1"/>
      <c r="B175" s="1"/>
      <c r="C175" s="1"/>
      <c r="D175" s="56"/>
      <c r="E175" s="32"/>
      <c r="F175" s="32"/>
      <c r="G175" s="1"/>
      <c r="H175" s="2"/>
      <c r="I175" s="2"/>
      <c r="J175" s="2"/>
      <c r="K175" s="32"/>
      <c r="L175" s="30"/>
      <c r="M175" s="30"/>
      <c r="N175" s="30"/>
      <c r="O175" s="30"/>
      <c r="P175" s="1"/>
      <c r="Q175" s="1"/>
      <c r="R175" s="2"/>
      <c r="S175" s="2"/>
      <c r="T175" s="15"/>
      <c r="U175" s="15"/>
      <c r="V175" s="15"/>
      <c r="W175" s="2"/>
      <c r="X175" s="71"/>
      <c r="Y175" s="71"/>
      <c r="Z175" s="2"/>
      <c r="AA175" s="75"/>
      <c r="AB175" s="75"/>
      <c r="AC175" s="30"/>
      <c r="AD175" s="75"/>
      <c r="AE175" s="75"/>
      <c r="AF175" s="78"/>
      <c r="AG175" s="83"/>
      <c r="AH175" s="82"/>
    </row>
    <row r="176" spans="1:34">
      <c r="A176" s="1"/>
      <c r="B176" s="1"/>
      <c r="C176" s="1"/>
      <c r="D176" s="57"/>
      <c r="E176" s="32"/>
      <c r="F176" s="32"/>
      <c r="G176" s="1"/>
      <c r="H176" s="2"/>
      <c r="I176" s="2"/>
      <c r="J176" s="2"/>
      <c r="K176" s="32"/>
      <c r="L176" s="30"/>
      <c r="M176" s="30"/>
      <c r="N176" s="30"/>
      <c r="O176" s="30"/>
      <c r="P176" s="1"/>
      <c r="Q176" s="1"/>
      <c r="R176" s="2"/>
      <c r="S176" s="2"/>
      <c r="T176" s="15"/>
      <c r="U176" s="15"/>
      <c r="V176" s="15"/>
      <c r="W176" s="2"/>
      <c r="X176" s="71"/>
      <c r="Y176" s="71"/>
      <c r="Z176" s="2"/>
      <c r="AA176" s="75"/>
      <c r="AB176" s="75"/>
      <c r="AC176" s="30"/>
      <c r="AD176" s="75"/>
      <c r="AE176" s="75"/>
      <c r="AF176" s="78"/>
      <c r="AG176" s="83"/>
      <c r="AH176" s="82"/>
    </row>
    <row r="177" spans="1:34">
      <c r="A177" s="55" t="s">
        <v>84</v>
      </c>
      <c r="B177" s="1"/>
      <c r="C177" s="1"/>
      <c r="D177" s="55">
        <v>2012</v>
      </c>
      <c r="E177" s="32"/>
      <c r="F177" s="32"/>
      <c r="G177" s="1"/>
      <c r="H177" s="2"/>
      <c r="I177" s="2"/>
      <c r="J177" s="2"/>
      <c r="K177" s="32"/>
      <c r="L177" s="30"/>
      <c r="M177" s="30"/>
      <c r="N177" s="30"/>
      <c r="O177" s="30"/>
      <c r="P177" s="1"/>
      <c r="Q177" s="1"/>
      <c r="R177" s="2"/>
      <c r="S177" s="2"/>
      <c r="T177" s="15"/>
      <c r="U177" s="15"/>
      <c r="V177" s="15"/>
      <c r="W177" s="2"/>
      <c r="X177" s="71"/>
      <c r="Y177" s="71"/>
      <c r="Z177" s="2"/>
      <c r="AA177" s="75"/>
      <c r="AB177" s="75"/>
      <c r="AC177" s="30"/>
      <c r="AD177" s="75"/>
      <c r="AE177" s="75"/>
      <c r="AF177" s="78"/>
      <c r="AG177" s="83"/>
      <c r="AH177" s="82"/>
    </row>
    <row r="178" spans="1:34">
      <c r="A178" s="56"/>
      <c r="B178" s="1"/>
      <c r="C178" s="1"/>
      <c r="D178" s="56"/>
      <c r="E178" s="32"/>
      <c r="F178" s="32"/>
      <c r="G178" s="1"/>
      <c r="H178" s="2"/>
      <c r="I178" s="2"/>
      <c r="J178" s="2"/>
      <c r="K178" s="32"/>
      <c r="L178" s="30"/>
      <c r="M178" s="30"/>
      <c r="N178" s="30"/>
      <c r="O178" s="30"/>
      <c r="P178" s="1"/>
      <c r="Q178" s="1"/>
      <c r="R178" s="2"/>
      <c r="S178" s="2"/>
      <c r="T178" s="15"/>
      <c r="U178" s="15"/>
      <c r="V178" s="15"/>
      <c r="W178" s="2"/>
      <c r="X178" s="71"/>
      <c r="Y178" s="71"/>
      <c r="Z178" s="2"/>
      <c r="AA178" s="75"/>
      <c r="AB178" s="75"/>
      <c r="AC178" s="30"/>
      <c r="AD178" s="75"/>
      <c r="AE178" s="75"/>
      <c r="AF178" s="78"/>
      <c r="AG178" s="83"/>
      <c r="AH178" s="82"/>
    </row>
    <row r="179" spans="1:34">
      <c r="A179" s="56"/>
      <c r="B179" s="1"/>
      <c r="C179" s="1"/>
      <c r="D179" s="56"/>
      <c r="E179" s="32"/>
      <c r="F179" s="32"/>
      <c r="G179" s="1"/>
      <c r="H179" s="2"/>
      <c r="I179" s="2"/>
      <c r="J179" s="2"/>
      <c r="K179" s="32"/>
      <c r="L179" s="30"/>
      <c r="M179" s="30"/>
      <c r="N179" s="30"/>
      <c r="O179" s="30"/>
      <c r="P179" s="1"/>
      <c r="Q179" s="1"/>
      <c r="R179" s="2"/>
      <c r="S179" s="2"/>
      <c r="T179" s="15"/>
      <c r="U179" s="15"/>
      <c r="V179" s="15"/>
      <c r="W179" s="2"/>
      <c r="X179" s="71"/>
      <c r="Y179" s="71"/>
      <c r="Z179" s="2"/>
      <c r="AA179" s="75"/>
      <c r="AB179" s="75"/>
      <c r="AC179" s="30"/>
      <c r="AD179" s="75"/>
      <c r="AE179" s="75"/>
      <c r="AF179" s="78"/>
      <c r="AG179" s="83"/>
      <c r="AH179" s="82"/>
    </row>
    <row r="180" spans="1:34">
      <c r="A180" s="56"/>
      <c r="B180" s="1"/>
      <c r="C180" s="1"/>
      <c r="D180" s="56"/>
      <c r="E180" s="32"/>
      <c r="F180" s="32"/>
      <c r="G180" s="1"/>
      <c r="H180" s="2"/>
      <c r="I180" s="2"/>
      <c r="J180" s="2"/>
      <c r="K180" s="32"/>
      <c r="L180" s="30"/>
      <c r="M180" s="30"/>
      <c r="N180" s="30"/>
      <c r="O180" s="30"/>
      <c r="P180" s="1"/>
      <c r="Q180" s="1"/>
      <c r="R180" s="2"/>
      <c r="S180" s="2"/>
      <c r="T180" s="15"/>
      <c r="U180" s="15"/>
      <c r="V180" s="15"/>
      <c r="W180" s="2"/>
      <c r="X180" s="71"/>
      <c r="Y180" s="71"/>
      <c r="Z180" s="2"/>
      <c r="AA180" s="75"/>
      <c r="AB180" s="75"/>
      <c r="AC180" s="30"/>
      <c r="AD180" s="75"/>
      <c r="AE180" s="75"/>
      <c r="AF180" s="78"/>
      <c r="AG180" s="83"/>
      <c r="AH180" s="82"/>
    </row>
    <row r="181" spans="1:34">
      <c r="A181" s="56"/>
      <c r="B181" s="1"/>
      <c r="C181" s="1"/>
      <c r="D181" s="56"/>
      <c r="E181" s="32"/>
      <c r="F181" s="32"/>
      <c r="G181" s="1"/>
      <c r="H181" s="2"/>
      <c r="I181" s="2"/>
      <c r="J181" s="2"/>
      <c r="K181" s="32"/>
      <c r="L181" s="30"/>
      <c r="M181" s="30"/>
      <c r="N181" s="30"/>
      <c r="O181" s="30"/>
      <c r="P181" s="1"/>
      <c r="Q181" s="1"/>
      <c r="R181" s="2"/>
      <c r="S181" s="2"/>
      <c r="T181" s="15"/>
      <c r="U181" s="15"/>
      <c r="V181" s="15"/>
      <c r="W181" s="2"/>
      <c r="X181" s="71"/>
      <c r="Y181" s="71"/>
      <c r="Z181" s="2"/>
      <c r="AA181" s="75"/>
      <c r="AB181" s="75"/>
      <c r="AC181" s="30"/>
      <c r="AD181" s="75"/>
      <c r="AE181" s="75"/>
      <c r="AF181" s="78"/>
      <c r="AG181" s="83"/>
      <c r="AH181" s="82"/>
    </row>
    <row r="182" spans="1:34">
      <c r="A182" s="56"/>
      <c r="B182" s="1"/>
      <c r="C182" s="1"/>
      <c r="D182" s="56"/>
      <c r="E182" s="32"/>
      <c r="F182" s="32"/>
      <c r="G182" s="1"/>
      <c r="H182" s="2"/>
      <c r="I182" s="2"/>
      <c r="J182" s="2"/>
      <c r="K182" s="32"/>
      <c r="L182" s="30"/>
      <c r="M182" s="30"/>
      <c r="N182" s="30"/>
      <c r="O182" s="30"/>
      <c r="P182" s="1"/>
      <c r="Q182" s="1"/>
      <c r="R182" s="2"/>
      <c r="S182" s="2"/>
      <c r="T182" s="15"/>
      <c r="U182" s="15"/>
      <c r="V182" s="15"/>
      <c r="W182" s="2"/>
      <c r="X182" s="71"/>
      <c r="Y182" s="71"/>
      <c r="Z182" s="2"/>
      <c r="AA182" s="75"/>
      <c r="AB182" s="75"/>
      <c r="AC182" s="30"/>
      <c r="AD182" s="75"/>
      <c r="AE182" s="75"/>
      <c r="AF182" s="78"/>
      <c r="AG182" s="83"/>
      <c r="AH182" s="82"/>
    </row>
    <row r="183" spans="1:34">
      <c r="A183" s="56"/>
      <c r="B183" s="1"/>
      <c r="C183" s="1"/>
      <c r="D183" s="56"/>
      <c r="E183" s="32"/>
      <c r="F183" s="32"/>
      <c r="G183" s="1"/>
      <c r="H183" s="2"/>
      <c r="I183" s="2"/>
      <c r="J183" s="2"/>
      <c r="K183" s="32"/>
      <c r="L183" s="30"/>
      <c r="M183" s="30"/>
      <c r="N183" s="30"/>
      <c r="O183" s="30"/>
      <c r="P183" s="1"/>
      <c r="Q183" s="1"/>
      <c r="R183" s="2"/>
      <c r="S183" s="2"/>
      <c r="T183" s="15"/>
      <c r="U183" s="15"/>
      <c r="V183" s="15"/>
      <c r="W183" s="2"/>
      <c r="X183" s="71"/>
      <c r="Y183" s="71"/>
      <c r="Z183" s="2"/>
      <c r="AA183" s="75"/>
      <c r="AB183" s="75"/>
      <c r="AC183" s="30"/>
      <c r="AD183" s="75"/>
      <c r="AE183" s="75"/>
      <c r="AF183" s="78"/>
      <c r="AG183" s="83"/>
      <c r="AH183" s="82"/>
    </row>
    <row r="184" spans="1:34">
      <c r="A184" s="56"/>
      <c r="B184" s="1"/>
      <c r="C184" s="1"/>
      <c r="D184" s="56"/>
      <c r="E184" s="32"/>
      <c r="F184" s="32"/>
      <c r="G184" s="1"/>
      <c r="H184" s="2"/>
      <c r="I184" s="2"/>
      <c r="J184" s="2"/>
      <c r="K184" s="32"/>
      <c r="L184" s="30"/>
      <c r="M184" s="30"/>
      <c r="N184" s="30"/>
      <c r="O184" s="30"/>
      <c r="P184" s="1"/>
      <c r="Q184" s="1"/>
      <c r="R184" s="2"/>
      <c r="S184" s="2"/>
      <c r="T184" s="15"/>
      <c r="U184" s="15"/>
      <c r="V184" s="15"/>
      <c r="W184" s="2"/>
      <c r="X184" s="71"/>
      <c r="Y184" s="71"/>
      <c r="Z184" s="2"/>
      <c r="AA184" s="75"/>
      <c r="AB184" s="75"/>
      <c r="AC184" s="30"/>
      <c r="AD184" s="75"/>
      <c r="AE184" s="75"/>
      <c r="AF184" s="78"/>
      <c r="AG184" s="83"/>
      <c r="AH184" s="82"/>
    </row>
    <row r="185" spans="1:34">
      <c r="A185" s="56"/>
      <c r="B185" s="1"/>
      <c r="C185" s="1"/>
      <c r="D185" s="56"/>
      <c r="E185" s="32"/>
      <c r="F185" s="32"/>
      <c r="G185" s="1"/>
      <c r="H185" s="2"/>
      <c r="I185" s="2"/>
      <c r="J185" s="2"/>
      <c r="K185" s="32"/>
      <c r="L185" s="30"/>
      <c r="M185" s="30"/>
      <c r="N185" s="30"/>
      <c r="O185" s="30"/>
      <c r="P185" s="1"/>
      <c r="Q185" s="1"/>
      <c r="R185" s="2"/>
      <c r="S185" s="2"/>
      <c r="T185" s="15"/>
      <c r="U185" s="15"/>
      <c r="V185" s="15"/>
      <c r="W185" s="2"/>
      <c r="X185" s="71"/>
      <c r="Y185" s="71"/>
      <c r="Z185" s="2"/>
      <c r="AA185" s="75"/>
      <c r="AB185" s="75"/>
      <c r="AC185" s="30"/>
      <c r="AD185" s="75"/>
      <c r="AE185" s="75"/>
      <c r="AF185" s="78"/>
      <c r="AG185" s="83"/>
      <c r="AH185" s="82"/>
    </row>
    <row r="186" spans="1:34">
      <c r="A186" s="57"/>
      <c r="B186" s="1"/>
      <c r="C186" s="1"/>
      <c r="D186" s="57"/>
      <c r="E186" s="32"/>
      <c r="F186" s="32"/>
      <c r="G186" s="1"/>
      <c r="H186" s="2"/>
      <c r="I186" s="2"/>
      <c r="J186" s="2"/>
      <c r="K186" s="32"/>
      <c r="L186" s="30"/>
      <c r="M186" s="30"/>
      <c r="N186" s="30"/>
      <c r="O186" s="30"/>
      <c r="P186" s="1"/>
      <c r="Q186" s="1"/>
      <c r="R186" s="2"/>
      <c r="S186" s="2"/>
      <c r="T186" s="15"/>
      <c r="U186" s="15"/>
      <c r="V186" s="15"/>
      <c r="W186" s="2"/>
      <c r="X186" s="71"/>
      <c r="Y186" s="71"/>
      <c r="Z186" s="2"/>
      <c r="AA186" s="75"/>
      <c r="AB186" s="75"/>
      <c r="AC186" s="30"/>
      <c r="AD186" s="75"/>
      <c r="AE186" s="75"/>
      <c r="AF186" s="78"/>
      <c r="AG186" s="83"/>
      <c r="AH186" s="82"/>
    </row>
    <row r="187" spans="1:34">
      <c r="A187" s="1" t="s">
        <v>85</v>
      </c>
      <c r="B187" s="1"/>
      <c r="C187" s="1"/>
      <c r="D187" s="1"/>
      <c r="E187" s="32"/>
      <c r="F187" s="32"/>
      <c r="G187" s="1"/>
      <c r="H187" s="2"/>
      <c r="I187" s="2"/>
      <c r="J187" s="2"/>
      <c r="K187" s="32"/>
      <c r="L187" s="30"/>
      <c r="M187" s="30"/>
      <c r="N187" s="30"/>
      <c r="O187" s="30"/>
      <c r="P187" s="1"/>
      <c r="Q187" s="1"/>
      <c r="R187" s="2"/>
      <c r="S187" s="2"/>
      <c r="T187" s="15"/>
      <c r="U187" s="15"/>
      <c r="V187" s="15"/>
      <c r="W187" s="2"/>
      <c r="X187" s="71"/>
      <c r="Y187" s="71"/>
      <c r="Z187" s="2"/>
      <c r="AA187" s="75"/>
      <c r="AB187" s="75"/>
      <c r="AC187" s="30"/>
      <c r="AD187" s="75"/>
      <c r="AE187" s="75"/>
      <c r="AF187" s="78"/>
      <c r="AG187" s="83"/>
      <c r="AH187" s="82"/>
    </row>
    <row r="188" spans="1:34">
      <c r="A188" s="1"/>
      <c r="B188" s="1"/>
      <c r="C188" s="1"/>
      <c r="D188" s="1"/>
      <c r="E188" s="32"/>
      <c r="F188" s="32"/>
      <c r="G188" s="1"/>
      <c r="H188" s="2"/>
      <c r="I188" s="2"/>
      <c r="J188" s="2"/>
      <c r="K188" s="32"/>
      <c r="L188" s="30"/>
      <c r="M188" s="30"/>
      <c r="N188" s="30"/>
      <c r="O188" s="30"/>
      <c r="P188" s="1"/>
      <c r="Q188" s="1"/>
      <c r="R188" s="2"/>
      <c r="S188" s="2"/>
      <c r="T188" s="15"/>
      <c r="U188" s="15"/>
      <c r="V188" s="15"/>
      <c r="W188" s="2"/>
      <c r="X188" s="71"/>
      <c r="Y188" s="71"/>
      <c r="Z188" s="2"/>
      <c r="AA188" s="75"/>
      <c r="AB188" s="75"/>
      <c r="AC188" s="30"/>
      <c r="AD188" s="75"/>
      <c r="AE188" s="75"/>
      <c r="AF188" s="78"/>
      <c r="AG188" s="83"/>
      <c r="AH188" s="82"/>
    </row>
    <row r="189" spans="1:34">
      <c r="A189" s="1"/>
      <c r="B189" s="1"/>
      <c r="C189" s="1"/>
      <c r="D189" s="1"/>
      <c r="E189" s="32"/>
      <c r="F189" s="32"/>
      <c r="G189" s="1"/>
      <c r="H189" s="2"/>
      <c r="I189" s="2"/>
      <c r="J189" s="2"/>
      <c r="K189" s="32"/>
      <c r="L189" s="30"/>
      <c r="M189" s="30"/>
      <c r="N189" s="30"/>
      <c r="O189" s="30"/>
      <c r="P189" s="1"/>
      <c r="Q189" s="1"/>
      <c r="R189" s="2"/>
      <c r="S189" s="2"/>
      <c r="T189" s="15"/>
      <c r="U189" s="15"/>
      <c r="V189" s="15"/>
      <c r="W189" s="2"/>
      <c r="X189" s="71"/>
      <c r="Y189" s="71"/>
      <c r="Z189" s="2"/>
      <c r="AA189" s="75"/>
      <c r="AB189" s="75"/>
      <c r="AC189" s="30"/>
      <c r="AD189" s="75"/>
      <c r="AE189" s="75"/>
      <c r="AF189" s="78"/>
      <c r="AG189" s="83"/>
      <c r="AH189" s="82"/>
    </row>
    <row r="190" spans="1:34">
      <c r="A190" s="1"/>
      <c r="B190" s="1"/>
      <c r="C190" s="1"/>
      <c r="D190" s="1"/>
      <c r="E190" s="32"/>
      <c r="F190" s="32"/>
      <c r="G190" s="1"/>
      <c r="H190" s="2"/>
      <c r="I190" s="2"/>
      <c r="J190" s="2"/>
      <c r="K190" s="32"/>
      <c r="L190" s="30"/>
      <c r="M190" s="30"/>
      <c r="N190" s="30"/>
      <c r="O190" s="30"/>
      <c r="P190" s="1"/>
      <c r="Q190" s="1"/>
      <c r="R190" s="2"/>
      <c r="S190" s="2"/>
      <c r="T190" s="15"/>
      <c r="U190" s="15"/>
      <c r="V190" s="15"/>
      <c r="W190" s="2"/>
      <c r="X190" s="71"/>
      <c r="Y190" s="71"/>
      <c r="Z190" s="2"/>
      <c r="AA190" s="75"/>
      <c r="AB190" s="75"/>
      <c r="AC190" s="30"/>
      <c r="AD190" s="75"/>
      <c r="AE190" s="75"/>
      <c r="AF190" s="78"/>
      <c r="AG190" s="83"/>
      <c r="AH190" s="82"/>
    </row>
    <row r="191" spans="1:34">
      <c r="A191" s="1"/>
      <c r="B191" s="1"/>
      <c r="C191" s="1"/>
      <c r="D191" s="1"/>
      <c r="E191" s="32"/>
      <c r="F191" s="32"/>
      <c r="G191" s="1"/>
      <c r="H191" s="2"/>
      <c r="I191" s="2"/>
      <c r="J191" s="2"/>
      <c r="K191" s="32"/>
      <c r="L191" s="30"/>
      <c r="M191" s="30"/>
      <c r="N191" s="30"/>
      <c r="O191" s="30"/>
      <c r="P191" s="1"/>
      <c r="Q191" s="1"/>
      <c r="R191" s="2"/>
      <c r="S191" s="2"/>
      <c r="T191" s="15"/>
      <c r="U191" s="15"/>
      <c r="V191" s="15"/>
      <c r="W191" s="2"/>
      <c r="X191" s="71"/>
      <c r="Y191" s="71"/>
      <c r="Z191" s="2"/>
      <c r="AA191" s="75"/>
      <c r="AB191" s="75"/>
      <c r="AC191" s="30"/>
      <c r="AD191" s="75"/>
      <c r="AE191" s="75"/>
      <c r="AF191" s="78"/>
      <c r="AG191" s="83"/>
      <c r="AH191" s="82"/>
    </row>
    <row r="192" spans="1:34">
      <c r="A192" s="1"/>
      <c r="B192" s="1"/>
      <c r="C192" s="1"/>
      <c r="D192" s="1"/>
      <c r="E192" s="32"/>
      <c r="F192" s="32"/>
      <c r="G192" s="1"/>
      <c r="H192" s="2"/>
      <c r="I192" s="2"/>
      <c r="J192" s="2"/>
      <c r="K192" s="32"/>
      <c r="L192" s="30"/>
      <c r="M192" s="30"/>
      <c r="N192" s="30"/>
      <c r="O192" s="30"/>
      <c r="P192" s="1"/>
      <c r="Q192" s="1"/>
      <c r="R192" s="2"/>
      <c r="S192" s="2"/>
      <c r="T192" s="15"/>
      <c r="U192" s="15"/>
      <c r="V192" s="15"/>
      <c r="W192" s="2"/>
      <c r="X192" s="71"/>
      <c r="Y192" s="71"/>
      <c r="Z192" s="2"/>
      <c r="AA192" s="75"/>
      <c r="AB192" s="75"/>
      <c r="AC192" s="30"/>
      <c r="AD192" s="75"/>
      <c r="AE192" s="75"/>
      <c r="AF192" s="78"/>
      <c r="AG192" s="83"/>
      <c r="AH192" s="82"/>
    </row>
    <row r="193" spans="1:34">
      <c r="A193" s="1"/>
      <c r="B193" s="1"/>
      <c r="C193" s="1"/>
      <c r="D193" s="1"/>
      <c r="E193" s="32"/>
      <c r="F193" s="32"/>
      <c r="G193" s="1"/>
      <c r="H193" s="2"/>
      <c r="I193" s="2"/>
      <c r="J193" s="2"/>
      <c r="K193" s="32"/>
      <c r="L193" s="30"/>
      <c r="M193" s="30"/>
      <c r="N193" s="30"/>
      <c r="O193" s="30"/>
      <c r="P193" s="1"/>
      <c r="Q193" s="1"/>
      <c r="R193" s="2"/>
      <c r="S193" s="2"/>
      <c r="T193" s="15"/>
      <c r="U193" s="15"/>
      <c r="V193" s="15"/>
      <c r="W193" s="2"/>
      <c r="X193" s="71"/>
      <c r="Y193" s="71"/>
      <c r="Z193" s="2"/>
      <c r="AA193" s="75"/>
      <c r="AB193" s="75"/>
      <c r="AC193" s="30"/>
      <c r="AD193" s="75"/>
      <c r="AE193" s="75"/>
      <c r="AF193" s="78"/>
      <c r="AG193" s="83"/>
      <c r="AH193" s="82"/>
    </row>
    <row r="194" spans="1:34">
      <c r="A194" s="1"/>
      <c r="B194" s="1"/>
      <c r="C194" s="1"/>
      <c r="D194" s="1"/>
      <c r="E194" s="32"/>
      <c r="F194" s="32"/>
      <c r="G194" s="1"/>
      <c r="H194" s="2"/>
      <c r="I194" s="2"/>
      <c r="J194" s="2"/>
      <c r="K194" s="32"/>
      <c r="L194" s="30"/>
      <c r="M194" s="30"/>
      <c r="N194" s="30"/>
      <c r="O194" s="30"/>
      <c r="P194" s="1"/>
      <c r="Q194" s="1"/>
      <c r="R194" s="2"/>
      <c r="S194" s="2"/>
      <c r="T194" s="15"/>
      <c r="U194" s="15"/>
      <c r="V194" s="15"/>
      <c r="W194" s="2"/>
      <c r="X194" s="71"/>
      <c r="Y194" s="71"/>
      <c r="Z194" s="2"/>
      <c r="AA194" s="75"/>
      <c r="AB194" s="75"/>
      <c r="AC194" s="30"/>
      <c r="AD194" s="75"/>
      <c r="AE194" s="75"/>
      <c r="AF194" s="78"/>
      <c r="AG194" s="83"/>
      <c r="AH194" s="82"/>
    </row>
    <row r="195" spans="1:34">
      <c r="A195" s="1"/>
      <c r="B195" s="1"/>
      <c r="C195" s="1"/>
      <c r="D195" s="1"/>
      <c r="E195" s="32"/>
      <c r="F195" s="32"/>
      <c r="G195" s="1"/>
      <c r="H195" s="2"/>
      <c r="I195" s="2"/>
      <c r="J195" s="2"/>
      <c r="K195" s="32"/>
      <c r="L195" s="30"/>
      <c r="M195" s="30"/>
      <c r="N195" s="30"/>
      <c r="O195" s="30"/>
      <c r="P195" s="1"/>
      <c r="Q195" s="1"/>
      <c r="R195" s="2"/>
      <c r="S195" s="2"/>
      <c r="T195" s="15"/>
      <c r="U195" s="15"/>
      <c r="V195" s="15"/>
      <c r="W195" s="2"/>
      <c r="X195" s="71"/>
      <c r="Y195" s="71"/>
      <c r="Z195" s="2"/>
      <c r="AA195" s="75"/>
      <c r="AB195" s="75"/>
      <c r="AC195" s="30"/>
      <c r="AD195" s="75"/>
      <c r="AE195" s="75"/>
      <c r="AF195" s="78"/>
      <c r="AG195" s="83"/>
      <c r="AH195" s="82"/>
    </row>
    <row r="196" spans="1:34">
      <c r="A196" s="1" t="s">
        <v>86</v>
      </c>
      <c r="B196" s="1"/>
      <c r="C196" s="1"/>
      <c r="D196" s="1"/>
      <c r="E196" s="32"/>
      <c r="F196" s="32"/>
      <c r="G196" s="1"/>
      <c r="H196" s="2"/>
      <c r="I196" s="2"/>
      <c r="J196" s="2"/>
      <c r="K196" s="32"/>
      <c r="L196" s="30"/>
      <c r="M196" s="30"/>
      <c r="N196" s="30"/>
      <c r="O196" s="30"/>
      <c r="P196" s="1"/>
      <c r="Q196" s="1"/>
      <c r="R196" s="2"/>
      <c r="S196" s="2"/>
      <c r="T196" s="15"/>
      <c r="U196" s="15"/>
      <c r="V196" s="15"/>
      <c r="W196" s="2"/>
      <c r="X196" s="71"/>
      <c r="Y196" s="71"/>
      <c r="Z196" s="2"/>
      <c r="AA196" s="75"/>
      <c r="AB196" s="75"/>
      <c r="AC196" s="30"/>
      <c r="AD196" s="75"/>
      <c r="AE196" s="75"/>
      <c r="AF196" s="78"/>
      <c r="AG196" s="83"/>
      <c r="AH196" s="82"/>
    </row>
    <row r="197" spans="1:34">
      <c r="A197" s="1"/>
      <c r="B197" s="1"/>
      <c r="C197" s="1"/>
      <c r="D197" s="1"/>
      <c r="E197" s="32"/>
      <c r="F197" s="32"/>
      <c r="G197" s="1"/>
      <c r="H197" s="2"/>
      <c r="I197" s="2"/>
      <c r="J197" s="2"/>
      <c r="K197" s="32"/>
      <c r="L197" s="30"/>
      <c r="M197" s="30"/>
      <c r="N197" s="30"/>
      <c r="O197" s="30"/>
      <c r="P197" s="1"/>
      <c r="Q197" s="1"/>
      <c r="R197" s="2"/>
      <c r="S197" s="2"/>
      <c r="T197" s="15"/>
      <c r="U197" s="15"/>
      <c r="V197" s="15"/>
      <c r="W197" s="2"/>
      <c r="X197" s="71"/>
      <c r="Y197" s="71"/>
      <c r="Z197" s="2"/>
      <c r="AA197" s="75"/>
      <c r="AB197" s="75"/>
      <c r="AC197" s="30"/>
      <c r="AD197" s="75"/>
      <c r="AE197" s="75"/>
      <c r="AF197" s="78"/>
      <c r="AG197" s="83"/>
      <c r="AH197" s="82"/>
    </row>
    <row r="198" spans="1:34">
      <c r="A198" s="1"/>
      <c r="B198" s="1"/>
      <c r="C198" s="1"/>
      <c r="D198" s="1"/>
      <c r="E198" s="32"/>
      <c r="F198" s="32"/>
      <c r="G198" s="1"/>
      <c r="H198" s="2"/>
      <c r="I198" s="2"/>
      <c r="J198" s="2"/>
      <c r="K198" s="32"/>
      <c r="L198" s="30"/>
      <c r="M198" s="30"/>
      <c r="N198" s="30"/>
      <c r="O198" s="30"/>
      <c r="P198" s="1"/>
      <c r="Q198" s="1"/>
      <c r="R198" s="2"/>
      <c r="S198" s="2"/>
      <c r="T198" s="15"/>
      <c r="U198" s="15"/>
      <c r="V198" s="15"/>
      <c r="W198" s="2"/>
      <c r="X198" s="71"/>
      <c r="Y198" s="71"/>
      <c r="Z198" s="2"/>
      <c r="AA198" s="75"/>
      <c r="AB198" s="75"/>
      <c r="AC198" s="30"/>
      <c r="AD198" s="75"/>
      <c r="AE198" s="75"/>
      <c r="AF198" s="78"/>
      <c r="AG198" s="83"/>
      <c r="AH198" s="82"/>
    </row>
    <row r="199" spans="1:34">
      <c r="A199" s="1"/>
      <c r="B199" s="1"/>
      <c r="C199" s="1"/>
      <c r="D199" s="1"/>
      <c r="E199" s="32"/>
      <c r="F199" s="32"/>
      <c r="G199" s="1"/>
      <c r="H199" s="2"/>
      <c r="I199" s="2"/>
      <c r="J199" s="2"/>
      <c r="K199" s="32"/>
      <c r="L199" s="30"/>
      <c r="M199" s="30"/>
      <c r="N199" s="30"/>
      <c r="O199" s="30"/>
      <c r="P199" s="1"/>
      <c r="Q199" s="1"/>
      <c r="R199" s="2"/>
      <c r="S199" s="2"/>
      <c r="T199" s="15"/>
      <c r="U199" s="15"/>
      <c r="V199" s="15"/>
      <c r="W199" s="2"/>
      <c r="X199" s="71"/>
      <c r="Y199" s="71"/>
      <c r="Z199" s="2"/>
      <c r="AA199" s="75"/>
      <c r="AB199" s="75"/>
      <c r="AC199" s="30"/>
      <c r="AD199" s="75"/>
      <c r="AE199" s="75"/>
      <c r="AF199" s="78"/>
      <c r="AG199" s="83"/>
      <c r="AH199" s="82"/>
    </row>
    <row r="200" spans="1:34">
      <c r="A200" s="1"/>
      <c r="B200" s="1"/>
      <c r="C200" s="1"/>
      <c r="D200" s="1"/>
      <c r="E200" s="32"/>
      <c r="F200" s="32"/>
      <c r="G200" s="1"/>
      <c r="H200" s="2"/>
      <c r="I200" s="2"/>
      <c r="J200" s="2"/>
      <c r="K200" s="32"/>
      <c r="L200" s="30"/>
      <c r="M200" s="30"/>
      <c r="N200" s="30"/>
      <c r="O200" s="30"/>
      <c r="P200" s="1"/>
      <c r="Q200" s="1"/>
      <c r="R200" s="2"/>
      <c r="S200" s="2"/>
      <c r="T200" s="15"/>
      <c r="U200" s="15"/>
      <c r="V200" s="15"/>
      <c r="W200" s="2"/>
      <c r="X200" s="71"/>
      <c r="Y200" s="71"/>
      <c r="Z200" s="2"/>
      <c r="AA200" s="75"/>
      <c r="AB200" s="75"/>
      <c r="AC200" s="30"/>
      <c r="AD200" s="75"/>
      <c r="AE200" s="75"/>
      <c r="AF200" s="78"/>
      <c r="AG200" s="83"/>
      <c r="AH200" s="82"/>
    </row>
    <row r="201" spans="1:34">
      <c r="A201" s="1"/>
      <c r="B201" s="1"/>
      <c r="C201" s="1"/>
      <c r="D201" s="1"/>
      <c r="E201" s="32"/>
      <c r="F201" s="32"/>
      <c r="G201" s="1"/>
      <c r="H201" s="2"/>
      <c r="I201" s="2"/>
      <c r="J201" s="2"/>
      <c r="K201" s="32"/>
      <c r="L201" s="30"/>
      <c r="M201" s="30"/>
      <c r="N201" s="30"/>
      <c r="O201" s="30"/>
      <c r="P201" s="1"/>
      <c r="Q201" s="1"/>
      <c r="R201" s="2"/>
      <c r="S201" s="2"/>
      <c r="T201" s="15"/>
      <c r="U201" s="15"/>
      <c r="V201" s="15"/>
      <c r="W201" s="2"/>
      <c r="X201" s="71"/>
      <c r="Y201" s="71"/>
      <c r="Z201" s="2"/>
      <c r="AA201" s="75"/>
      <c r="AB201" s="75"/>
      <c r="AC201" s="30"/>
      <c r="AD201" s="75"/>
      <c r="AE201" s="75"/>
      <c r="AF201" s="78"/>
      <c r="AG201" s="83"/>
      <c r="AH201" s="82"/>
    </row>
    <row r="202" spans="1:34">
      <c r="A202" s="1"/>
      <c r="B202" s="1"/>
      <c r="C202" s="1"/>
      <c r="D202" s="1"/>
      <c r="E202" s="32"/>
      <c r="F202" s="32"/>
      <c r="G202" s="1"/>
      <c r="H202" s="2"/>
      <c r="I202" s="2"/>
      <c r="J202" s="2"/>
      <c r="K202" s="32"/>
      <c r="L202" s="30"/>
      <c r="M202" s="30"/>
      <c r="N202" s="30"/>
      <c r="O202" s="30"/>
      <c r="P202" s="1"/>
      <c r="Q202" s="1"/>
      <c r="R202" s="2"/>
      <c r="S202" s="2"/>
      <c r="T202" s="15"/>
      <c r="U202" s="15"/>
      <c r="V202" s="15"/>
      <c r="W202" s="2"/>
      <c r="X202" s="71"/>
      <c r="Y202" s="71"/>
      <c r="Z202" s="2"/>
      <c r="AA202" s="75"/>
      <c r="AB202" s="75"/>
      <c r="AC202" s="30"/>
      <c r="AD202" s="75"/>
      <c r="AE202" s="75"/>
      <c r="AF202" s="78"/>
      <c r="AG202" s="83"/>
      <c r="AH202" s="82"/>
    </row>
    <row r="203" spans="1:34">
      <c r="A203" s="1"/>
      <c r="B203" s="1"/>
      <c r="C203" s="1"/>
      <c r="D203" s="1"/>
      <c r="E203" s="32"/>
      <c r="F203" s="32"/>
      <c r="G203" s="1"/>
      <c r="H203" s="2"/>
      <c r="I203" s="2"/>
      <c r="J203" s="2"/>
      <c r="K203" s="32"/>
      <c r="L203" s="30"/>
      <c r="M203" s="30"/>
      <c r="N203" s="30"/>
      <c r="O203" s="30"/>
      <c r="P203" s="1"/>
      <c r="Q203" s="1"/>
      <c r="R203" s="2"/>
      <c r="S203" s="2"/>
      <c r="T203" s="15"/>
      <c r="U203" s="15"/>
      <c r="V203" s="15"/>
      <c r="W203" s="2"/>
      <c r="X203" s="71"/>
      <c r="Y203" s="71"/>
      <c r="Z203" s="2"/>
      <c r="AA203" s="75"/>
      <c r="AB203" s="75"/>
      <c r="AC203" s="30"/>
      <c r="AD203" s="75"/>
      <c r="AE203" s="75"/>
      <c r="AF203" s="78"/>
      <c r="AG203" s="83"/>
      <c r="AH203" s="82"/>
    </row>
    <row r="204" spans="1:34">
      <c r="A204" s="1"/>
      <c r="B204" s="1"/>
      <c r="C204" s="1"/>
      <c r="D204" s="1"/>
      <c r="E204" s="32"/>
      <c r="F204" s="32"/>
      <c r="G204" s="1"/>
      <c r="H204" s="2"/>
      <c r="I204" s="2"/>
      <c r="J204" s="2"/>
      <c r="K204" s="32"/>
      <c r="L204" s="30"/>
      <c r="M204" s="30"/>
      <c r="N204" s="30"/>
      <c r="O204" s="30"/>
      <c r="P204" s="1"/>
      <c r="Q204" s="1"/>
      <c r="R204" s="2"/>
      <c r="S204" s="2"/>
      <c r="T204" s="15"/>
      <c r="U204" s="15"/>
      <c r="V204" s="15"/>
      <c r="W204" s="2"/>
      <c r="X204" s="71"/>
      <c r="Y204" s="71"/>
      <c r="Z204" s="2"/>
      <c r="AA204" s="75"/>
      <c r="AB204" s="75"/>
      <c r="AC204" s="30"/>
      <c r="AD204" s="75"/>
      <c r="AE204" s="75"/>
      <c r="AF204" s="78"/>
      <c r="AG204" s="83"/>
      <c r="AH204" s="82"/>
    </row>
    <row r="205" spans="1:34">
      <c r="A205" s="1"/>
      <c r="B205" s="1"/>
      <c r="C205" s="1"/>
      <c r="D205" s="1"/>
      <c r="E205" s="32"/>
      <c r="F205" s="32"/>
      <c r="G205" s="1"/>
      <c r="H205" s="2"/>
      <c r="I205" s="2"/>
      <c r="J205" s="2"/>
      <c r="K205" s="32"/>
      <c r="L205" s="30"/>
      <c r="M205" s="30"/>
      <c r="N205" s="30"/>
      <c r="O205" s="30"/>
      <c r="P205" s="1"/>
      <c r="Q205" s="1"/>
      <c r="R205" s="2"/>
      <c r="S205" s="2"/>
      <c r="T205" s="15"/>
      <c r="U205" s="15"/>
      <c r="V205" s="15"/>
      <c r="W205" s="2"/>
      <c r="X205" s="71"/>
      <c r="Y205" s="71"/>
      <c r="Z205" s="2"/>
      <c r="AA205" s="75"/>
      <c r="AB205" s="75"/>
      <c r="AC205" s="30"/>
      <c r="AD205" s="75"/>
      <c r="AE205" s="75"/>
      <c r="AF205" s="78"/>
      <c r="AG205" s="83"/>
      <c r="AH205" s="82"/>
    </row>
    <row r="206" spans="1:34">
      <c r="A206" s="1"/>
      <c r="B206" s="1"/>
      <c r="C206" s="1"/>
      <c r="D206" s="1"/>
      <c r="E206" s="32"/>
      <c r="F206" s="32"/>
      <c r="G206" s="1"/>
      <c r="H206" s="2"/>
      <c r="I206" s="2"/>
      <c r="J206" s="2"/>
      <c r="K206" s="32"/>
      <c r="L206" s="30"/>
      <c r="M206" s="30"/>
      <c r="N206" s="30"/>
      <c r="O206" s="30"/>
      <c r="P206" s="1"/>
      <c r="Q206" s="1"/>
      <c r="R206" s="2"/>
      <c r="S206" s="2"/>
      <c r="T206" s="15"/>
      <c r="U206" s="15"/>
      <c r="V206" s="15"/>
      <c r="W206" s="2"/>
      <c r="X206" s="71"/>
      <c r="Y206" s="71"/>
      <c r="Z206" s="2"/>
      <c r="AA206" s="75"/>
      <c r="AB206" s="75"/>
      <c r="AC206" s="30"/>
      <c r="AD206" s="75"/>
      <c r="AE206" s="75"/>
      <c r="AF206" s="78"/>
      <c r="AG206" s="83"/>
      <c r="AH206" s="82"/>
    </row>
    <row r="207" spans="1:34">
      <c r="A207" s="1"/>
      <c r="B207" s="1"/>
      <c r="C207" s="1"/>
      <c r="D207" s="1"/>
      <c r="E207" s="32"/>
      <c r="F207" s="32"/>
      <c r="G207" s="1"/>
      <c r="H207" s="2"/>
      <c r="I207" s="2"/>
      <c r="J207" s="2"/>
      <c r="K207" s="32"/>
      <c r="L207" s="30"/>
      <c r="M207" s="30"/>
      <c r="N207" s="30"/>
      <c r="O207" s="30"/>
      <c r="P207" s="1"/>
      <c r="Q207" s="1"/>
      <c r="R207" s="2"/>
      <c r="S207" s="2"/>
      <c r="T207" s="15"/>
      <c r="U207" s="15"/>
      <c r="V207" s="15"/>
      <c r="W207" s="2"/>
      <c r="X207" s="71"/>
      <c r="Y207" s="71"/>
      <c r="Z207" s="2"/>
      <c r="AA207" s="75"/>
      <c r="AB207" s="75"/>
      <c r="AC207" s="30"/>
      <c r="AD207" s="75"/>
      <c r="AE207" s="75"/>
      <c r="AF207" s="78"/>
      <c r="AG207" s="83"/>
      <c r="AH207" s="82"/>
    </row>
    <row r="208" spans="1:34">
      <c r="A208" s="1" t="s">
        <v>87</v>
      </c>
      <c r="B208" s="1"/>
      <c r="C208" s="1"/>
      <c r="D208" s="1"/>
      <c r="E208" s="32"/>
      <c r="F208" s="32"/>
      <c r="G208" s="1"/>
      <c r="H208" s="2"/>
      <c r="I208" s="2"/>
      <c r="J208" s="2"/>
      <c r="K208" s="32"/>
      <c r="L208" s="30"/>
      <c r="M208" s="30"/>
      <c r="N208" s="30"/>
      <c r="O208" s="30"/>
      <c r="P208" s="1"/>
      <c r="Q208" s="1"/>
      <c r="R208" s="2"/>
      <c r="S208" s="2"/>
      <c r="T208" s="15"/>
      <c r="U208" s="15"/>
      <c r="V208" s="15"/>
      <c r="W208" s="2"/>
      <c r="X208" s="71"/>
      <c r="Y208" s="71"/>
      <c r="Z208" s="2"/>
      <c r="AA208" s="75"/>
      <c r="AB208" s="75"/>
      <c r="AC208" s="30"/>
      <c r="AD208" s="75"/>
      <c r="AE208" s="75"/>
      <c r="AF208" s="78"/>
      <c r="AG208" s="83"/>
      <c r="AH208" s="82"/>
    </row>
    <row r="209" spans="1:34">
      <c r="A209" s="1"/>
      <c r="B209" s="1"/>
      <c r="C209" s="1"/>
      <c r="D209" s="1"/>
      <c r="E209" s="32"/>
      <c r="F209" s="32"/>
      <c r="G209" s="1"/>
      <c r="H209" s="2"/>
      <c r="I209" s="2"/>
      <c r="J209" s="2"/>
      <c r="K209" s="32"/>
      <c r="L209" s="30"/>
      <c r="M209" s="30"/>
      <c r="N209" s="30"/>
      <c r="O209" s="30"/>
      <c r="P209" s="1"/>
      <c r="Q209" s="1"/>
      <c r="R209" s="2"/>
      <c r="S209" s="2"/>
      <c r="T209" s="15"/>
      <c r="U209" s="15"/>
      <c r="V209" s="15"/>
      <c r="W209" s="2"/>
      <c r="X209" s="71"/>
      <c r="Y209" s="71"/>
      <c r="Z209" s="2"/>
      <c r="AA209" s="75"/>
      <c r="AB209" s="75"/>
      <c r="AC209" s="30"/>
      <c r="AD209" s="75"/>
      <c r="AE209" s="75"/>
      <c r="AF209" s="78"/>
      <c r="AG209" s="83"/>
      <c r="AH209" s="82"/>
    </row>
    <row r="210" spans="1:34">
      <c r="A210" s="1"/>
      <c r="B210" s="1"/>
      <c r="C210" s="1"/>
      <c r="D210" s="1"/>
      <c r="E210" s="32"/>
      <c r="F210" s="32"/>
      <c r="G210" s="1"/>
      <c r="H210" s="2"/>
      <c r="I210" s="2"/>
      <c r="J210" s="2"/>
      <c r="K210" s="32"/>
      <c r="L210" s="30"/>
      <c r="M210" s="30"/>
      <c r="N210" s="30"/>
      <c r="O210" s="30"/>
      <c r="P210" s="1"/>
      <c r="Q210" s="1"/>
      <c r="R210" s="2"/>
      <c r="S210" s="2"/>
      <c r="T210" s="15"/>
      <c r="U210" s="15"/>
      <c r="V210" s="15"/>
      <c r="W210" s="2"/>
      <c r="X210" s="71"/>
      <c r="Y210" s="71"/>
      <c r="Z210" s="2"/>
      <c r="AA210" s="75"/>
      <c r="AB210" s="75"/>
      <c r="AC210" s="30"/>
      <c r="AD210" s="75"/>
      <c r="AE210" s="75"/>
      <c r="AF210" s="78"/>
      <c r="AG210" s="83"/>
      <c r="AH210" s="82"/>
    </row>
    <row r="211" spans="1:34">
      <c r="A211" s="1"/>
      <c r="B211" s="1"/>
      <c r="C211" s="1"/>
      <c r="D211" s="1"/>
      <c r="E211" s="32"/>
      <c r="F211" s="32"/>
      <c r="G211" s="1"/>
      <c r="H211" s="2"/>
      <c r="I211" s="2"/>
      <c r="J211" s="2"/>
      <c r="K211" s="32"/>
      <c r="L211" s="30"/>
      <c r="M211" s="30"/>
      <c r="N211" s="30"/>
      <c r="O211" s="30"/>
      <c r="P211" s="1"/>
      <c r="Q211" s="1"/>
      <c r="R211" s="2"/>
      <c r="S211" s="2"/>
      <c r="T211" s="15"/>
      <c r="U211" s="15"/>
      <c r="V211" s="15"/>
      <c r="W211" s="2"/>
      <c r="X211" s="71"/>
      <c r="Y211" s="71"/>
      <c r="Z211" s="2"/>
      <c r="AA211" s="75"/>
      <c r="AB211" s="75"/>
      <c r="AC211" s="30"/>
      <c r="AD211" s="75"/>
      <c r="AE211" s="75"/>
      <c r="AF211" s="78"/>
      <c r="AG211" s="83"/>
      <c r="AH211" s="82"/>
    </row>
    <row r="212" spans="1:34">
      <c r="A212" s="1"/>
      <c r="B212" s="1"/>
      <c r="C212" s="1"/>
      <c r="D212" s="1"/>
      <c r="E212" s="32"/>
      <c r="F212" s="32"/>
      <c r="G212" s="1"/>
      <c r="H212" s="2"/>
      <c r="I212" s="2"/>
      <c r="J212" s="2"/>
      <c r="K212" s="32"/>
      <c r="L212" s="30"/>
      <c r="M212" s="30"/>
      <c r="N212" s="30"/>
      <c r="O212" s="30"/>
      <c r="P212" s="1"/>
      <c r="Q212" s="1"/>
      <c r="R212" s="2"/>
      <c r="S212" s="2"/>
      <c r="T212" s="15"/>
      <c r="U212" s="15"/>
      <c r="V212" s="15"/>
      <c r="W212" s="2"/>
      <c r="X212" s="71"/>
      <c r="Y212" s="71"/>
      <c r="Z212" s="2"/>
      <c r="AA212" s="75"/>
      <c r="AB212" s="75"/>
      <c r="AC212" s="30"/>
      <c r="AD212" s="75"/>
      <c r="AE212" s="75"/>
      <c r="AF212" s="78"/>
      <c r="AG212" s="83"/>
      <c r="AH212" s="82"/>
    </row>
    <row r="213" spans="1:34">
      <c r="A213" s="1"/>
      <c r="B213" s="1"/>
      <c r="C213" s="1"/>
      <c r="D213" s="1"/>
      <c r="E213" s="32"/>
      <c r="F213" s="32"/>
      <c r="G213" s="1"/>
      <c r="H213" s="2"/>
      <c r="I213" s="2"/>
      <c r="J213" s="2"/>
      <c r="K213" s="32"/>
      <c r="L213" s="30"/>
      <c r="M213" s="30"/>
      <c r="N213" s="30"/>
      <c r="O213" s="30"/>
      <c r="P213" s="1"/>
      <c r="Q213" s="1"/>
      <c r="R213" s="2"/>
      <c r="S213" s="2"/>
      <c r="T213" s="15"/>
      <c r="U213" s="15"/>
      <c r="V213" s="15"/>
      <c r="W213" s="2"/>
      <c r="X213" s="71"/>
      <c r="Y213" s="71"/>
      <c r="Z213" s="2"/>
      <c r="AA213" s="75"/>
      <c r="AB213" s="75"/>
      <c r="AC213" s="30"/>
      <c r="AD213" s="75"/>
      <c r="AE213" s="75"/>
      <c r="AF213" s="78"/>
      <c r="AG213" s="83"/>
      <c r="AH213" s="82"/>
    </row>
    <row r="214" spans="1:34">
      <c r="A214" s="1"/>
      <c r="B214" s="1"/>
      <c r="C214" s="1"/>
      <c r="D214" s="1"/>
      <c r="E214" s="32"/>
      <c r="F214" s="32"/>
      <c r="G214" s="1"/>
      <c r="H214" s="2"/>
      <c r="I214" s="2"/>
      <c r="J214" s="2"/>
      <c r="K214" s="32"/>
      <c r="L214" s="30"/>
      <c r="M214" s="30"/>
      <c r="N214" s="30"/>
      <c r="O214" s="30"/>
      <c r="P214" s="1"/>
      <c r="Q214" s="1"/>
      <c r="R214" s="2"/>
      <c r="S214" s="2"/>
      <c r="T214" s="15"/>
      <c r="U214" s="15"/>
      <c r="V214" s="15"/>
      <c r="W214" s="2"/>
      <c r="X214" s="71"/>
      <c r="Y214" s="71"/>
      <c r="Z214" s="2"/>
      <c r="AA214" s="75"/>
      <c r="AB214" s="75"/>
      <c r="AC214" s="30"/>
      <c r="AD214" s="75"/>
      <c r="AE214" s="75"/>
      <c r="AF214" s="78"/>
      <c r="AG214" s="83"/>
      <c r="AH214" s="82"/>
    </row>
    <row r="215" spans="1:34">
      <c r="A215" s="1"/>
      <c r="B215" s="1"/>
      <c r="C215" s="1"/>
      <c r="D215" s="1"/>
      <c r="E215" s="32"/>
      <c r="F215" s="32"/>
      <c r="G215" s="1"/>
      <c r="H215" s="2"/>
      <c r="I215" s="2"/>
      <c r="J215" s="2"/>
      <c r="K215" s="32"/>
      <c r="L215" s="30"/>
      <c r="M215" s="30"/>
      <c r="N215" s="30"/>
      <c r="O215" s="30"/>
      <c r="P215" s="1"/>
      <c r="Q215" s="1"/>
      <c r="R215" s="2"/>
      <c r="S215" s="2"/>
      <c r="T215" s="15"/>
      <c r="U215" s="15"/>
      <c r="V215" s="15"/>
      <c r="W215" s="2"/>
      <c r="X215" s="71"/>
      <c r="Y215" s="71"/>
      <c r="Z215" s="2"/>
      <c r="AA215" s="75"/>
      <c r="AB215" s="75"/>
      <c r="AC215" s="30"/>
      <c r="AD215" s="75"/>
      <c r="AE215" s="75"/>
      <c r="AF215" s="78"/>
      <c r="AG215" s="83"/>
      <c r="AH215" s="82"/>
    </row>
    <row r="216" spans="1:34">
      <c r="A216" s="1" t="s">
        <v>88</v>
      </c>
      <c r="B216" s="1"/>
      <c r="C216" s="1"/>
      <c r="D216" s="1"/>
      <c r="E216" s="32"/>
      <c r="F216" s="32"/>
      <c r="G216" s="1"/>
      <c r="H216" s="2"/>
      <c r="I216" s="2"/>
      <c r="J216" s="2"/>
      <c r="K216" s="32"/>
      <c r="L216" s="30"/>
      <c r="M216" s="30"/>
      <c r="N216" s="30"/>
      <c r="O216" s="30"/>
      <c r="P216" s="1"/>
      <c r="Q216" s="1"/>
      <c r="R216" s="2"/>
      <c r="S216" s="2"/>
      <c r="T216" s="15"/>
      <c r="U216" s="15"/>
      <c r="V216" s="15"/>
      <c r="W216" s="2"/>
      <c r="X216" s="71"/>
      <c r="Y216" s="71"/>
      <c r="Z216" s="2"/>
      <c r="AA216" s="75"/>
      <c r="AB216" s="75"/>
      <c r="AC216" s="30"/>
      <c r="AD216" s="75"/>
      <c r="AE216" s="75"/>
      <c r="AF216" s="78"/>
      <c r="AG216" s="83"/>
      <c r="AH216" s="82"/>
    </row>
    <row r="217" spans="1:34">
      <c r="A217" s="1"/>
      <c r="B217" s="1"/>
      <c r="C217" s="1"/>
      <c r="D217" s="1"/>
      <c r="E217" s="32"/>
      <c r="F217" s="32"/>
      <c r="G217" s="1"/>
      <c r="H217" s="2"/>
      <c r="I217" s="2"/>
      <c r="J217" s="2"/>
      <c r="K217" s="32"/>
      <c r="L217" s="30"/>
      <c r="M217" s="30"/>
      <c r="N217" s="30"/>
      <c r="O217" s="30"/>
      <c r="P217" s="1"/>
      <c r="Q217" s="1"/>
      <c r="R217" s="2"/>
      <c r="S217" s="2"/>
      <c r="T217" s="15"/>
      <c r="U217" s="15"/>
      <c r="V217" s="15"/>
      <c r="W217" s="2"/>
      <c r="X217" s="71"/>
      <c r="Y217" s="71"/>
      <c r="Z217" s="2"/>
      <c r="AA217" s="75"/>
      <c r="AB217" s="75"/>
      <c r="AC217" s="30"/>
      <c r="AD217" s="75"/>
      <c r="AE217" s="75"/>
      <c r="AF217" s="78"/>
      <c r="AG217" s="83"/>
      <c r="AH217" s="82"/>
    </row>
    <row r="218" spans="1:34">
      <c r="A218" s="1"/>
      <c r="B218" s="1"/>
      <c r="C218" s="1"/>
      <c r="D218" s="1"/>
      <c r="E218" s="32"/>
      <c r="F218" s="32"/>
      <c r="G218" s="1"/>
      <c r="H218" s="2"/>
      <c r="I218" s="2"/>
      <c r="J218" s="2"/>
      <c r="K218" s="32"/>
      <c r="L218" s="30"/>
      <c r="M218" s="30"/>
      <c r="N218" s="30"/>
      <c r="O218" s="30"/>
      <c r="P218" s="1"/>
      <c r="Q218" s="1"/>
      <c r="R218" s="2"/>
      <c r="S218" s="2"/>
      <c r="T218" s="15"/>
      <c r="U218" s="15"/>
      <c r="V218" s="15"/>
      <c r="W218" s="2"/>
      <c r="X218" s="71"/>
      <c r="Y218" s="71"/>
      <c r="Z218" s="2"/>
      <c r="AA218" s="75"/>
      <c r="AB218" s="75"/>
      <c r="AC218" s="30"/>
      <c r="AD218" s="75"/>
      <c r="AE218" s="75"/>
      <c r="AF218" s="78"/>
      <c r="AG218" s="83"/>
      <c r="AH218" s="82"/>
    </row>
    <row r="219" spans="1:34">
      <c r="A219" s="1"/>
      <c r="B219" s="1"/>
      <c r="C219" s="1"/>
      <c r="D219" s="1"/>
      <c r="E219" s="32"/>
      <c r="F219" s="32"/>
      <c r="G219" s="1"/>
      <c r="H219" s="2"/>
      <c r="I219" s="2"/>
      <c r="J219" s="2"/>
      <c r="K219" s="32"/>
      <c r="L219" s="30"/>
      <c r="M219" s="30"/>
      <c r="N219" s="30"/>
      <c r="O219" s="30"/>
      <c r="P219" s="1"/>
      <c r="Q219" s="1"/>
      <c r="R219" s="2"/>
      <c r="S219" s="2"/>
      <c r="T219" s="15"/>
      <c r="U219" s="15"/>
      <c r="V219" s="15"/>
      <c r="W219" s="2"/>
      <c r="X219" s="71"/>
      <c r="Y219" s="71"/>
      <c r="Z219" s="2"/>
      <c r="AA219" s="75"/>
      <c r="AB219" s="75"/>
      <c r="AC219" s="30"/>
      <c r="AD219" s="75"/>
      <c r="AE219" s="75"/>
      <c r="AF219" s="78"/>
      <c r="AG219" s="83"/>
      <c r="AH219" s="82"/>
    </row>
    <row r="220" spans="1:34">
      <c r="A220" s="1"/>
      <c r="B220" s="1"/>
      <c r="C220" s="1"/>
      <c r="D220" s="1"/>
      <c r="E220" s="32"/>
      <c r="F220" s="32"/>
      <c r="G220" s="1"/>
      <c r="H220" s="2"/>
      <c r="I220" s="2"/>
      <c r="J220" s="2"/>
      <c r="K220" s="32"/>
      <c r="L220" s="30"/>
      <c r="M220" s="30"/>
      <c r="N220" s="30"/>
      <c r="O220" s="30"/>
      <c r="P220" s="1"/>
      <c r="Q220" s="1"/>
      <c r="R220" s="2"/>
      <c r="S220" s="2"/>
      <c r="T220" s="15"/>
      <c r="U220" s="15"/>
      <c r="V220" s="15"/>
      <c r="W220" s="2"/>
      <c r="X220" s="71"/>
      <c r="Y220" s="71"/>
      <c r="Z220" s="2"/>
      <c r="AA220" s="75"/>
      <c r="AB220" s="75"/>
      <c r="AC220" s="30"/>
      <c r="AD220" s="75"/>
      <c r="AE220" s="75"/>
      <c r="AF220" s="78"/>
      <c r="AG220" s="83"/>
      <c r="AH220" s="82"/>
    </row>
    <row r="221" spans="1:34">
      <c r="A221" s="1"/>
      <c r="B221" s="1"/>
      <c r="C221" s="1"/>
      <c r="D221" s="1"/>
      <c r="E221" s="32"/>
      <c r="F221" s="32"/>
      <c r="G221" s="1"/>
      <c r="H221" s="2"/>
      <c r="I221" s="2"/>
      <c r="J221" s="2"/>
      <c r="K221" s="32"/>
      <c r="L221" s="30"/>
      <c r="M221" s="30"/>
      <c r="N221" s="30"/>
      <c r="O221" s="30"/>
      <c r="P221" s="1"/>
      <c r="Q221" s="1"/>
      <c r="R221" s="2"/>
      <c r="S221" s="2"/>
      <c r="T221" s="15"/>
      <c r="U221" s="15"/>
      <c r="V221" s="15"/>
      <c r="W221" s="2"/>
      <c r="X221" s="71"/>
      <c r="Y221" s="71"/>
      <c r="Z221" s="2"/>
      <c r="AA221" s="75"/>
      <c r="AB221" s="75"/>
      <c r="AC221" s="30"/>
      <c r="AD221" s="75"/>
      <c r="AE221" s="75"/>
      <c r="AF221" s="78"/>
      <c r="AG221" s="83"/>
      <c r="AH221" s="82"/>
    </row>
    <row r="222" spans="1:34">
      <c r="A222" s="1"/>
      <c r="B222" s="1"/>
      <c r="C222" s="1"/>
      <c r="D222" s="1"/>
      <c r="E222" s="32"/>
      <c r="F222" s="32"/>
      <c r="G222" s="1"/>
      <c r="H222" s="2"/>
      <c r="I222" s="2"/>
      <c r="J222" s="2"/>
      <c r="K222" s="32"/>
      <c r="L222" s="30"/>
      <c r="M222" s="30"/>
      <c r="N222" s="30"/>
      <c r="O222" s="30"/>
      <c r="P222" s="1"/>
      <c r="Q222" s="1"/>
      <c r="R222" s="2"/>
      <c r="S222" s="2"/>
      <c r="T222" s="15"/>
      <c r="U222" s="15"/>
      <c r="V222" s="15"/>
      <c r="W222" s="2"/>
      <c r="X222" s="71"/>
      <c r="Y222" s="71"/>
      <c r="Z222" s="2"/>
      <c r="AA222" s="75"/>
      <c r="AB222" s="75"/>
      <c r="AC222" s="30"/>
      <c r="AD222" s="75"/>
      <c r="AE222" s="75"/>
      <c r="AF222" s="78"/>
      <c r="AG222" s="83"/>
      <c r="AH222" s="82"/>
    </row>
    <row r="223" spans="1:34">
      <c r="A223" s="1"/>
      <c r="B223" s="1"/>
      <c r="C223" s="1"/>
      <c r="D223" s="1"/>
      <c r="E223" s="32"/>
      <c r="F223" s="32"/>
      <c r="G223" s="1"/>
      <c r="H223" s="2"/>
      <c r="I223" s="2"/>
      <c r="J223" s="2"/>
      <c r="K223" s="32"/>
      <c r="L223" s="30"/>
      <c r="M223" s="30"/>
      <c r="N223" s="30"/>
      <c r="O223" s="30"/>
      <c r="P223" s="1"/>
      <c r="Q223" s="1"/>
      <c r="R223" s="2"/>
      <c r="S223" s="2"/>
      <c r="T223" s="15"/>
      <c r="U223" s="15"/>
      <c r="V223" s="15"/>
      <c r="W223" s="2"/>
      <c r="X223" s="71"/>
      <c r="Y223" s="71"/>
      <c r="Z223" s="2"/>
      <c r="AA223" s="75"/>
      <c r="AB223" s="75"/>
      <c r="AC223" s="30"/>
      <c r="AD223" s="75"/>
      <c r="AE223" s="75"/>
      <c r="AF223" s="78"/>
      <c r="AG223" s="83"/>
      <c r="AH223" s="82"/>
    </row>
    <row r="224" spans="1:34">
      <c r="A224" s="1"/>
      <c r="B224" s="1"/>
      <c r="C224" s="1"/>
      <c r="D224" s="1"/>
      <c r="E224" s="32"/>
      <c r="F224" s="32"/>
      <c r="G224" s="1"/>
      <c r="H224" s="2"/>
      <c r="I224" s="2"/>
      <c r="J224" s="2"/>
      <c r="K224" s="32"/>
      <c r="L224" s="30"/>
      <c r="M224" s="30"/>
      <c r="N224" s="30"/>
      <c r="O224" s="30"/>
      <c r="P224" s="1"/>
      <c r="Q224" s="1"/>
      <c r="R224" s="2"/>
      <c r="S224" s="2"/>
      <c r="T224" s="15"/>
      <c r="U224" s="15"/>
      <c r="V224" s="15"/>
      <c r="W224" s="2"/>
      <c r="X224" s="71"/>
      <c r="Y224" s="71"/>
      <c r="Z224" s="2"/>
      <c r="AA224" s="75"/>
      <c r="AB224" s="75"/>
      <c r="AC224" s="30"/>
      <c r="AD224" s="75"/>
      <c r="AE224" s="75"/>
      <c r="AF224" s="78"/>
      <c r="AG224" s="83"/>
      <c r="AH224" s="82"/>
    </row>
    <row r="225" spans="1:34">
      <c r="A225" s="1" t="s">
        <v>89</v>
      </c>
      <c r="B225" s="80"/>
      <c r="C225" s="80"/>
      <c r="D225" s="80"/>
      <c r="E225" s="86"/>
      <c r="F225" s="86"/>
      <c r="G225" s="80"/>
      <c r="H225" s="87"/>
      <c r="I225" s="87"/>
      <c r="J225" s="87"/>
      <c r="K225" s="86"/>
      <c r="L225" s="88"/>
      <c r="M225" s="88"/>
      <c r="N225" s="88"/>
      <c r="O225" s="88"/>
      <c r="P225" s="80"/>
      <c r="Q225" s="80"/>
      <c r="R225" s="87"/>
      <c r="S225" s="87"/>
      <c r="T225" s="89"/>
      <c r="U225" s="89"/>
      <c r="V225" s="89"/>
      <c r="W225" s="87"/>
      <c r="X225" s="90"/>
      <c r="Y225" s="90"/>
      <c r="Z225" s="87"/>
      <c r="AA225" s="91"/>
      <c r="AB225" s="91"/>
      <c r="AC225" s="88"/>
      <c r="AD225" s="91"/>
      <c r="AE225" s="91"/>
      <c r="AF225" s="78"/>
      <c r="AG225" s="83"/>
      <c r="AH225" s="82"/>
    </row>
    <row r="226" spans="1:34">
      <c r="A226" s="1"/>
      <c r="B226" s="80"/>
      <c r="C226" s="80"/>
      <c r="D226" s="80"/>
      <c r="E226" s="86"/>
      <c r="F226" s="86"/>
      <c r="G226" s="80"/>
      <c r="H226" s="87"/>
      <c r="I226" s="87"/>
      <c r="J226" s="87"/>
      <c r="K226" s="86"/>
      <c r="L226" s="88"/>
      <c r="M226" s="88"/>
      <c r="N226" s="88"/>
      <c r="O226" s="88"/>
      <c r="P226" s="80"/>
      <c r="Q226" s="80"/>
      <c r="R226" s="87"/>
      <c r="S226" s="87"/>
      <c r="T226" s="89"/>
      <c r="U226" s="89"/>
      <c r="V226" s="89"/>
      <c r="W226" s="87"/>
      <c r="X226" s="90"/>
      <c r="Y226" s="90"/>
      <c r="Z226" s="87"/>
      <c r="AA226" s="91"/>
      <c r="AB226" s="91"/>
      <c r="AC226" s="88"/>
      <c r="AD226" s="91"/>
      <c r="AE226" s="91"/>
      <c r="AF226" s="78"/>
      <c r="AG226" s="83"/>
      <c r="AH226" s="82"/>
    </row>
    <row r="227" spans="1:34">
      <c r="A227" s="1"/>
      <c r="B227" s="80"/>
      <c r="C227" s="80"/>
      <c r="D227" s="80"/>
      <c r="E227" s="86"/>
      <c r="F227" s="86"/>
      <c r="G227" s="80"/>
      <c r="H227" s="87"/>
      <c r="I227" s="87"/>
      <c r="J227" s="87"/>
      <c r="K227" s="86"/>
      <c r="L227" s="88"/>
      <c r="M227" s="88"/>
      <c r="N227" s="88"/>
      <c r="O227" s="88"/>
      <c r="P227" s="80"/>
      <c r="Q227" s="80"/>
      <c r="R227" s="87"/>
      <c r="S227" s="87"/>
      <c r="T227" s="89"/>
      <c r="U227" s="89"/>
      <c r="V227" s="89"/>
      <c r="W227" s="87"/>
      <c r="X227" s="90"/>
      <c r="Y227" s="90"/>
      <c r="Z227" s="87"/>
      <c r="AA227" s="91"/>
      <c r="AB227" s="91"/>
      <c r="AC227" s="88"/>
      <c r="AD227" s="91"/>
      <c r="AE227" s="91"/>
      <c r="AF227" s="78"/>
      <c r="AG227" s="83"/>
      <c r="AH227" s="82"/>
    </row>
    <row r="228" spans="1:34">
      <c r="A228" s="1"/>
      <c r="B228" s="80"/>
      <c r="C228" s="80"/>
      <c r="D228" s="80"/>
      <c r="E228" s="86"/>
      <c r="F228" s="86"/>
      <c r="G228" s="80"/>
      <c r="H228" s="87"/>
      <c r="I228" s="87"/>
      <c r="J228" s="87"/>
      <c r="K228" s="86"/>
      <c r="L228" s="88"/>
      <c r="M228" s="88"/>
      <c r="N228" s="88"/>
      <c r="O228" s="88"/>
      <c r="P228" s="80"/>
      <c r="Q228" s="80"/>
      <c r="R228" s="87"/>
      <c r="S228" s="87"/>
      <c r="T228" s="89"/>
      <c r="U228" s="89"/>
      <c r="V228" s="89"/>
      <c r="W228" s="87"/>
      <c r="X228" s="90"/>
      <c r="Y228" s="90"/>
      <c r="Z228" s="87"/>
      <c r="AA228" s="91"/>
      <c r="AB228" s="91"/>
      <c r="AC228" s="88"/>
      <c r="AD228" s="91"/>
      <c r="AE228" s="91"/>
      <c r="AF228" s="78"/>
      <c r="AG228" s="83"/>
      <c r="AH228" s="82"/>
    </row>
    <row r="229" spans="1:34">
      <c r="A229" s="1"/>
      <c r="B229" s="80"/>
      <c r="C229" s="80"/>
      <c r="D229" s="80"/>
      <c r="E229" s="86"/>
      <c r="F229" s="86"/>
      <c r="G229" s="80"/>
      <c r="H229" s="87"/>
      <c r="I229" s="87"/>
      <c r="J229" s="87"/>
      <c r="K229" s="86"/>
      <c r="L229" s="88"/>
      <c r="M229" s="88"/>
      <c r="N229" s="88"/>
      <c r="O229" s="88"/>
      <c r="P229" s="80"/>
      <c r="Q229" s="80"/>
      <c r="R229" s="87"/>
      <c r="S229" s="87"/>
      <c r="T229" s="89"/>
      <c r="U229" s="89"/>
      <c r="V229" s="89"/>
      <c r="W229" s="87"/>
      <c r="X229" s="90"/>
      <c r="Y229" s="90"/>
      <c r="Z229" s="87"/>
      <c r="AA229" s="91"/>
      <c r="AB229" s="91"/>
      <c r="AC229" s="88"/>
      <c r="AD229" s="91"/>
      <c r="AE229" s="91"/>
      <c r="AF229" s="78"/>
      <c r="AG229" s="83"/>
      <c r="AH229" s="82"/>
    </row>
    <row r="230" spans="1:34">
      <c r="A230" s="1"/>
      <c r="B230" s="80"/>
      <c r="C230" s="80"/>
      <c r="D230" s="80"/>
      <c r="E230" s="86"/>
      <c r="F230" s="86"/>
      <c r="G230" s="80"/>
      <c r="H230" s="87"/>
      <c r="I230" s="87"/>
      <c r="J230" s="87"/>
      <c r="K230" s="86"/>
      <c r="L230" s="88"/>
      <c r="M230" s="88"/>
      <c r="N230" s="88"/>
      <c r="O230" s="88"/>
      <c r="P230" s="80"/>
      <c r="Q230" s="80"/>
      <c r="R230" s="87"/>
      <c r="S230" s="87"/>
      <c r="T230" s="89"/>
      <c r="U230" s="89"/>
      <c r="V230" s="89"/>
      <c r="W230" s="87"/>
      <c r="X230" s="90"/>
      <c r="Y230" s="90"/>
      <c r="Z230" s="87"/>
      <c r="AA230" s="91"/>
      <c r="AB230" s="91"/>
      <c r="AC230" s="88"/>
      <c r="AD230" s="91"/>
      <c r="AE230" s="91"/>
      <c r="AF230" s="78"/>
      <c r="AG230" s="83"/>
      <c r="AH230" s="82"/>
    </row>
    <row r="231" spans="1:34">
      <c r="A231" s="1"/>
      <c r="B231" s="80"/>
      <c r="C231" s="80"/>
      <c r="D231" s="80"/>
      <c r="E231" s="86"/>
      <c r="F231" s="86"/>
      <c r="G231" s="80"/>
      <c r="H231" s="87"/>
      <c r="I231" s="87"/>
      <c r="J231" s="87"/>
      <c r="K231" s="86"/>
      <c r="L231" s="88"/>
      <c r="M231" s="88"/>
      <c r="N231" s="88"/>
      <c r="O231" s="88"/>
      <c r="P231" s="80"/>
      <c r="Q231" s="80"/>
      <c r="R231" s="87"/>
      <c r="S231" s="87"/>
      <c r="T231" s="89"/>
      <c r="U231" s="89"/>
      <c r="V231" s="89"/>
      <c r="W231" s="87"/>
      <c r="X231" s="90"/>
      <c r="Y231" s="90"/>
      <c r="Z231" s="87"/>
      <c r="AA231" s="91"/>
      <c r="AB231" s="91"/>
      <c r="AC231" s="88"/>
      <c r="AD231" s="91"/>
      <c r="AE231" s="91"/>
      <c r="AF231" s="78"/>
      <c r="AG231" s="83"/>
      <c r="AH231" s="82"/>
    </row>
  </sheetData>
  <mergeCells count="101">
    <mergeCell ref="A1:A2"/>
    <mergeCell ref="A3:A16"/>
    <mergeCell ref="A17:A30"/>
    <mergeCell ref="A31:A44"/>
    <mergeCell ref="A45:A53"/>
    <mergeCell ref="A54:A63"/>
    <mergeCell ref="A64:A74"/>
    <mergeCell ref="A75:A84"/>
    <mergeCell ref="A85:A94"/>
    <mergeCell ref="A95:A104"/>
    <mergeCell ref="A105:A114"/>
    <mergeCell ref="A115:A122"/>
    <mergeCell ref="A123:A130"/>
    <mergeCell ref="A131:A140"/>
    <mergeCell ref="A141:A149"/>
    <mergeCell ref="A150:A159"/>
    <mergeCell ref="A160:A167"/>
    <mergeCell ref="A168:A176"/>
    <mergeCell ref="A177:A186"/>
    <mergeCell ref="A187:A195"/>
    <mergeCell ref="A196:A207"/>
    <mergeCell ref="A208:A215"/>
    <mergeCell ref="A216:A224"/>
    <mergeCell ref="A225:A231"/>
    <mergeCell ref="B1:B2"/>
    <mergeCell ref="C1:C2"/>
    <mergeCell ref="C3:C16"/>
    <mergeCell ref="C17:C30"/>
    <mergeCell ref="C31:C44"/>
    <mergeCell ref="C64:C74"/>
    <mergeCell ref="C75:C84"/>
    <mergeCell ref="C85:C94"/>
    <mergeCell ref="C95:C104"/>
    <mergeCell ref="D1:D2"/>
    <mergeCell ref="D3:D16"/>
    <mergeCell ref="D17:D30"/>
    <mergeCell ref="D31:D44"/>
    <mergeCell ref="D45:D53"/>
    <mergeCell ref="D54:D63"/>
    <mergeCell ref="D64:D74"/>
    <mergeCell ref="D75:D84"/>
    <mergeCell ref="D85:D94"/>
    <mergeCell ref="D95:D104"/>
    <mergeCell ref="D105:D114"/>
    <mergeCell ref="D115:D122"/>
    <mergeCell ref="D123:D130"/>
    <mergeCell ref="D131:D140"/>
    <mergeCell ref="D141:D149"/>
    <mergeCell ref="D150:D159"/>
    <mergeCell ref="D160:D167"/>
    <mergeCell ref="D168:D176"/>
    <mergeCell ref="D177:D186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Z3:Z16"/>
    <mergeCell ref="AA1:AA2"/>
    <mergeCell ref="AA3:AA16"/>
    <mergeCell ref="AB1:AB2"/>
    <mergeCell ref="AC1:AC2"/>
    <mergeCell ref="AD1:AD2"/>
    <mergeCell ref="AD3:AD16"/>
    <mergeCell ref="AD17:AD30"/>
    <mergeCell ref="AD31:AD44"/>
    <mergeCell ref="AD64:AD74"/>
    <mergeCell ref="AD75:AD84"/>
    <mergeCell ref="AD85:AD94"/>
    <mergeCell ref="AD95:AD104"/>
    <mergeCell ref="AE1:AE2"/>
    <mergeCell ref="AE3:AE16"/>
    <mergeCell ref="AE17:AE30"/>
    <mergeCell ref="AE31:AE44"/>
    <mergeCell ref="AE64:AE74"/>
    <mergeCell ref="AE75:AE84"/>
    <mergeCell ref="AE85:AE94"/>
    <mergeCell ref="AE95:AE104"/>
    <mergeCell ref="AF1:AF2"/>
    <mergeCell ref="AF3:AF231"/>
    <mergeCell ref="AG1:AG2"/>
    <mergeCell ref="AG3:AG231"/>
    <mergeCell ref="AH1:AH2"/>
    <mergeCell ref="AH3:AH2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21"/>
  <sheetViews>
    <sheetView workbookViewId="0">
      <pane xSplit="2" ySplit="2" topLeftCell="X215" activePane="bottomRight" state="frozen"/>
      <selection/>
      <selection pane="topRight"/>
      <selection pane="bottomLeft"/>
      <selection pane="bottomRight" activeCell="A3" sqref="A3:A221"/>
    </sheetView>
  </sheetViews>
  <sheetFormatPr defaultColWidth="9.23076923076923" defaultRowHeight="16.8"/>
  <cols>
    <col min="1" max="1" width="10.3076923076923" customWidth="1"/>
    <col min="2" max="2" width="6" customWidth="1"/>
    <col min="3" max="8" width="22.4615384615385" style="28" customWidth="1"/>
    <col min="9" max="9" width="27.3076923076923" style="28" customWidth="1"/>
    <col min="10" max="10" width="20.9230769230769" customWidth="1"/>
    <col min="11" max="11" width="11.5384615384615" customWidth="1"/>
    <col min="12" max="12" width="19.8461538461538" customWidth="1"/>
    <col min="13" max="13" width="16.3846153846154" customWidth="1"/>
    <col min="14" max="14" width="55.1538461538462" customWidth="1"/>
    <col min="15" max="15" width="21.2307692307692" customWidth="1"/>
    <col min="16" max="16" width="18.7692307692308" customWidth="1"/>
    <col min="17" max="17" width="16.3846153846154" customWidth="1"/>
    <col min="18" max="18" width="21.2307692307692" customWidth="1"/>
    <col min="19" max="19" width="23.6153846153846" customWidth="1"/>
    <col min="20" max="20" width="16.3846153846154" customWidth="1"/>
    <col min="21" max="22" width="28.4615384615385" style="29" customWidth="1"/>
    <col min="23" max="24" width="19.8461538461538" customWidth="1"/>
    <col min="25" max="25" width="18.1538461538462" customWidth="1"/>
    <col min="26" max="27" width="19.8461538461538" customWidth="1"/>
    <col min="28" max="28" width="17.0769230769231" customWidth="1"/>
    <col min="29" max="30" width="18.1538461538462" customWidth="1"/>
    <col min="31" max="31" width="15.1538461538462" customWidth="1"/>
    <col min="32" max="33" width="17.6153846153846" customWidth="1"/>
  </cols>
  <sheetData>
    <row r="1" s="27" customFormat="1" spans="1:33">
      <c r="A1" s="6" t="s">
        <v>10</v>
      </c>
      <c r="B1" s="6" t="s">
        <v>11</v>
      </c>
      <c r="C1" s="30" t="s">
        <v>90</v>
      </c>
      <c r="D1" s="31" t="s">
        <v>91</v>
      </c>
      <c r="E1" s="31" t="s">
        <v>92</v>
      </c>
      <c r="F1" s="30" t="s">
        <v>93</v>
      </c>
      <c r="G1" s="30" t="s">
        <v>94</v>
      </c>
      <c r="H1" s="30" t="s">
        <v>95</v>
      </c>
      <c r="I1" s="30" t="s">
        <v>96</v>
      </c>
      <c r="J1" s="34" t="s">
        <v>97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16" t="s">
        <v>98</v>
      </c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9"/>
    </row>
    <row r="2" s="27" customFormat="1" spans="1:33">
      <c r="A2" s="6"/>
      <c r="B2" s="6"/>
      <c r="C2" s="30"/>
      <c r="D2" s="31"/>
      <c r="E2" s="31"/>
      <c r="F2" s="30"/>
      <c r="G2" s="30"/>
      <c r="H2" s="30"/>
      <c r="I2" s="30"/>
      <c r="J2" s="35" t="s">
        <v>99</v>
      </c>
      <c r="K2" s="36" t="s">
        <v>100</v>
      </c>
      <c r="L2" s="36" t="s">
        <v>101</v>
      </c>
      <c r="M2" s="7" t="s">
        <v>102</v>
      </c>
      <c r="N2" s="7" t="s">
        <v>103</v>
      </c>
      <c r="O2" s="7" t="s">
        <v>104</v>
      </c>
      <c r="P2" s="7" t="s">
        <v>105</v>
      </c>
      <c r="Q2" s="7" t="s">
        <v>106</v>
      </c>
      <c r="R2" s="7" t="s">
        <v>107</v>
      </c>
      <c r="S2" s="36" t="s">
        <v>108</v>
      </c>
      <c r="T2" s="39" t="s">
        <v>109</v>
      </c>
      <c r="U2" s="31" t="s">
        <v>91</v>
      </c>
      <c r="V2" s="31" t="s">
        <v>92</v>
      </c>
      <c r="W2" s="43" t="s">
        <v>110</v>
      </c>
      <c r="X2" s="44" t="s">
        <v>93</v>
      </c>
      <c r="Y2" s="2" t="s">
        <v>111</v>
      </c>
      <c r="Z2" s="44" t="s">
        <v>112</v>
      </c>
      <c r="AA2" s="44" t="s">
        <v>113</v>
      </c>
      <c r="AB2" s="44" t="s">
        <v>114</v>
      </c>
      <c r="AC2" s="44" t="s">
        <v>115</v>
      </c>
      <c r="AD2" s="44" t="s">
        <v>116</v>
      </c>
      <c r="AE2" s="44" t="s">
        <v>117</v>
      </c>
      <c r="AF2" s="44" t="s">
        <v>118</v>
      </c>
      <c r="AG2" s="44" t="s">
        <v>119</v>
      </c>
    </row>
    <row r="3" s="27" customFormat="1" spans="1:33">
      <c r="A3" s="1" t="s">
        <v>43</v>
      </c>
      <c r="B3" s="1">
        <v>2023</v>
      </c>
      <c r="C3" s="32">
        <f>(J3-J4)/J4</f>
        <v>0.190200273924693</v>
      </c>
      <c r="D3" s="32">
        <f>(U3-U4)/U4</f>
        <v>0.184472525256894</v>
      </c>
      <c r="E3" s="32">
        <f>(V3-V4)/V4</f>
        <v>-0.238715603956536</v>
      </c>
      <c r="F3" s="32">
        <f>(X3-X4)/X4</f>
        <v>0.0949690807278317</v>
      </c>
      <c r="G3" s="33">
        <f>(W3-W4)/W4</f>
        <v>15.908899048632</v>
      </c>
      <c r="H3" s="32">
        <f>(Z3-Z4)/Z4</f>
        <v>0.0956414380335073</v>
      </c>
      <c r="I3" s="37">
        <f>(AA3-AA4)/AA4</f>
        <v>0.237512566844833</v>
      </c>
      <c r="J3" s="24">
        <v>21689385461.71</v>
      </c>
      <c r="K3" s="38"/>
      <c r="L3" s="38">
        <v>5841004849.56</v>
      </c>
      <c r="M3" s="14"/>
      <c r="N3" s="14"/>
      <c r="O3" s="14"/>
      <c r="P3" s="14"/>
      <c r="Q3" s="14"/>
      <c r="R3" s="14"/>
      <c r="S3" s="38">
        <v>100000</v>
      </c>
      <c r="T3" s="40">
        <v>3775320.24</v>
      </c>
      <c r="U3" s="38">
        <v>223149082.18</v>
      </c>
      <c r="V3" s="38">
        <v>19263482.34</v>
      </c>
      <c r="W3" s="38">
        <v>181568850.13</v>
      </c>
      <c r="X3" s="38">
        <v>2618773147</v>
      </c>
      <c r="Y3" s="38">
        <v>201274405.31</v>
      </c>
      <c r="Z3" s="38">
        <v>4609123277.41</v>
      </c>
      <c r="AA3" s="15">
        <v>1460114184.95</v>
      </c>
      <c r="AB3" s="38">
        <v>40319069.27</v>
      </c>
      <c r="AC3" s="15">
        <v>856988955.03</v>
      </c>
      <c r="AD3" s="38">
        <v>210428426.24</v>
      </c>
      <c r="AE3" s="15">
        <v>4619864.17</v>
      </c>
      <c r="AF3" s="15">
        <v>453921761.34</v>
      </c>
      <c r="AG3" s="38">
        <v>9708268.74</v>
      </c>
    </row>
    <row r="4" spans="1:33">
      <c r="A4" s="1"/>
      <c r="B4" s="1">
        <v>2022</v>
      </c>
      <c r="C4" s="32">
        <f t="shared" ref="C4:C13" si="0">(J4-J5)/J5</f>
        <v>-0.0802704498776063</v>
      </c>
      <c r="D4" s="33">
        <f t="shared" ref="D4:F4" si="1">(U4-U5)/U5</f>
        <v>2.36149261235407</v>
      </c>
      <c r="E4" s="33">
        <f t="shared" si="1"/>
        <v>0.552928797182742</v>
      </c>
      <c r="F4" s="32">
        <f>(X4-X5)/X5</f>
        <v>0.0740168934701672</v>
      </c>
      <c r="G4" s="32">
        <f>(W4-W5)/W5</f>
        <v>-0.337811084620562</v>
      </c>
      <c r="H4" s="32">
        <f t="shared" ref="H4:H13" si="2">(Z4-Z5)/Z5</f>
        <v>0.163951735656397</v>
      </c>
      <c r="I4" s="37">
        <f t="shared" ref="I4:I13" si="3">(AA4-AA5)/AA5</f>
        <v>0.278080921263089</v>
      </c>
      <c r="J4" s="15">
        <v>18223307402.03</v>
      </c>
      <c r="K4" s="15"/>
      <c r="L4" s="15">
        <v>6081662998.97</v>
      </c>
      <c r="M4" s="15"/>
      <c r="N4" s="15"/>
      <c r="O4" s="11"/>
      <c r="P4" s="11"/>
      <c r="Q4" s="11"/>
      <c r="R4" s="11"/>
      <c r="S4" s="15">
        <v>100000</v>
      </c>
      <c r="T4" s="18">
        <v>4131328.25</v>
      </c>
      <c r="U4" s="45">
        <v>188395321.48</v>
      </c>
      <c r="V4" s="45">
        <v>25303923.79</v>
      </c>
      <c r="W4" s="45">
        <v>10738064.59</v>
      </c>
      <c r="X4" s="45">
        <v>2391641182.47</v>
      </c>
      <c r="Y4" s="47">
        <v>52539515.27</v>
      </c>
      <c r="Z4" s="11">
        <v>4206780719.87</v>
      </c>
      <c r="AA4" s="14">
        <v>1179878268.77</v>
      </c>
      <c r="AB4" s="15">
        <v>43429034.72</v>
      </c>
      <c r="AC4" s="11">
        <v>684643779.66</v>
      </c>
      <c r="AD4" s="11">
        <v>210428426.24</v>
      </c>
      <c r="AE4" s="11">
        <v>11015802.17</v>
      </c>
      <c r="AF4" s="15">
        <v>653326285.38</v>
      </c>
      <c r="AG4" s="15">
        <v>91853796.64</v>
      </c>
    </row>
    <row r="5" spans="1:33">
      <c r="A5" s="1"/>
      <c r="B5" s="1">
        <v>2021</v>
      </c>
      <c r="C5" s="32">
        <f t="shared" si="0"/>
        <v>0.168424763956606</v>
      </c>
      <c r="D5" s="32">
        <f t="shared" ref="D5:D13" si="4">(U5-U6)/U6</f>
        <v>0.350724497586504</v>
      </c>
      <c r="E5" s="32">
        <f t="shared" ref="E5:E13" si="5">(V5-V6)/V6</f>
        <v>0.042953133661427</v>
      </c>
      <c r="F5" s="32">
        <f t="shared" ref="F5:F13" si="6">(X5-X6)/X6</f>
        <v>0.06042991309768</v>
      </c>
      <c r="G5" s="32">
        <f t="shared" ref="G5:G13" si="7">(W5-W6)/W6</f>
        <v>0.449692598560329</v>
      </c>
      <c r="H5" s="32">
        <f t="shared" si="2"/>
        <v>-0.0765708136627867</v>
      </c>
      <c r="I5" s="37">
        <f t="shared" si="3"/>
        <v>1.50313013034616</v>
      </c>
      <c r="J5" s="15">
        <v>19813767427.18</v>
      </c>
      <c r="K5" s="15"/>
      <c r="L5" s="15">
        <v>5377818664.42</v>
      </c>
      <c r="M5" s="15"/>
      <c r="N5" s="15"/>
      <c r="O5" s="11"/>
      <c r="P5" s="11"/>
      <c r="Q5" s="11"/>
      <c r="R5" s="11"/>
      <c r="S5" s="15">
        <v>100000</v>
      </c>
      <c r="T5" s="18">
        <v>4496708</v>
      </c>
      <c r="U5" s="45">
        <v>56045139.23</v>
      </c>
      <c r="V5" s="45">
        <v>16294323.24</v>
      </c>
      <c r="W5" s="45">
        <v>16216013.8</v>
      </c>
      <c r="X5" s="45">
        <v>2226818960.68</v>
      </c>
      <c r="Y5" s="47">
        <v>71912733.17</v>
      </c>
      <c r="Z5" s="11">
        <v>3614222644.29</v>
      </c>
      <c r="AA5" s="14">
        <v>923163979.01</v>
      </c>
      <c r="AB5" s="2"/>
      <c r="AC5" s="11">
        <v>376666046.75</v>
      </c>
      <c r="AD5" s="11">
        <v>30578355.42</v>
      </c>
      <c r="AE5" s="11">
        <v>8221727.64</v>
      </c>
      <c r="AF5" s="2"/>
      <c r="AG5" s="2"/>
    </row>
    <row r="6" spans="1:33">
      <c r="A6" s="1"/>
      <c r="B6" s="1">
        <v>2020</v>
      </c>
      <c r="C6" s="32">
        <f t="shared" si="0"/>
        <v>0.260275261338559</v>
      </c>
      <c r="D6" s="33">
        <f t="shared" si="4"/>
        <v>15.8442319073703</v>
      </c>
      <c r="E6" s="32">
        <f t="shared" si="5"/>
        <v>-0.159032686735122</v>
      </c>
      <c r="F6" s="32">
        <f t="shared" si="6"/>
        <v>0.164836169195949</v>
      </c>
      <c r="G6" s="32">
        <f t="shared" si="7"/>
        <v>-0.875368492144307</v>
      </c>
      <c r="H6" s="32">
        <f t="shared" si="2"/>
        <v>0.135041497025156</v>
      </c>
      <c r="I6" s="32">
        <f t="shared" si="3"/>
        <v>-0.252700507598656</v>
      </c>
      <c r="J6" s="15">
        <v>16957675015.45</v>
      </c>
      <c r="K6" s="15"/>
      <c r="L6" s="15">
        <v>5054735186.75</v>
      </c>
      <c r="M6" s="15"/>
      <c r="N6" s="15"/>
      <c r="O6" s="11"/>
      <c r="P6" s="11"/>
      <c r="Q6" s="11"/>
      <c r="R6" s="11"/>
      <c r="S6" s="15">
        <v>100000</v>
      </c>
      <c r="T6" s="18">
        <v>4912608.29</v>
      </c>
      <c r="U6" s="45">
        <v>41492650.3</v>
      </c>
      <c r="V6" s="45">
        <v>15623255.46</v>
      </c>
      <c r="W6" s="45">
        <v>11185829.2</v>
      </c>
      <c r="X6" s="45">
        <v>2099920921.86</v>
      </c>
      <c r="Y6" s="47">
        <v>19503828.31</v>
      </c>
      <c r="Z6" s="11">
        <v>3913914242.44</v>
      </c>
      <c r="AA6" s="11">
        <v>368803829.98</v>
      </c>
      <c r="AB6" s="2"/>
      <c r="AC6" s="11">
        <v>385298787.75</v>
      </c>
      <c r="AD6" s="11">
        <v>30578355.42</v>
      </c>
      <c r="AE6" s="11">
        <v>4550870.63</v>
      </c>
      <c r="AF6" s="2"/>
      <c r="AG6" s="2"/>
    </row>
    <row r="7" spans="1:33">
      <c r="A7" s="1"/>
      <c r="B7" s="1">
        <v>2019</v>
      </c>
      <c r="C7" s="32">
        <f t="shared" si="0"/>
        <v>0.422780371658774</v>
      </c>
      <c r="D7" s="32">
        <f t="shared" si="4"/>
        <v>0.00767427234984268</v>
      </c>
      <c r="E7" s="32">
        <f t="shared" si="5"/>
        <v>0.0800103474432532</v>
      </c>
      <c r="F7" s="33">
        <f t="shared" si="6"/>
        <v>0.498145370303973</v>
      </c>
      <c r="G7" s="32">
        <f t="shared" si="7"/>
        <v>0.523640252727914</v>
      </c>
      <c r="H7" s="32">
        <f t="shared" si="2"/>
        <v>-0.0793612058076383</v>
      </c>
      <c r="I7" s="37">
        <f t="shared" si="3"/>
        <v>0.956045548778461</v>
      </c>
      <c r="J7" s="15">
        <v>13455532720.24</v>
      </c>
      <c r="K7" s="15"/>
      <c r="L7" s="15">
        <v>4878142342.48</v>
      </c>
      <c r="M7" s="15"/>
      <c r="N7" s="15"/>
      <c r="O7" s="11"/>
      <c r="P7" s="11"/>
      <c r="Q7" s="11"/>
      <c r="R7" s="11"/>
      <c r="S7" s="15">
        <v>100000</v>
      </c>
      <c r="T7" s="18">
        <v>5424533.82</v>
      </c>
      <c r="U7" s="45">
        <v>2463315.07</v>
      </c>
      <c r="V7" s="45">
        <v>18577720.22</v>
      </c>
      <c r="W7" s="45">
        <v>89751214.54</v>
      </c>
      <c r="X7" s="45">
        <v>1802760746.44</v>
      </c>
      <c r="Y7" s="47">
        <v>22139073.03</v>
      </c>
      <c r="Z7" s="11">
        <v>3448256519.87</v>
      </c>
      <c r="AA7" s="11">
        <v>493515429.53</v>
      </c>
      <c r="AB7" s="2"/>
      <c r="AC7" s="11">
        <v>138370580.99</v>
      </c>
      <c r="AD7" s="11">
        <v>15090466.13</v>
      </c>
      <c r="AE7" s="11">
        <v>87059.73</v>
      </c>
      <c r="AF7" s="2"/>
      <c r="AG7" s="2"/>
    </row>
    <row r="8" spans="1:33">
      <c r="A8" s="1"/>
      <c r="B8" s="1">
        <v>2018</v>
      </c>
      <c r="C8" s="32">
        <f t="shared" si="0"/>
        <v>0.684900436187654</v>
      </c>
      <c r="D8" s="32">
        <f t="shared" si="4"/>
        <v>-0.00895554473455974</v>
      </c>
      <c r="E8" s="32">
        <f t="shared" si="5"/>
        <v>-0.063429596943096</v>
      </c>
      <c r="F8" s="32">
        <f t="shared" si="6"/>
        <v>0.155801499345456</v>
      </c>
      <c r="G8" s="32">
        <f t="shared" si="7"/>
        <v>3.62225402307029</v>
      </c>
      <c r="H8" s="32">
        <f t="shared" si="2"/>
        <v>0.026264863246289</v>
      </c>
      <c r="I8" s="32">
        <f t="shared" si="3"/>
        <v>-0.589842247463417</v>
      </c>
      <c r="J8" s="15">
        <v>9457209973</v>
      </c>
      <c r="K8" s="15"/>
      <c r="L8" s="15"/>
      <c r="M8" s="15"/>
      <c r="N8" s="15"/>
      <c r="O8" s="11">
        <v>100000</v>
      </c>
      <c r="P8" s="11"/>
      <c r="Q8" s="11"/>
      <c r="R8" s="11"/>
      <c r="S8" s="15"/>
      <c r="T8" s="18">
        <v>6128510.63</v>
      </c>
      <c r="U8" s="45">
        <v>2444554.89</v>
      </c>
      <c r="V8" s="45">
        <v>17201427.99</v>
      </c>
      <c r="W8" s="45">
        <v>58905778.04</v>
      </c>
      <c r="X8" s="45">
        <v>1203328316.58</v>
      </c>
      <c r="Y8" s="47">
        <v>5068670980.84</v>
      </c>
      <c r="Z8" s="11">
        <v>3745504253.81</v>
      </c>
      <c r="AA8" s="11">
        <v>252302626.51</v>
      </c>
      <c r="AB8" s="2"/>
      <c r="AC8" s="11">
        <v>143566603.01</v>
      </c>
      <c r="AD8" s="11">
        <v>32268303.51</v>
      </c>
      <c r="AE8" s="11"/>
      <c r="AF8" s="2"/>
      <c r="AG8" s="2"/>
    </row>
    <row r="9" spans="1:33">
      <c r="A9" s="1"/>
      <c r="B9" s="1">
        <v>2017</v>
      </c>
      <c r="C9" s="32">
        <f t="shared" si="0"/>
        <v>0.080119058648652</v>
      </c>
      <c r="D9" s="32"/>
      <c r="E9" s="32">
        <f t="shared" si="5"/>
        <v>0.0805082025540955</v>
      </c>
      <c r="F9" s="32">
        <f t="shared" si="6"/>
        <v>0.10771101096838</v>
      </c>
      <c r="G9" s="32">
        <f t="shared" si="7"/>
        <v>1.03842348397803</v>
      </c>
      <c r="H9" s="32">
        <f t="shared" si="2"/>
        <v>-0.0471605965546371</v>
      </c>
      <c r="I9" s="32">
        <f t="shared" si="3"/>
        <v>0.0561800280096735</v>
      </c>
      <c r="J9" s="15">
        <v>5612919179.01</v>
      </c>
      <c r="K9" s="15"/>
      <c r="L9" s="15"/>
      <c r="M9" s="15"/>
      <c r="N9" s="15"/>
      <c r="O9" s="11">
        <v>100000</v>
      </c>
      <c r="P9" s="11"/>
      <c r="Q9" s="11"/>
      <c r="R9" s="11"/>
      <c r="S9" s="15"/>
      <c r="T9" s="18">
        <v>4705134.66</v>
      </c>
      <c r="U9" s="45">
        <v>2466645.04</v>
      </c>
      <c r="V9" s="45">
        <v>18366401.43</v>
      </c>
      <c r="W9" s="45">
        <v>12743950.84</v>
      </c>
      <c r="X9" s="45">
        <v>1041120224.59</v>
      </c>
      <c r="Y9" s="47">
        <v>5103012828.25</v>
      </c>
      <c r="Z9" s="11">
        <v>3649646780.23</v>
      </c>
      <c r="AA9" s="11">
        <v>615135578.81</v>
      </c>
      <c r="AB9" s="2"/>
      <c r="AC9" s="11">
        <v>149567775.08</v>
      </c>
      <c r="AD9" s="11">
        <v>32268303.51</v>
      </c>
      <c r="AE9" s="11"/>
      <c r="AF9" s="2"/>
      <c r="AG9" s="2"/>
    </row>
    <row r="10" spans="1:33">
      <c r="A10" s="1"/>
      <c r="B10" s="1">
        <v>2016</v>
      </c>
      <c r="C10" s="32">
        <f t="shared" si="0"/>
        <v>0.149915866494645</v>
      </c>
      <c r="D10" s="32"/>
      <c r="E10" s="33">
        <f t="shared" si="5"/>
        <v>1.33503496296795</v>
      </c>
      <c r="F10" s="32">
        <f t="shared" si="6"/>
        <v>-0.0600442390345632</v>
      </c>
      <c r="G10" s="32">
        <f t="shared" si="7"/>
        <v>-0.117708902789549</v>
      </c>
      <c r="H10" s="32">
        <f t="shared" si="2"/>
        <v>0.173622069417788</v>
      </c>
      <c r="I10" s="32">
        <f t="shared" si="3"/>
        <v>-0.259616874347512</v>
      </c>
      <c r="J10" s="15">
        <v>5196574520.25</v>
      </c>
      <c r="K10" s="15"/>
      <c r="L10" s="15"/>
      <c r="M10" s="15"/>
      <c r="N10" s="15"/>
      <c r="O10" s="11">
        <v>100000</v>
      </c>
      <c r="P10" s="11"/>
      <c r="Q10" s="11"/>
      <c r="R10" s="11"/>
      <c r="S10" s="15"/>
      <c r="T10" s="18">
        <v>5314445.51</v>
      </c>
      <c r="U10" s="45"/>
      <c r="V10" s="45">
        <v>16997928.74</v>
      </c>
      <c r="W10" s="45">
        <v>6251866.18</v>
      </c>
      <c r="X10" s="45">
        <v>939884332.9</v>
      </c>
      <c r="Y10" s="47">
        <v>2666423818.65</v>
      </c>
      <c r="Z10" s="15">
        <v>3830285320.94</v>
      </c>
      <c r="AA10" s="15">
        <v>582415461.85</v>
      </c>
      <c r="AB10" s="2"/>
      <c r="AC10" s="15">
        <v>140015729.76</v>
      </c>
      <c r="AD10" s="15">
        <v>17177837.38</v>
      </c>
      <c r="AE10" s="15"/>
      <c r="AF10" s="2"/>
      <c r="AG10" s="2"/>
    </row>
    <row r="11" spans="1:33">
      <c r="A11" s="1"/>
      <c r="B11" s="1">
        <v>2015</v>
      </c>
      <c r="C11" s="32">
        <f t="shared" si="0"/>
        <v>-0.116945073300857</v>
      </c>
      <c r="D11" s="32"/>
      <c r="E11" s="32">
        <f t="shared" si="5"/>
        <v>-0.66733682628397</v>
      </c>
      <c r="F11" s="32">
        <f t="shared" si="6"/>
        <v>-0.13367111268399</v>
      </c>
      <c r="G11" s="32">
        <f t="shared" si="7"/>
        <v>0.0201416717124553</v>
      </c>
      <c r="H11" s="32">
        <f t="shared" si="2"/>
        <v>0.0203112685606269</v>
      </c>
      <c r="I11" s="37">
        <f t="shared" si="3"/>
        <v>0.558775177271075</v>
      </c>
      <c r="J11" s="15">
        <v>4519091067.15</v>
      </c>
      <c r="K11" s="15"/>
      <c r="L11" s="15"/>
      <c r="M11" s="15"/>
      <c r="N11" s="15"/>
      <c r="O11" s="11">
        <v>0.001</v>
      </c>
      <c r="P11" s="11"/>
      <c r="Q11" s="11"/>
      <c r="R11" s="11"/>
      <c r="S11" s="15"/>
      <c r="T11" s="18">
        <v>5923756.26</v>
      </c>
      <c r="U11" s="45"/>
      <c r="V11" s="45">
        <v>7279517.87</v>
      </c>
      <c r="W11" s="45">
        <v>7085944.99</v>
      </c>
      <c r="X11" s="45">
        <v>999924009.12</v>
      </c>
      <c r="Y11" s="47">
        <v>1640624402.16</v>
      </c>
      <c r="Z11" s="15">
        <v>3263644592.88</v>
      </c>
      <c r="AA11" s="48">
        <v>786640648.16</v>
      </c>
      <c r="AB11" s="2"/>
      <c r="AC11" s="15">
        <v>144144932.39</v>
      </c>
      <c r="AD11" s="15">
        <v>17177837.38</v>
      </c>
      <c r="AE11" s="15"/>
      <c r="AF11" s="2"/>
      <c r="AG11" s="2"/>
    </row>
    <row r="12" spans="1:33">
      <c r="A12" s="1"/>
      <c r="B12" s="1">
        <v>2014</v>
      </c>
      <c r="C12" s="32">
        <f t="shared" si="0"/>
        <v>1.25957158485902</v>
      </c>
      <c r="D12" s="32"/>
      <c r="E12" s="33">
        <f t="shared" si="5"/>
        <v>19.9304156574871</v>
      </c>
      <c r="F12" s="33">
        <f t="shared" si="6"/>
        <v>14.2130332904072</v>
      </c>
      <c r="G12" s="32">
        <f t="shared" si="7"/>
        <v>-0.992977382353229</v>
      </c>
      <c r="H12" s="32">
        <f t="shared" si="2"/>
        <v>0.354986346024638</v>
      </c>
      <c r="I12" s="32">
        <f t="shared" si="3"/>
        <v>-0.320952526602908</v>
      </c>
      <c r="J12" s="15">
        <v>5117565091.95</v>
      </c>
      <c r="K12" s="15"/>
      <c r="L12" s="15"/>
      <c r="M12" s="15"/>
      <c r="N12" s="15"/>
      <c r="O12" s="11">
        <v>100000</v>
      </c>
      <c r="P12" s="11"/>
      <c r="Q12" s="11"/>
      <c r="R12" s="11"/>
      <c r="S12" s="15"/>
      <c r="T12" s="18">
        <v>6533067.14</v>
      </c>
      <c r="U12" s="45"/>
      <c r="V12" s="45">
        <v>21882548.01</v>
      </c>
      <c r="W12" s="45">
        <v>6946040.13</v>
      </c>
      <c r="X12" s="45">
        <v>1154208319.45</v>
      </c>
      <c r="Y12" s="47">
        <v>722327034.84</v>
      </c>
      <c r="Z12" s="15">
        <v>3198675437.04</v>
      </c>
      <c r="AA12" s="15">
        <v>504653050.44</v>
      </c>
      <c r="AB12" s="2"/>
      <c r="AC12" s="15">
        <v>148693946.28</v>
      </c>
      <c r="AD12" s="15">
        <v>17177837.38</v>
      </c>
      <c r="AE12" s="2"/>
      <c r="AF12" s="2"/>
      <c r="AG12" s="2"/>
    </row>
    <row r="13" spans="1:33">
      <c r="A13" s="1"/>
      <c r="B13" s="1">
        <v>2013</v>
      </c>
      <c r="C13" s="32">
        <f t="shared" si="0"/>
        <v>-0.0951503535357571</v>
      </c>
      <c r="D13" s="32"/>
      <c r="E13" s="32">
        <f t="shared" si="5"/>
        <v>-0.636751926088971</v>
      </c>
      <c r="F13" s="32">
        <f t="shared" si="6"/>
        <v>-0.00305544059808901</v>
      </c>
      <c r="G13" s="32">
        <f t="shared" si="7"/>
        <v>-0.385277470241105</v>
      </c>
      <c r="H13" s="32">
        <f t="shared" si="2"/>
        <v>0.130740362774187</v>
      </c>
      <c r="I13" s="37">
        <f t="shared" si="3"/>
        <v>0.987427983335118</v>
      </c>
      <c r="J13" s="15">
        <v>2264838665.1</v>
      </c>
      <c r="K13" s="15"/>
      <c r="L13" s="15"/>
      <c r="M13" s="15"/>
      <c r="N13" s="15"/>
      <c r="O13" s="11">
        <v>100000</v>
      </c>
      <c r="P13" s="11"/>
      <c r="Q13" s="11"/>
      <c r="R13" s="11"/>
      <c r="S13" s="15"/>
      <c r="T13" s="18">
        <v>7142377.97</v>
      </c>
      <c r="U13" s="45"/>
      <c r="V13" s="45">
        <v>1045490.37</v>
      </c>
      <c r="W13" s="45">
        <v>989095587.91</v>
      </c>
      <c r="X13" s="45">
        <v>75869703.13</v>
      </c>
      <c r="Y13" s="47">
        <v>16569932.55</v>
      </c>
      <c r="Z13" s="15">
        <v>2360669866.84</v>
      </c>
      <c r="AA13" s="15">
        <v>743177863.42</v>
      </c>
      <c r="AB13" s="2"/>
      <c r="AC13" s="15">
        <v>81874709.37</v>
      </c>
      <c r="AD13" s="15"/>
      <c r="AE13" s="2"/>
      <c r="AF13" s="2"/>
      <c r="AG13" s="2"/>
    </row>
    <row r="14" spans="1:33">
      <c r="A14" s="1"/>
      <c r="B14" s="1">
        <v>2012</v>
      </c>
      <c r="C14" s="32"/>
      <c r="D14" s="32"/>
      <c r="E14" s="32"/>
      <c r="F14" s="32"/>
      <c r="G14" s="32"/>
      <c r="H14" s="32"/>
      <c r="I14" s="32"/>
      <c r="J14" s="15">
        <f>25.03*100000000</f>
        <v>2503000000</v>
      </c>
      <c r="K14" s="15"/>
      <c r="L14" s="15"/>
      <c r="M14" s="15"/>
      <c r="N14" s="15"/>
      <c r="O14" s="11"/>
      <c r="P14" s="11"/>
      <c r="Q14" s="11">
        <f>0.001*100000000</f>
        <v>100000</v>
      </c>
      <c r="R14" s="11"/>
      <c r="S14" s="15"/>
      <c r="T14" s="18">
        <f>0.060445*100000000</f>
        <v>6044500</v>
      </c>
      <c r="U14" s="45"/>
      <c r="V14" s="45">
        <v>2878171.82</v>
      </c>
      <c r="W14" s="45">
        <v>1609011448.3</v>
      </c>
      <c r="X14" s="45">
        <v>76102228.97</v>
      </c>
      <c r="Y14" s="47">
        <v>12449513.86</v>
      </c>
      <c r="Z14" s="15">
        <v>2087720527.68</v>
      </c>
      <c r="AA14" s="15">
        <v>373939518.64</v>
      </c>
      <c r="AB14" s="2"/>
      <c r="AC14" s="15">
        <v>136055410.59</v>
      </c>
      <c r="AD14" s="15"/>
      <c r="AE14" s="2"/>
      <c r="AF14" s="2"/>
      <c r="AG14" s="2"/>
    </row>
    <row r="15" spans="1:33">
      <c r="A15" s="1"/>
      <c r="B15" s="1">
        <v>2011</v>
      </c>
      <c r="C15" s="32"/>
      <c r="D15" s="32"/>
      <c r="E15" s="32"/>
      <c r="F15" s="32"/>
      <c r="G15" s="32"/>
      <c r="H15" s="32"/>
      <c r="I15" s="32"/>
      <c r="J15" s="2"/>
      <c r="K15" s="2"/>
      <c r="L15" s="2"/>
      <c r="M15" s="2"/>
      <c r="N15" s="2"/>
      <c r="O15" s="2"/>
      <c r="P15" s="2"/>
      <c r="Q15" s="2"/>
      <c r="R15" s="2"/>
      <c r="S15" s="2"/>
      <c r="T15" s="41"/>
      <c r="U15" s="46"/>
      <c r="V15" s="46"/>
      <c r="W15" s="23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>
      <c r="A16" s="1"/>
      <c r="B16" s="1">
        <v>2010</v>
      </c>
      <c r="C16" s="32"/>
      <c r="D16" s="32"/>
      <c r="E16" s="32"/>
      <c r="F16" s="32"/>
      <c r="G16" s="32"/>
      <c r="H16" s="32"/>
      <c r="I16" s="32"/>
      <c r="J16" s="2"/>
      <c r="K16" s="2"/>
      <c r="L16" s="2"/>
      <c r="M16" s="2"/>
      <c r="N16" s="2"/>
      <c r="O16" s="2"/>
      <c r="P16" s="2"/>
      <c r="Q16" s="2"/>
      <c r="R16" s="2"/>
      <c r="S16" s="2"/>
      <c r="T16" s="41"/>
      <c r="U16" s="46"/>
      <c r="V16" s="46"/>
      <c r="W16" s="23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2">
      <c r="A17" s="1" t="s">
        <v>60</v>
      </c>
      <c r="B17" s="1">
        <v>2023</v>
      </c>
    </row>
    <row r="18" spans="1:2">
      <c r="A18" s="1"/>
      <c r="B18" s="1">
        <v>2022</v>
      </c>
    </row>
    <row r="19" spans="1:2">
      <c r="A19" s="1"/>
      <c r="B19" s="1">
        <v>2021</v>
      </c>
    </row>
    <row r="20" spans="1:2">
      <c r="A20" s="1"/>
      <c r="B20" s="1">
        <v>2020</v>
      </c>
    </row>
    <row r="21" spans="1:2">
      <c r="A21" s="1"/>
      <c r="B21" s="1">
        <v>2019</v>
      </c>
    </row>
    <row r="22" spans="1:2">
      <c r="A22" s="1"/>
      <c r="B22" s="1">
        <v>2018</v>
      </c>
    </row>
    <row r="23" spans="1:2">
      <c r="A23" s="1"/>
      <c r="B23" s="1">
        <v>2017</v>
      </c>
    </row>
    <row r="24" spans="1:2">
      <c r="A24" s="1"/>
      <c r="B24" s="1">
        <v>2016</v>
      </c>
    </row>
    <row r="25" spans="1:2">
      <c r="A25" s="1"/>
      <c r="B25" s="1">
        <v>2015</v>
      </c>
    </row>
    <row r="26" spans="1:2">
      <c r="A26" s="1"/>
      <c r="B26" s="1">
        <v>2014</v>
      </c>
    </row>
    <row r="27" spans="1:2">
      <c r="A27" s="1"/>
      <c r="B27" s="1">
        <v>2013</v>
      </c>
    </row>
    <row r="28" spans="1:2">
      <c r="A28" s="1"/>
      <c r="B28" s="1">
        <v>2012</v>
      </c>
    </row>
    <row r="29" spans="1:2">
      <c r="A29" s="1"/>
      <c r="B29" s="1">
        <v>2011</v>
      </c>
    </row>
    <row r="30" spans="1:2">
      <c r="A30" s="1"/>
      <c r="B30" s="1">
        <v>2010</v>
      </c>
    </row>
    <row r="31" spans="1:2">
      <c r="A31" s="1" t="s">
        <v>66</v>
      </c>
      <c r="B31" s="1">
        <v>2023</v>
      </c>
    </row>
    <row r="32" spans="1:2">
      <c r="A32" s="1"/>
      <c r="B32" s="1">
        <v>2022</v>
      </c>
    </row>
    <row r="33" spans="1:2">
      <c r="A33" s="1"/>
      <c r="B33" s="1">
        <v>2021</v>
      </c>
    </row>
    <row r="34" spans="1:2">
      <c r="A34" s="1"/>
      <c r="B34" s="1">
        <v>2020</v>
      </c>
    </row>
    <row r="35" spans="1:2">
      <c r="A35" s="1"/>
      <c r="B35" s="1">
        <v>2019</v>
      </c>
    </row>
    <row r="36" spans="1:2">
      <c r="A36" s="1"/>
      <c r="B36" s="1">
        <v>2018</v>
      </c>
    </row>
    <row r="37" spans="1:2">
      <c r="A37" s="1"/>
      <c r="B37" s="1">
        <v>2017</v>
      </c>
    </row>
    <row r="38" spans="1:2">
      <c r="A38" s="1"/>
      <c r="B38" s="1">
        <v>2016</v>
      </c>
    </row>
    <row r="39" spans="1:2">
      <c r="A39" s="1"/>
      <c r="B39" s="1">
        <v>2015</v>
      </c>
    </row>
    <row r="40" spans="1:2">
      <c r="A40" s="1"/>
      <c r="B40" s="1">
        <v>2014</v>
      </c>
    </row>
    <row r="41" spans="1:2">
      <c r="A41" s="1"/>
      <c r="B41" s="1">
        <v>2013</v>
      </c>
    </row>
    <row r="42" spans="1:2">
      <c r="A42" s="1"/>
      <c r="B42" s="1">
        <v>2012</v>
      </c>
    </row>
    <row r="43" spans="1:2">
      <c r="A43" s="1"/>
      <c r="B43" s="1">
        <v>2011</v>
      </c>
    </row>
    <row r="44" spans="1:2">
      <c r="A44" s="1"/>
      <c r="B44" s="1">
        <v>2010</v>
      </c>
    </row>
    <row r="45" spans="1:2">
      <c r="A45" s="1" t="s">
        <v>71</v>
      </c>
      <c r="B45" s="1">
        <v>2023</v>
      </c>
    </row>
    <row r="46" spans="1:2">
      <c r="A46" s="1"/>
      <c r="B46" s="1">
        <v>2022</v>
      </c>
    </row>
    <row r="47" spans="1:2">
      <c r="A47" s="1"/>
      <c r="B47" s="1">
        <v>2021</v>
      </c>
    </row>
    <row r="48" spans="1:2">
      <c r="A48" s="1"/>
      <c r="B48" s="1">
        <v>2020</v>
      </c>
    </row>
    <row r="49" spans="1:2">
      <c r="A49" s="1"/>
      <c r="B49" s="1">
        <v>2019</v>
      </c>
    </row>
    <row r="50" spans="1:2">
      <c r="A50" s="1"/>
      <c r="B50" s="1">
        <v>2018</v>
      </c>
    </row>
    <row r="51" spans="1:2">
      <c r="A51" s="1"/>
      <c r="B51" s="1">
        <v>2017</v>
      </c>
    </row>
    <row r="52" spans="1:2">
      <c r="A52" s="1"/>
      <c r="B52" s="1">
        <v>2016</v>
      </c>
    </row>
    <row r="53" spans="1:2">
      <c r="A53" s="1"/>
      <c r="B53" s="1">
        <v>2015</v>
      </c>
    </row>
    <row r="54" spans="1:2">
      <c r="A54" s="1"/>
      <c r="B54" s="1">
        <v>2014</v>
      </c>
    </row>
    <row r="55" spans="1:2">
      <c r="A55" s="1"/>
      <c r="B55" s="1">
        <v>2013</v>
      </c>
    </row>
    <row r="56" spans="1:2">
      <c r="A56" s="1" t="s">
        <v>72</v>
      </c>
      <c r="B56" s="1">
        <v>2023</v>
      </c>
    </row>
    <row r="57" spans="1:2">
      <c r="A57" s="1"/>
      <c r="B57" s="1">
        <v>2022</v>
      </c>
    </row>
    <row r="58" spans="1:2">
      <c r="A58" s="1"/>
      <c r="B58" s="1">
        <v>2021</v>
      </c>
    </row>
    <row r="59" spans="1:2">
      <c r="A59" s="1"/>
      <c r="B59" s="1">
        <v>2020</v>
      </c>
    </row>
    <row r="60" spans="1:2">
      <c r="A60" s="1"/>
      <c r="B60" s="1">
        <v>2019</v>
      </c>
    </row>
    <row r="61" spans="1:2">
      <c r="A61" s="1"/>
      <c r="B61" s="1">
        <v>2018</v>
      </c>
    </row>
    <row r="62" spans="1:2">
      <c r="A62" s="1"/>
      <c r="B62" s="1">
        <v>2017</v>
      </c>
    </row>
    <row r="63" spans="1:2">
      <c r="A63" s="1"/>
      <c r="B63" s="1">
        <v>2016</v>
      </c>
    </row>
    <row r="64" spans="1:2">
      <c r="A64" s="1"/>
      <c r="B64" s="1">
        <v>2015</v>
      </c>
    </row>
    <row r="65" spans="1:2">
      <c r="A65" s="1"/>
      <c r="B65" s="1">
        <v>2014</v>
      </c>
    </row>
    <row r="66" spans="1:2">
      <c r="A66" s="1" t="s">
        <v>74</v>
      </c>
      <c r="B66" s="1">
        <v>2023</v>
      </c>
    </row>
    <row r="67" spans="1:2">
      <c r="A67" s="1"/>
      <c r="B67" s="1">
        <v>2022</v>
      </c>
    </row>
    <row r="68" spans="1:2">
      <c r="A68" s="1"/>
      <c r="B68" s="1">
        <v>2021</v>
      </c>
    </row>
    <row r="69" spans="1:2">
      <c r="A69" s="1"/>
      <c r="B69" s="1">
        <v>2020</v>
      </c>
    </row>
    <row r="70" spans="1:2">
      <c r="A70" s="1"/>
      <c r="B70" s="1">
        <v>2019</v>
      </c>
    </row>
    <row r="71" spans="1:2">
      <c r="A71" s="1"/>
      <c r="B71" s="1">
        <v>2018</v>
      </c>
    </row>
    <row r="72" spans="1:2">
      <c r="A72" s="1"/>
      <c r="B72" s="1">
        <v>2017</v>
      </c>
    </row>
    <row r="73" spans="1:2">
      <c r="A73" s="1"/>
      <c r="B73" s="1">
        <v>2016</v>
      </c>
    </row>
    <row r="74" spans="1:2">
      <c r="A74" s="1"/>
      <c r="B74" s="1">
        <v>2015</v>
      </c>
    </row>
    <row r="75" spans="1:2">
      <c r="A75" s="1"/>
      <c r="B75" s="1">
        <v>2014</v>
      </c>
    </row>
    <row r="76" spans="1:2">
      <c r="A76" s="1" t="s">
        <v>75</v>
      </c>
      <c r="B76" s="1">
        <v>2023</v>
      </c>
    </row>
    <row r="77" spans="1:2">
      <c r="A77" s="1"/>
      <c r="B77" s="1">
        <v>2022</v>
      </c>
    </row>
    <row r="78" spans="1:2">
      <c r="A78" s="1"/>
      <c r="B78" s="1">
        <v>2021</v>
      </c>
    </row>
    <row r="79" spans="1:2">
      <c r="A79" s="1"/>
      <c r="B79" s="1">
        <v>2020</v>
      </c>
    </row>
    <row r="80" spans="1:2">
      <c r="A80" s="1"/>
      <c r="B80" s="1">
        <v>2019</v>
      </c>
    </row>
    <row r="81" spans="1:2">
      <c r="A81" s="1"/>
      <c r="B81" s="1">
        <v>2018</v>
      </c>
    </row>
    <row r="82" spans="1:2">
      <c r="A82" s="1"/>
      <c r="B82" s="1">
        <v>2017</v>
      </c>
    </row>
    <row r="83" spans="1:2">
      <c r="A83" s="1"/>
      <c r="B83" s="1">
        <v>2016</v>
      </c>
    </row>
    <row r="84" spans="1:2">
      <c r="A84" s="1"/>
      <c r="B84" s="1">
        <v>2015</v>
      </c>
    </row>
    <row r="85" spans="1:2">
      <c r="A85" s="1"/>
      <c r="B85" s="1">
        <v>2014</v>
      </c>
    </row>
    <row r="86" spans="1:2">
      <c r="A86" s="1" t="s">
        <v>69</v>
      </c>
      <c r="B86" s="1">
        <v>2023</v>
      </c>
    </row>
    <row r="87" spans="1:2">
      <c r="A87" s="1"/>
      <c r="B87" s="1">
        <v>2022</v>
      </c>
    </row>
    <row r="88" spans="1:2">
      <c r="A88" s="1"/>
      <c r="B88" s="1">
        <v>2021</v>
      </c>
    </row>
    <row r="89" spans="1:2">
      <c r="A89" s="1"/>
      <c r="B89" s="1">
        <v>2020</v>
      </c>
    </row>
    <row r="90" spans="1:2">
      <c r="A90" s="1"/>
      <c r="B90" s="1">
        <v>2019</v>
      </c>
    </row>
    <row r="91" spans="1:2">
      <c r="A91" s="1"/>
      <c r="B91" s="1">
        <v>2018</v>
      </c>
    </row>
    <row r="92" spans="1:2">
      <c r="A92" s="1"/>
      <c r="B92" s="1">
        <v>2017</v>
      </c>
    </row>
    <row r="93" spans="1:2">
      <c r="A93" s="1"/>
      <c r="B93" s="1">
        <v>2016</v>
      </c>
    </row>
    <row r="94" spans="1:2">
      <c r="A94" s="1"/>
      <c r="B94" s="1">
        <v>2015</v>
      </c>
    </row>
    <row r="95" spans="1:2">
      <c r="A95" s="1" t="s">
        <v>70</v>
      </c>
      <c r="B95" s="1">
        <v>2023</v>
      </c>
    </row>
    <row r="96" spans="1:2">
      <c r="A96" s="1"/>
      <c r="B96" s="1">
        <v>2022</v>
      </c>
    </row>
    <row r="97" spans="1:2">
      <c r="A97" s="1"/>
      <c r="B97" s="1">
        <v>2021</v>
      </c>
    </row>
    <row r="98" spans="1:2">
      <c r="A98" s="1"/>
      <c r="B98" s="1">
        <v>2020</v>
      </c>
    </row>
    <row r="99" spans="1:2">
      <c r="A99" s="1"/>
      <c r="B99" s="1">
        <v>2019</v>
      </c>
    </row>
    <row r="100" spans="1:2">
      <c r="A100" s="1"/>
      <c r="B100" s="1">
        <v>2018</v>
      </c>
    </row>
    <row r="101" spans="1:2">
      <c r="A101" s="1"/>
      <c r="B101" s="1">
        <v>2017</v>
      </c>
    </row>
    <row r="102" spans="1:2">
      <c r="A102" s="1"/>
      <c r="B102" s="1">
        <v>2016</v>
      </c>
    </row>
    <row r="103" spans="1:2">
      <c r="A103" s="1"/>
      <c r="B103" s="1">
        <v>2015</v>
      </c>
    </row>
    <row r="104" spans="1:2">
      <c r="A104" s="1"/>
      <c r="B104" s="1">
        <v>2014</v>
      </c>
    </row>
    <row r="105" spans="1:1">
      <c r="A105" s="1" t="s">
        <v>76</v>
      </c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 t="s">
        <v>77</v>
      </c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 t="s">
        <v>78</v>
      </c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 t="s">
        <v>79</v>
      </c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 t="s">
        <v>80</v>
      </c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 t="s">
        <v>81</v>
      </c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 t="s">
        <v>82</v>
      </c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 t="s">
        <v>83</v>
      </c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 t="s">
        <v>85</v>
      </c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 t="s">
        <v>86</v>
      </c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 t="s">
        <v>87</v>
      </c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 t="s">
        <v>88</v>
      </c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 t="s">
        <v>89</v>
      </c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</sheetData>
  <mergeCells count="33">
    <mergeCell ref="J1:T1"/>
    <mergeCell ref="U1:AG1"/>
    <mergeCell ref="A1:A2"/>
    <mergeCell ref="A3:A16"/>
    <mergeCell ref="A17:A30"/>
    <mergeCell ref="A31:A44"/>
    <mergeCell ref="A45:A55"/>
    <mergeCell ref="A56:A65"/>
    <mergeCell ref="A66:A75"/>
    <mergeCell ref="A76:A85"/>
    <mergeCell ref="A86:A94"/>
    <mergeCell ref="A95:A104"/>
    <mergeCell ref="A105:A114"/>
    <mergeCell ref="A115:A122"/>
    <mergeCell ref="A123:A130"/>
    <mergeCell ref="A131:A140"/>
    <mergeCell ref="A141:A149"/>
    <mergeCell ref="A150:A159"/>
    <mergeCell ref="A160:A167"/>
    <mergeCell ref="A168:A176"/>
    <mergeCell ref="A177:A185"/>
    <mergeCell ref="A186:A197"/>
    <mergeCell ref="A198:A205"/>
    <mergeCell ref="A206:A214"/>
    <mergeCell ref="A215:A221"/>
    <mergeCell ref="B1:B2"/>
    <mergeCell ref="C1:C2"/>
    <mergeCell ref="D1:D2"/>
    <mergeCell ref="E1:E2"/>
    <mergeCell ref="F1:F2"/>
    <mergeCell ref="G1:G2"/>
    <mergeCell ref="H1:H2"/>
    <mergeCell ref="I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21"/>
  <sheetViews>
    <sheetView workbookViewId="0">
      <pane xSplit="2" ySplit="2" topLeftCell="C24" activePane="bottomRight" state="frozen"/>
      <selection/>
      <selection pane="topRight"/>
      <selection pane="bottomLeft"/>
      <selection pane="bottomRight" activeCell="F39" sqref="F39"/>
    </sheetView>
  </sheetViews>
  <sheetFormatPr defaultColWidth="9.23076923076923" defaultRowHeight="16.8"/>
  <cols>
    <col min="1" max="2" width="9.23076923076923" style="3"/>
    <col min="3" max="3" width="20.9230769230769" style="4" customWidth="1"/>
    <col min="4" max="4" width="24.8461538461538" style="3" customWidth="1"/>
    <col min="5" max="6" width="20.9230769230769" style="3"/>
    <col min="7" max="8" width="23.625" style="5" customWidth="1"/>
    <col min="9" max="9" width="19.8461538461538" style="3" customWidth="1"/>
    <col min="10" max="10" width="17.625" style="3" customWidth="1"/>
    <col min="11" max="11" width="15.1538461538462" style="3" customWidth="1"/>
    <col min="12" max="12" width="10.3076923076923" style="3" customWidth="1"/>
    <col min="13" max="13" width="19.8461538461538" style="3" customWidth="1"/>
    <col min="14" max="14" width="15.1538461538462" style="3" customWidth="1"/>
    <col min="15" max="15" width="20.9230769230769" style="3" customWidth="1"/>
    <col min="16" max="16" width="20.9230769230769" customWidth="1"/>
    <col min="17" max="17" width="18.1538461538462" customWidth="1"/>
    <col min="18" max="18" width="23.6153846153846" customWidth="1"/>
    <col min="19" max="19" width="52.6923076923077" customWidth="1"/>
    <col min="20" max="20" width="18.7692307692308" customWidth="1"/>
    <col min="21" max="22" width="16.3846153846154" customWidth="1"/>
    <col min="23" max="25" width="19.8461538461538" customWidth="1"/>
    <col min="26" max="27" width="16.3846153846154" customWidth="1"/>
    <col min="28" max="29" width="19.8461538461538" customWidth="1"/>
    <col min="30" max="30" width="28.4615384615385" customWidth="1"/>
    <col min="31" max="32" width="18.7692307692308" customWidth="1"/>
    <col min="33" max="33" width="17.0769230769231" customWidth="1"/>
    <col min="34" max="34" width="18.1538461538462" customWidth="1"/>
    <col min="35" max="35" width="17.0769230769231" customWidth="1"/>
    <col min="36" max="36" width="18.7692307692308" customWidth="1"/>
    <col min="37" max="37" width="18.1538461538462" customWidth="1"/>
    <col min="38" max="39" width="17.6153846153846" customWidth="1"/>
  </cols>
  <sheetData>
    <row r="1" spans="1:39">
      <c r="A1" s="6" t="s">
        <v>10</v>
      </c>
      <c r="B1" s="6" t="s">
        <v>11</v>
      </c>
      <c r="C1" s="7" t="s">
        <v>120</v>
      </c>
      <c r="D1" s="8" t="s">
        <v>121</v>
      </c>
      <c r="E1" s="8" t="s">
        <v>26</v>
      </c>
      <c r="F1" s="8" t="s">
        <v>122</v>
      </c>
      <c r="G1" s="14" t="s">
        <v>123</v>
      </c>
      <c r="H1" s="7" t="s">
        <v>124</v>
      </c>
      <c r="I1" s="6" t="s">
        <v>125</v>
      </c>
      <c r="J1" s="6" t="s">
        <v>126</v>
      </c>
      <c r="K1" s="6" t="s">
        <v>127</v>
      </c>
      <c r="L1" s="6" t="s">
        <v>128</v>
      </c>
      <c r="M1" s="6" t="s">
        <v>129</v>
      </c>
      <c r="N1" s="6" t="s">
        <v>130</v>
      </c>
      <c r="O1" s="16" t="s">
        <v>131</v>
      </c>
      <c r="P1" s="17" t="s">
        <v>132</v>
      </c>
      <c r="Q1" s="19" t="s">
        <v>133</v>
      </c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 t="s">
        <v>134</v>
      </c>
      <c r="AG1" s="19"/>
      <c r="AH1" s="19"/>
      <c r="AI1" s="19"/>
      <c r="AJ1" s="19"/>
      <c r="AK1" s="19"/>
      <c r="AL1" s="19"/>
      <c r="AM1" s="19"/>
    </row>
    <row r="2" spans="1:39">
      <c r="A2" s="6"/>
      <c r="B2" s="6"/>
      <c r="C2" s="9"/>
      <c r="D2" s="10"/>
      <c r="E2" s="10"/>
      <c r="F2" s="10"/>
      <c r="G2" s="14"/>
      <c r="H2" s="9"/>
      <c r="I2" s="6"/>
      <c r="J2" s="6"/>
      <c r="K2" s="6"/>
      <c r="L2" s="6"/>
      <c r="M2" s="6"/>
      <c r="N2" s="6"/>
      <c r="O2" s="16"/>
      <c r="P2" s="6"/>
      <c r="Q2" s="20" t="s">
        <v>135</v>
      </c>
      <c r="R2" s="14" t="s">
        <v>136</v>
      </c>
      <c r="S2" s="14" t="s">
        <v>137</v>
      </c>
      <c r="T2" s="14" t="s">
        <v>138</v>
      </c>
      <c r="U2" s="14" t="s">
        <v>139</v>
      </c>
      <c r="V2" s="14" t="s">
        <v>140</v>
      </c>
      <c r="W2" s="14" t="s">
        <v>141</v>
      </c>
      <c r="X2" s="14" t="s">
        <v>142</v>
      </c>
      <c r="Y2" s="14" t="s">
        <v>143</v>
      </c>
      <c r="Z2" s="14" t="s">
        <v>144</v>
      </c>
      <c r="AA2" s="14" t="s">
        <v>145</v>
      </c>
      <c r="AB2" s="14" t="s">
        <v>146</v>
      </c>
      <c r="AC2" s="14" t="s">
        <v>147</v>
      </c>
      <c r="AD2" s="14" t="s">
        <v>148</v>
      </c>
      <c r="AE2" s="14" t="s">
        <v>149</v>
      </c>
      <c r="AF2" s="14" t="s">
        <v>150</v>
      </c>
      <c r="AG2" s="25" t="s">
        <v>151</v>
      </c>
      <c r="AH2" s="14" t="s">
        <v>152</v>
      </c>
      <c r="AI2" s="14" t="s">
        <v>153</v>
      </c>
      <c r="AJ2" s="14" t="s">
        <v>154</v>
      </c>
      <c r="AK2" s="15" t="s">
        <v>155</v>
      </c>
      <c r="AL2" s="15" t="s">
        <v>156</v>
      </c>
      <c r="AM2" s="15" t="s">
        <v>157</v>
      </c>
    </row>
    <row r="3" spans="1:39">
      <c r="A3" s="1" t="s">
        <v>43</v>
      </c>
      <c r="B3" s="1">
        <v>2023</v>
      </c>
      <c r="C3" s="11">
        <f>D3+P3</f>
        <v>29032975592.12</v>
      </c>
      <c r="D3" s="11">
        <f t="shared" ref="D3:D8" si="0">SUM(G3:O3)-2*J3</f>
        <v>28530612036.85</v>
      </c>
      <c r="E3" s="11">
        <f>SUM(Q3:AM3)</f>
        <v>9390542813.5</v>
      </c>
      <c r="F3" s="11">
        <f>Q3+AG3+AH3+AJ3</f>
        <v>432916134.42</v>
      </c>
      <c r="G3" s="11">
        <v>5560600544</v>
      </c>
      <c r="H3" s="11"/>
      <c r="I3" s="15">
        <v>142498802.39</v>
      </c>
      <c r="J3" s="15">
        <v>249997787.72</v>
      </c>
      <c r="K3" s="15">
        <v>-9141.91</v>
      </c>
      <c r="L3" s="15"/>
      <c r="M3" s="15">
        <v>2798875887.9</v>
      </c>
      <c r="N3" s="15"/>
      <c r="O3" s="18">
        <v>20278643732.19</v>
      </c>
      <c r="P3" s="15">
        <v>502363555.27</v>
      </c>
      <c r="Q3" s="21">
        <v>362645734.42</v>
      </c>
      <c r="R3" s="15">
        <v>0</v>
      </c>
      <c r="S3" s="15">
        <v>0</v>
      </c>
      <c r="T3" s="15">
        <v>0</v>
      </c>
      <c r="U3" s="15">
        <v>0</v>
      </c>
      <c r="V3" s="24">
        <v>457993662.79</v>
      </c>
      <c r="W3" s="15">
        <v>1403494596.12</v>
      </c>
      <c r="X3" s="15"/>
      <c r="Y3" s="15">
        <v>4527027103.06</v>
      </c>
      <c r="Z3" s="15">
        <v>593659076.43</v>
      </c>
      <c r="AA3" s="15">
        <v>286855114.6</v>
      </c>
      <c r="AB3" s="15"/>
      <c r="AC3" s="15">
        <v>847603970.68</v>
      </c>
      <c r="AD3" s="15">
        <v>31344563.21</v>
      </c>
      <c r="AE3" s="15">
        <v>425613920.97</v>
      </c>
      <c r="AF3" s="15">
        <v>0</v>
      </c>
      <c r="AG3" s="15">
        <v>70270400</v>
      </c>
      <c r="AH3" s="15">
        <v>0</v>
      </c>
      <c r="AI3" s="15">
        <v>30185800.32</v>
      </c>
      <c r="AJ3" s="15">
        <v>0</v>
      </c>
      <c r="AK3" s="15">
        <v>303224464.55</v>
      </c>
      <c r="AL3" s="15">
        <v>31624406.35</v>
      </c>
      <c r="AM3" s="15">
        <v>19000000</v>
      </c>
    </row>
    <row r="4" spans="1:39">
      <c r="A4" s="1"/>
      <c r="B4" s="1">
        <v>2022</v>
      </c>
      <c r="C4" s="11">
        <f t="shared" ref="C4:C14" si="1">D4+P4</f>
        <v>26884479411.22</v>
      </c>
      <c r="D4" s="11">
        <f t="shared" si="0"/>
        <v>26397676525.41</v>
      </c>
      <c r="E4" s="11">
        <f>SUM(Q4:AJ4)</f>
        <v>6842690084.63</v>
      </c>
      <c r="F4" s="11">
        <f t="shared" ref="F4:F14" si="2">Q4+AG4+AH4+AJ4</f>
        <v>225373533.21</v>
      </c>
      <c r="G4" s="11">
        <v>4633833787</v>
      </c>
      <c r="H4" s="11"/>
      <c r="I4" s="15">
        <v>142498802.39</v>
      </c>
      <c r="J4" s="15">
        <v>0</v>
      </c>
      <c r="K4" s="15">
        <v>0</v>
      </c>
      <c r="L4" s="15"/>
      <c r="M4" s="15">
        <v>2335492509.4</v>
      </c>
      <c r="N4" s="15"/>
      <c r="O4" s="18">
        <v>19285851426.62</v>
      </c>
      <c r="P4" s="15">
        <v>486802885.81</v>
      </c>
      <c r="Q4" s="22">
        <v>131720077.32</v>
      </c>
      <c r="R4" s="11">
        <v>0</v>
      </c>
      <c r="S4" s="11">
        <v>0</v>
      </c>
      <c r="T4" s="11">
        <v>0</v>
      </c>
      <c r="U4" s="15">
        <v>0</v>
      </c>
      <c r="V4" s="15">
        <v>0</v>
      </c>
      <c r="W4" s="15">
        <v>1300261929.82</v>
      </c>
      <c r="X4" s="15"/>
      <c r="Y4" s="15">
        <v>2948110991.12</v>
      </c>
      <c r="Z4" s="15">
        <v>669278588.31</v>
      </c>
      <c r="AA4" s="15">
        <v>478998581.67</v>
      </c>
      <c r="AB4" s="15"/>
      <c r="AC4" s="15">
        <v>1044863638.09</v>
      </c>
      <c r="AD4" s="11">
        <v>20265618.29</v>
      </c>
      <c r="AE4" s="11">
        <v>125791480.83</v>
      </c>
      <c r="AF4" s="11">
        <v>0</v>
      </c>
      <c r="AG4" s="11">
        <v>93653455.89</v>
      </c>
      <c r="AH4" s="11">
        <v>0</v>
      </c>
      <c r="AI4" s="11">
        <v>29745723.29</v>
      </c>
      <c r="AJ4" s="11">
        <v>0</v>
      </c>
      <c r="AK4" s="15">
        <v>279166064.35</v>
      </c>
      <c r="AL4" s="15">
        <v>33840290.1</v>
      </c>
      <c r="AM4" s="15">
        <v>19000000</v>
      </c>
    </row>
    <row r="5" spans="1:39">
      <c r="A5" s="1"/>
      <c r="B5" s="1">
        <v>2021</v>
      </c>
      <c r="C5" s="11">
        <f t="shared" si="1"/>
        <v>23499848566.38</v>
      </c>
      <c r="D5" s="11">
        <f t="shared" si="0"/>
        <v>23401517470.83</v>
      </c>
      <c r="E5" s="11">
        <f t="shared" ref="E5:E14" si="3">SUM(Q5:AJ5)</f>
        <v>9530755700.25</v>
      </c>
      <c r="F5" s="11">
        <f t="shared" si="2"/>
        <v>104600000</v>
      </c>
      <c r="G5" s="11">
        <v>4212576170</v>
      </c>
      <c r="H5" s="11"/>
      <c r="I5" s="15">
        <v>142498802.39</v>
      </c>
      <c r="J5" s="15">
        <v>0</v>
      </c>
      <c r="K5" s="15">
        <v>0</v>
      </c>
      <c r="L5" s="15"/>
      <c r="M5" s="15">
        <v>2124863700.9</v>
      </c>
      <c r="N5" s="15"/>
      <c r="O5" s="18">
        <v>16921578797.54</v>
      </c>
      <c r="P5" s="15">
        <v>98331095.55</v>
      </c>
      <c r="Q5" s="22">
        <v>104600000</v>
      </c>
      <c r="R5" s="15">
        <v>0</v>
      </c>
      <c r="S5" s="15">
        <v>0</v>
      </c>
      <c r="T5" s="15">
        <v>0</v>
      </c>
      <c r="U5" s="15">
        <v>0</v>
      </c>
      <c r="V5" s="15">
        <v>466579620.84</v>
      </c>
      <c r="W5" s="15">
        <v>1606951054.18</v>
      </c>
      <c r="X5" s="15"/>
      <c r="Y5" s="15">
        <v>4708621289.28</v>
      </c>
      <c r="Z5" s="15">
        <v>736235789.51</v>
      </c>
      <c r="AA5" s="15">
        <v>532484083.03</v>
      </c>
      <c r="AB5" s="15"/>
      <c r="AC5" s="15">
        <v>972021493.04</v>
      </c>
      <c r="AD5" s="11">
        <v>21395441.72</v>
      </c>
      <c r="AE5" s="11">
        <v>327796754.85</v>
      </c>
      <c r="AF5" s="11">
        <v>0</v>
      </c>
      <c r="AG5" s="11">
        <v>0</v>
      </c>
      <c r="AH5" s="11"/>
      <c r="AI5" s="11">
        <v>54070173.8</v>
      </c>
      <c r="AJ5" s="11">
        <v>0</v>
      </c>
      <c r="AK5" s="15">
        <v>292355724.39</v>
      </c>
      <c r="AL5" s="15">
        <v>14764558.56</v>
      </c>
      <c r="AM5" s="15">
        <v>0</v>
      </c>
    </row>
    <row r="6" spans="1:39">
      <c r="A6" s="1"/>
      <c r="B6" s="1">
        <v>2020</v>
      </c>
      <c r="C6" s="11">
        <f t="shared" si="1"/>
        <v>20166034544.96</v>
      </c>
      <c r="D6" s="11">
        <f t="shared" si="0"/>
        <v>20068416163.35</v>
      </c>
      <c r="E6" s="11">
        <f t="shared" si="3"/>
        <v>9080342856.11</v>
      </c>
      <c r="F6" s="11">
        <f t="shared" si="2"/>
        <v>92600000</v>
      </c>
      <c r="G6" s="11">
        <v>3240443208</v>
      </c>
      <c r="H6" s="11"/>
      <c r="I6" s="15">
        <v>790587443.39</v>
      </c>
      <c r="J6" s="15">
        <v>0</v>
      </c>
      <c r="K6" s="15">
        <v>0</v>
      </c>
      <c r="L6" s="15"/>
      <c r="M6" s="15">
        <v>1638797219.9</v>
      </c>
      <c r="N6" s="15"/>
      <c r="O6" s="18">
        <v>14398588292.06</v>
      </c>
      <c r="P6" s="15">
        <v>97618381.61</v>
      </c>
      <c r="Q6" s="22">
        <v>92600000</v>
      </c>
      <c r="R6" s="15">
        <v>0</v>
      </c>
      <c r="S6" s="15">
        <v>0</v>
      </c>
      <c r="T6" s="15">
        <v>0</v>
      </c>
      <c r="U6" s="15">
        <v>0</v>
      </c>
      <c r="V6" s="15">
        <v>413368683.31</v>
      </c>
      <c r="W6" s="15">
        <v>1001363367.54</v>
      </c>
      <c r="X6" s="15"/>
      <c r="Y6" s="15">
        <v>4451535500.47</v>
      </c>
      <c r="Z6" s="15">
        <v>828424042.65</v>
      </c>
      <c r="AA6" s="15">
        <v>716772010.27</v>
      </c>
      <c r="AB6" s="15"/>
      <c r="AC6" s="15">
        <v>1239133371.41</v>
      </c>
      <c r="AD6" s="11">
        <v>0</v>
      </c>
      <c r="AE6" s="11">
        <v>337145880.46</v>
      </c>
      <c r="AF6" s="11">
        <v>0</v>
      </c>
      <c r="AG6" s="11">
        <v>0</v>
      </c>
      <c r="AH6" s="11"/>
      <c r="AI6" s="11">
        <v>0</v>
      </c>
      <c r="AJ6" s="11">
        <v>0</v>
      </c>
      <c r="AK6" s="15">
        <v>270361510.27</v>
      </c>
      <c r="AL6" s="15">
        <v>16881127.32</v>
      </c>
      <c r="AM6" s="15">
        <v>0</v>
      </c>
    </row>
    <row r="7" spans="1:39">
      <c r="A7" s="1"/>
      <c r="B7" s="1">
        <v>2019</v>
      </c>
      <c r="C7" s="11">
        <f t="shared" si="1"/>
        <v>16597706781.83</v>
      </c>
      <c r="D7" s="11">
        <f t="shared" si="0"/>
        <v>16581955058.64</v>
      </c>
      <c r="E7" s="11">
        <f t="shared" si="3"/>
        <v>7978441119.04</v>
      </c>
      <c r="F7" s="11">
        <f t="shared" si="2"/>
        <v>19600000</v>
      </c>
      <c r="G7" s="11">
        <v>2700369340</v>
      </c>
      <c r="H7" s="11"/>
      <c r="I7" s="15">
        <v>1330661311.39</v>
      </c>
      <c r="J7" s="15">
        <v>0</v>
      </c>
      <c r="K7" s="15">
        <v>0</v>
      </c>
      <c r="L7" s="15"/>
      <c r="M7" s="15">
        <v>1368760285.9</v>
      </c>
      <c r="N7" s="15"/>
      <c r="O7" s="18">
        <v>11182164121.35</v>
      </c>
      <c r="P7" s="15">
        <v>15751723.19</v>
      </c>
      <c r="Q7" s="22">
        <v>19600000</v>
      </c>
      <c r="R7" s="15">
        <v>0</v>
      </c>
      <c r="S7" s="15">
        <v>0</v>
      </c>
      <c r="T7" s="15">
        <v>0</v>
      </c>
      <c r="U7" s="15">
        <v>0</v>
      </c>
      <c r="V7" s="15">
        <v>397525371.8</v>
      </c>
      <c r="W7" s="15">
        <v>900946325.38</v>
      </c>
      <c r="X7" s="15">
        <v>4097996215.03</v>
      </c>
      <c r="Y7" s="15">
        <v>0</v>
      </c>
      <c r="Z7" s="15">
        <v>700536530.75</v>
      </c>
      <c r="AA7" s="15">
        <v>645119763.32</v>
      </c>
      <c r="AB7" s="15"/>
      <c r="AC7" s="15">
        <v>1216716912.76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5">
        <v>177740197.81</v>
      </c>
      <c r="AL7" s="15"/>
      <c r="AM7" s="15">
        <v>177740197.81</v>
      </c>
    </row>
    <row r="8" spans="1:39">
      <c r="A8" s="1"/>
      <c r="B8" s="1">
        <v>2018</v>
      </c>
      <c r="C8" s="11">
        <f t="shared" si="1"/>
        <v>13887826140.51</v>
      </c>
      <c r="D8" s="11">
        <f t="shared" si="0"/>
        <v>13875131982.49</v>
      </c>
      <c r="E8" s="11">
        <f t="shared" si="3"/>
        <v>6120731355.04</v>
      </c>
      <c r="F8" s="11">
        <f t="shared" si="2"/>
        <v>19600000</v>
      </c>
      <c r="G8" s="11">
        <v>2700369340</v>
      </c>
      <c r="H8" s="11"/>
      <c r="I8" s="15">
        <v>1330661311.39</v>
      </c>
      <c r="J8" s="15">
        <v>0</v>
      </c>
      <c r="K8" s="15">
        <v>39309965.69</v>
      </c>
      <c r="L8" s="15"/>
      <c r="M8" s="15">
        <v>1368760285.9</v>
      </c>
      <c r="N8" s="15"/>
      <c r="O8" s="18">
        <v>8436031079.51</v>
      </c>
      <c r="P8" s="15">
        <v>12694158.02</v>
      </c>
      <c r="Q8" s="22">
        <v>19600000</v>
      </c>
      <c r="R8" s="15">
        <v>0</v>
      </c>
      <c r="S8" s="15">
        <v>0</v>
      </c>
      <c r="T8" s="15">
        <v>0</v>
      </c>
      <c r="U8" s="15">
        <v>0</v>
      </c>
      <c r="V8" s="15">
        <v>67283953.25</v>
      </c>
      <c r="W8" s="15">
        <v>677555844.49</v>
      </c>
      <c r="X8" s="15">
        <v>3236793020.67</v>
      </c>
      <c r="Y8" s="15">
        <v>0</v>
      </c>
      <c r="Z8" s="15">
        <v>480012127.36</v>
      </c>
      <c r="AA8" s="15">
        <v>573452240.53</v>
      </c>
      <c r="AB8" s="15"/>
      <c r="AC8" s="15">
        <v>1066034168.74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5">
        <v>135231357.78</v>
      </c>
      <c r="AL8" s="15"/>
      <c r="AM8" s="15">
        <v>135231357.78</v>
      </c>
    </row>
    <row r="9" spans="1:39">
      <c r="A9" s="1"/>
      <c r="B9" s="1">
        <v>2017</v>
      </c>
      <c r="C9" s="11">
        <f t="shared" si="1"/>
        <v>11764173507.61</v>
      </c>
      <c r="D9" s="11">
        <f t="shared" ref="D9:D14" si="4">SUM(G9:O9)-2*J9</f>
        <v>11753339999.07</v>
      </c>
      <c r="E9" s="11">
        <f t="shared" si="3"/>
        <v>4514183248.16</v>
      </c>
      <c r="F9" s="11">
        <f t="shared" si="2"/>
        <v>0</v>
      </c>
      <c r="G9" s="11">
        <v>2701206700</v>
      </c>
      <c r="H9" s="11"/>
      <c r="I9" s="15">
        <v>1291572608.6</v>
      </c>
      <c r="J9" s="15">
        <v>37170173.18</v>
      </c>
      <c r="K9" s="15">
        <v>61430054.74</v>
      </c>
      <c r="L9" s="15"/>
      <c r="M9" s="15">
        <v>1291224237.63</v>
      </c>
      <c r="N9" s="15"/>
      <c r="O9" s="18">
        <v>6445076571.28</v>
      </c>
      <c r="P9" s="15">
        <v>10833508.54</v>
      </c>
      <c r="Q9" s="22">
        <v>0</v>
      </c>
      <c r="R9" s="15">
        <v>0</v>
      </c>
      <c r="S9" s="15">
        <v>0</v>
      </c>
      <c r="T9" s="15">
        <v>0</v>
      </c>
      <c r="U9" s="15">
        <v>0</v>
      </c>
      <c r="V9" s="15">
        <v>1144103.61</v>
      </c>
      <c r="W9" s="15">
        <v>554910079.08</v>
      </c>
      <c r="X9" s="15">
        <v>2678690961.42</v>
      </c>
      <c r="Y9" s="15">
        <v>0</v>
      </c>
      <c r="Z9" s="15">
        <v>326503266.44</v>
      </c>
      <c r="AA9" s="15">
        <v>319826598.32</v>
      </c>
      <c r="AB9" s="15"/>
      <c r="AC9" s="15">
        <v>626519973.67</v>
      </c>
      <c r="AD9" s="11">
        <v>0</v>
      </c>
      <c r="AE9" s="11">
        <v>6588265.62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26">
        <v>57655500</v>
      </c>
      <c r="AL9" s="15">
        <v>0</v>
      </c>
      <c r="AM9" s="15">
        <v>0</v>
      </c>
    </row>
    <row r="10" spans="1:39">
      <c r="A10" s="1"/>
      <c r="B10" s="1">
        <v>2016</v>
      </c>
      <c r="C10" s="11">
        <f t="shared" si="1"/>
        <v>10013769433.03</v>
      </c>
      <c r="D10" s="11">
        <f t="shared" si="4"/>
        <v>10013769433.03</v>
      </c>
      <c r="E10" s="11">
        <f t="shared" si="3"/>
        <v>3403607065.24</v>
      </c>
      <c r="F10" s="11">
        <f t="shared" si="2"/>
        <v>0</v>
      </c>
      <c r="G10" s="11">
        <v>2704950700</v>
      </c>
      <c r="H10" s="11"/>
      <c r="I10" s="15">
        <v>1320136410.56</v>
      </c>
      <c r="J10" s="15">
        <v>75623665.92</v>
      </c>
      <c r="K10" s="15">
        <v>23734458.9</v>
      </c>
      <c r="L10" s="15"/>
      <c r="M10" s="15">
        <v>1041726620.6</v>
      </c>
      <c r="N10" s="15"/>
      <c r="O10" s="18">
        <v>4998844908.89</v>
      </c>
      <c r="P10" s="15">
        <v>0</v>
      </c>
      <c r="Q10" s="22">
        <v>0</v>
      </c>
      <c r="R10" s="15">
        <v>0</v>
      </c>
      <c r="S10" s="15">
        <v>0</v>
      </c>
      <c r="T10" s="15">
        <v>0</v>
      </c>
      <c r="U10" s="15">
        <v>0</v>
      </c>
      <c r="V10" s="15">
        <v>28268738.44</v>
      </c>
      <c r="W10" s="15">
        <v>546931168.31</v>
      </c>
      <c r="X10" s="15">
        <v>1809254480.79</v>
      </c>
      <c r="Y10" s="15">
        <v>0</v>
      </c>
      <c r="Z10" s="15">
        <v>303390784.7</v>
      </c>
      <c r="AA10" s="15">
        <v>262194019.14</v>
      </c>
      <c r="AB10" s="15"/>
      <c r="AC10" s="15">
        <v>448238091.59</v>
      </c>
      <c r="AD10" s="11">
        <v>0</v>
      </c>
      <c r="AE10" s="11">
        <v>5329782.27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5">
        <v>46216500</v>
      </c>
      <c r="AL10" s="15">
        <v>0</v>
      </c>
      <c r="AM10" s="15">
        <v>0</v>
      </c>
    </row>
    <row r="11" spans="1:39">
      <c r="A11" s="1"/>
      <c r="B11" s="1">
        <v>2015</v>
      </c>
      <c r="C11" s="11">
        <f t="shared" si="1"/>
        <v>8751125601.73</v>
      </c>
      <c r="D11" s="11">
        <f t="shared" si="4"/>
        <v>8751125601.73</v>
      </c>
      <c r="E11" s="11">
        <f t="shared" si="3"/>
        <v>2703608641.11</v>
      </c>
      <c r="F11" s="11">
        <f t="shared" si="2"/>
        <v>0</v>
      </c>
      <c r="G11" s="11">
        <v>2706246000</v>
      </c>
      <c r="H11" s="11"/>
      <c r="I11" s="15">
        <v>1333875444.15</v>
      </c>
      <c r="J11" s="15">
        <v>109179250</v>
      </c>
      <c r="K11" s="15">
        <v>5022311.65</v>
      </c>
      <c r="L11" s="15"/>
      <c r="M11" s="15">
        <v>827373822.15</v>
      </c>
      <c r="N11" s="15"/>
      <c r="O11" s="18">
        <v>3987787273.78</v>
      </c>
      <c r="P11" s="15">
        <v>0</v>
      </c>
      <c r="Q11" s="22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584833180.73</v>
      </c>
      <c r="X11" s="15">
        <v>1118865208.36</v>
      </c>
      <c r="Y11" s="15">
        <v>0</v>
      </c>
      <c r="Z11" s="15">
        <v>275931741.72</v>
      </c>
      <c r="AA11" s="15">
        <v>271101353.14</v>
      </c>
      <c r="AB11" s="15"/>
      <c r="AC11" s="15">
        <v>446084576.58</v>
      </c>
      <c r="AD11" s="11">
        <v>0</v>
      </c>
      <c r="AE11" s="11">
        <v>6792580.58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5">
        <v>43268000</v>
      </c>
      <c r="AL11" s="15">
        <v>0</v>
      </c>
      <c r="AM11" s="15">
        <v>0</v>
      </c>
    </row>
    <row r="12" spans="1:39">
      <c r="A12" s="1"/>
      <c r="B12" s="1">
        <v>2014</v>
      </c>
      <c r="C12" s="11">
        <f t="shared" si="1"/>
        <v>7487912155.39</v>
      </c>
      <c r="D12" s="11">
        <f t="shared" si="4"/>
        <v>7487912155.39</v>
      </c>
      <c r="E12" s="11">
        <f t="shared" si="3"/>
        <v>3464607639.85</v>
      </c>
      <c r="F12" s="11">
        <f t="shared" si="2"/>
        <v>0</v>
      </c>
      <c r="G12" s="11">
        <v>1503580000</v>
      </c>
      <c r="H12" s="11"/>
      <c r="I12" s="15">
        <v>2503954982.27</v>
      </c>
      <c r="J12" s="15">
        <v>115873800</v>
      </c>
      <c r="K12" s="15">
        <v>9077439.72</v>
      </c>
      <c r="L12" s="15"/>
      <c r="M12" s="15">
        <v>495518007.47</v>
      </c>
      <c r="N12" s="15"/>
      <c r="O12" s="18">
        <v>3091655525.93</v>
      </c>
      <c r="P12" s="15">
        <v>0</v>
      </c>
      <c r="Q12" s="22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599248049.8</v>
      </c>
      <c r="X12" s="15">
        <v>2022083979.88</v>
      </c>
      <c r="Y12" s="15">
        <v>0</v>
      </c>
      <c r="Z12" s="15">
        <v>265737721.01</v>
      </c>
      <c r="AA12" s="15">
        <v>141129716.15</v>
      </c>
      <c r="AB12" s="15"/>
      <c r="AC12" s="15">
        <v>435474274.91</v>
      </c>
      <c r="AD12" s="11">
        <v>0</v>
      </c>
      <c r="AE12" s="11">
        <v>933898.1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5">
        <v>48074770.93</v>
      </c>
      <c r="AL12" s="15">
        <v>0</v>
      </c>
      <c r="AM12" s="15">
        <v>0</v>
      </c>
    </row>
    <row r="13" spans="1:39">
      <c r="A13" s="1"/>
      <c r="B13" s="1">
        <v>2013</v>
      </c>
      <c r="C13" s="11">
        <f t="shared" si="1"/>
        <v>3914438998.01</v>
      </c>
      <c r="D13" s="11">
        <f t="shared" si="4"/>
        <v>3914438998.01</v>
      </c>
      <c r="E13" s="11">
        <f t="shared" si="3"/>
        <v>2791542746.21</v>
      </c>
      <c r="F13" s="11">
        <f t="shared" si="2"/>
        <v>0</v>
      </c>
      <c r="G13" s="11">
        <v>711000000</v>
      </c>
      <c r="H13" s="11"/>
      <c r="I13" s="15">
        <v>1336719988.55</v>
      </c>
      <c r="J13" s="15"/>
      <c r="K13" s="15">
        <v>-4428833.65</v>
      </c>
      <c r="L13" s="15"/>
      <c r="M13" s="15">
        <v>327830534.63</v>
      </c>
      <c r="N13" s="15"/>
      <c r="O13" s="18">
        <v>1543317308.48</v>
      </c>
      <c r="P13" s="15">
        <v>0</v>
      </c>
      <c r="Q13" s="22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463851487.03</v>
      </c>
      <c r="X13" s="15">
        <v>1736223333.21</v>
      </c>
      <c r="Y13" s="15"/>
      <c r="Z13" s="15">
        <v>225709684.27</v>
      </c>
      <c r="AA13" s="15">
        <v>144496154.33</v>
      </c>
      <c r="AB13" s="15"/>
      <c r="AC13" s="15">
        <v>218698490.44</v>
      </c>
      <c r="AD13" s="11">
        <v>0</v>
      </c>
      <c r="AE13" s="11">
        <v>2563596.93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5">
        <v>10097094.96</v>
      </c>
      <c r="AM13" s="15">
        <v>6044455.17</v>
      </c>
    </row>
    <row r="14" spans="1:39">
      <c r="A14" s="1"/>
      <c r="B14" s="1">
        <v>2012</v>
      </c>
      <c r="C14" s="11">
        <f t="shared" si="1"/>
        <v>3658927527.25</v>
      </c>
      <c r="D14" s="11">
        <f t="shared" si="4"/>
        <v>3658927527.25</v>
      </c>
      <c r="E14" s="11">
        <f t="shared" si="3"/>
        <v>2440639373.22</v>
      </c>
      <c r="F14" s="11">
        <f t="shared" si="2"/>
        <v>0</v>
      </c>
      <c r="G14" s="11">
        <v>711000000</v>
      </c>
      <c r="H14" s="11"/>
      <c r="I14" s="15">
        <v>1336719988.55</v>
      </c>
      <c r="J14" s="15"/>
      <c r="K14" s="15">
        <v>-4421512.74</v>
      </c>
      <c r="L14" s="15"/>
      <c r="M14" s="15">
        <v>221020719.29</v>
      </c>
      <c r="N14" s="15"/>
      <c r="O14" s="18">
        <v>1394608332.15</v>
      </c>
      <c r="P14" s="15">
        <v>0</v>
      </c>
      <c r="Q14" s="22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315053588.93</v>
      </c>
      <c r="X14" s="15">
        <v>1648566573.6</v>
      </c>
      <c r="Y14" s="15"/>
      <c r="Z14" s="15">
        <v>171451423.98</v>
      </c>
      <c r="AA14" s="15">
        <v>123820377.34</v>
      </c>
      <c r="AB14" s="15"/>
      <c r="AC14" s="15">
        <v>180160539.95</v>
      </c>
      <c r="AD14" s="11">
        <v>0</v>
      </c>
      <c r="AE14" s="11">
        <v>1586869.42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5">
        <v>3570379.16</v>
      </c>
      <c r="AM14" s="15">
        <v>7067087.11</v>
      </c>
    </row>
    <row r="15" spans="1:39">
      <c r="A15" s="1"/>
      <c r="B15" s="1">
        <v>2011</v>
      </c>
      <c r="C15" s="11"/>
      <c r="D15" s="1"/>
      <c r="E15" s="1"/>
      <c r="F15" s="1"/>
      <c r="G15" s="11"/>
      <c r="H15" s="11"/>
      <c r="I15" s="15"/>
      <c r="J15" s="15"/>
      <c r="K15" s="15"/>
      <c r="L15" s="15"/>
      <c r="M15" s="15"/>
      <c r="N15" s="15"/>
      <c r="O15" s="18"/>
      <c r="P15" s="15"/>
      <c r="Q15" s="23"/>
      <c r="R15" s="2"/>
      <c r="S15" s="2"/>
      <c r="T15" s="2"/>
      <c r="U15" s="2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>
      <c r="A16" s="1"/>
      <c r="B16" s="1">
        <v>2010</v>
      </c>
      <c r="C16" s="11"/>
      <c r="D16" s="1"/>
      <c r="E16" s="1"/>
      <c r="F16" s="1"/>
      <c r="G16" s="11"/>
      <c r="H16" s="11"/>
      <c r="I16" s="15"/>
      <c r="J16" s="15"/>
      <c r="K16" s="15"/>
      <c r="L16" s="15"/>
      <c r="M16" s="15"/>
      <c r="N16" s="15"/>
      <c r="O16" s="18"/>
      <c r="P16" s="15"/>
      <c r="Q16" s="23"/>
      <c r="R16" s="2"/>
      <c r="S16" s="2"/>
      <c r="T16" s="2"/>
      <c r="U16" s="2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2">
      <c r="A17" s="1" t="s">
        <v>60</v>
      </c>
      <c r="B17" s="1">
        <v>2023</v>
      </c>
    </row>
    <row r="18" spans="1:2">
      <c r="A18" s="1"/>
      <c r="B18" s="1">
        <v>2022</v>
      </c>
    </row>
    <row r="19" spans="1:2">
      <c r="A19" s="1"/>
      <c r="B19" s="1">
        <v>2021</v>
      </c>
    </row>
    <row r="20" spans="1:2">
      <c r="A20" s="1"/>
      <c r="B20" s="1">
        <v>2020</v>
      </c>
    </row>
    <row r="21" spans="1:2">
      <c r="A21" s="1"/>
      <c r="B21" s="1">
        <v>2019</v>
      </c>
    </row>
    <row r="22" spans="1:2">
      <c r="A22" s="1"/>
      <c r="B22" s="1">
        <v>2018</v>
      </c>
    </row>
    <row r="23" spans="1:2">
      <c r="A23" s="1"/>
      <c r="B23" s="1">
        <v>2017</v>
      </c>
    </row>
    <row r="24" spans="1:2">
      <c r="A24" s="1"/>
      <c r="B24" s="1">
        <v>2016</v>
      </c>
    </row>
    <row r="25" spans="1:2">
      <c r="A25" s="1"/>
      <c r="B25" s="1">
        <v>2015</v>
      </c>
    </row>
    <row r="26" spans="1:2">
      <c r="A26" s="1"/>
      <c r="B26" s="1">
        <v>2014</v>
      </c>
    </row>
    <row r="27" spans="1:2">
      <c r="A27" s="1"/>
      <c r="B27" s="1">
        <v>2013</v>
      </c>
    </row>
    <row r="28" spans="1:2">
      <c r="A28" s="1"/>
      <c r="B28" s="1">
        <v>2012</v>
      </c>
    </row>
    <row r="29" spans="1:2">
      <c r="A29" s="1"/>
      <c r="B29" s="1">
        <v>2011</v>
      </c>
    </row>
    <row r="30" spans="1:2">
      <c r="A30" s="1"/>
      <c r="B30" s="12">
        <v>2010</v>
      </c>
    </row>
    <row r="31" spans="1:39">
      <c r="A31" s="1" t="s">
        <v>66</v>
      </c>
      <c r="B31" s="1">
        <v>2023</v>
      </c>
      <c r="C31" s="11">
        <f>D31+P31</f>
        <v>3652367547.6</v>
      </c>
      <c r="D31" s="11">
        <f>SUM(G31:O31)-2*J31</f>
        <v>3652367547.6</v>
      </c>
      <c r="E31" s="11">
        <f>SUM(Q31:AM31)</f>
        <v>615426267.63</v>
      </c>
      <c r="F31" s="11">
        <f>Q31+AG31+AH31+AJ31</f>
        <v>0</v>
      </c>
      <c r="G31" s="15">
        <v>1027751086</v>
      </c>
      <c r="H31" s="15">
        <v>0</v>
      </c>
      <c r="I31" s="15">
        <v>877997450.74</v>
      </c>
      <c r="J31" s="15">
        <v>32678308</v>
      </c>
      <c r="K31" s="15"/>
      <c r="L31" s="15"/>
      <c r="M31" s="15">
        <v>219953060.26</v>
      </c>
      <c r="N31" s="15"/>
      <c r="O31" s="15">
        <v>1559344258.6</v>
      </c>
      <c r="P31" s="15">
        <v>0</v>
      </c>
      <c r="Q31" s="15">
        <v>0</v>
      </c>
      <c r="R31" s="15"/>
      <c r="S31" s="15"/>
      <c r="T31" s="15"/>
      <c r="U31" s="15"/>
      <c r="V31" s="15">
        <v>0</v>
      </c>
      <c r="W31" s="15">
        <v>192412381.12</v>
      </c>
      <c r="X31" s="15">
        <v>0</v>
      </c>
      <c r="Y31" s="15">
        <v>95839015.14</v>
      </c>
      <c r="Z31" s="15">
        <v>46582909.19</v>
      </c>
      <c r="AA31" s="15">
        <v>40332287.65</v>
      </c>
      <c r="AB31" s="15">
        <v>0</v>
      </c>
      <c r="AC31" s="15">
        <v>69366283.28</v>
      </c>
      <c r="AD31" s="15">
        <v>39242.55</v>
      </c>
      <c r="AE31" s="15">
        <v>118599037.49</v>
      </c>
      <c r="AF31" s="15">
        <v>0</v>
      </c>
      <c r="AG31" s="15">
        <v>0</v>
      </c>
      <c r="AH31" s="15">
        <v>0</v>
      </c>
      <c r="AI31" s="15">
        <v>37506.09</v>
      </c>
      <c r="AJ31" s="15">
        <v>0</v>
      </c>
      <c r="AK31" s="15">
        <v>42731180.04</v>
      </c>
      <c r="AL31" s="15">
        <v>9486425.08</v>
      </c>
      <c r="AM31" s="15">
        <v>0</v>
      </c>
    </row>
    <row r="32" spans="1:39">
      <c r="A32" s="1"/>
      <c r="B32" s="1">
        <v>2022</v>
      </c>
      <c r="C32" s="11">
        <f t="shared" ref="C32:C41" si="5">D32+P32</f>
        <v>2353022936.1</v>
      </c>
      <c r="D32" s="11">
        <f t="shared" ref="D32:D41" si="6">SUM(G32:O32)-2*J32</f>
        <v>2353022936.1</v>
      </c>
      <c r="E32" s="11">
        <f t="shared" ref="E32:E41" si="7">SUM(Q32:AM32)</f>
        <v>818570271.09</v>
      </c>
      <c r="F32" s="11">
        <f t="shared" ref="F32:F41" si="8">Q32+AG32+AH32+AJ32</f>
        <v>65000000</v>
      </c>
      <c r="G32" s="11">
        <v>965468590</v>
      </c>
      <c r="H32" s="11">
        <v>0</v>
      </c>
      <c r="I32" s="15">
        <v>90498066.59</v>
      </c>
      <c r="J32" s="15">
        <v>56063700</v>
      </c>
      <c r="K32" s="15"/>
      <c r="L32" s="15"/>
      <c r="M32" s="15">
        <v>166831558.38</v>
      </c>
      <c r="N32" s="15"/>
      <c r="O32" s="15">
        <v>1186288421.13</v>
      </c>
      <c r="P32" s="15">
        <v>0</v>
      </c>
      <c r="Q32" s="15">
        <v>65000000</v>
      </c>
      <c r="R32" s="15"/>
      <c r="S32" s="15"/>
      <c r="T32" s="15"/>
      <c r="U32" s="15"/>
      <c r="V32" s="15">
        <v>62395969.5</v>
      </c>
      <c r="W32" s="15">
        <v>130575257.11</v>
      </c>
      <c r="X32" s="15">
        <v>0</v>
      </c>
      <c r="Y32" s="15">
        <v>214906344.01</v>
      </c>
      <c r="Z32" s="15">
        <v>43241350.75</v>
      </c>
      <c r="AA32" s="15">
        <v>40749013.09</v>
      </c>
      <c r="AB32" s="15">
        <v>0</v>
      </c>
      <c r="AC32" s="15">
        <v>105254587.22</v>
      </c>
      <c r="AD32" s="15">
        <v>256234.84</v>
      </c>
      <c r="AE32" s="15">
        <v>113748993.61</v>
      </c>
      <c r="AF32" s="15">
        <v>0</v>
      </c>
      <c r="AG32" s="15">
        <v>0</v>
      </c>
      <c r="AH32" s="15">
        <v>0</v>
      </c>
      <c r="AI32" s="15">
        <v>73646.11</v>
      </c>
      <c r="AJ32" s="15">
        <v>0</v>
      </c>
      <c r="AK32" s="15">
        <v>35585530.66</v>
      </c>
      <c r="AL32" s="15">
        <v>6783344.19</v>
      </c>
      <c r="AM32" s="15">
        <v>0</v>
      </c>
    </row>
    <row r="33" spans="1:39">
      <c r="A33" s="1"/>
      <c r="B33" s="1">
        <v>2021</v>
      </c>
      <c r="C33" s="11">
        <f t="shared" si="5"/>
        <v>2074320828.6</v>
      </c>
      <c r="D33" s="11">
        <f t="shared" si="6"/>
        <v>2074320828.6</v>
      </c>
      <c r="E33" s="11">
        <f t="shared" si="7"/>
        <v>323601828.59</v>
      </c>
      <c r="F33" s="11">
        <f t="shared" si="8"/>
        <v>0</v>
      </c>
      <c r="G33" s="11">
        <v>798782158</v>
      </c>
      <c r="H33" s="11">
        <v>0</v>
      </c>
      <c r="I33" s="15">
        <v>199273998.59</v>
      </c>
      <c r="J33" s="15">
        <v>0</v>
      </c>
      <c r="K33" s="15"/>
      <c r="L33" s="15"/>
      <c r="M33" s="15">
        <v>133208192.54</v>
      </c>
      <c r="N33" s="15"/>
      <c r="O33" s="15">
        <v>943056479.47</v>
      </c>
      <c r="P33" s="15">
        <v>0</v>
      </c>
      <c r="Q33" s="15">
        <v>0</v>
      </c>
      <c r="R33" s="15"/>
      <c r="S33" s="15"/>
      <c r="T33" s="15"/>
      <c r="U33" s="15"/>
      <c r="V33" s="15">
        <v>0</v>
      </c>
      <c r="W33" s="15">
        <v>85644869.83</v>
      </c>
      <c r="X33" s="15">
        <v>0</v>
      </c>
      <c r="Y33" s="15">
        <v>54672927.66</v>
      </c>
      <c r="Z33" s="15">
        <v>28716767.25</v>
      </c>
      <c r="AA33" s="15">
        <v>17709371.76</v>
      </c>
      <c r="AB33" s="15">
        <v>0</v>
      </c>
      <c r="AC33" s="15">
        <v>27815024.9</v>
      </c>
      <c r="AD33" s="15">
        <v>611256.58</v>
      </c>
      <c r="AE33" s="15">
        <v>60505139.51</v>
      </c>
      <c r="AF33" s="15">
        <v>0</v>
      </c>
      <c r="AG33" s="15">
        <v>0</v>
      </c>
      <c r="AH33" s="15">
        <v>0</v>
      </c>
      <c r="AI33" s="15">
        <v>425887.22</v>
      </c>
      <c r="AJ33" s="15">
        <v>0</v>
      </c>
      <c r="AK33" s="15">
        <v>40326951.74</v>
      </c>
      <c r="AL33" s="15">
        <v>7173632.14</v>
      </c>
      <c r="AM33" s="15">
        <v>0</v>
      </c>
    </row>
    <row r="34" spans="1:39">
      <c r="A34" s="1"/>
      <c r="B34" s="1">
        <v>2020</v>
      </c>
      <c r="C34" s="11">
        <f t="shared" si="5"/>
        <v>1897911349</v>
      </c>
      <c r="D34" s="11">
        <f t="shared" si="6"/>
        <v>1897911349</v>
      </c>
      <c r="E34" s="11">
        <f t="shared" si="7"/>
        <v>287583201.48</v>
      </c>
      <c r="F34" s="11">
        <f t="shared" si="8"/>
        <v>0</v>
      </c>
      <c r="G34" s="11">
        <v>665675318</v>
      </c>
      <c r="H34" s="11">
        <v>0</v>
      </c>
      <c r="I34" s="15">
        <v>331267638.43</v>
      </c>
      <c r="J34" s="15">
        <v>15802490.31</v>
      </c>
      <c r="K34" s="15"/>
      <c r="L34" s="15"/>
      <c r="M34" s="15">
        <v>112521901.81</v>
      </c>
      <c r="N34" s="15"/>
      <c r="O34" s="15">
        <v>804248981.07</v>
      </c>
      <c r="P34" s="15">
        <v>0</v>
      </c>
      <c r="Q34" s="15">
        <v>0</v>
      </c>
      <c r="R34" s="15"/>
      <c r="S34" s="15"/>
      <c r="T34" s="15"/>
      <c r="U34" s="15"/>
      <c r="V34" s="15">
        <v>0</v>
      </c>
      <c r="W34" s="15">
        <v>71613152.96</v>
      </c>
      <c r="X34" s="15">
        <v>0</v>
      </c>
      <c r="Y34" s="15">
        <v>20375171.3</v>
      </c>
      <c r="Z34" s="15">
        <v>27292826.62</v>
      </c>
      <c r="AA34" s="15">
        <v>20066982.34</v>
      </c>
      <c r="AB34" s="15">
        <v>0</v>
      </c>
      <c r="AC34" s="15">
        <v>45405468.67</v>
      </c>
      <c r="AD34" s="15">
        <v>0</v>
      </c>
      <c r="AE34" s="15">
        <v>54003453.66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41262233.72</v>
      </c>
      <c r="AL34" s="15">
        <v>7563912.21</v>
      </c>
      <c r="AM34" s="15">
        <v>0</v>
      </c>
    </row>
    <row r="35" spans="1:39">
      <c r="A35" s="1"/>
      <c r="B35" s="1">
        <v>2019</v>
      </c>
      <c r="C35" s="11">
        <f t="shared" si="5"/>
        <v>1592531795</v>
      </c>
      <c r="D35" s="11">
        <f t="shared" si="6"/>
        <v>1592531795</v>
      </c>
      <c r="E35" s="11">
        <f t="shared" si="7"/>
        <v>463039814.08</v>
      </c>
      <c r="F35" s="11">
        <f t="shared" si="8"/>
        <v>158004865.85</v>
      </c>
      <c r="G35" s="11">
        <v>465850722</v>
      </c>
      <c r="H35" s="11">
        <v>36551178.95</v>
      </c>
      <c r="I35" s="15">
        <v>345808338.35</v>
      </c>
      <c r="J35" s="15">
        <v>27522752.82</v>
      </c>
      <c r="K35" s="15"/>
      <c r="L35" s="15"/>
      <c r="M35" s="15">
        <v>92240581.7</v>
      </c>
      <c r="N35" s="15"/>
      <c r="O35" s="15">
        <v>679603726.82</v>
      </c>
      <c r="P35" s="15">
        <v>0</v>
      </c>
      <c r="Q35" s="15">
        <v>0</v>
      </c>
      <c r="R35" s="15"/>
      <c r="S35" s="15"/>
      <c r="T35" s="15"/>
      <c r="U35" s="15"/>
      <c r="V35" s="15">
        <v>0</v>
      </c>
      <c r="W35" s="15">
        <v>83270198.89</v>
      </c>
      <c r="X35" s="15">
        <v>26117099.39</v>
      </c>
      <c r="Y35" s="15">
        <v>0</v>
      </c>
      <c r="Z35" s="15">
        <v>24442958.86</v>
      </c>
      <c r="AA35" s="15">
        <v>15563246.02</v>
      </c>
      <c r="AB35" s="15">
        <v>0</v>
      </c>
      <c r="AC35" s="15">
        <v>84957977.02</v>
      </c>
      <c r="AD35" s="15">
        <v>0</v>
      </c>
      <c r="AE35" s="15">
        <v>40975845.22</v>
      </c>
      <c r="AF35" s="15">
        <v>0</v>
      </c>
      <c r="AG35" s="15">
        <v>0</v>
      </c>
      <c r="AH35" s="15">
        <v>158004865.85</v>
      </c>
      <c r="AI35" s="15">
        <v>0</v>
      </c>
      <c r="AJ35" s="15">
        <v>0</v>
      </c>
      <c r="AK35" s="15">
        <v>19336763.9</v>
      </c>
      <c r="AL35" s="15">
        <v>10370858.93</v>
      </c>
      <c r="AM35" s="15">
        <v>0</v>
      </c>
    </row>
    <row r="36" spans="1:39">
      <c r="A36" s="1"/>
      <c r="B36" s="1">
        <v>2018</v>
      </c>
      <c r="C36" s="11">
        <f t="shared" si="5"/>
        <v>1306508786.36</v>
      </c>
      <c r="D36" s="11">
        <f t="shared" si="6"/>
        <v>1306508786.36</v>
      </c>
      <c r="E36" s="11">
        <f t="shared" si="7"/>
        <v>624634652.6</v>
      </c>
      <c r="F36" s="11">
        <f t="shared" si="8"/>
        <v>386525248.65</v>
      </c>
      <c r="G36" s="11">
        <v>326202714</v>
      </c>
      <c r="H36" s="11">
        <v>70266461.64</v>
      </c>
      <c r="I36" s="15">
        <v>304841175.17</v>
      </c>
      <c r="J36" s="15">
        <v>40474938.28</v>
      </c>
      <c r="K36" s="15"/>
      <c r="L36" s="15"/>
      <c r="M36" s="15">
        <v>68767927.22</v>
      </c>
      <c r="N36" s="15"/>
      <c r="O36" s="15">
        <v>576905446.61</v>
      </c>
      <c r="P36" s="15">
        <v>0</v>
      </c>
      <c r="Q36" s="15">
        <v>100000000</v>
      </c>
      <c r="R36" s="15"/>
      <c r="S36" s="15"/>
      <c r="T36" s="15"/>
      <c r="U36" s="15"/>
      <c r="V36" s="15">
        <v>0</v>
      </c>
      <c r="W36" s="15">
        <v>101302843.23</v>
      </c>
      <c r="X36" s="15">
        <v>8948128.13</v>
      </c>
      <c r="Y36" s="15">
        <v>0</v>
      </c>
      <c r="Z36" s="15">
        <v>17756960.94</v>
      </c>
      <c r="AA36" s="15">
        <v>13405276.5</v>
      </c>
      <c r="AB36" s="15">
        <v>0</v>
      </c>
      <c r="AC36" s="15">
        <v>57287968.78</v>
      </c>
      <c r="AD36" s="15">
        <v>0</v>
      </c>
      <c r="AE36" s="15">
        <v>20663870.2</v>
      </c>
      <c r="AF36" s="15">
        <v>0</v>
      </c>
      <c r="AG36" s="15">
        <v>0</v>
      </c>
      <c r="AH36" s="15">
        <v>286525248.65</v>
      </c>
      <c r="AI36" s="15">
        <v>0</v>
      </c>
      <c r="AJ36" s="15">
        <v>0</v>
      </c>
      <c r="AK36" s="15">
        <v>18744356.17</v>
      </c>
      <c r="AL36" s="15">
        <v>0</v>
      </c>
      <c r="AM36" s="15">
        <v>0</v>
      </c>
    </row>
    <row r="37" spans="1:39">
      <c r="A37" s="1"/>
      <c r="B37" s="1">
        <v>2017</v>
      </c>
      <c r="C37" s="11">
        <f t="shared" si="5"/>
        <v>1062987000.38</v>
      </c>
      <c r="D37" s="11">
        <f t="shared" si="6"/>
        <v>1062987000.38</v>
      </c>
      <c r="E37" s="11">
        <f t="shared" si="7"/>
        <v>133139831</v>
      </c>
      <c r="F37" s="11">
        <f t="shared" si="8"/>
        <v>0</v>
      </c>
      <c r="G37" s="11">
        <v>325985200</v>
      </c>
      <c r="H37" s="11">
        <v>0</v>
      </c>
      <c r="I37" s="15">
        <v>287995996.18</v>
      </c>
      <c r="J37" s="15">
        <v>0</v>
      </c>
      <c r="K37" s="15"/>
      <c r="L37" s="15"/>
      <c r="M37" s="15">
        <v>45042718.88</v>
      </c>
      <c r="N37" s="15"/>
      <c r="O37" s="15">
        <v>403963085.32</v>
      </c>
      <c r="P37" s="15">
        <v>0</v>
      </c>
      <c r="Q37" s="15">
        <v>0</v>
      </c>
      <c r="R37" s="15"/>
      <c r="S37" s="15"/>
      <c r="T37" s="15"/>
      <c r="U37" s="15"/>
      <c r="V37" s="15">
        <v>0</v>
      </c>
      <c r="W37" s="15">
        <v>54701235.33</v>
      </c>
      <c r="X37" s="15">
        <v>7922116.23</v>
      </c>
      <c r="Y37" s="15">
        <v>0</v>
      </c>
      <c r="Z37" s="15">
        <v>12911335.68</v>
      </c>
      <c r="AA37" s="15">
        <v>10526590.78</v>
      </c>
      <c r="AB37" s="15">
        <v>0</v>
      </c>
      <c r="AC37" s="15">
        <v>11969689.9</v>
      </c>
      <c r="AD37" s="15">
        <v>0</v>
      </c>
      <c r="AE37" s="15">
        <v>12454452.59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22654410.49</v>
      </c>
      <c r="AL37" s="15">
        <v>0</v>
      </c>
      <c r="AM37" s="15">
        <v>0</v>
      </c>
    </row>
    <row r="38" spans="1:39">
      <c r="A38" s="1"/>
      <c r="B38" s="1">
        <v>2016</v>
      </c>
      <c r="C38" s="11">
        <f t="shared" si="5"/>
        <v>890420754.13</v>
      </c>
      <c r="D38" s="11">
        <f t="shared" si="6"/>
        <v>890420754.13</v>
      </c>
      <c r="E38" s="11">
        <f t="shared" si="7"/>
        <v>136235049.58</v>
      </c>
      <c r="F38" s="11">
        <f t="shared" si="8"/>
        <v>0</v>
      </c>
      <c r="G38" s="11">
        <v>160000000</v>
      </c>
      <c r="H38" s="11">
        <v>0</v>
      </c>
      <c r="I38" s="15">
        <v>395394384.18</v>
      </c>
      <c r="J38" s="15">
        <v>0</v>
      </c>
      <c r="K38" s="15"/>
      <c r="L38" s="15"/>
      <c r="M38" s="15">
        <v>31320891.95</v>
      </c>
      <c r="N38" s="15"/>
      <c r="O38" s="15">
        <v>303705478</v>
      </c>
      <c r="P38" s="15">
        <v>0</v>
      </c>
      <c r="Q38" s="15">
        <v>0</v>
      </c>
      <c r="R38" s="15"/>
      <c r="S38" s="15"/>
      <c r="T38" s="15"/>
      <c r="U38" s="15"/>
      <c r="V38" s="15">
        <v>0</v>
      </c>
      <c r="W38" s="15">
        <v>52574203.3</v>
      </c>
      <c r="X38" s="15">
        <v>16649416.26</v>
      </c>
      <c r="Y38" s="15">
        <v>0</v>
      </c>
      <c r="Z38" s="15">
        <v>13398370.83</v>
      </c>
      <c r="AA38" s="15">
        <v>8919928.84</v>
      </c>
      <c r="AB38" s="15">
        <v>0</v>
      </c>
      <c r="AC38" s="15">
        <v>10554531.25</v>
      </c>
      <c r="AD38" s="15">
        <v>0</v>
      </c>
      <c r="AE38" s="15">
        <v>14203565.84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19935033.26</v>
      </c>
      <c r="AL38" s="15">
        <v>0</v>
      </c>
      <c r="AM38" s="15">
        <v>0</v>
      </c>
    </row>
    <row r="39" spans="1:39">
      <c r="A39" s="1"/>
      <c r="B39" s="1">
        <v>2015</v>
      </c>
      <c r="C39" s="11">
        <f t="shared" si="5"/>
        <v>467498088.49</v>
      </c>
      <c r="D39" s="11">
        <f t="shared" si="6"/>
        <v>467498088.49</v>
      </c>
      <c r="E39" s="11">
        <f t="shared" si="7"/>
        <v>256624517.69</v>
      </c>
      <c r="F39" s="11">
        <f t="shared" si="8"/>
        <v>134500000</v>
      </c>
      <c r="G39" s="15">
        <v>120000000</v>
      </c>
      <c r="H39" s="11"/>
      <c r="I39" s="15">
        <v>96560284.12</v>
      </c>
      <c r="J39" s="15"/>
      <c r="K39" s="15"/>
      <c r="L39" s="15"/>
      <c r="M39" s="15">
        <v>23168337.13</v>
      </c>
      <c r="N39" s="15"/>
      <c r="O39" s="15">
        <v>227769467.24</v>
      </c>
      <c r="P39" s="15">
        <v>0</v>
      </c>
      <c r="Q39" s="15">
        <v>134500000</v>
      </c>
      <c r="R39" s="2"/>
      <c r="S39" s="2"/>
      <c r="T39" s="2"/>
      <c r="U39" s="2"/>
      <c r="V39" s="15">
        <v>14150135.62</v>
      </c>
      <c r="W39" s="15">
        <v>46244829.41</v>
      </c>
      <c r="X39" s="15">
        <v>11771646.74</v>
      </c>
      <c r="Y39" s="15">
        <v>0</v>
      </c>
      <c r="Z39" s="15">
        <v>9608928.73</v>
      </c>
      <c r="AA39" s="15">
        <v>1504024.67</v>
      </c>
      <c r="AB39" s="15">
        <v>181309.03</v>
      </c>
      <c r="AC39" s="15">
        <v>7948203.34</v>
      </c>
      <c r="AD39" s="15">
        <v>0</v>
      </c>
      <c r="AE39" s="15">
        <v>9820269.6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20895170.55</v>
      </c>
      <c r="AL39" s="15">
        <v>0</v>
      </c>
      <c r="AM39" s="15">
        <v>0</v>
      </c>
    </row>
    <row r="40" spans="1:39">
      <c r="A40" s="1"/>
      <c r="B40" s="1">
        <v>2014</v>
      </c>
      <c r="C40" s="11">
        <f t="shared" si="5"/>
        <v>400966969.89</v>
      </c>
      <c r="D40" s="11">
        <f t="shared" si="6"/>
        <v>400966969.89</v>
      </c>
      <c r="E40" s="11">
        <f t="shared" si="7"/>
        <v>248077897.4</v>
      </c>
      <c r="F40" s="11">
        <f t="shared" si="8"/>
        <v>130000000</v>
      </c>
      <c r="G40" s="11">
        <v>120000000</v>
      </c>
      <c r="H40" s="11"/>
      <c r="I40" s="15">
        <v>96560284.12</v>
      </c>
      <c r="J40" s="15"/>
      <c r="K40" s="15"/>
      <c r="L40" s="15"/>
      <c r="M40" s="15">
        <v>13567679.05</v>
      </c>
      <c r="N40" s="15"/>
      <c r="O40" s="15">
        <v>170839006.72</v>
      </c>
      <c r="P40" s="15">
        <v>0</v>
      </c>
      <c r="Q40" s="15">
        <v>130000000</v>
      </c>
      <c r="R40" s="2"/>
      <c r="S40" s="2"/>
      <c r="T40" s="2"/>
      <c r="U40" s="2"/>
      <c r="V40" s="15">
        <v>18181318.09</v>
      </c>
      <c r="W40" s="15">
        <v>54071991.59</v>
      </c>
      <c r="X40" s="15">
        <v>6926219.1</v>
      </c>
      <c r="Y40" s="15">
        <v>0</v>
      </c>
      <c r="Z40" s="15">
        <v>7873654.71</v>
      </c>
      <c r="AA40" s="15">
        <v>-1667715.11</v>
      </c>
      <c r="AB40" s="15">
        <v>249333.33</v>
      </c>
      <c r="AC40" s="15">
        <v>5443444.81</v>
      </c>
      <c r="AD40" s="15">
        <v>0</v>
      </c>
      <c r="AE40" s="15">
        <v>3930838.61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23068812.27</v>
      </c>
      <c r="AL40" s="15">
        <v>0</v>
      </c>
      <c r="AM40" s="15">
        <v>0</v>
      </c>
    </row>
    <row r="41" spans="1:39">
      <c r="A41" s="1"/>
      <c r="B41" s="1">
        <v>2013</v>
      </c>
      <c r="C41" s="11">
        <f t="shared" si="5"/>
        <v>361196645.2</v>
      </c>
      <c r="D41" s="11">
        <f t="shared" si="6"/>
        <v>361196645.2</v>
      </c>
      <c r="E41" s="11">
        <f t="shared" si="7"/>
        <v>156595076.98</v>
      </c>
      <c r="F41" s="11">
        <f t="shared" si="8"/>
        <v>80000000</v>
      </c>
      <c r="G41" s="11">
        <v>120000000</v>
      </c>
      <c r="H41" s="11"/>
      <c r="I41" s="15">
        <v>96560284.12</v>
      </c>
      <c r="J41" s="15"/>
      <c r="K41" s="15"/>
      <c r="L41" s="15"/>
      <c r="M41" s="15">
        <v>9159178.72</v>
      </c>
      <c r="N41" s="15"/>
      <c r="O41" s="15">
        <v>135477182.36</v>
      </c>
      <c r="P41" s="15">
        <v>0</v>
      </c>
      <c r="Q41" s="15">
        <v>80000000</v>
      </c>
      <c r="R41" s="2"/>
      <c r="S41" s="2"/>
      <c r="T41" s="2"/>
      <c r="U41" s="2"/>
      <c r="V41" s="15">
        <v>0</v>
      </c>
      <c r="W41" s="11">
        <v>27952448.31</v>
      </c>
      <c r="X41" s="15">
        <v>10377107.14</v>
      </c>
      <c r="Y41" s="15">
        <v>0</v>
      </c>
      <c r="Z41" s="15">
        <v>7185632.55</v>
      </c>
      <c r="AA41" s="15">
        <v>-2381444.74</v>
      </c>
      <c r="AB41" s="15">
        <v>150333.33</v>
      </c>
      <c r="AC41" s="15">
        <v>5638029.58</v>
      </c>
      <c r="AD41" s="15">
        <v>0</v>
      </c>
      <c r="AE41" s="15">
        <v>6414053.94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21258916.87</v>
      </c>
      <c r="AL41" s="15">
        <v>0</v>
      </c>
      <c r="AM41" s="15">
        <v>0</v>
      </c>
    </row>
    <row r="42" spans="1:25">
      <c r="A42" s="1"/>
      <c r="B42" s="13">
        <v>2012</v>
      </c>
      <c r="Y42" s="24"/>
    </row>
    <row r="43" spans="1:25">
      <c r="A43" s="1"/>
      <c r="B43" s="1">
        <v>2011</v>
      </c>
      <c r="Y43" s="24"/>
    </row>
    <row r="44" spans="1:25">
      <c r="A44" s="1"/>
      <c r="B44" s="1">
        <v>2010</v>
      </c>
      <c r="Y44" s="24"/>
    </row>
    <row r="45" spans="1:2">
      <c r="A45" s="1" t="s">
        <v>71</v>
      </c>
      <c r="B45" s="1">
        <v>2023</v>
      </c>
    </row>
    <row r="46" spans="1:2">
      <c r="A46" s="1"/>
      <c r="B46" s="1">
        <v>2022</v>
      </c>
    </row>
    <row r="47" spans="1:2">
      <c r="A47" s="1"/>
      <c r="B47" s="1">
        <v>2021</v>
      </c>
    </row>
    <row r="48" spans="1:2">
      <c r="A48" s="1"/>
      <c r="B48" s="1">
        <v>2020</v>
      </c>
    </row>
    <row r="49" spans="1:2">
      <c r="A49" s="1"/>
      <c r="B49" s="1">
        <v>2019</v>
      </c>
    </row>
    <row r="50" spans="1:2">
      <c r="A50" s="1"/>
      <c r="B50" s="1">
        <v>2018</v>
      </c>
    </row>
    <row r="51" spans="1:2">
      <c r="A51" s="1"/>
      <c r="B51" s="1">
        <v>2017</v>
      </c>
    </row>
    <row r="52" spans="1:2">
      <c r="A52" s="1"/>
      <c r="B52" s="1">
        <v>2016</v>
      </c>
    </row>
    <row r="53" spans="1:2">
      <c r="A53" s="1"/>
      <c r="B53" s="1">
        <v>2015</v>
      </c>
    </row>
    <row r="54" spans="1:2">
      <c r="A54" s="1"/>
      <c r="B54" s="1">
        <v>2014</v>
      </c>
    </row>
    <row r="55" spans="1:2">
      <c r="A55" s="1"/>
      <c r="B55" s="1">
        <v>2013</v>
      </c>
    </row>
    <row r="56" spans="1:2">
      <c r="A56" s="1" t="s">
        <v>72</v>
      </c>
      <c r="B56" s="1"/>
    </row>
    <row r="57" spans="1:2">
      <c r="A57" s="1"/>
      <c r="B57" s="1"/>
    </row>
    <row r="58" spans="1:2">
      <c r="A58" s="1"/>
      <c r="B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2">
      <c r="A66" s="1" t="s">
        <v>74</v>
      </c>
      <c r="B66" s="1">
        <v>2023</v>
      </c>
    </row>
    <row r="67" spans="1:2">
      <c r="A67" s="1"/>
      <c r="B67" s="1">
        <v>2022</v>
      </c>
    </row>
    <row r="68" spans="1:2">
      <c r="A68" s="1"/>
      <c r="B68" s="1">
        <v>2021</v>
      </c>
    </row>
    <row r="69" spans="1:2">
      <c r="A69" s="1"/>
      <c r="B69" s="1">
        <v>2020</v>
      </c>
    </row>
    <row r="70" spans="1:2">
      <c r="A70" s="1"/>
      <c r="B70" s="1">
        <v>2019</v>
      </c>
    </row>
    <row r="71" spans="1:2">
      <c r="A71" s="1"/>
      <c r="B71" s="1">
        <v>2018</v>
      </c>
    </row>
    <row r="72" spans="1:2">
      <c r="A72" s="1"/>
      <c r="B72" s="1">
        <v>2017</v>
      </c>
    </row>
    <row r="73" spans="1:2">
      <c r="A73" s="1"/>
      <c r="B73" s="1">
        <v>2016</v>
      </c>
    </row>
    <row r="74" spans="1:2">
      <c r="A74" s="1"/>
      <c r="B74" s="1">
        <v>2015</v>
      </c>
    </row>
    <row r="75" spans="1:2">
      <c r="A75" s="1"/>
      <c r="B75" s="1">
        <v>2014</v>
      </c>
    </row>
    <row r="76" spans="1:2">
      <c r="A76" s="1" t="s">
        <v>75</v>
      </c>
      <c r="B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 t="s">
        <v>69</v>
      </c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 t="s">
        <v>70</v>
      </c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 t="s">
        <v>76</v>
      </c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 t="s">
        <v>77</v>
      </c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 t="s">
        <v>78</v>
      </c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 t="s">
        <v>79</v>
      </c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 t="s">
        <v>80</v>
      </c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 t="s">
        <v>81</v>
      </c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 t="s">
        <v>82</v>
      </c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 t="s">
        <v>83</v>
      </c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 t="s">
        <v>85</v>
      </c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 t="s">
        <v>86</v>
      </c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 t="s">
        <v>87</v>
      </c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 t="s">
        <v>88</v>
      </c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 t="s">
        <v>89</v>
      </c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</sheetData>
  <mergeCells count="40">
    <mergeCell ref="Q1:AE1"/>
    <mergeCell ref="AF1:AM1"/>
    <mergeCell ref="A1:A2"/>
    <mergeCell ref="A3:A16"/>
    <mergeCell ref="A17:A30"/>
    <mergeCell ref="A31:A44"/>
    <mergeCell ref="A45:A55"/>
    <mergeCell ref="A56:A65"/>
    <mergeCell ref="A66:A75"/>
    <mergeCell ref="A76:A85"/>
    <mergeCell ref="A86:A94"/>
    <mergeCell ref="A95:A104"/>
    <mergeCell ref="A105:A114"/>
    <mergeCell ref="A115:A122"/>
    <mergeCell ref="A123:A130"/>
    <mergeCell ref="A131:A140"/>
    <mergeCell ref="A141:A149"/>
    <mergeCell ref="A150:A159"/>
    <mergeCell ref="A160:A167"/>
    <mergeCell ref="A168:A176"/>
    <mergeCell ref="A177:A185"/>
    <mergeCell ref="A186:A197"/>
    <mergeCell ref="A198:A205"/>
    <mergeCell ref="A206:A214"/>
    <mergeCell ref="A215:A221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5" sqref="G5"/>
    </sheetView>
  </sheetViews>
  <sheetFormatPr defaultColWidth="9.23076923076923" defaultRowHeight="16.8" outlineLevelCol="3"/>
  <sheetData>
    <row r="1" spans="1:4">
      <c r="A1" s="1" t="s">
        <v>11</v>
      </c>
      <c r="B1" s="1" t="s">
        <v>158</v>
      </c>
      <c r="C1" s="1" t="s">
        <v>159</v>
      </c>
      <c r="D1" s="1" t="s">
        <v>160</v>
      </c>
    </row>
    <row r="2" spans="1:4">
      <c r="A2" s="2">
        <v>2023</v>
      </c>
      <c r="B2" s="2"/>
      <c r="C2" s="2"/>
      <c r="D2" s="2"/>
    </row>
    <row r="3" spans="1:4">
      <c r="A3" s="2">
        <v>2022</v>
      </c>
      <c r="B3" s="2"/>
      <c r="C3" s="2"/>
      <c r="D3" s="2"/>
    </row>
    <row r="4" spans="1:4">
      <c r="A4" s="2">
        <v>2021</v>
      </c>
      <c r="B4" s="2"/>
      <c r="C4" s="2"/>
      <c r="D4" s="2"/>
    </row>
    <row r="5" spans="1:4">
      <c r="A5" s="2">
        <v>2020</v>
      </c>
      <c r="B5" s="2"/>
      <c r="C5" s="2"/>
      <c r="D5" s="2"/>
    </row>
    <row r="6" spans="1:4">
      <c r="A6" s="2">
        <v>2019</v>
      </c>
      <c r="B6" s="2"/>
      <c r="C6" s="2"/>
      <c r="D6" s="2"/>
    </row>
    <row r="7" spans="1:4">
      <c r="A7" s="2">
        <v>2018</v>
      </c>
      <c r="B7" s="2"/>
      <c r="C7" s="2"/>
      <c r="D7" s="2"/>
    </row>
    <row r="8" spans="1:4">
      <c r="A8" s="2">
        <v>2017</v>
      </c>
      <c r="B8" s="2"/>
      <c r="C8" s="2"/>
      <c r="D8" s="2"/>
    </row>
    <row r="9" spans="1:4">
      <c r="A9" s="2">
        <v>2016</v>
      </c>
      <c r="B9" s="2"/>
      <c r="C9" s="2"/>
      <c r="D9" s="2"/>
    </row>
    <row r="10" spans="1:4">
      <c r="A10" s="2">
        <v>2015</v>
      </c>
      <c r="B10" s="2"/>
      <c r="C10" s="2"/>
      <c r="D10" s="2"/>
    </row>
    <row r="11" spans="1:4">
      <c r="A11" s="2">
        <v>2014</v>
      </c>
      <c r="B11" s="2"/>
      <c r="C11" s="2"/>
      <c r="D11" s="2"/>
    </row>
    <row r="12" spans="1:4">
      <c r="A12" s="2">
        <v>2013</v>
      </c>
      <c r="B12" s="2"/>
      <c r="C12" s="2"/>
      <c r="D12" s="2"/>
    </row>
    <row r="13" spans="1:4">
      <c r="A13" s="2">
        <v>2012</v>
      </c>
      <c r="B13" s="2"/>
      <c r="C13" s="2"/>
      <c r="D13" s="2"/>
    </row>
    <row r="14" spans="1:4">
      <c r="A14" s="2">
        <v>2011</v>
      </c>
      <c r="B14" s="2"/>
      <c r="C14" s="2"/>
      <c r="D1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定性</vt:lpstr>
      <vt:lpstr>总表</vt:lpstr>
      <vt:lpstr>资产表</vt:lpstr>
      <vt:lpstr>负债表</vt:lpstr>
      <vt:lpstr>原材料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2024-08-22T09:26:00Z</dcterms:created>
  <dcterms:modified xsi:type="dcterms:W3CDTF">2024-08-26T09:34:26Z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