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firstSheet="1" activeTab="4"/>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<sst xmlns="http://schemas.openxmlformats.org/spreadsheetml/2006/main" count="1411" uniqueCount="602">
  <si>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</si>
  <si>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</si>
  <si>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</si>
  <si>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</si>
  <si>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</si>
  <si>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</si>
  <si>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</si>
  <si>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</si>
  <si>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</si>
  <si>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</si>
  <si>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</si>
  <si>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</si>
  <si>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</si>
  <si>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</si>
  <si>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</si>
  <si>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</si>
  <si>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</si>
  <si>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</si>
  <si>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</si>
  <si>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</si>
  <si>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</si>
  <si>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</si>
  <si>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</si>
  <si>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</si>
  <si>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</si>
  <si>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</si>
  <si>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</si>
  <si>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</si>
  <si>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</si>
  <si>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</si>
  <si>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</si>
  <si>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</si>
  <si>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</si>
  <si>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</si>
  <si>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</si>
  <si>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</si>
  <si>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</si>
  <si>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</si>
  <si>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</si>
  <si>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</si>
  <si>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</si>
  <si>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</si>
  <si>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</si>
  <si>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</si>
  <si>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</si>
  <si>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</si>
  <si>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</si>
  <si>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</si>
  <si>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</si>
  <si>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</si>
  <si>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</si>
  <si>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</si>
  <si>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</si>
  <si>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</si>
  <si>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</si>
  <si>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</si>
  <si>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</si>
  <si>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</si>
  <si>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</si>
  <si>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</si>
  <si>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</si>
  <si>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</si>
  <si>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</si>
  <si>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</si>
  <si>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</si>
  <si>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</si>
  <si>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</si>
  <si>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</si>
  <si>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</si>
  <si>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</si>
  <si>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</si>
  <si>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</si>
  <si>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</si>
  <si>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</si>
  <si>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</si>
  <si>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</si>
  <si>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</si>
  <si>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</si>
  <si>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</si>
  <si>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</si>
  <si>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</si>
  <si>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</si>
  <si>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</si>
  <si>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</si>
  <si>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</si>
  <si>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</si>
  <si>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</si>
  <si>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</si>
  <si>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</si>
  <si>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</si>
  <si>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</si>
  <si>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</si>
  <si>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</si>
  <si>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</si>
  <si>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</si>
  <si>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</si>
  <si>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</si>
  <si>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</si>
  <si>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</si>
  <si>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</si>
  <si>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</si>
  <si>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</si>
  <si>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</si>
  <si>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</si>
  <si>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</si>
  <si>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</si>
  <si>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</si>
  <si>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</si>
  <si>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</si>
  <si>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</si>
  <si>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</si>
  <si>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</si>
  <si>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</si>
  <si>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</si>
  <si>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</si>
  <si>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</si>
  <si>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</si>
  <si>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</si>
  <si>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</si>
  <si>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</si>
  <si>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</si>
  <si>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</si>
  <si>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</si>
  <si>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</si>
  <si>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</si>
  <si>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</si>
  <si>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</si>
  <si>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</si>
  <si>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</si>
  <si>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</si>
  <si>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</si>
  <si>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</si>
  <si>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</si>
  <si>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</si>
  <si>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</si>
  <si>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</si>
  <si>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</si>
  <si>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</si>
  <si>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</si>
  <si>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</si>
  <si>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</si>
  <si>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</si>
  <si>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</si>
  <si>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</si>
  <si>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</si>
  <si>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</si>
  <si>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</si>
  <si>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</si>
  <si>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</si>
  <si>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</si>
  <si>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</si>
  <si>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</si>
  <si>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</si>
  <si>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</si>
  <si>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</si>
  <si>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</si>
  <si>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</si>
  <si>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</si>
  <si>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</si>
  <si>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</si>
  <si>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</si>
  <si>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</si>
  <si>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</si>
  <si>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</si>
  <si>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</si>
  <si>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</si>
  <si>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</si>
  <si>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</si>
  <si>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</si>
  <si>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</si>
  <si>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</si>
  <si>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</si>
  <si>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</si>
  <si>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</si>
  <si>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</si>
  <si>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</si>
  <si>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</si>
  <si>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</si>
  <si>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</si>
  <si>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</si>
  <si>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</si>
  <si>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</si>
  <si>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</si>
  <si>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</si>
  <si>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</si>
  <si>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</si>
  <si>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</si>
  <si>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</si>
  <si>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</si>
  <si>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</si>
  <si>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</si>
  <si>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</si>
  <si>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</si>
  <si>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</si>
  <si>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</si>
  <si>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</si>
  <si>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</si>
  <si>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</si>
  <si>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</si>
  <si>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</si>
  <si>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</si>
  <si>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</si>
  <si>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</si>
  <si>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</si>
  <si>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</si>
  <si>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</si>
  <si>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</si>
  <si>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</si>
  <si>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</si>
  <si>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</si>
  <si>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</si>
  <si>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</si>
  <si>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</si>
  <si>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</si>
  <si>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</si>
  <si>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</si>
  <si>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</si>
  <si>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</si>
  <si>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</si>
  <si>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</si>
  <si>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</si>
  <si>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</si>
  <si>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</si>
  <si>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</si>
  <si>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</si>
  <si>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</si>
  <si>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</si>
  <si>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</si>
  <si>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</si>
  <si>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</si>
  <si>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</si>
  <si>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</si>
  <si>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</si>
  <si>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</si>
  <si>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</si>
  <si>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</si>
  <si>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</si>
  <si>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</si>
  <si>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</si>
  <si>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</si>
  <si>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</si>
  <si>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</si>
  <si>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</si>
  <si>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</si>
  <si>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</si>
  <si>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</si>
  <si>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</si>
  <si>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</si>
  <si>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</si>
  <si>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</si>
  <si>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</si>
  <si>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年份</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</si>
  <si>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</si>
  <si>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</si>
  <si>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</si>
  <si>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</si>
  <si>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</si>
  <si>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</si>
  <si>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</si>
  <si>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</si>
  <si>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</si>
  <si>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</si>
  <si>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</si>
  <si>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</si>
  <si>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</si>
  <si>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</si>
  <si>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</si>
  <si>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</si>
  <si>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</si>
  <si>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</si>
  <si>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</si>
  <si>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</si>
  <si>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</si>
  <si>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</si>
  <si>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</si>
  <si>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</si>
  <si>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</si>
  <si>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</si>
  <si>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</si>
  <si>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</si>
  <si>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</si>
  <si>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</si>
  <si>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</si>
  <si>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</si>
  <si>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</si>
  <si>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</si>
  <si>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</si>
  <si>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</si>
  <si>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</si>
  <si>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</si>
  <si>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</si>
  <si>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</si>
  <si>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</si>
  <si>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</si>
  <si>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</si>
  <si>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</si>
  <si>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</si>
  <si>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</si>
  <si>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</si>
  <si>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</si>
  <si>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</si>
  <si>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</si>
  <si>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</si>
  <si>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</si>
  <si>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</si>
  <si>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</si>
  <si>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</si>
  <si>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</si>
  <si>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</si>
  <si>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</si>
  <si>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</si>
  <si>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</si>
  <si>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</si>
  <si>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</si>
  <si>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</si>
  <si>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</si>
  <si>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</si>
  <si>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</si>
  <si>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</si>
  <si>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</si>
  <si>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</si>
  <si>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</si>
  <si>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</si>
  <si>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</si>
  <si>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</si>
  <si>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rPr>
        <sz val="11"/>
        <color theme="1"/>
        <rFont val="宋体"/>
        <charset val="134"/>
        <scheme val="minor"/>
      </rP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</si>
  <si>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</si>
  <si>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</si>
  <si>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rPr>
        <sz val="11"/>
        <color theme="1"/>
        <rFont val="宋体"/>
        <charset val="134"/>
        <scheme val="minor"/>
      </rP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</si>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</sst>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Red]#,##0"/>
    <numFmt numFmtId="179" formatCode="0.00_);[Red]\(0.00\)"/>
    <numFmt numFmtId="180" formatCode="0.0000%"/>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4"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25" borderId="14" applyNumberFormat="0" applyAlignment="0" applyProtection="0">
      <alignment vertical="center"/>
    </xf>
    <xf numFmtId="0" fontId="18" fillId="26" borderId="15" applyNumberFormat="0" applyAlignment="0" applyProtection="0">
      <alignment vertical="center"/>
    </xf>
    <xf numFmtId="0" fontId="19" fillId="26" borderId="14" applyNumberFormat="0" applyAlignment="0" applyProtection="0">
      <alignment vertical="center"/>
    </xf>
    <xf numFmtId="0" fontId="20" fillId="27"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26" fillId="16"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6" fillId="49" borderId="0" applyNumberFormat="0" applyBorder="0" applyAlignment="0" applyProtection="0">
      <alignment vertical="center"/>
    </xf>
    <xf numFmtId="0" fontId="26" fillId="8"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6" fillId="52" borderId="0" applyNumberFormat="0" applyBorder="0" applyAlignment="0" applyProtection="0">
      <alignment vertical="center"/>
    </xf>
  </cellStyleXfs>
  <cellXfs count="261">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6"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6" fontId="0" fillId="0" borderId="0" xfId="0" applyNumberFormat="1" applyAlignment="1">
      <alignment horizontal="right" vertical="center"/>
    </xf>
    <xf numFmtId="0" fontId="0" fillId="0" borderId="0" xfId="0" applyFill="1">
      <alignment vertical="center"/>
    </xf>
    <xf numFmtId="177" fontId="0" fillId="0" borderId="0" xfId="0" applyNumberFormat="1" applyAlignment="1">
      <alignment horizontal="center" vertical="center"/>
    </xf>
    <xf numFmtId="10" fontId="0" fillId="0" borderId="0" xfId="3" applyNumberFormat="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3" applyNumberFormat="1" applyBorder="1" applyAlignment="1">
      <alignment horizontal="center" vertical="center"/>
    </xf>
    <xf numFmtId="10" fontId="0" fillId="2"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3" applyNumberFormat="1" applyFill="1" applyBorder="1" applyAlignment="1">
      <alignment horizontal="center" vertical="center"/>
    </xf>
    <xf numFmtId="10" fontId="0" fillId="6" borderId="1" xfId="3" applyNumberFormat="1" applyFill="1" applyBorder="1" applyAlignment="1">
      <alignment horizontal="center" vertical="center"/>
    </xf>
    <xf numFmtId="176" fontId="0" fillId="0" borderId="0" xfId="3" applyNumberFormat="1" applyAlignment="1">
      <alignment horizontal="center" vertical="center"/>
    </xf>
    <xf numFmtId="178" fontId="0" fillId="0" borderId="0" xfId="0" applyNumberFormat="1">
      <alignment vertical="center"/>
    </xf>
    <xf numFmtId="179"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6"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10" fontId="0" fillId="7" borderId="1" xfId="3" applyNumberFormat="1" applyFill="1" applyBorder="1" applyAlignment="1">
      <alignment horizontal="center" vertical="center"/>
    </xf>
    <xf numFmtId="0" fontId="1" fillId="0" borderId="1" xfId="0" applyFont="1" applyBorder="1">
      <alignment vertical="center"/>
    </xf>
    <xf numFmtId="176" fontId="0" fillId="0" borderId="1" xfId="0" applyNumberFormat="1" applyBorder="1">
      <alignment vertical="center"/>
    </xf>
    <xf numFmtId="176"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wrapText="1"/>
    </xf>
    <xf numFmtId="176" fontId="0" fillId="0" borderId="4" xfId="0" applyNumberFormat="1" applyBorder="1">
      <alignment vertical="center"/>
    </xf>
    <xf numFmtId="4" fontId="0" fillId="0" borderId="1" xfId="0" applyNumberFormat="1" applyBorder="1" applyAlignment="1">
      <alignment horizontal="right" vertical="center"/>
    </xf>
    <xf numFmtId="10" fontId="1" fillId="0" borderId="2" xfId="3" applyNumberFormat="1" applyFont="1" applyBorder="1" applyAlignment="1">
      <alignment horizontal="center" vertical="center"/>
    </xf>
    <xf numFmtId="176" fontId="1" fillId="0" borderId="2" xfId="3" applyNumberFormat="1" applyFont="1" applyBorder="1" applyAlignment="1">
      <alignment horizontal="center" vertical="center"/>
    </xf>
    <xf numFmtId="10" fontId="1" fillId="0" borderId="4" xfId="3" applyNumberFormat="1" applyFont="1" applyBorder="1" applyAlignment="1">
      <alignment horizontal="center" vertical="center"/>
    </xf>
    <xf numFmtId="176" fontId="1" fillId="0" borderId="4" xfId="3" applyNumberFormat="1" applyFont="1" applyBorder="1" applyAlignment="1">
      <alignment horizontal="center" vertical="center"/>
    </xf>
    <xf numFmtId="176" fontId="0" fillId="0" borderId="1" xfId="3"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8" fontId="0" fillId="0" borderId="2" xfId="0" applyNumberFormat="1" applyBorder="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8" fontId="0" fillId="0" borderId="4" xfId="0" applyNumberFormat="1" applyBorder="1" applyAlignment="1">
      <alignment horizontal="center" vertical="center"/>
    </xf>
    <xf numFmtId="179" fontId="0" fillId="0" borderId="4" xfId="0" applyNumberFormat="1" applyBorder="1" applyAlignment="1">
      <alignment horizontal="center" vertical="center"/>
    </xf>
    <xf numFmtId="179" fontId="0" fillId="8"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3"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9" fontId="0" fillId="0" borderId="1" xfId="3" applyBorder="1" applyAlignment="1">
      <alignment horizontal="center" vertical="center"/>
    </xf>
    <xf numFmtId="9" fontId="0" fillId="0" borderId="1" xfId="3" applyFill="1" applyBorder="1" applyAlignment="1">
      <alignment horizontal="center" vertical="center"/>
    </xf>
    <xf numFmtId="9" fontId="0" fillId="2" borderId="1" xfId="3"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3"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3" applyNumberFormat="1" applyBorder="1" applyAlignment="1">
      <alignment horizontal="center" vertical="center" wrapText="1"/>
    </xf>
    <xf numFmtId="10" fontId="0" fillId="0" borderId="2" xfId="3" applyNumberFormat="1" applyBorder="1" applyAlignment="1">
      <alignment horizontal="center" vertical="center"/>
    </xf>
    <xf numFmtId="3" fontId="0" fillId="0" borderId="0" xfId="0" applyNumberFormat="1">
      <alignment vertical="center"/>
    </xf>
    <xf numFmtId="0" fontId="0" fillId="3" borderId="0" xfId="0" applyFill="1">
      <alignment vertical="center"/>
    </xf>
    <xf numFmtId="0" fontId="0" fillId="11" borderId="0" xfId="0" applyFill="1">
      <alignment vertical="center"/>
    </xf>
    <xf numFmtId="44" fontId="0" fillId="0" borderId="0" xfId="3" applyNumberFormat="1" applyAlignment="1">
      <alignment horizontal="center" vertical="center"/>
    </xf>
    <xf numFmtId="176" fontId="0" fillId="0" borderId="0" xfId="0" applyNumberFormat="1" applyAlignment="1">
      <alignment horizontal="center" vertical="center"/>
    </xf>
    <xf numFmtId="180"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3" applyNumberFormat="1" applyFont="1" applyFill="1" applyBorder="1" applyAlignment="1" applyProtection="1">
      <alignment horizontal="center" vertical="center"/>
    </xf>
    <xf numFmtId="10" fontId="0" fillId="11" borderId="1" xfId="3" applyNumberFormat="1" applyFill="1" applyBorder="1" applyAlignment="1">
      <alignment horizontal="center" vertical="center"/>
    </xf>
    <xf numFmtId="44" fontId="0" fillId="0" borderId="1" xfId="3" applyNumberFormat="1" applyBorder="1" applyAlignment="1">
      <alignment horizontal="center" vertical="center" wrapText="1"/>
    </xf>
    <xf numFmtId="44" fontId="0" fillId="6"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Fill="1" applyBorder="1" applyAlignment="1">
      <alignment horizontal="center" vertical="center"/>
    </xf>
    <xf numFmtId="44" fontId="0" fillId="11" borderId="1" xfId="3" applyNumberFormat="1" applyFill="1" applyBorder="1" applyAlignment="1">
      <alignment horizontal="center" vertical="center"/>
    </xf>
    <xf numFmtId="10" fontId="0" fillId="0" borderId="8" xfId="3" applyNumberFormat="1" applyBorder="1" applyAlignment="1">
      <alignment horizontal="center" vertical="center"/>
    </xf>
    <xf numFmtId="44" fontId="0" fillId="0" borderId="8" xfId="3" applyNumberFormat="1" applyBorder="1" applyAlignment="1">
      <alignment horizontal="center" vertical="center"/>
    </xf>
    <xf numFmtId="10" fontId="0" fillId="3" borderId="8" xfId="3" applyNumberFormat="1" applyFill="1" applyBorder="1" applyAlignment="1">
      <alignment horizontal="center" vertical="center"/>
    </xf>
    <xf numFmtId="10" fontId="0" fillId="0" borderId="8" xfId="3" applyNumberFormat="1" applyFill="1" applyBorder="1" applyAlignment="1">
      <alignment horizontal="center" vertical="center"/>
    </xf>
    <xf numFmtId="10" fontId="0" fillId="11" borderId="8" xfId="3" applyNumberFormat="1" applyFill="1" applyBorder="1" applyAlignment="1">
      <alignment horizontal="center" vertical="center"/>
    </xf>
    <xf numFmtId="44" fontId="0" fillId="3" borderId="1" xfId="3"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3"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3" borderId="1" xfId="0" applyNumberFormat="1" applyFill="1" applyBorder="1" applyAlignment="1">
      <alignment horizontal="center" vertical="center"/>
    </xf>
    <xf numFmtId="176" fontId="0" fillId="11" borderId="1" xfId="0" applyNumberFormat="1" applyFill="1" applyBorder="1" applyAlignment="1">
      <alignment horizontal="center" vertical="center"/>
    </xf>
    <xf numFmtId="176" fontId="0" fillId="3" borderId="1" xfId="0" applyNumberFormat="1" applyFill="1" applyBorder="1">
      <alignment vertical="center"/>
    </xf>
    <xf numFmtId="176" fontId="0" fillId="11" borderId="1" xfId="0" applyNumberFormat="1" applyFill="1" applyBorder="1">
      <alignment vertical="center"/>
    </xf>
    <xf numFmtId="0" fontId="0" fillId="11" borderId="1" xfId="0" applyFill="1" applyBorder="1">
      <alignment vertical="center"/>
    </xf>
    <xf numFmtId="180" fontId="0" fillId="0" borderId="0" xfId="0" applyNumberFormat="1" applyAlignment="1">
      <alignment horizontal="center" vertical="center"/>
    </xf>
    <xf numFmtId="180" fontId="0" fillId="0" borderId="1" xfId="3" applyNumberFormat="1" applyBorder="1" applyAlignment="1">
      <alignment horizontal="center" vertical="center"/>
    </xf>
    <xf numFmtId="180" fontId="0" fillId="0" borderId="1" xfId="0" applyNumberFormat="1" applyFill="1" applyBorder="1">
      <alignment vertical="center"/>
    </xf>
    <xf numFmtId="180" fontId="0" fillId="11" borderId="1" xfId="0" applyNumberFormat="1" applyFill="1" applyBorder="1">
      <alignment vertical="center"/>
    </xf>
    <xf numFmtId="180" fontId="0" fillId="0" borderId="1" xfId="0" applyNumberFormat="1" applyBorder="1">
      <alignment vertical="center"/>
    </xf>
    <xf numFmtId="0" fontId="0" fillId="0" borderId="4" xfId="0" applyBorder="1" applyAlignment="1">
      <alignment horizontal="center" vertical="center" wrapText="1"/>
    </xf>
    <xf numFmtId="44" fontId="0" fillId="0" borderId="0" xfId="0" applyNumberFormat="1" applyFill="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44" fontId="0" fillId="0" borderId="0" xfId="3" applyNumberFormat="1" applyFill="1">
      <alignment vertical="center"/>
    </xf>
    <xf numFmtId="44" fontId="0" fillId="0" borderId="0" xfId="3" applyNumberFormat="1">
      <alignment vertical="center"/>
    </xf>
    <xf numFmtId="10" fontId="0" fillId="0" borderId="0" xfId="0" applyNumberFormat="1" applyAlignment="1">
      <alignment horizontal="center" vertical="center"/>
    </xf>
    <xf numFmtId="10" fontId="0" fillId="9" borderId="0" xfId="3"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3"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3"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3"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3"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3" applyNumberFormat="1" applyFill="1" applyBorder="1" applyAlignment="1">
      <alignment horizontal="center" vertical="center"/>
    </xf>
    <xf numFmtId="10" fontId="0" fillId="19" borderId="1" xfId="3"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3" applyNumberFormat="1" applyFill="1" applyBorder="1" applyAlignment="1">
      <alignment horizontal="center" vertical="center"/>
    </xf>
    <xf numFmtId="10" fontId="0" fillId="0" borderId="4" xfId="3" applyNumberFormat="1" applyBorder="1" applyAlignment="1">
      <alignment horizontal="center" vertical="center"/>
    </xf>
    <xf numFmtId="10" fontId="0" fillId="11" borderId="1" xfId="3" applyNumberFormat="1" applyFill="1" applyBorder="1">
      <alignment vertical="center"/>
    </xf>
    <xf numFmtId="10" fontId="0" fillId="0" borderId="1" xfId="3" applyNumberFormat="1" applyBorder="1">
      <alignment vertical="center"/>
    </xf>
    <xf numFmtId="10" fontId="0" fillId="21" borderId="1" xfId="3" applyNumberFormat="1" applyFill="1" applyBorder="1" applyAlignment="1">
      <alignment horizontal="center" vertical="center"/>
    </xf>
    <xf numFmtId="44" fontId="0" fillId="2" borderId="1" xfId="3" applyNumberFormat="1" applyFill="1" applyBorder="1" applyAlignment="1">
      <alignment horizontal="center" vertical="center"/>
    </xf>
    <xf numFmtId="44" fontId="0" fillId="0" borderId="1" xfId="3" applyNumberFormat="1" applyFill="1" applyBorder="1">
      <alignment vertical="center"/>
    </xf>
    <xf numFmtId="44" fontId="0" fillId="21" borderId="1" xfId="3" applyNumberFormat="1" applyFill="1" applyBorder="1" applyAlignment="1">
      <alignment horizontal="center" vertical="center"/>
    </xf>
    <xf numFmtId="44" fontId="0" fillId="0" borderId="1" xfId="3"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3"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3" applyNumberFormat="1" applyFill="1" applyBorder="1" applyAlignment="1">
      <alignment horizontal="center" vertical="center"/>
    </xf>
    <xf numFmtId="10" fontId="0" fillId="9" borderId="4" xfId="3"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3" applyNumberFormat="1" applyFill="1" applyBorder="1" applyAlignment="1">
      <alignment horizontal="center" vertical="center" wrapText="1"/>
    </xf>
    <xf numFmtId="10" fontId="0" fillId="10" borderId="1" xfId="3" applyNumberFormat="1" applyFill="1" applyBorder="1" applyAlignment="1">
      <alignment horizontal="center" vertical="center"/>
    </xf>
    <xf numFmtId="10" fontId="0" fillId="9" borderId="1" xfId="3"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H3" activePane="bottomRight" state="frozen"/>
      <selection/>
      <selection pane="topRight"/>
      <selection pane="bottomLeft"/>
      <selection pane="bottomRight" activeCell="X3" sqref="X3:AA11"/>
    </sheetView>
  </sheetViews>
  <sheetFormatPr defaultColWidth="9" defaultRowHeight="16.8"/>
  <cols>
    <col min="2" max="2" width="10.3076923076923" style="1" customWidth="1"/>
    <col min="3" max="3" width="9" style="1"/>
    <col min="4" max="4" width="22.0769230769231" style="194" customWidth="1"/>
    <col min="5" max="10" width="22.0769230769231" style="109" customWidth="1"/>
    <col min="11" max="11" width="27.3076923076923" style="109" customWidth="1"/>
    <col min="12" max="12" width="17.3076923076923" style="109" customWidth="1"/>
    <col min="13" max="13" width="19.8461538461538" style="194" customWidth="1"/>
    <col min="14" max="14" width="19.8461538461538" style="195" customWidth="1"/>
    <col min="15" max="15" width="23.625" style="86" customWidth="1"/>
    <col min="16" max="16" width="23.625" style="11" customWidth="1"/>
    <col min="17" max="17" width="23.625" style="86" customWidth="1"/>
    <col min="18" max="18" width="23.625" style="11"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48" customWidth="1"/>
    <col min="37" max="37" width="18.125" style="48" customWidth="1"/>
    <col min="38" max="38" width="23.625" style="48" customWidth="1"/>
    <col min="39" max="39" width="22.0769230769231" style="48" customWidth="1"/>
    <col min="40" max="40" width="22.5" style="48" customWidth="1"/>
    <col min="41" max="44" width="23.625" style="48" customWidth="1"/>
    <col min="45" max="46" width="23.625" style="11" customWidth="1"/>
    <col min="47" max="47" width="23.625" style="48" customWidth="1"/>
    <col min="48" max="49" width="23.625" style="11" customWidth="1"/>
    <col min="50" max="50" width="23.625" style="48" customWidth="1"/>
    <col min="51" max="51" width="28.4615384615385" style="48" customWidth="1"/>
    <col min="52" max="53" width="23.625" style="48" customWidth="1"/>
    <col min="54" max="55" width="23.625" style="196" customWidth="1"/>
    <col min="56" max="60" width="23.625" style="48" customWidth="1"/>
    <col min="61" max="61" width="23.625" style="196" customWidth="1"/>
    <col min="62" max="63" width="23.625" style="48" customWidth="1"/>
    <col min="64" max="64" width="23.625" style="196" customWidth="1"/>
    <col min="65" max="66" width="28.4615384615385" style="196" customWidth="1"/>
    <col min="67" max="67" width="28.4615384615385" style="197" customWidth="1"/>
    <col min="68" max="69" width="28.4615384615385" style="196" customWidth="1"/>
    <col min="70" max="76" width="28.4615384615385" style="198" customWidth="1"/>
    <col min="77" max="78" width="28.4615384615385" style="196"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48" customWidth="1"/>
    <col min="94" max="94" width="29.6923076923077" style="11" customWidth="1"/>
    <col min="95" max="95" width="23.625" style="48" customWidth="1"/>
    <col min="96" max="96" width="23.625" style="11" customWidth="1"/>
    <col min="97" max="97" width="22.5" style="48" customWidth="1"/>
    <col min="98" max="98" width="22.5" style="11" customWidth="1"/>
    <col min="99" max="99" width="22.5" style="48" customWidth="1"/>
    <col min="100" max="100" width="21.375" style="48" customWidth="1"/>
    <col min="101" max="102" width="22.5" style="86" customWidth="1"/>
    <col min="103" max="103" width="27.3076923076923" style="199" customWidth="1"/>
    <col min="104" max="104" width="22.5" style="11" customWidth="1"/>
    <col min="105" max="105" width="32.1538461538462" style="11" customWidth="1"/>
    <col min="106" max="106" width="27.3076923076923" style="199" customWidth="1"/>
    <col min="107" max="107" width="27.3076923076923" style="11" customWidth="1"/>
    <col min="108" max="112" width="20.375" style="86" customWidth="1"/>
    <col min="113" max="113" width="28.4615384615385" style="86" customWidth="1"/>
    <col min="114" max="114" width="20.375" style="199" customWidth="1"/>
    <col min="115" max="115" width="30.2884615384615" style="200" customWidth="1"/>
    <col min="116" max="117" width="98.5576923076923" customWidth="1"/>
    <col min="118" max="118" width="20" customWidth="1"/>
    <col min="119" max="119" width="47.5961538461538" customWidth="1"/>
    <col min="120" max="120" width="38.7692307692308" customWidth="1"/>
  </cols>
  <sheetData>
    <row r="1" spans="1:120">
      <c r="A1" s="68"/>
      <c r="B1" s="12" t="s">
        <v>0</v>
      </c>
      <c r="C1" s="12" t="s">
        <v>1</v>
      </c>
      <c r="D1" s="55" t="s">
        <v>2</v>
      </c>
      <c r="E1" s="21" t="s">
        <v>3</v>
      </c>
      <c r="F1" s="21" t="s">
        <v>4</v>
      </c>
      <c r="G1" s="116" t="s">
        <v>5</v>
      </c>
      <c r="H1" s="116" t="s">
        <v>6</v>
      </c>
      <c r="I1" s="116" t="s">
        <v>7</v>
      </c>
      <c r="J1" s="21" t="s">
        <v>8</v>
      </c>
      <c r="K1" s="21" t="s">
        <v>9</v>
      </c>
      <c r="L1" s="21" t="s">
        <v>10</v>
      </c>
      <c r="M1" s="55" t="s">
        <v>11</v>
      </c>
      <c r="N1" s="38"/>
      <c r="O1" s="155" t="s">
        <v>12</v>
      </c>
      <c r="P1" s="205" t="s">
        <v>13</v>
      </c>
      <c r="Q1" s="206" t="s">
        <v>14</v>
      </c>
      <c r="R1" s="207" t="s">
        <v>15</v>
      </c>
      <c r="S1" s="208" t="s">
        <v>16</v>
      </c>
      <c r="T1" s="208"/>
      <c r="U1" s="208"/>
      <c r="V1" s="208"/>
      <c r="W1" s="208"/>
      <c r="X1" s="208"/>
      <c r="Y1" s="208"/>
      <c r="Z1" s="208"/>
      <c r="AA1" s="208"/>
      <c r="AB1" s="208"/>
      <c r="AC1" s="206" t="s">
        <v>17</v>
      </c>
      <c r="AD1" s="209"/>
      <c r="AE1" s="209"/>
      <c r="AF1" s="209" t="s">
        <v>18</v>
      </c>
      <c r="AG1" s="209"/>
      <c r="AH1" s="209"/>
      <c r="AI1" s="209"/>
      <c r="AJ1" s="209"/>
      <c r="AK1" s="209"/>
      <c r="AL1" s="209"/>
      <c r="AM1" s="209"/>
      <c r="AN1" s="209"/>
      <c r="AO1" s="209"/>
      <c r="AP1" s="209"/>
      <c r="AQ1" s="206" t="s">
        <v>19</v>
      </c>
      <c r="AR1" s="211" t="s">
        <v>20</v>
      </c>
      <c r="AS1" s="213"/>
      <c r="AT1" s="213"/>
      <c r="AU1" s="214" t="s">
        <v>21</v>
      </c>
      <c r="AV1" s="215"/>
      <c r="AW1" s="215"/>
      <c r="AX1" s="216" t="s">
        <v>22</v>
      </c>
      <c r="AY1" s="216" t="s">
        <v>23</v>
      </c>
      <c r="AZ1" s="217" t="s">
        <v>24</v>
      </c>
      <c r="BA1" s="218" t="s">
        <v>25</v>
      </c>
      <c r="BB1" s="219" t="s">
        <v>26</v>
      </c>
      <c r="BC1" s="220" t="s">
        <v>27</v>
      </c>
      <c r="BD1" s="221" t="s">
        <v>28</v>
      </c>
      <c r="BE1" s="223" t="s">
        <v>29</v>
      </c>
      <c r="BF1" s="221" t="s">
        <v>30</v>
      </c>
      <c r="BG1" s="224" t="s">
        <v>31</v>
      </c>
      <c r="BH1" s="53" t="s">
        <v>32</v>
      </c>
      <c r="BI1" s="147" t="s">
        <v>33</v>
      </c>
      <c r="BJ1" s="55" t="s">
        <v>34</v>
      </c>
      <c r="BK1" s="227" t="s">
        <v>35</v>
      </c>
      <c r="BL1" s="228" t="s">
        <v>36</v>
      </c>
      <c r="BM1" s="232" t="s">
        <v>37</v>
      </c>
      <c r="BN1" s="232"/>
      <c r="BO1" s="167" t="s">
        <v>38</v>
      </c>
      <c r="BP1" s="232" t="s">
        <v>39</v>
      </c>
      <c r="BQ1" s="232" t="s">
        <v>40</v>
      </c>
      <c r="BR1" s="235" t="s">
        <v>41</v>
      </c>
      <c r="BS1" s="235" t="s">
        <v>42</v>
      </c>
      <c r="BT1" s="235" t="s">
        <v>43</v>
      </c>
      <c r="BU1" s="167" t="s">
        <v>44</v>
      </c>
      <c r="BV1" s="167" t="s">
        <v>45</v>
      </c>
      <c r="BW1" s="235" t="s">
        <v>46</v>
      </c>
      <c r="BX1" s="235" t="s">
        <v>47</v>
      </c>
      <c r="BY1" s="232"/>
      <c r="BZ1" s="232" t="s">
        <v>48</v>
      </c>
      <c r="CA1" s="237" t="s">
        <v>49</v>
      </c>
      <c r="CB1" s="21" t="s">
        <v>50</v>
      </c>
      <c r="CC1" s="224" t="s">
        <v>51</v>
      </c>
      <c r="CD1" s="21" t="s">
        <v>52</v>
      </c>
      <c r="CE1" s="21" t="s">
        <v>53</v>
      </c>
      <c r="CF1" s="21" t="s">
        <v>54</v>
      </c>
      <c r="CG1" s="21" t="s">
        <v>55</v>
      </c>
      <c r="CH1" s="21" t="s">
        <v>56</v>
      </c>
      <c r="CI1" s="21" t="s">
        <v>57</v>
      </c>
      <c r="CJ1" s="112" t="s">
        <v>58</v>
      </c>
      <c r="CK1" s="238" t="s">
        <v>59</v>
      </c>
      <c r="CL1" s="239" t="s">
        <v>60</v>
      </c>
      <c r="CM1" s="21" t="s">
        <v>61</v>
      </c>
      <c r="CN1" s="21"/>
      <c r="CO1" s="204" t="s">
        <v>62</v>
      </c>
      <c r="CP1" s="44" t="s">
        <v>63</v>
      </c>
      <c r="CQ1" s="155" t="s">
        <v>64</v>
      </c>
      <c r="CR1" s="37" t="s">
        <v>65</v>
      </c>
      <c r="CS1" s="242" t="s">
        <v>66</v>
      </c>
      <c r="CT1" s="243" t="s">
        <v>67</v>
      </c>
      <c r="CU1" s="242" t="s">
        <v>68</v>
      </c>
      <c r="CV1" s="244" t="s">
        <v>69</v>
      </c>
      <c r="CW1" s="201" t="s">
        <v>70</v>
      </c>
      <c r="CX1" s="201" t="s">
        <v>71</v>
      </c>
      <c r="CY1" s="246" t="s">
        <v>72</v>
      </c>
      <c r="CZ1" s="207" t="s">
        <v>73</v>
      </c>
      <c r="DA1" s="207" t="s">
        <v>74</v>
      </c>
      <c r="DB1" s="247" t="s">
        <v>75</v>
      </c>
      <c r="DC1" s="248" t="s">
        <v>76</v>
      </c>
      <c r="DD1" s="208" t="s">
        <v>68</v>
      </c>
      <c r="DE1" s="252" t="s">
        <v>77</v>
      </c>
      <c r="DF1" s="208" t="s">
        <v>78</v>
      </c>
      <c r="DG1" s="208" t="s">
        <v>79</v>
      </c>
      <c r="DH1" s="208" t="s">
        <v>80</v>
      </c>
      <c r="DI1" s="208" t="s">
        <v>81</v>
      </c>
      <c r="DJ1" s="253" t="s">
        <v>82</v>
      </c>
      <c r="DK1" s="254" t="s">
        <v>83</v>
      </c>
      <c r="DL1" s="14" t="s">
        <v>84</v>
      </c>
      <c r="DM1" s="258" t="s">
        <v>85</v>
      </c>
      <c r="DN1" s="12" t="s">
        <v>86</v>
      </c>
      <c r="DO1" s="25" t="s">
        <v>87</v>
      </c>
      <c r="DP1" s="1" t="s">
        <v>88</v>
      </c>
    </row>
    <row r="2" ht="41" customHeight="1" spans="1:120">
      <c r="A2" s="68"/>
      <c r="B2" s="12"/>
      <c r="C2" s="12"/>
      <c r="D2" s="55"/>
      <c r="E2" s="21"/>
      <c r="F2" s="21"/>
      <c r="G2" s="119"/>
      <c r="H2" s="119"/>
      <c r="I2" s="119"/>
      <c r="J2" s="21"/>
      <c r="K2" s="21"/>
      <c r="L2" s="21"/>
      <c r="M2" s="55"/>
      <c r="N2" s="38"/>
      <c r="O2" s="155"/>
      <c r="P2" s="37"/>
      <c r="Q2" s="206"/>
      <c r="R2" s="207"/>
      <c r="S2" s="208" t="s">
        <v>89</v>
      </c>
      <c r="T2" s="208" t="s">
        <v>90</v>
      </c>
      <c r="U2" s="208" t="s">
        <v>91</v>
      </c>
      <c r="V2" s="208" t="s">
        <v>92</v>
      </c>
      <c r="W2" s="208" t="s">
        <v>93</v>
      </c>
      <c r="X2" s="208" t="s">
        <v>94</v>
      </c>
      <c r="Y2" s="208" t="s">
        <v>95</v>
      </c>
      <c r="Z2" s="208" t="s">
        <v>96</v>
      </c>
      <c r="AA2" s="208" t="s">
        <v>97</v>
      </c>
      <c r="AB2" s="208" t="s">
        <v>98</v>
      </c>
      <c r="AC2" s="206"/>
      <c r="AD2" s="209" t="s">
        <v>99</v>
      </c>
      <c r="AE2" s="209" t="s">
        <v>100</v>
      </c>
      <c r="AF2" s="209" t="s">
        <v>101</v>
      </c>
      <c r="AG2" s="209" t="s">
        <v>102</v>
      </c>
      <c r="AH2" s="209" t="s">
        <v>103</v>
      </c>
      <c r="AI2" s="209" t="s">
        <v>104</v>
      </c>
      <c r="AJ2" s="210" t="s">
        <v>105</v>
      </c>
      <c r="AK2" s="210" t="s">
        <v>106</v>
      </c>
      <c r="AL2" s="210" t="s">
        <v>107</v>
      </c>
      <c r="AM2" s="210" t="s">
        <v>108</v>
      </c>
      <c r="AN2" s="210" t="s">
        <v>109</v>
      </c>
      <c r="AO2" s="212" t="s">
        <v>110</v>
      </c>
      <c r="AP2" s="212" t="s">
        <v>111</v>
      </c>
      <c r="AQ2" s="206"/>
      <c r="AR2" s="211"/>
      <c r="AS2" s="213"/>
      <c r="AT2" s="213"/>
      <c r="AU2" s="214"/>
      <c r="AV2" s="215"/>
      <c r="AW2" s="215"/>
      <c r="AX2" s="216"/>
      <c r="AY2" s="216"/>
      <c r="AZ2" s="217"/>
      <c r="BA2" s="218"/>
      <c r="BB2" s="219"/>
      <c r="BC2" s="220"/>
      <c r="BD2" s="221"/>
      <c r="BE2" s="225"/>
      <c r="BF2" s="221"/>
      <c r="BG2" s="226"/>
      <c r="BH2" s="53"/>
      <c r="BI2" s="229"/>
      <c r="BJ2" s="55"/>
      <c r="BK2" s="227"/>
      <c r="BL2" s="228"/>
      <c r="BM2" s="232"/>
      <c r="BN2" s="232"/>
      <c r="BO2" s="167"/>
      <c r="BP2" s="232"/>
      <c r="BQ2" s="232"/>
      <c r="BR2" s="235"/>
      <c r="BS2" s="235"/>
      <c r="BT2" s="235"/>
      <c r="BU2" s="167"/>
      <c r="BV2" s="167"/>
      <c r="BW2" s="235"/>
      <c r="BX2" s="235"/>
      <c r="BY2" s="232"/>
      <c r="BZ2" s="232"/>
      <c r="CA2" s="237"/>
      <c r="CB2" s="21"/>
      <c r="CC2" s="226"/>
      <c r="CD2" s="21"/>
      <c r="CE2" s="21"/>
      <c r="CF2" s="21"/>
      <c r="CG2" s="21"/>
      <c r="CH2" s="21"/>
      <c r="CI2" s="21"/>
      <c r="CJ2" s="112"/>
      <c r="CK2" s="240"/>
      <c r="CL2" s="239"/>
      <c r="CM2" s="21"/>
      <c r="CN2" s="21"/>
      <c r="CO2" s="204"/>
      <c r="CP2" s="44"/>
      <c r="CQ2" s="155"/>
      <c r="CR2" s="37"/>
      <c r="CS2" s="242"/>
      <c r="CT2" s="243"/>
      <c r="CU2" s="242"/>
      <c r="CV2" s="244"/>
      <c r="CW2" s="201"/>
      <c r="CX2" s="201"/>
      <c r="CY2" s="246"/>
      <c r="CZ2" s="207"/>
      <c r="DA2" s="207"/>
      <c r="DB2" s="247"/>
      <c r="DC2" s="249"/>
      <c r="DD2" s="208"/>
      <c r="DE2" s="208"/>
      <c r="DF2" s="208"/>
      <c r="DG2" s="208"/>
      <c r="DH2" s="208"/>
      <c r="DI2" s="208"/>
      <c r="DJ2" s="253"/>
      <c r="DK2" s="255"/>
      <c r="DL2" s="14"/>
      <c r="DM2" s="259"/>
      <c r="DN2" s="12"/>
      <c r="DO2" s="12"/>
      <c r="DP2" s="1"/>
    </row>
    <row r="3" ht="101" spans="1:120">
      <c r="A3" s="12" t="s">
        <v>112</v>
      </c>
      <c r="B3" s="14" t="s">
        <v>113</v>
      </c>
      <c r="C3" s="14">
        <v>2022</v>
      </c>
      <c r="D3" s="201">
        <f>3688.53*100000000</f>
        <v>368853000000</v>
      </c>
      <c r="E3" s="201" t="s">
        <v>114</v>
      </c>
      <c r="F3" s="204">
        <v>4633833787</v>
      </c>
      <c r="G3" s="55">
        <f>BG3/F3</f>
        <v>5.60861878089629</v>
      </c>
      <c r="H3" s="55"/>
      <c r="I3" s="55"/>
      <c r="J3" s="53">
        <f>O3/F3</f>
        <v>5.80177896899175</v>
      </c>
      <c r="K3" s="35">
        <f t="shared" ref="K3:K12" si="0">(J3-J4)/J4</f>
        <v>0.0400252477944674</v>
      </c>
      <c r="L3" s="90"/>
      <c r="M3" s="53">
        <v>34059175850.3</v>
      </c>
      <c r="N3" s="38">
        <f t="shared" ref="N3:N12" si="1">(M3-M4)/M4</f>
        <v>0.0216406881533577</v>
      </c>
      <c r="O3" s="53">
        <v>26884479411.22</v>
      </c>
      <c r="P3" s="35">
        <f>(O3-O4)/O4</f>
        <v>0.144027772573914</v>
      </c>
      <c r="Q3" s="53"/>
      <c r="R3" s="35"/>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5">
        <f t="shared" ref="AS3:AS12" si="4">(AR3-AR4)/AR4</f>
        <v>-0.0794872656692572</v>
      </c>
      <c r="AT3" s="35">
        <f>AR3/M3</f>
        <v>0.000124234604753736</v>
      </c>
      <c r="AU3" s="52">
        <f t="shared" ref="AU3:AU13" si="5">SUM(AL3:AP3)</f>
        <v>24304970401</v>
      </c>
      <c r="AV3" s="35">
        <f t="shared" ref="AV3:AV12" si="6">(AU3-AU4)/AU4</f>
        <v>-0.0351949133879917</v>
      </c>
      <c r="AW3" s="37">
        <f>AU3/M3</f>
        <v>0.713610056444919</v>
      </c>
      <c r="AX3" s="52">
        <f>M3-AQ3</f>
        <v>9749974121.05</v>
      </c>
      <c r="AY3" s="35">
        <f>AX3/M3</f>
        <v>0.286265708950327</v>
      </c>
      <c r="AZ3" s="53">
        <v>4206780719.87</v>
      </c>
      <c r="BA3" s="55">
        <v>1179878268.77</v>
      </c>
      <c r="BB3" s="38">
        <f t="shared" ref="BB3:BB13" si="7">(AZ3+BA3)/M3</f>
        <v>0.158155881760496</v>
      </c>
      <c r="BC3" s="38"/>
      <c r="BD3" s="53">
        <v>684643779.66</v>
      </c>
      <c r="BE3" s="53"/>
      <c r="BF3" s="53">
        <v>210428426.24</v>
      </c>
      <c r="BG3" s="53">
        <f>O3-SUM(BC3:BF3)</f>
        <v>25989407205.32</v>
      </c>
      <c r="BH3" s="53">
        <v>6203166580.06</v>
      </c>
      <c r="BI3" s="35">
        <f>BH3/BG3</f>
        <v>0.238680572090548</v>
      </c>
      <c r="BJ3" s="53">
        <v>11015802.17</v>
      </c>
      <c r="BK3" s="53">
        <f>SUM(AZ3:BJ3)</f>
        <v>38485320782.4868</v>
      </c>
      <c r="BL3" s="35">
        <f t="shared" ref="BL3:BL13" si="8">SUM(AZ3:BJ3)/M3</f>
        <v>1.12995455179659</v>
      </c>
      <c r="BM3" s="37">
        <f>SUM(AZ3:BJ3)/AX3</f>
        <v>3.94722286486872</v>
      </c>
      <c r="BN3" s="37"/>
      <c r="BO3" s="167">
        <f>AX3-BK3</f>
        <v>-28735346661.4368</v>
      </c>
      <c r="BP3" s="35">
        <f t="shared" ref="BP3:BP12" si="9">(AZ3-AZ4)/AZ4</f>
        <v>0.163951735656397</v>
      </c>
      <c r="BQ3" s="35">
        <f t="shared" ref="BQ3:BQ12" si="10">(BA3-BA4)/BA4</f>
        <v>0.278080921263089</v>
      </c>
      <c r="BR3" s="166"/>
      <c r="BS3" s="166">
        <v>188395321.48</v>
      </c>
      <c r="BT3" s="166">
        <v>25303923.79</v>
      </c>
      <c r="BU3" s="166"/>
      <c r="BV3" s="166"/>
      <c r="BW3" s="166">
        <v>10738064.59</v>
      </c>
      <c r="BX3" s="166">
        <v>2391641182.47</v>
      </c>
      <c r="BY3" s="35">
        <f t="shared" ref="BY3:BY12" si="11">(BX3-BX4)/BX4</f>
        <v>0.0740168934701672</v>
      </c>
      <c r="BZ3" s="37">
        <f>BX3/(AX3-SUM(AZ3:BJ3))</f>
        <v>-0.0832299401377889</v>
      </c>
      <c r="CA3" s="180">
        <v>52539515.27</v>
      </c>
      <c r="CB3" s="68"/>
      <c r="CC3" s="53">
        <v>4633833787</v>
      </c>
      <c r="CD3" s="180">
        <v>142498802.39</v>
      </c>
      <c r="CE3" s="68"/>
      <c r="CF3" s="68"/>
      <c r="CG3" s="68"/>
      <c r="CH3" s="180">
        <v>2335492509.4</v>
      </c>
      <c r="CI3" s="68"/>
      <c r="CJ3" s="180">
        <v>19285851426.62</v>
      </c>
      <c r="CK3" s="180">
        <f>SUM(CC3:CJ3)</f>
        <v>26397676525.41</v>
      </c>
      <c r="CL3" s="180">
        <f t="shared" ref="CL3:CL13" si="12">O3+AC3</f>
        <v>27139598667.72</v>
      </c>
      <c r="CM3" s="35">
        <f t="shared" ref="CM3:CM12" si="13">(CL3-CL4)/CL4</f>
        <v>0.147138540910762</v>
      </c>
      <c r="CN3" s="35">
        <f>O3/CL3</f>
        <v>0.990599741004887</v>
      </c>
      <c r="CO3" s="52">
        <f>O3+AC3-AQ3</f>
        <v>2830396938.47</v>
      </c>
      <c r="CP3" s="36">
        <f t="shared" ref="CP3:CP12" si="14">(CO3-CO4)/CO4</f>
        <v>-2.77818437236488</v>
      </c>
      <c r="CQ3" s="52">
        <v>7352280924.22</v>
      </c>
      <c r="CR3" s="35">
        <f t="shared" ref="CR3:CR12" si="15">(CQ3-CQ4)/CQ4</f>
        <v>-0.0598610323232816</v>
      </c>
      <c r="CS3" s="52">
        <v>7364206015.29</v>
      </c>
      <c r="CT3" s="35">
        <f t="shared" ref="CT3:CT12" si="16">(CS3-CS4)/CS4</f>
        <v>-0.0583747828962066</v>
      </c>
      <c r="CU3" s="52"/>
      <c r="CV3" s="52">
        <v>-732179071.06</v>
      </c>
      <c r="CW3" s="53">
        <f t="shared" ref="CW3:CW13" si="17">CS3+CV3</f>
        <v>6632026944.23</v>
      </c>
      <c r="CX3" s="53">
        <f>CQ3+CV3</f>
        <v>6620101853.16</v>
      </c>
      <c r="CY3" s="130">
        <f t="shared" ref="CY3:CY12" si="18">(CX3-CX4)/CX4</f>
        <v>-0.0851413604641059</v>
      </c>
      <c r="CZ3" s="35">
        <f>CW3/CL3</f>
        <v>0.24436717084244</v>
      </c>
      <c r="DA3" s="37">
        <f>CX3/CL3</f>
        <v>0.243927772632614</v>
      </c>
      <c r="DB3" s="250">
        <f>CX3/CO3</f>
        <v>2.33893054475199</v>
      </c>
      <c r="DC3" s="35">
        <f>AC3/CL3</f>
        <v>0.0094002589951133</v>
      </c>
      <c r="DD3" s="53">
        <v>12379926.82</v>
      </c>
      <c r="DE3" s="53">
        <v>3767094.66</v>
      </c>
      <c r="DF3" s="53">
        <v>7266710.02</v>
      </c>
      <c r="DG3" s="53">
        <v>2115691.79</v>
      </c>
      <c r="DH3" s="53">
        <f>SUM(DD3:DG3)</f>
        <v>25529423.29</v>
      </c>
      <c r="DI3" s="53">
        <f>(AC3+AC4)/2</f>
        <v>206894715.15</v>
      </c>
      <c r="DJ3" s="130">
        <f t="shared" ref="DJ3:DJ12" si="19">(DD3+DE3+DF3+DG3)/DI3</f>
        <v>0.123393307902964</v>
      </c>
      <c r="DK3" s="256">
        <f>AC3/(AC3+O3)*DJ3*(1-0.25)+(O3/(AC3+O3))*0.09</f>
        <v>0.0900239234798535</v>
      </c>
      <c r="DL3" s="257" t="s">
        <v>115</v>
      </c>
      <c r="DM3" s="257" t="s">
        <v>116</v>
      </c>
      <c r="DN3" s="68"/>
      <c r="DO3" s="68"/>
      <c r="DP3" s="1" t="s">
        <v>117</v>
      </c>
    </row>
    <row r="4" spans="1:120">
      <c r="A4" s="12"/>
      <c r="B4" s="14"/>
      <c r="C4" s="14">
        <v>2021</v>
      </c>
      <c r="D4" s="201">
        <f>4427.84*100000000</f>
        <v>442784000000</v>
      </c>
      <c r="E4" s="201" t="s">
        <v>118</v>
      </c>
      <c r="F4" s="204">
        <v>4212576170</v>
      </c>
      <c r="G4" s="55">
        <f t="shared" ref="G4:G13" si="20">BG4/F4</f>
        <v>5.48182471539975</v>
      </c>
      <c r="H4" s="55"/>
      <c r="I4" s="55"/>
      <c r="J4" s="53">
        <f t="shared" ref="J4:J13" si="21">O4/F4</f>
        <v>5.5784981963614</v>
      </c>
      <c r="K4" s="35">
        <f t="shared" si="0"/>
        <v>-0.103601327720755</v>
      </c>
      <c r="L4" s="90"/>
      <c r="M4" s="53">
        <v>33337724549.58</v>
      </c>
      <c r="N4" s="38">
        <f t="shared" si="1"/>
        <v>0.128805900053578</v>
      </c>
      <c r="O4" s="53">
        <v>23499848566.38</v>
      </c>
      <c r="P4" s="35">
        <f t="shared" ref="P4:P12" si="22">(O4-O5)/O5</f>
        <v>0.165318273852368</v>
      </c>
      <c r="Q4" s="53"/>
      <c r="R4" s="35"/>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5">
        <f t="shared" si="4"/>
        <v>-0.0829708339328466</v>
      </c>
      <c r="AT4" s="35">
        <f t="shared" ref="AT4:AT13" si="24">AR4/M4</f>
        <v>0.000137883075767926</v>
      </c>
      <c r="AU4" s="52">
        <f t="shared" si="5"/>
        <v>25191586091.6</v>
      </c>
      <c r="AV4" s="35">
        <f t="shared" si="6"/>
        <v>0.144426523956121</v>
      </c>
      <c r="AW4" s="37">
        <f t="shared" ref="AW4:AW13" si="25">AU4/M4</f>
        <v>0.755648036329983</v>
      </c>
      <c r="AX4" s="52">
        <f t="shared" ref="AX4:AX13" si="26">M4-AQ4</f>
        <v>8141541749.98</v>
      </c>
      <c r="AY4" s="35">
        <f t="shared" ref="AY4:AY13" si="27">AX4/M4</f>
        <v>0.244214080594249</v>
      </c>
      <c r="AZ4" s="53">
        <v>3614222644.29</v>
      </c>
      <c r="BA4" s="55">
        <v>923163979.01</v>
      </c>
      <c r="BB4" s="38">
        <f t="shared" si="7"/>
        <v>0.13610366887974</v>
      </c>
      <c r="BC4" s="38"/>
      <c r="BD4" s="53">
        <v>376666046.75</v>
      </c>
      <c r="BE4" s="53"/>
      <c r="BF4" s="53">
        <v>30578355.42</v>
      </c>
      <c r="BG4" s="53">
        <f t="shared" ref="BG4:BG13" si="28">O4-SUM(BC4:BF4)</f>
        <v>23092604164.21</v>
      </c>
      <c r="BH4" s="53">
        <v>6671470525.66</v>
      </c>
      <c r="BI4" s="35">
        <f t="shared" ref="BI4:BI13" si="29">BH4/BG4</f>
        <v>0.288900744074579</v>
      </c>
      <c r="BJ4" s="53">
        <v>8221727.64</v>
      </c>
      <c r="BK4" s="53">
        <f t="shared" ref="BK4:BK13" si="30">SUM(AZ4:BJ4)</f>
        <v>34716927443.405</v>
      </c>
      <c r="BL4" s="35">
        <f t="shared" si="8"/>
        <v>1.04137063679238</v>
      </c>
      <c r="BM4" s="37">
        <f>SUM(AZ4:BJ4)/AX4</f>
        <v>4.26417114958482</v>
      </c>
      <c r="BN4" s="37"/>
      <c r="BO4" s="167">
        <f t="shared" ref="BO4:BO13" si="31">AX4-BK4</f>
        <v>-26575385693.425</v>
      </c>
      <c r="BP4" s="35">
        <f t="shared" si="9"/>
        <v>-0.0765708136627867</v>
      </c>
      <c r="BQ4" s="35">
        <f t="shared" si="10"/>
        <v>1.50313013034616</v>
      </c>
      <c r="BR4" s="166"/>
      <c r="BS4" s="166">
        <v>56045139.23</v>
      </c>
      <c r="BT4" s="166">
        <v>16294323.24</v>
      </c>
      <c r="BU4" s="166"/>
      <c r="BV4" s="166"/>
      <c r="BW4" s="166">
        <v>16216013.8</v>
      </c>
      <c r="BX4" s="166">
        <v>2226818960.68</v>
      </c>
      <c r="BY4" s="35">
        <f t="shared" si="11"/>
        <v>0.06042991309768</v>
      </c>
      <c r="BZ4" s="37">
        <f t="shared" ref="BZ4:BZ13" si="32">BX4/(AX4-SUM(AZ4:BJ4))</f>
        <v>-0.0837925359341421</v>
      </c>
      <c r="CA4" s="180">
        <v>71912733.17</v>
      </c>
      <c r="CB4" s="68"/>
      <c r="CC4" s="53">
        <v>4212576170</v>
      </c>
      <c r="CD4" s="180">
        <v>142498802.39</v>
      </c>
      <c r="CE4" s="68"/>
      <c r="CF4" s="68"/>
      <c r="CG4" s="68"/>
      <c r="CH4" s="180">
        <v>2124863700.9</v>
      </c>
      <c r="CI4" s="68"/>
      <c r="CJ4" s="180">
        <v>16921578797.54</v>
      </c>
      <c r="CK4" s="180">
        <f>SUM(CC4:CJ4)</f>
        <v>23401517470.83</v>
      </c>
      <c r="CL4" s="180">
        <f t="shared" si="12"/>
        <v>23658518740.18</v>
      </c>
      <c r="CM4" s="35">
        <f t="shared" si="13"/>
        <v>0.167823956134587</v>
      </c>
      <c r="CN4" s="35">
        <f t="shared" ref="CN4:CN13" si="33">O4/CL4</f>
        <v>0.993293317491998</v>
      </c>
      <c r="CO4" s="52">
        <f t="shared" ref="CO3:CO13" si="34">O4+T4+U4+W4+X4+Z4+AB4-AF4-AG4-AH4-AI4-AJ4-AK4-AL4-AM4-AN4</f>
        <v>-1591734233.22</v>
      </c>
      <c r="CP4" s="35">
        <f t="shared" si="14"/>
        <v>-0.0949824578569509</v>
      </c>
      <c r="CQ4" s="52">
        <v>7820419296.51</v>
      </c>
      <c r="CR4" s="35">
        <f t="shared" si="15"/>
        <v>0.0230969508249376</v>
      </c>
      <c r="CS4" s="52">
        <v>7820740015.8</v>
      </c>
      <c r="CT4" s="35">
        <f t="shared" si="16"/>
        <v>0.0233326208210298</v>
      </c>
      <c r="CU4" s="52"/>
      <c r="CV4" s="52">
        <v>-584217366.43</v>
      </c>
      <c r="CW4" s="53">
        <f t="shared" si="17"/>
        <v>7236522649.37</v>
      </c>
      <c r="CX4" s="53">
        <f t="shared" ref="CX4:CX13" si="35">CQ4+CV4</f>
        <v>7236201930.08</v>
      </c>
      <c r="CY4" s="130">
        <f t="shared" si="18"/>
        <v>-0.00212769228588165</v>
      </c>
      <c r="CZ4" s="35">
        <f t="shared" ref="CZ4:CZ23" si="36">CW4/CL4</f>
        <v>0.305873868471739</v>
      </c>
      <c r="DA4" s="37">
        <f t="shared" ref="DA4:DA13" si="37">CX4/CL4</f>
        <v>0.305860312285339</v>
      </c>
      <c r="DB4" s="250">
        <f t="shared" ref="DB4:DB11" si="38">CX4/CO4</f>
        <v>-4.54611189422089</v>
      </c>
      <c r="DC4" s="35">
        <f t="shared" ref="DC4:DC13" si="39">AC4/CL4</f>
        <v>0.00670668250800189</v>
      </c>
      <c r="DD4" s="53">
        <v>4582073.3</v>
      </c>
      <c r="DE4" s="53">
        <v>-5456405.46</v>
      </c>
      <c r="DF4" s="53">
        <v>7145253.84</v>
      </c>
      <c r="DG4" s="53">
        <v>4082874.6</v>
      </c>
      <c r="DH4" s="53">
        <f t="shared" ref="DH4:DH12" si="40">SUM(DD4:DG4)</f>
        <v>10353796.28</v>
      </c>
      <c r="DI4" s="53">
        <f>(AC4+AC5)/2</f>
        <v>125635086.9</v>
      </c>
      <c r="DJ4" s="130">
        <f t="shared" si="19"/>
        <v>0.0824116617059466</v>
      </c>
      <c r="DK4" s="256">
        <f t="shared" ref="DK4:DK13" si="41">AC4/(AC4+O4)*DJ4*(1-0.25)+(O4/(AC4+O4))*0.09</f>
        <v>0.0898109302117938</v>
      </c>
      <c r="DL4" s="257"/>
      <c r="DM4" s="257"/>
      <c r="DN4" s="68"/>
      <c r="DO4" s="68"/>
      <c r="DP4" s="1"/>
    </row>
    <row r="5" spans="1:120">
      <c r="A5" s="12"/>
      <c r="B5" s="14"/>
      <c r="C5" s="14">
        <v>2020</v>
      </c>
      <c r="D5" s="201">
        <f>6498.38*100000000</f>
        <v>649838000000</v>
      </c>
      <c r="E5" s="201" t="s">
        <v>119</v>
      </c>
      <c r="F5" s="204">
        <v>3240443208</v>
      </c>
      <c r="G5" s="55">
        <f t="shared" si="20"/>
        <v>6.09489385681281</v>
      </c>
      <c r="H5" s="55"/>
      <c r="I5" s="55"/>
      <c r="J5" s="53">
        <f t="shared" si="21"/>
        <v>6.22323344386167</v>
      </c>
      <c r="K5" s="35">
        <f t="shared" si="0"/>
        <v>0.01249100302601</v>
      </c>
      <c r="L5" s="90"/>
      <c r="M5" s="53">
        <v>29533620038.66</v>
      </c>
      <c r="N5" s="37">
        <f t="shared" si="1"/>
        <v>0.193090148946536</v>
      </c>
      <c r="O5" s="53">
        <v>20166034544.96</v>
      </c>
      <c r="P5" s="35">
        <f t="shared" si="22"/>
        <v>0.214989203631212</v>
      </c>
      <c r="Q5" s="53"/>
      <c r="R5" s="35"/>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5">
        <f t="shared" si="4"/>
        <v>-0.092664023188114</v>
      </c>
      <c r="AT5" s="35">
        <f t="shared" si="24"/>
        <v>0.000169725495331707</v>
      </c>
      <c r="AU5" s="52">
        <f t="shared" si="5"/>
        <v>22012410202.2</v>
      </c>
      <c r="AV5" s="35">
        <f t="shared" si="6"/>
        <v>0.200654540177839</v>
      </c>
      <c r="AW5" s="37">
        <f t="shared" si="25"/>
        <v>0.745333967640451</v>
      </c>
      <c r="AX5" s="52">
        <f t="shared" si="26"/>
        <v>7516197228.17</v>
      </c>
      <c r="AY5" s="35">
        <f t="shared" si="27"/>
        <v>0.254496306864217</v>
      </c>
      <c r="AZ5" s="53">
        <v>3913914242.44</v>
      </c>
      <c r="BA5" s="53">
        <v>368803829.98</v>
      </c>
      <c r="BB5" s="38">
        <f t="shared" si="7"/>
        <v>0.145011619531024</v>
      </c>
      <c r="BC5" s="38"/>
      <c r="BD5" s="53">
        <v>385298787.75</v>
      </c>
      <c r="BE5" s="53"/>
      <c r="BF5" s="53">
        <v>30578355.42</v>
      </c>
      <c r="BG5" s="53">
        <f t="shared" si="28"/>
        <v>19750157401.79</v>
      </c>
      <c r="BH5" s="53">
        <v>6409030013.71</v>
      </c>
      <c r="BI5" s="35">
        <f t="shared" si="29"/>
        <v>0.324505262582319</v>
      </c>
      <c r="BJ5" s="53">
        <v>4550870.63</v>
      </c>
      <c r="BK5" s="53">
        <f t="shared" si="30"/>
        <v>30862333502.1895</v>
      </c>
      <c r="BL5" s="35">
        <f t="shared" si="8"/>
        <v>1.04498986110711</v>
      </c>
      <c r="BM5" s="37">
        <f>SUM(AZ5:BJ5)/AX5</f>
        <v>4.10611011995806</v>
      </c>
      <c r="BN5" s="37"/>
      <c r="BO5" s="167">
        <f t="shared" si="31"/>
        <v>-23346136274.0195</v>
      </c>
      <c r="BP5" s="35">
        <f t="shared" si="9"/>
        <v>0.135041497025156</v>
      </c>
      <c r="BQ5" s="35">
        <f t="shared" si="10"/>
        <v>-0.252700507598656</v>
      </c>
      <c r="BR5" s="166"/>
      <c r="BS5" s="166">
        <v>41492650.3</v>
      </c>
      <c r="BT5" s="166">
        <v>15623255.46</v>
      </c>
      <c r="BU5" s="166"/>
      <c r="BV5" s="166"/>
      <c r="BW5" s="166">
        <v>11185829.2</v>
      </c>
      <c r="BX5" s="166">
        <v>2099920921.86</v>
      </c>
      <c r="BY5" s="35">
        <f t="shared" si="11"/>
        <v>0.164836169195949</v>
      </c>
      <c r="BZ5" s="37">
        <f t="shared" si="32"/>
        <v>-0.0899472571055311</v>
      </c>
      <c r="CA5" s="180">
        <v>19503828.31</v>
      </c>
      <c r="CB5" s="68"/>
      <c r="CC5" s="53">
        <v>3240443208</v>
      </c>
      <c r="CD5" s="180">
        <v>790587443.39</v>
      </c>
      <c r="CE5" s="68"/>
      <c r="CF5" s="68"/>
      <c r="CG5" s="68"/>
      <c r="CH5" s="180">
        <v>1638797219.9</v>
      </c>
      <c r="CI5" s="68"/>
      <c r="CJ5" s="180">
        <v>14398588292.06</v>
      </c>
      <c r="CK5" s="180">
        <f>SUM(CC5:CJ5)</f>
        <v>20068416163.35</v>
      </c>
      <c r="CL5" s="180">
        <f t="shared" si="12"/>
        <v>20258634544.96</v>
      </c>
      <c r="CM5" s="36">
        <f t="shared" si="13"/>
        <v>0.219128635640979</v>
      </c>
      <c r="CN5" s="35">
        <f t="shared" si="33"/>
        <v>0.995429109509109</v>
      </c>
      <c r="CO5" s="52">
        <f t="shared" si="34"/>
        <v>-1758788265.53</v>
      </c>
      <c r="CP5" s="35">
        <f t="shared" si="14"/>
        <v>0.0214272633608831</v>
      </c>
      <c r="CQ5" s="52">
        <v>7643869224.91</v>
      </c>
      <c r="CR5" s="38">
        <f t="shared" si="15"/>
        <v>0.198203826091798</v>
      </c>
      <c r="CS5" s="52">
        <v>7642422274.71</v>
      </c>
      <c r="CT5" s="35">
        <f t="shared" si="16"/>
        <v>0.198398020772348</v>
      </c>
      <c r="CU5" s="52"/>
      <c r="CV5" s="52">
        <v>-392238055.13</v>
      </c>
      <c r="CW5" s="53">
        <f t="shared" si="17"/>
        <v>7250184219.58</v>
      </c>
      <c r="CX5" s="53">
        <f t="shared" si="35"/>
        <v>7251631169.78</v>
      </c>
      <c r="CY5" s="130">
        <f t="shared" si="18"/>
        <v>0.19138967742506</v>
      </c>
      <c r="CZ5" s="35">
        <f t="shared" si="36"/>
        <v>0.357881189054951</v>
      </c>
      <c r="DA5" s="35">
        <f t="shared" si="37"/>
        <v>0.357952612930869</v>
      </c>
      <c r="DB5" s="250">
        <f t="shared" si="38"/>
        <v>-4.12308366612553</v>
      </c>
      <c r="DC5" s="35">
        <f t="shared" si="39"/>
        <v>0.00457089049089132</v>
      </c>
      <c r="DD5" s="53">
        <v>5289288.72</v>
      </c>
      <c r="DE5" s="53">
        <v>372821.96</v>
      </c>
      <c r="DF5" s="53">
        <v>2007869.16</v>
      </c>
      <c r="DG5" s="53"/>
      <c r="DH5" s="53">
        <f t="shared" si="40"/>
        <v>7669979.84</v>
      </c>
      <c r="DI5" s="53">
        <f>(AC5+AC6)/2</f>
        <v>56100000</v>
      </c>
      <c r="DJ5" s="130">
        <f t="shared" si="19"/>
        <v>0.136719783244207</v>
      </c>
      <c r="DK5" s="256">
        <f t="shared" si="41"/>
        <v>0.0900573182236805</v>
      </c>
      <c r="DL5" s="257"/>
      <c r="DM5" s="257"/>
      <c r="DN5" s="68"/>
      <c r="DO5" s="68"/>
      <c r="DP5" s="1"/>
    </row>
    <row r="6" spans="1:120">
      <c r="A6" s="12"/>
      <c r="B6" s="14"/>
      <c r="C6" s="14">
        <v>2019</v>
      </c>
      <c r="D6" s="201">
        <f>2903.17*100000000</f>
        <v>290317000000</v>
      </c>
      <c r="E6" s="201" t="s">
        <v>120</v>
      </c>
      <c r="F6" s="155">
        <v>2700369340</v>
      </c>
      <c r="G6" s="55">
        <f t="shared" si="20"/>
        <v>6.08962836717365</v>
      </c>
      <c r="H6" s="55"/>
      <c r="I6" s="55"/>
      <c r="J6" s="53">
        <f t="shared" si="21"/>
        <v>6.14645801815762</v>
      </c>
      <c r="K6" s="37">
        <f t="shared" si="0"/>
        <v>0.195126336829306</v>
      </c>
      <c r="L6" s="90"/>
      <c r="M6" s="53">
        <v>24753888098.68</v>
      </c>
      <c r="N6" s="37">
        <f t="shared" si="1"/>
        <v>0.228859589371038</v>
      </c>
      <c r="O6" s="53">
        <v>16597706781.83</v>
      </c>
      <c r="P6" s="35">
        <f t="shared" si="22"/>
        <v>0.195126336829306</v>
      </c>
      <c r="Q6" s="53"/>
      <c r="R6" s="35"/>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5">
        <f t="shared" si="4"/>
        <v>-0.113024903033681</v>
      </c>
      <c r="AT6" s="35">
        <f t="shared" si="24"/>
        <v>0.000223178427484876</v>
      </c>
      <c r="AU6" s="52">
        <f t="shared" si="5"/>
        <v>18333675062.72</v>
      </c>
      <c r="AV6" s="43">
        <f t="shared" si="6"/>
        <v>0.938592366571324</v>
      </c>
      <c r="AW6" s="37">
        <f t="shared" si="25"/>
        <v>0.740638197507956</v>
      </c>
      <c r="AX6" s="52">
        <f t="shared" si="26"/>
        <v>6414688502.14</v>
      </c>
      <c r="AY6" s="35">
        <f t="shared" si="27"/>
        <v>0.259138624064559</v>
      </c>
      <c r="AZ6" s="53">
        <v>3448256519.87</v>
      </c>
      <c r="BA6" s="53">
        <v>493515429.53</v>
      </c>
      <c r="BB6" s="38">
        <f t="shared" si="7"/>
        <v>0.159238497551833</v>
      </c>
      <c r="BC6" s="38"/>
      <c r="BD6" s="53">
        <v>138370580.99</v>
      </c>
      <c r="BE6" s="53"/>
      <c r="BF6" s="53">
        <v>15090466.13</v>
      </c>
      <c r="BG6" s="53">
        <f t="shared" si="28"/>
        <v>16444245734.71</v>
      </c>
      <c r="BH6" s="53">
        <v>5356242594.52</v>
      </c>
      <c r="BI6" s="35">
        <f t="shared" si="29"/>
        <v>0.325721390991757</v>
      </c>
      <c r="BJ6" s="53">
        <v>87059.73</v>
      </c>
      <c r="BK6" s="53">
        <f t="shared" si="30"/>
        <v>25895808385.965</v>
      </c>
      <c r="BL6" s="35">
        <f t="shared" si="8"/>
        <v>1.04613094648941</v>
      </c>
      <c r="BM6" s="37">
        <f t="shared" ref="BM4:BM13" si="42">SUM(AZ6:BJ6)/AX6</f>
        <v>4.03695493200112</v>
      </c>
      <c r="BN6" s="37"/>
      <c r="BO6" s="167">
        <f t="shared" si="31"/>
        <v>-19481119883.825</v>
      </c>
      <c r="BP6" s="35">
        <f t="shared" si="9"/>
        <v>-0.0793612058076383</v>
      </c>
      <c r="BQ6" s="35">
        <f t="shared" si="10"/>
        <v>0.956045548778461</v>
      </c>
      <c r="BR6" s="166"/>
      <c r="BS6" s="166">
        <v>2463315.07</v>
      </c>
      <c r="BT6" s="166">
        <v>18577720.22</v>
      </c>
      <c r="BU6" s="166"/>
      <c r="BV6" s="166"/>
      <c r="BW6" s="166">
        <v>89751214.54</v>
      </c>
      <c r="BX6" s="166">
        <v>1802760746.44</v>
      </c>
      <c r="BY6" s="37">
        <f t="shared" si="11"/>
        <v>0.498145370303973</v>
      </c>
      <c r="BZ6" s="37">
        <f t="shared" si="32"/>
        <v>-0.0925388662043407</v>
      </c>
      <c r="CA6" s="180">
        <v>22139073.03</v>
      </c>
      <c r="CB6" s="68"/>
      <c r="CC6" s="53">
        <v>2700369340</v>
      </c>
      <c r="CD6" s="180">
        <v>1330661311.39</v>
      </c>
      <c r="CE6" s="68"/>
      <c r="CF6" s="68"/>
      <c r="CG6" s="68"/>
      <c r="CH6" s="180">
        <v>1368760285.9</v>
      </c>
      <c r="CI6" s="68"/>
      <c r="CJ6" s="180">
        <v>11182164121.35</v>
      </c>
      <c r="CK6" s="180">
        <f>SUM(CC6:CJ6)</f>
        <v>16581955058.64</v>
      </c>
      <c r="CL6" s="180">
        <f t="shared" si="12"/>
        <v>16617306781.83</v>
      </c>
      <c r="CM6" s="36">
        <f t="shared" si="13"/>
        <v>0.194851341574022</v>
      </c>
      <c r="CN6" s="35">
        <f t="shared" si="33"/>
        <v>0.998820506821152</v>
      </c>
      <c r="CO6" s="52">
        <f t="shared" si="34"/>
        <v>-1721892814.71</v>
      </c>
      <c r="CP6" s="35">
        <f t="shared" si="14"/>
        <v>-1.38746570595088</v>
      </c>
      <c r="CQ6" s="52">
        <v>6379439840.25</v>
      </c>
      <c r="CR6" s="38">
        <f t="shared" si="15"/>
        <v>0.217216698607553</v>
      </c>
      <c r="CS6" s="52">
        <v>6377198678.77</v>
      </c>
      <c r="CT6" s="35">
        <f t="shared" si="16"/>
        <v>0.221029125771583</v>
      </c>
      <c r="CU6" s="52"/>
      <c r="CV6" s="52">
        <v>-292740159.04</v>
      </c>
      <c r="CW6" s="53">
        <f t="shared" si="17"/>
        <v>6084458519.73</v>
      </c>
      <c r="CX6" s="53">
        <f t="shared" si="35"/>
        <v>6086699681.21</v>
      </c>
      <c r="CY6" s="130">
        <f t="shared" si="18"/>
        <v>0.196195044283846</v>
      </c>
      <c r="CZ6" s="35">
        <f t="shared" si="36"/>
        <v>0.366151904133044</v>
      </c>
      <c r="DA6" s="35">
        <f t="shared" si="37"/>
        <v>0.366286773249287</v>
      </c>
      <c r="DB6" s="250">
        <f t="shared" si="38"/>
        <v>-3.53488883234298</v>
      </c>
      <c r="DC6" s="35">
        <f t="shared" si="39"/>
        <v>0.00117949317884842</v>
      </c>
      <c r="DD6" s="53">
        <v>1087729.3</v>
      </c>
      <c r="DE6" s="53">
        <v>325637.72</v>
      </c>
      <c r="DF6" s="53">
        <v>561936.85</v>
      </c>
      <c r="DG6" s="53"/>
      <c r="DH6" s="53">
        <f t="shared" si="40"/>
        <v>1975303.87</v>
      </c>
      <c r="DI6" s="53">
        <f t="shared" ref="DI6:DI12" si="43">(AC6+AC7)/2</f>
        <v>19600000</v>
      </c>
      <c r="DJ6" s="130">
        <f t="shared" si="19"/>
        <v>0.100780809693878</v>
      </c>
      <c r="DK6" s="256">
        <f t="shared" si="41"/>
        <v>0.0899829983220982</v>
      </c>
      <c r="DL6" s="257"/>
      <c r="DM6" s="257"/>
      <c r="DN6" s="68"/>
      <c r="DO6" s="68"/>
      <c r="DP6" s="1"/>
    </row>
    <row r="7" spans="1:120">
      <c r="A7" s="12"/>
      <c r="B7" s="14"/>
      <c r="C7" s="14">
        <v>2018</v>
      </c>
      <c r="D7" s="201">
        <f>1857.85*100000000</f>
        <v>185785000000</v>
      </c>
      <c r="E7" s="201" t="s">
        <v>121</v>
      </c>
      <c r="F7" s="155">
        <v>2700369340</v>
      </c>
      <c r="G7" s="55">
        <f t="shared" si="20"/>
        <v>5.07782066359485</v>
      </c>
      <c r="H7" s="55"/>
      <c r="I7" s="55"/>
      <c r="J7" s="53">
        <f t="shared" si="21"/>
        <v>5.14293579577896</v>
      </c>
      <c r="K7" s="37">
        <f t="shared" si="0"/>
        <v>0.180884710705892</v>
      </c>
      <c r="L7" s="90"/>
      <c r="M7" s="53">
        <v>20143788853.33</v>
      </c>
      <c r="N7" s="37">
        <f t="shared" si="1"/>
        <v>0.233090948876772</v>
      </c>
      <c r="O7" s="53">
        <v>13887826140.51</v>
      </c>
      <c r="P7" s="35">
        <v>0.02</v>
      </c>
      <c r="Q7" s="53"/>
      <c r="R7" s="35"/>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3">
        <f t="shared" si="4"/>
        <v>0.296219787938263</v>
      </c>
      <c r="AT7" s="35">
        <f t="shared" si="24"/>
        <v>0.000309202537583706</v>
      </c>
      <c r="AU7" s="52">
        <f t="shared" si="5"/>
        <v>9457209973</v>
      </c>
      <c r="AV7" s="43">
        <f t="shared" si="6"/>
        <v>0.684900436187654</v>
      </c>
      <c r="AW7" s="38">
        <f t="shared" si="25"/>
        <v>0.469485161995064</v>
      </c>
      <c r="AX7" s="52">
        <f t="shared" si="26"/>
        <v>10680350369.7</v>
      </c>
      <c r="AY7" s="36">
        <f t="shared" si="27"/>
        <v>0.530205635467352</v>
      </c>
      <c r="AZ7" s="53">
        <v>3745504253.81</v>
      </c>
      <c r="BA7" s="53">
        <v>252302626.51</v>
      </c>
      <c r="BB7" s="38">
        <f t="shared" si="7"/>
        <v>0.198463502046643</v>
      </c>
      <c r="BC7" s="38"/>
      <c r="BD7" s="53">
        <v>143566603.01</v>
      </c>
      <c r="BE7" s="53"/>
      <c r="BF7" s="53">
        <v>32268303.51</v>
      </c>
      <c r="BG7" s="53">
        <f t="shared" si="28"/>
        <v>13711991233.99</v>
      </c>
      <c r="BH7" s="53">
        <v>4366673677.36</v>
      </c>
      <c r="BI7" s="35">
        <f t="shared" si="29"/>
        <v>0.318456568622627</v>
      </c>
      <c r="BJ7" s="53"/>
      <c r="BK7" s="53">
        <f t="shared" si="30"/>
        <v>22252306698.7069</v>
      </c>
      <c r="BL7" s="35">
        <f t="shared" si="8"/>
        <v>1.10467334922588</v>
      </c>
      <c r="BM7" s="38">
        <f t="shared" si="42"/>
        <v>2.08348096536574</v>
      </c>
      <c r="BN7" s="38"/>
      <c r="BO7" s="233">
        <f t="shared" si="31"/>
        <v>-11571956329.0069</v>
      </c>
      <c r="BP7" s="35">
        <f t="shared" si="9"/>
        <v>0.026264863246289</v>
      </c>
      <c r="BQ7" s="35">
        <f t="shared" si="10"/>
        <v>-0.589842247463417</v>
      </c>
      <c r="BR7" s="166"/>
      <c r="BS7" s="166">
        <v>2444554.89</v>
      </c>
      <c r="BT7" s="166">
        <v>17201427.99</v>
      </c>
      <c r="BU7" s="167"/>
      <c r="BV7" s="167"/>
      <c r="BW7" s="166">
        <v>58905778.04</v>
      </c>
      <c r="BX7" s="166">
        <v>1203328316.58</v>
      </c>
      <c r="BY7" s="35">
        <f t="shared" si="11"/>
        <v>0.155801499345456</v>
      </c>
      <c r="BZ7" s="36">
        <f t="shared" si="32"/>
        <v>-0.103986593309523</v>
      </c>
      <c r="CA7" s="180">
        <v>5068670980.84</v>
      </c>
      <c r="CB7" s="68"/>
      <c r="CC7" s="53">
        <v>2700369340</v>
      </c>
      <c r="CD7" s="180">
        <v>1330661311.39</v>
      </c>
      <c r="CE7" s="68"/>
      <c r="CF7" s="180">
        <v>39309965.69</v>
      </c>
      <c r="CG7" s="68"/>
      <c r="CH7" s="180">
        <v>1368760285.9</v>
      </c>
      <c r="CI7" s="68"/>
      <c r="CJ7" s="180">
        <v>8436031079.51</v>
      </c>
      <c r="CK7" s="180"/>
      <c r="CL7" s="180">
        <f t="shared" si="12"/>
        <v>13907426140.51</v>
      </c>
      <c r="CM7" s="36">
        <f t="shared" si="13"/>
        <v>0.182184717992605</v>
      </c>
      <c r="CN7" s="35">
        <f t="shared" si="33"/>
        <v>0.998590680992876</v>
      </c>
      <c r="CO7" s="52">
        <f t="shared" si="34"/>
        <v>4443987656.88</v>
      </c>
      <c r="CP7" s="35">
        <f t="shared" si="14"/>
        <v>-0.276982934917695</v>
      </c>
      <c r="CQ7" s="52">
        <v>5241005851.75</v>
      </c>
      <c r="CR7" s="38">
        <f t="shared" si="15"/>
        <v>0.244650827397254</v>
      </c>
      <c r="CS7" s="52">
        <v>5222806355.86</v>
      </c>
      <c r="CT7" s="35">
        <f t="shared" si="16"/>
        <v>0.23901503047028</v>
      </c>
      <c r="CU7" s="52"/>
      <c r="CV7" s="52">
        <v>-152621887.7</v>
      </c>
      <c r="CW7" s="53">
        <f t="shared" si="17"/>
        <v>5070184468.16</v>
      </c>
      <c r="CX7" s="53">
        <f t="shared" si="35"/>
        <v>5088383964.05</v>
      </c>
      <c r="CY7" s="130">
        <f t="shared" si="18"/>
        <v>0.232406313925735</v>
      </c>
      <c r="CZ7" s="35">
        <f t="shared" si="36"/>
        <v>0.364566701051275</v>
      </c>
      <c r="DA7" s="35">
        <f t="shared" si="37"/>
        <v>0.365875318167493</v>
      </c>
      <c r="DB7" s="251">
        <f t="shared" si="38"/>
        <v>1.14500407222607</v>
      </c>
      <c r="DC7" s="35">
        <f t="shared" si="39"/>
        <v>0.00140931900712444</v>
      </c>
      <c r="DD7" s="53">
        <v>595082.65</v>
      </c>
      <c r="DE7" s="53">
        <v>-469476.97</v>
      </c>
      <c r="DF7" s="53">
        <v>277296.29</v>
      </c>
      <c r="DG7" s="53"/>
      <c r="DH7" s="53">
        <f t="shared" si="40"/>
        <v>402901.97</v>
      </c>
      <c r="DI7" s="53">
        <f t="shared" si="43"/>
        <v>9800000</v>
      </c>
      <c r="DJ7" s="130">
        <f t="shared" si="19"/>
        <v>0.0411124459183674</v>
      </c>
      <c r="DK7" s="256">
        <f t="shared" si="41"/>
        <v>0.0899166167029554</v>
      </c>
      <c r="DL7" s="257"/>
      <c r="DM7" s="257"/>
      <c r="DN7" s="68"/>
      <c r="DO7" s="68"/>
      <c r="DP7" s="1"/>
    </row>
    <row r="8" spans="1:120">
      <c r="A8" s="12"/>
      <c r="B8" s="14"/>
      <c r="C8" s="14">
        <v>2017</v>
      </c>
      <c r="D8" s="201">
        <f>1453.25*100000000</f>
        <v>145325000000</v>
      </c>
      <c r="E8" s="201" t="s">
        <v>122</v>
      </c>
      <c r="F8" s="155">
        <v>2701206700</v>
      </c>
      <c r="G8" s="55">
        <f t="shared" si="20"/>
        <v>4.2878382572574</v>
      </c>
      <c r="H8" s="55"/>
      <c r="I8" s="55"/>
      <c r="J8" s="155">
        <f t="shared" si="21"/>
        <v>4.35515486749311</v>
      </c>
      <c r="K8" s="37">
        <f t="shared" si="0"/>
        <v>0.176428046023955</v>
      </c>
      <c r="L8" s="90"/>
      <c r="M8" s="53">
        <v>16336012255.77</v>
      </c>
      <c r="N8" s="37">
        <f t="shared" si="1"/>
        <v>0.213347154646541</v>
      </c>
      <c r="O8" s="53">
        <v>11764173507.61</v>
      </c>
      <c r="P8" s="35">
        <f t="shared" si="22"/>
        <v>0.174799718156718</v>
      </c>
      <c r="Q8" s="53"/>
      <c r="R8" s="35"/>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5">
        <f t="shared" si="4"/>
        <v>-0.112534302704618</v>
      </c>
      <c r="AT8" s="35">
        <f t="shared" si="24"/>
        <v>0.000294143673790572</v>
      </c>
      <c r="AU8" s="52">
        <f t="shared" si="5"/>
        <v>5612919179.01</v>
      </c>
      <c r="AV8" s="35">
        <f t="shared" si="6"/>
        <v>0.080119058648652</v>
      </c>
      <c r="AW8" s="38">
        <f t="shared" si="25"/>
        <v>0.34359175857177</v>
      </c>
      <c r="AX8" s="52">
        <f t="shared" si="26"/>
        <v>10718287942.1</v>
      </c>
      <c r="AY8" s="36">
        <f t="shared" si="27"/>
        <v>0.65611409775444</v>
      </c>
      <c r="AZ8" s="53">
        <v>3649646780.23</v>
      </c>
      <c r="BA8" s="53">
        <v>615135578.81</v>
      </c>
      <c r="BB8" s="38">
        <f t="shared" si="7"/>
        <v>0.261066305060689</v>
      </c>
      <c r="BC8" s="38"/>
      <c r="BD8" s="53">
        <v>149567775.08</v>
      </c>
      <c r="BE8" s="53"/>
      <c r="BF8" s="53">
        <v>32268303.51</v>
      </c>
      <c r="BG8" s="53">
        <f t="shared" si="28"/>
        <v>11582337429.02</v>
      </c>
      <c r="BH8" s="155">
        <v>3531478779.33</v>
      </c>
      <c r="BI8" s="35">
        <f t="shared" si="29"/>
        <v>0.304902080514572</v>
      </c>
      <c r="BJ8" s="53"/>
      <c r="BK8" s="53">
        <f t="shared" si="30"/>
        <v>19560434646.546</v>
      </c>
      <c r="BL8" s="35">
        <f t="shared" si="8"/>
        <v>1.19738124214721</v>
      </c>
      <c r="BM8" s="38">
        <f t="shared" si="42"/>
        <v>1.8249588695705</v>
      </c>
      <c r="BN8" s="38"/>
      <c r="BO8" s="233">
        <f t="shared" si="31"/>
        <v>-8842146704.44597</v>
      </c>
      <c r="BP8" s="35">
        <f t="shared" si="9"/>
        <v>-0.0471605965546371</v>
      </c>
      <c r="BQ8" s="35">
        <f t="shared" si="10"/>
        <v>0.0561800280096735</v>
      </c>
      <c r="BR8" s="166"/>
      <c r="BS8" s="166">
        <v>2466645.04</v>
      </c>
      <c r="BT8" s="166">
        <v>18366401.43</v>
      </c>
      <c r="BU8" s="166">
        <v>3797846.32</v>
      </c>
      <c r="BV8" s="166"/>
      <c r="BW8" s="166">
        <v>12743950.84</v>
      </c>
      <c r="BX8" s="166">
        <v>1041120224.59</v>
      </c>
      <c r="BY8" s="35">
        <f t="shared" si="11"/>
        <v>0.10771101096838</v>
      </c>
      <c r="BZ8" s="36">
        <f t="shared" si="32"/>
        <v>-0.117745187836174</v>
      </c>
      <c r="CA8" s="180">
        <v>5103012828.25</v>
      </c>
      <c r="CB8" s="68"/>
      <c r="CC8" s="53">
        <v>2701206700</v>
      </c>
      <c r="CD8" s="180">
        <v>1291572608.6</v>
      </c>
      <c r="CE8" s="180">
        <v>37170173.18</v>
      </c>
      <c r="CF8" s="180">
        <v>61430054.74</v>
      </c>
      <c r="CG8" s="68"/>
      <c r="CH8" s="180">
        <v>1291224237.63</v>
      </c>
      <c r="CI8" s="68"/>
      <c r="CJ8" s="180">
        <v>6445076571.28</v>
      </c>
      <c r="CK8" s="180"/>
      <c r="CL8" s="180">
        <f t="shared" si="12"/>
        <v>11764173507.61</v>
      </c>
      <c r="CM8" s="36">
        <f t="shared" si="13"/>
        <v>0.174799718156718</v>
      </c>
      <c r="CN8" s="35">
        <f t="shared" si="33"/>
        <v>1</v>
      </c>
      <c r="CO8" s="241">
        <f t="shared" si="34"/>
        <v>6146449193.94</v>
      </c>
      <c r="CP8" s="35">
        <f t="shared" si="14"/>
        <v>0.277375232670836</v>
      </c>
      <c r="CQ8" s="52">
        <v>4210824221.85</v>
      </c>
      <c r="CR8" s="38">
        <f t="shared" si="15"/>
        <v>0.237894108940673</v>
      </c>
      <c r="CS8" s="52">
        <v>4215288941.15</v>
      </c>
      <c r="CT8" s="35">
        <f t="shared" si="16"/>
        <v>0.234931502582693</v>
      </c>
      <c r="CU8" s="52"/>
      <c r="CV8" s="52">
        <v>-82004118.81</v>
      </c>
      <c r="CW8" s="53">
        <f t="shared" si="17"/>
        <v>4133284822.34</v>
      </c>
      <c r="CX8" s="53">
        <f t="shared" si="35"/>
        <v>4128820103.04</v>
      </c>
      <c r="CY8" s="130">
        <f t="shared" si="18"/>
        <v>0.230308981929185</v>
      </c>
      <c r="CZ8" s="35">
        <f t="shared" si="36"/>
        <v>0.351345108916174</v>
      </c>
      <c r="DA8" s="35">
        <f t="shared" si="37"/>
        <v>0.350965590601767</v>
      </c>
      <c r="DB8" s="250">
        <f t="shared" ref="DB8:DB14" si="44">CX8/CO8</f>
        <v>0.671740703089313</v>
      </c>
      <c r="DC8" s="35">
        <f t="shared" si="39"/>
        <v>0</v>
      </c>
      <c r="DD8" s="53">
        <v>632104.08</v>
      </c>
      <c r="DE8" s="53">
        <v>1056228.46</v>
      </c>
      <c r="DF8" s="53">
        <v>125563.01</v>
      </c>
      <c r="DG8" s="53"/>
      <c r="DH8" s="53">
        <f t="shared" si="40"/>
        <v>1813895.55</v>
      </c>
      <c r="DI8" s="53">
        <f t="shared" si="43"/>
        <v>0</v>
      </c>
      <c r="DJ8" s="130" t="e">
        <f t="shared" si="19"/>
        <v>#DIV/0!</v>
      </c>
      <c r="DK8" s="256">
        <f>0+(O8/(AC8+O8))*0.09</f>
        <v>0.09</v>
      </c>
      <c r="DL8" s="257"/>
      <c r="DM8" s="257"/>
      <c r="DN8" s="68"/>
      <c r="DO8" s="68"/>
      <c r="DP8" s="1"/>
    </row>
    <row r="9" spans="1:120">
      <c r="A9" s="12"/>
      <c r="B9" s="14"/>
      <c r="C9" s="14">
        <v>2016</v>
      </c>
      <c r="D9" s="201">
        <f>793.36*100000000</f>
        <v>79336000000</v>
      </c>
      <c r="E9" s="201" t="s">
        <v>123</v>
      </c>
      <c r="F9" s="155">
        <v>2704950700</v>
      </c>
      <c r="G9" s="55">
        <f t="shared" si="20"/>
        <v>3.64390222191111</v>
      </c>
      <c r="H9" s="55"/>
      <c r="I9" s="55"/>
      <c r="J9" s="155">
        <f t="shared" si="21"/>
        <v>3.70201550550626</v>
      </c>
      <c r="K9" s="37">
        <f t="shared" si="0"/>
        <v>0.144831546210893</v>
      </c>
      <c r="L9" s="158"/>
      <c r="M9" s="55">
        <v>13463592998.27</v>
      </c>
      <c r="N9" s="37">
        <f t="shared" si="1"/>
        <v>0.170950632459131</v>
      </c>
      <c r="O9" s="53">
        <v>10013769433.03</v>
      </c>
      <c r="P9" s="35">
        <f t="shared" si="22"/>
        <v>0.144283591478837</v>
      </c>
      <c r="Q9" s="53"/>
      <c r="R9" s="35"/>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5">
        <f t="shared" si="4"/>
        <v>-0.0859776683171671</v>
      </c>
      <c r="AT9" s="35">
        <f t="shared" si="24"/>
        <v>0.000402154574242977</v>
      </c>
      <c r="AU9" s="52">
        <f t="shared" si="5"/>
        <v>5196574520.25</v>
      </c>
      <c r="AV9" s="35">
        <f t="shared" si="6"/>
        <v>0.149915866494645</v>
      </c>
      <c r="AW9" s="38">
        <f t="shared" si="25"/>
        <v>0.385972341923715</v>
      </c>
      <c r="AX9" s="52">
        <f t="shared" si="26"/>
        <v>8261604032.51</v>
      </c>
      <c r="AY9" s="36">
        <f t="shared" si="27"/>
        <v>0.613625503502042</v>
      </c>
      <c r="AZ9" s="52">
        <v>3830285320.94</v>
      </c>
      <c r="BA9" s="52">
        <v>582415461.85</v>
      </c>
      <c r="BB9" s="38">
        <f t="shared" si="7"/>
        <v>0.327750607386677</v>
      </c>
      <c r="BC9" s="38"/>
      <c r="BD9" s="52">
        <v>140015729.76</v>
      </c>
      <c r="BE9" s="52"/>
      <c r="BF9" s="52">
        <v>17177837.38</v>
      </c>
      <c r="BG9" s="53">
        <f t="shared" si="28"/>
        <v>9856575865.89</v>
      </c>
      <c r="BH9" s="53">
        <v>2843133968.17</v>
      </c>
      <c r="BI9" s="35">
        <f t="shared" si="29"/>
        <v>0.288450472745717</v>
      </c>
      <c r="BJ9" s="52"/>
      <c r="BK9" s="53">
        <f t="shared" si="30"/>
        <v>17269604184.6062</v>
      </c>
      <c r="BL9" s="35">
        <f t="shared" si="8"/>
        <v>1.28268911477235</v>
      </c>
      <c r="BM9" s="38">
        <f t="shared" si="42"/>
        <v>2.0903451819585</v>
      </c>
      <c r="BN9" s="38"/>
      <c r="BO9" s="233">
        <f t="shared" si="31"/>
        <v>-9008000152.0962</v>
      </c>
      <c r="BP9" s="35">
        <f t="shared" si="9"/>
        <v>0.173622069417788</v>
      </c>
      <c r="BQ9" s="35">
        <f t="shared" si="10"/>
        <v>-0.259616874347512</v>
      </c>
      <c r="BR9" s="166"/>
      <c r="BS9" s="166"/>
      <c r="BT9" s="166">
        <v>16997928.74</v>
      </c>
      <c r="BU9" s="166">
        <v>2071262.81</v>
      </c>
      <c r="BV9" s="166"/>
      <c r="BW9" s="166">
        <v>6251866.18</v>
      </c>
      <c r="BX9" s="166">
        <v>939884332.9</v>
      </c>
      <c r="BY9" s="35">
        <f t="shared" si="11"/>
        <v>-0.0600442390345632</v>
      </c>
      <c r="BZ9" s="36">
        <f t="shared" si="32"/>
        <v>-0.104338845141037</v>
      </c>
      <c r="CA9" s="180">
        <v>2666423818.65</v>
      </c>
      <c r="CB9" s="68"/>
      <c r="CC9" s="53">
        <v>2704950700</v>
      </c>
      <c r="CD9" s="180">
        <v>1320136410.56</v>
      </c>
      <c r="CE9" s="180">
        <v>75623665.92</v>
      </c>
      <c r="CF9" s="180">
        <v>23734458.9</v>
      </c>
      <c r="CG9" s="68"/>
      <c r="CH9" s="180">
        <v>1041726620.6</v>
      </c>
      <c r="CI9" s="68"/>
      <c r="CJ9" s="180">
        <v>4998844908.89</v>
      </c>
      <c r="CK9" s="180"/>
      <c r="CL9" s="180">
        <f t="shared" si="12"/>
        <v>10013769433.03</v>
      </c>
      <c r="CM9" s="35">
        <f t="shared" si="13"/>
        <v>0.144283591478837</v>
      </c>
      <c r="CN9" s="35">
        <f t="shared" si="33"/>
        <v>1</v>
      </c>
      <c r="CO9" s="241">
        <f t="shared" si="34"/>
        <v>4811780467.27</v>
      </c>
      <c r="CP9" s="35">
        <f t="shared" si="14"/>
        <v>0.138583610244112</v>
      </c>
      <c r="CQ9" s="52">
        <v>3401602925.03</v>
      </c>
      <c r="CR9" s="38">
        <f t="shared" si="15"/>
        <v>0.137987057766867</v>
      </c>
      <c r="CS9" s="52">
        <v>3413378743.95</v>
      </c>
      <c r="CT9" s="35">
        <f t="shared" si="16"/>
        <v>0.133522213304203</v>
      </c>
      <c r="CU9" s="52"/>
      <c r="CV9" s="52">
        <v>-45681637.22</v>
      </c>
      <c r="CW9" s="53">
        <f t="shared" si="17"/>
        <v>3367697106.73</v>
      </c>
      <c r="CX9" s="53">
        <f t="shared" si="35"/>
        <v>3355921287.81</v>
      </c>
      <c r="CY9" s="130">
        <f t="shared" si="18"/>
        <v>0.141332593534676</v>
      </c>
      <c r="CZ9" s="35">
        <f t="shared" si="36"/>
        <v>0.336306635503489</v>
      </c>
      <c r="DA9" s="37">
        <f t="shared" si="37"/>
        <v>0.335130672845396</v>
      </c>
      <c r="DB9" s="250">
        <f t="shared" si="44"/>
        <v>0.697438569909239</v>
      </c>
      <c r="DC9" s="35">
        <f t="shared" si="39"/>
        <v>0</v>
      </c>
      <c r="DD9" s="53"/>
      <c r="DE9" s="53">
        <v>-1792439.78</v>
      </c>
      <c r="DF9" s="53">
        <v>497245.57</v>
      </c>
      <c r="DG9" s="53"/>
      <c r="DH9" s="53">
        <f t="shared" si="40"/>
        <v>-1295194.21</v>
      </c>
      <c r="DI9" s="53">
        <f t="shared" si="43"/>
        <v>0</v>
      </c>
      <c r="DJ9" s="130" t="e">
        <f t="shared" si="19"/>
        <v>#DIV/0!</v>
      </c>
      <c r="DK9" s="256">
        <f>0+(O9/(AC9+O9))*0.09</f>
        <v>0.09</v>
      </c>
      <c r="DL9" s="257"/>
      <c r="DM9" s="257"/>
      <c r="DN9" s="68"/>
      <c r="DO9" s="68"/>
      <c r="DP9" s="1"/>
    </row>
    <row r="10" spans="1:120">
      <c r="A10" s="12"/>
      <c r="B10" s="14"/>
      <c r="C10" s="14">
        <v>2015</v>
      </c>
      <c r="D10" s="201">
        <f>956.66*100000000</f>
        <v>95666000000</v>
      </c>
      <c r="E10" s="201" t="s">
        <v>124</v>
      </c>
      <c r="F10" s="155">
        <v>2706246000</v>
      </c>
      <c r="G10" s="55">
        <f t="shared" si="20"/>
        <v>3.17406578410093</v>
      </c>
      <c r="H10" s="55"/>
      <c r="I10" s="55"/>
      <c r="J10" s="155">
        <f t="shared" si="21"/>
        <v>3.23367705734438</v>
      </c>
      <c r="K10" s="35">
        <f t="shared" si="0"/>
        <v>-0.350674520616271</v>
      </c>
      <c r="L10" s="158"/>
      <c r="M10" s="55">
        <v>11498002242.84</v>
      </c>
      <c r="N10" s="38">
        <f t="shared" si="1"/>
        <v>0.0452164356824559</v>
      </c>
      <c r="O10" s="53">
        <v>8751125601.73</v>
      </c>
      <c r="P10" s="35">
        <f t="shared" si="22"/>
        <v>0.16870035600387</v>
      </c>
      <c r="Q10" s="53"/>
      <c r="R10" s="35"/>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5">
        <f t="shared" si="4"/>
        <v>-0.10693557957865</v>
      </c>
      <c r="AT10" s="35">
        <f t="shared" si="24"/>
        <v>0.000515198739388734</v>
      </c>
      <c r="AU10" s="52">
        <f t="shared" si="5"/>
        <v>4519091067.15</v>
      </c>
      <c r="AV10" s="35">
        <f t="shared" si="6"/>
        <v>-0.116945073300857</v>
      </c>
      <c r="AW10" s="38">
        <f t="shared" si="25"/>
        <v>0.393032717484823</v>
      </c>
      <c r="AX10" s="52">
        <f t="shared" si="26"/>
        <v>6972987419.429</v>
      </c>
      <c r="AY10" s="36">
        <f t="shared" si="27"/>
        <v>0.606452083775788</v>
      </c>
      <c r="AZ10" s="52">
        <v>3263644592.88</v>
      </c>
      <c r="BA10" s="222">
        <v>786640648.16</v>
      </c>
      <c r="BB10" s="38">
        <f t="shared" si="7"/>
        <v>0.352259910504208</v>
      </c>
      <c r="BC10" s="38"/>
      <c r="BD10" s="52">
        <v>144144932.39</v>
      </c>
      <c r="BE10" s="52"/>
      <c r="BF10" s="52">
        <v>17177837.38</v>
      </c>
      <c r="BG10" s="53">
        <f t="shared" si="28"/>
        <v>8589802831.96</v>
      </c>
      <c r="BH10" s="52">
        <v>2509632367.33</v>
      </c>
      <c r="BI10" s="35">
        <f t="shared" si="29"/>
        <v>0.292164141182896</v>
      </c>
      <c r="BJ10" s="52"/>
      <c r="BK10" s="53">
        <f t="shared" si="30"/>
        <v>15311043210.7444</v>
      </c>
      <c r="BL10" s="35">
        <f t="shared" si="8"/>
        <v>1.33162638929549</v>
      </c>
      <c r="BM10" s="37">
        <f t="shared" si="42"/>
        <v>2.19576521364185</v>
      </c>
      <c r="BN10" s="37"/>
      <c r="BO10" s="233">
        <f t="shared" si="31"/>
        <v>-8338055791.31542</v>
      </c>
      <c r="BP10" s="35">
        <f t="shared" si="9"/>
        <v>0.0203112685606269</v>
      </c>
      <c r="BQ10" s="35">
        <f t="shared" si="10"/>
        <v>0.558775177271075</v>
      </c>
      <c r="BR10" s="166"/>
      <c r="BS10" s="166"/>
      <c r="BT10" s="166">
        <v>7279517.87</v>
      </c>
      <c r="BU10" s="166">
        <v>753269.4</v>
      </c>
      <c r="BV10" s="166"/>
      <c r="BW10" s="166">
        <v>7085944.99</v>
      </c>
      <c r="BX10" s="166">
        <v>999924009.12</v>
      </c>
      <c r="BY10" s="35">
        <f t="shared" si="11"/>
        <v>-0.13367111268399</v>
      </c>
      <c r="BZ10" s="35">
        <f t="shared" si="32"/>
        <v>-0.119922921379524</v>
      </c>
      <c r="CA10" s="180">
        <v>1640624402.16</v>
      </c>
      <c r="CB10" s="68"/>
      <c r="CC10" s="53">
        <v>2706246000</v>
      </c>
      <c r="CD10" s="180">
        <v>1333875444.15</v>
      </c>
      <c r="CE10" s="180">
        <v>109179250</v>
      </c>
      <c r="CF10" s="180">
        <v>5022311.65</v>
      </c>
      <c r="CG10" s="68"/>
      <c r="CH10" s="180">
        <v>827373822.15</v>
      </c>
      <c r="CI10" s="68"/>
      <c r="CJ10" s="180">
        <v>3987787273.78</v>
      </c>
      <c r="CK10" s="180"/>
      <c r="CL10" s="180">
        <f t="shared" si="12"/>
        <v>8751125601.73</v>
      </c>
      <c r="CM10" s="35">
        <f t="shared" si="13"/>
        <v>0.15089057649324</v>
      </c>
      <c r="CN10" s="35">
        <f t="shared" si="33"/>
        <v>1</v>
      </c>
      <c r="CO10" s="241">
        <f t="shared" si="34"/>
        <v>4226110778.319</v>
      </c>
      <c r="CP10" s="36">
        <f t="shared" si="14"/>
        <v>0.704360210445112</v>
      </c>
      <c r="CQ10" s="52">
        <v>2989140255.87</v>
      </c>
      <c r="CR10" s="38">
        <f t="shared" si="15"/>
        <v>0.242825500889958</v>
      </c>
      <c r="CS10" s="52">
        <v>3011302913.95</v>
      </c>
      <c r="CT10" s="35">
        <f t="shared" si="16"/>
        <v>0.208278219048797</v>
      </c>
      <c r="CU10" s="52"/>
      <c r="CV10" s="52">
        <v>-48786754.34</v>
      </c>
      <c r="CW10" s="53">
        <f t="shared" si="17"/>
        <v>2962516159.61</v>
      </c>
      <c r="CX10" s="53">
        <f t="shared" si="35"/>
        <v>2940353501.53</v>
      </c>
      <c r="CY10" s="130">
        <f t="shared" si="18"/>
        <v>0.247771843301702</v>
      </c>
      <c r="CZ10" s="35">
        <f t="shared" si="36"/>
        <v>0.338529726853005</v>
      </c>
      <c r="DA10" s="35">
        <f t="shared" si="37"/>
        <v>0.335997177431521</v>
      </c>
      <c r="DB10" s="250">
        <f t="shared" si="44"/>
        <v>0.695758737942873</v>
      </c>
      <c r="DC10" s="35">
        <f t="shared" si="39"/>
        <v>0</v>
      </c>
      <c r="DD10" s="53"/>
      <c r="DE10" s="53">
        <v>-1345362.1</v>
      </c>
      <c r="DF10" s="53">
        <v>326429.66</v>
      </c>
      <c r="DG10" s="53"/>
      <c r="DH10" s="53">
        <f t="shared" si="40"/>
        <v>-1018932.44</v>
      </c>
      <c r="DI10" s="53">
        <f t="shared" si="43"/>
        <v>57936900</v>
      </c>
      <c r="DJ10" s="130">
        <f t="shared" si="19"/>
        <v>-0.0175869340610216</v>
      </c>
      <c r="DK10" s="256">
        <f t="shared" si="41"/>
        <v>0.09</v>
      </c>
      <c r="DL10" s="257"/>
      <c r="DM10" s="257"/>
      <c r="DN10" s="68"/>
      <c r="DO10" s="68"/>
      <c r="DP10" s="1"/>
    </row>
    <row r="11" spans="1:120">
      <c r="A11" s="12"/>
      <c r="B11" s="14"/>
      <c r="C11" s="14">
        <v>2014</v>
      </c>
      <c r="D11" s="201">
        <f>600.68*100000000</f>
        <v>60068000000</v>
      </c>
      <c r="E11" s="201" t="s">
        <v>125</v>
      </c>
      <c r="F11" s="204">
        <v>1503580000</v>
      </c>
      <c r="G11" s="55">
        <f t="shared" si="20"/>
        <v>4.86973780692082</v>
      </c>
      <c r="H11" s="55"/>
      <c r="I11" s="55"/>
      <c r="J11" s="155">
        <f t="shared" si="21"/>
        <v>4.98005570397984</v>
      </c>
      <c r="K11" s="35">
        <f t="shared" si="0"/>
        <v>-0.0954464720666935</v>
      </c>
      <c r="L11" s="158"/>
      <c r="M11" s="55">
        <v>11000594566.17</v>
      </c>
      <c r="N11" s="38">
        <f t="shared" si="1"/>
        <v>0.636476167495483</v>
      </c>
      <c r="O11" s="53">
        <v>7487912155.39</v>
      </c>
      <c r="P11" s="35">
        <f t="shared" si="22"/>
        <v>0.912895349549875</v>
      </c>
      <c r="Q11" s="53"/>
      <c r="R11" s="35"/>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5">
        <f t="shared" si="4"/>
        <v>-0.0841313215802793</v>
      </c>
      <c r="AT11" s="35">
        <f t="shared" si="24"/>
        <v>0.000602973512031667</v>
      </c>
      <c r="AU11" s="52">
        <f t="shared" si="5"/>
        <v>5117565091.95</v>
      </c>
      <c r="AV11" s="43">
        <f t="shared" si="6"/>
        <v>1.25957158485902</v>
      </c>
      <c r="AW11" s="38">
        <f t="shared" si="25"/>
        <v>0.465208044998585</v>
      </c>
      <c r="AX11" s="52">
        <f t="shared" si="26"/>
        <v>5876396407.08</v>
      </c>
      <c r="AY11" s="36">
        <f t="shared" si="27"/>
        <v>0.534188981489384</v>
      </c>
      <c r="AZ11" s="52">
        <v>3198675437.04</v>
      </c>
      <c r="BA11" s="52">
        <v>504653050.44</v>
      </c>
      <c r="BB11" s="38">
        <f t="shared" si="7"/>
        <v>0.336648029813661</v>
      </c>
      <c r="BC11" s="38"/>
      <c r="BD11" s="52">
        <v>148693946.28</v>
      </c>
      <c r="BE11" s="52"/>
      <c r="BF11" s="52">
        <v>17177837.38</v>
      </c>
      <c r="BG11" s="53">
        <f t="shared" si="28"/>
        <v>7322040371.73</v>
      </c>
      <c r="BH11" s="52">
        <v>2089906049.53</v>
      </c>
      <c r="BI11" s="35">
        <f t="shared" si="29"/>
        <v>0.285426731270018</v>
      </c>
      <c r="BJ11" s="52"/>
      <c r="BK11" s="53">
        <f t="shared" si="30"/>
        <v>13281146693.0221</v>
      </c>
      <c r="BL11" s="35">
        <f t="shared" si="8"/>
        <v>1.20731171511997</v>
      </c>
      <c r="BM11" s="37">
        <f t="shared" si="42"/>
        <v>2.2600835227897</v>
      </c>
      <c r="BN11" s="37"/>
      <c r="BO11" s="233">
        <f t="shared" si="31"/>
        <v>-7404750285.94208</v>
      </c>
      <c r="BP11" s="35">
        <f t="shared" si="9"/>
        <v>0.354986346024638</v>
      </c>
      <c r="BQ11" s="35">
        <f t="shared" si="10"/>
        <v>-0.320952526602908</v>
      </c>
      <c r="BR11" s="166"/>
      <c r="BS11" s="166"/>
      <c r="BT11" s="166">
        <v>21882548.01</v>
      </c>
      <c r="BU11" s="166">
        <v>9681644.14</v>
      </c>
      <c r="BV11" s="166"/>
      <c r="BW11" s="166">
        <v>6946040.13</v>
      </c>
      <c r="BX11" s="166">
        <v>1154208319.45</v>
      </c>
      <c r="BY11" s="37">
        <f t="shared" si="11"/>
        <v>14.2130332904072</v>
      </c>
      <c r="BZ11" s="35">
        <f t="shared" si="32"/>
        <v>-0.155874036919417</v>
      </c>
      <c r="CA11" s="180">
        <v>722327034.84</v>
      </c>
      <c r="CB11" s="68"/>
      <c r="CC11" s="53">
        <v>1503580000</v>
      </c>
      <c r="CD11" s="180">
        <v>2503954982.27</v>
      </c>
      <c r="CE11" s="180">
        <v>115873800</v>
      </c>
      <c r="CF11" s="180">
        <v>9077439.72</v>
      </c>
      <c r="CG11" s="68"/>
      <c r="CH11" s="180">
        <v>495518007.47</v>
      </c>
      <c r="CI11" s="68"/>
      <c r="CJ11" s="180">
        <v>3091655525.93</v>
      </c>
      <c r="CK11" s="180"/>
      <c r="CL11" s="180">
        <f t="shared" si="12"/>
        <v>7603785955.39</v>
      </c>
      <c r="CM11" s="36">
        <f t="shared" si="13"/>
        <v>0.942496985967994</v>
      </c>
      <c r="CN11" s="35">
        <f t="shared" si="33"/>
        <v>0.984761038687858</v>
      </c>
      <c r="CO11" s="241">
        <f t="shared" si="34"/>
        <v>2479587796.3</v>
      </c>
      <c r="CP11" s="36">
        <f t="shared" si="14"/>
        <v>0.509773060642304</v>
      </c>
      <c r="CQ11" s="52">
        <v>2405116610.28</v>
      </c>
      <c r="CR11" s="38">
        <f t="shared" si="15"/>
        <v>0.268419373073552</v>
      </c>
      <c r="CS11" s="52">
        <v>2492226431.36</v>
      </c>
      <c r="CT11" s="35">
        <f t="shared" si="16"/>
        <v>0.261491329920826</v>
      </c>
      <c r="CU11" s="52"/>
      <c r="CV11" s="52">
        <v>-48633317.83</v>
      </c>
      <c r="CW11" s="53">
        <f t="shared" si="17"/>
        <v>2443593113.53</v>
      </c>
      <c r="CX11" s="53">
        <f t="shared" si="35"/>
        <v>2356483292.45</v>
      </c>
      <c r="CY11" s="130">
        <f t="shared" si="18"/>
        <v>0.25266993553651</v>
      </c>
      <c r="CZ11" s="35">
        <f t="shared" si="36"/>
        <v>0.321365320889634</v>
      </c>
      <c r="DA11" s="35">
        <f t="shared" si="37"/>
        <v>0.309909209211707</v>
      </c>
      <c r="DB11" s="250">
        <f t="shared" si="44"/>
        <v>0.950352835243949</v>
      </c>
      <c r="DC11" s="35">
        <f t="shared" si="39"/>
        <v>0.0152389613121424</v>
      </c>
      <c r="DD11" s="53"/>
      <c r="DE11" s="53">
        <v>652481.04</v>
      </c>
      <c r="DF11" s="53">
        <v>349268.11</v>
      </c>
      <c r="DG11" s="53"/>
      <c r="DH11" s="53">
        <f t="shared" si="40"/>
        <v>1001749.15</v>
      </c>
      <c r="DI11" s="53">
        <f t="shared" si="43"/>
        <v>57936900</v>
      </c>
      <c r="DJ11" s="130">
        <f t="shared" si="19"/>
        <v>0.0172903477749068</v>
      </c>
      <c r="DK11" s="256">
        <f t="shared" si="41"/>
        <v>0.0888261086875187</v>
      </c>
      <c r="DL11" s="257"/>
      <c r="DM11" s="257"/>
      <c r="DN11" s="68"/>
      <c r="DO11" s="68"/>
      <c r="DP11" s="1"/>
    </row>
    <row r="12" ht="20" customHeight="1" spans="1:120">
      <c r="A12" s="12"/>
      <c r="B12" s="14"/>
      <c r="C12" s="14">
        <v>2013</v>
      </c>
      <c r="D12" s="55"/>
      <c r="E12" s="21"/>
      <c r="F12" s="53">
        <f>71100*10000</f>
        <v>711000000</v>
      </c>
      <c r="G12" s="55">
        <f t="shared" si="20"/>
        <v>5.39038577867792</v>
      </c>
      <c r="H12" s="55"/>
      <c r="I12" s="55"/>
      <c r="J12" s="53">
        <f t="shared" si="21"/>
        <v>5.50554008158931</v>
      </c>
      <c r="K12" s="35">
        <f t="shared" si="0"/>
        <v>0.0698111500437277</v>
      </c>
      <c r="L12" s="158"/>
      <c r="M12" s="55">
        <v>6722123294.35</v>
      </c>
      <c r="N12" s="38">
        <f t="shared" si="1"/>
        <v>0.100147047607915</v>
      </c>
      <c r="O12" s="53">
        <v>3914438998.01</v>
      </c>
      <c r="P12" s="35">
        <f t="shared" si="22"/>
        <v>0.0698111500437277</v>
      </c>
      <c r="Q12" s="53"/>
      <c r="R12" s="35"/>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3">
        <f t="shared" si="4"/>
        <v>0.178676535112702</v>
      </c>
      <c r="AT12" s="35">
        <f t="shared" si="24"/>
        <v>0.00107739439651267</v>
      </c>
      <c r="AU12" s="52">
        <f t="shared" si="5"/>
        <v>2264838665.1</v>
      </c>
      <c r="AV12" s="35">
        <f t="shared" si="6"/>
        <v>-0.0951503535357571</v>
      </c>
      <c r="AW12" s="38">
        <f t="shared" si="25"/>
        <v>0.336923106870654</v>
      </c>
      <c r="AX12" s="52">
        <f t="shared" si="26"/>
        <v>4450042251.28</v>
      </c>
      <c r="AY12" s="36">
        <f t="shared" si="27"/>
        <v>0.661999498732833</v>
      </c>
      <c r="AZ12" s="52">
        <v>2360669866.84</v>
      </c>
      <c r="BA12" s="52">
        <v>743177863.42</v>
      </c>
      <c r="BB12" s="38">
        <f t="shared" si="7"/>
        <v>0.461736209579614</v>
      </c>
      <c r="BC12" s="38"/>
      <c r="BD12" s="52">
        <v>81874709.37</v>
      </c>
      <c r="BE12" s="52"/>
      <c r="BF12" s="52"/>
      <c r="BG12" s="53">
        <f t="shared" si="28"/>
        <v>3832564288.64</v>
      </c>
      <c r="BH12" s="52">
        <v>1606418791.67</v>
      </c>
      <c r="BI12" s="35">
        <f t="shared" si="29"/>
        <v>0.419149861733968</v>
      </c>
      <c r="BJ12" s="52"/>
      <c r="BK12" s="53">
        <f t="shared" si="30"/>
        <v>8624705520.82089</v>
      </c>
      <c r="BL12" s="35">
        <f t="shared" si="8"/>
        <v>1.28303292622883</v>
      </c>
      <c r="BM12" s="37">
        <f t="shared" si="42"/>
        <v>1.93811767030753</v>
      </c>
      <c r="BN12" s="37"/>
      <c r="BO12" s="233">
        <f t="shared" si="31"/>
        <v>-4174663269.54089</v>
      </c>
      <c r="BP12" s="35">
        <f t="shared" si="9"/>
        <v>0.130740362774187</v>
      </c>
      <c r="BQ12" s="35">
        <f t="shared" si="10"/>
        <v>0.987427983335118</v>
      </c>
      <c r="BR12" s="166"/>
      <c r="BS12" s="166"/>
      <c r="BT12" s="166">
        <v>1045490.37</v>
      </c>
      <c r="BU12" s="166"/>
      <c r="BV12" s="166">
        <v>1488137000</v>
      </c>
      <c r="BW12" s="166">
        <v>989095587.91</v>
      </c>
      <c r="BX12" s="166">
        <v>75869703.13</v>
      </c>
      <c r="BY12" s="35">
        <f t="shared" si="11"/>
        <v>-0.00305544059808901</v>
      </c>
      <c r="BZ12" s="36">
        <f t="shared" si="32"/>
        <v>-0.0181738497769531</v>
      </c>
      <c r="CA12" s="180">
        <v>16569932.55</v>
      </c>
      <c r="CB12" s="68"/>
      <c r="CC12" s="53">
        <v>711000000</v>
      </c>
      <c r="CD12" s="180">
        <v>1336719988.55</v>
      </c>
      <c r="CE12" s="68"/>
      <c r="CF12" s="180">
        <v>-4428833.65</v>
      </c>
      <c r="CG12" s="68"/>
      <c r="CH12" s="180">
        <v>327830534.63</v>
      </c>
      <c r="CI12" s="68"/>
      <c r="CJ12" s="180">
        <v>1543317308.48</v>
      </c>
      <c r="CK12" s="180"/>
      <c r="CL12" s="180">
        <f t="shared" si="12"/>
        <v>3914438998.01</v>
      </c>
      <c r="CM12" s="35">
        <f t="shared" si="13"/>
        <v>0.0698111500437277</v>
      </c>
      <c r="CN12" s="35">
        <f t="shared" si="33"/>
        <v>1</v>
      </c>
      <c r="CO12" s="241">
        <f t="shared" si="34"/>
        <v>1642357954.94</v>
      </c>
      <c r="CP12" s="36">
        <f t="shared" si="14"/>
        <v>0.428316823235615</v>
      </c>
      <c r="CQ12" s="52">
        <v>1896152535.46</v>
      </c>
      <c r="CR12" s="38">
        <f t="shared" si="15"/>
        <v>0.278534289794259</v>
      </c>
      <c r="CS12" s="52">
        <v>1975619151.91</v>
      </c>
      <c r="CT12" s="35">
        <f t="shared" si="16"/>
        <v>0.325918893899329</v>
      </c>
      <c r="CU12" s="52"/>
      <c r="CV12" s="52">
        <v>-14983980.52</v>
      </c>
      <c r="CW12" s="53">
        <f t="shared" si="17"/>
        <v>1960635171.39</v>
      </c>
      <c r="CX12" s="53">
        <f t="shared" si="35"/>
        <v>1881168554.94</v>
      </c>
      <c r="CY12" s="130">
        <f t="shared" si="18"/>
        <v>0.278782985331124</v>
      </c>
      <c r="CZ12" s="35">
        <f t="shared" si="36"/>
        <v>0.500872582862253</v>
      </c>
      <c r="DA12" s="35">
        <f t="shared" si="37"/>
        <v>0.480571687512907</v>
      </c>
      <c r="DB12" s="250">
        <f t="shared" si="44"/>
        <v>1.14540715638859</v>
      </c>
      <c r="DC12" s="35">
        <f t="shared" si="39"/>
        <v>0</v>
      </c>
      <c r="DD12" s="53"/>
      <c r="DE12" s="53">
        <v>1391673.12</v>
      </c>
      <c r="DF12" s="53">
        <v>1123403.73</v>
      </c>
      <c r="DG12" s="53"/>
      <c r="DH12" s="53">
        <f t="shared" si="40"/>
        <v>2515076.85</v>
      </c>
      <c r="DI12" s="53">
        <f t="shared" si="43"/>
        <v>0</v>
      </c>
      <c r="DJ12" s="130" t="e">
        <f t="shared" si="19"/>
        <v>#DIV/0!</v>
      </c>
      <c r="DK12" s="256">
        <f>0+(O12/(AC12+O12))*0.09</f>
        <v>0.09</v>
      </c>
      <c r="DL12" s="257"/>
      <c r="DM12" s="257"/>
      <c r="DN12" s="68"/>
      <c r="DO12" s="68"/>
      <c r="DP12" s="1"/>
    </row>
    <row r="13" ht="23" customHeight="1" spans="1:120">
      <c r="A13" s="12"/>
      <c r="B13" s="14"/>
      <c r="C13" s="14">
        <v>2012</v>
      </c>
      <c r="D13" s="55"/>
      <c r="E13" s="21"/>
      <c r="F13" s="53">
        <f>71100*10000</f>
        <v>711000000</v>
      </c>
      <c r="G13" s="55">
        <f t="shared" si="20"/>
        <v>4.95491503433193</v>
      </c>
      <c r="H13" s="53"/>
      <c r="I13" s="53"/>
      <c r="J13" s="53">
        <f t="shared" si="21"/>
        <v>5.14627285513362</v>
      </c>
      <c r="K13" s="53"/>
      <c r="L13" s="158"/>
      <c r="M13" s="55">
        <v>6110204366.74</v>
      </c>
      <c r="N13" s="38"/>
      <c r="O13" s="53">
        <f>36.59*100000000</f>
        <v>3659000000</v>
      </c>
      <c r="P13" s="35">
        <f>AVERAGE(P3:P10)</f>
        <v>0.153405656565778</v>
      </c>
      <c r="Q13" s="53"/>
      <c r="R13" s="35"/>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5"/>
      <c r="AT13" s="35">
        <f t="shared" si="24"/>
        <v>0.00100561284552881</v>
      </c>
      <c r="AU13" s="52">
        <f t="shared" si="5"/>
        <v>2503000000</v>
      </c>
      <c r="AV13" s="35"/>
      <c r="AW13" s="38">
        <f t="shared" si="25"/>
        <v>0.4096425994562</v>
      </c>
      <c r="AX13" s="52">
        <f t="shared" si="26"/>
        <v>3601059866.74</v>
      </c>
      <c r="AY13" s="36">
        <f t="shared" si="27"/>
        <v>0.589351787698271</v>
      </c>
      <c r="AZ13" s="52">
        <v>2087720527.68</v>
      </c>
      <c r="BA13" s="52">
        <v>373939518.64</v>
      </c>
      <c r="BB13" s="38">
        <f t="shared" si="7"/>
        <v>0.40287687588973</v>
      </c>
      <c r="BC13" s="38"/>
      <c r="BD13" s="52">
        <v>136055410.59</v>
      </c>
      <c r="BE13" s="52"/>
      <c r="BF13" s="52"/>
      <c r="BG13" s="53">
        <f t="shared" si="28"/>
        <v>3522944589.41</v>
      </c>
      <c r="BH13" s="52">
        <v>1207566852.96</v>
      </c>
      <c r="BI13" s="35">
        <f t="shared" si="29"/>
        <v>0.342772025591874</v>
      </c>
      <c r="BJ13" s="52"/>
      <c r="BK13" s="53">
        <f t="shared" si="30"/>
        <v>7328226900.02565</v>
      </c>
      <c r="BL13" s="35">
        <f t="shared" si="8"/>
        <v>1.19934235586551</v>
      </c>
      <c r="BM13" s="37">
        <f t="shared" si="42"/>
        <v>2.0350194584962</v>
      </c>
      <c r="BN13" s="37"/>
      <c r="BO13" s="233">
        <f t="shared" si="31"/>
        <v>-3727167033.28565</v>
      </c>
      <c r="BP13" s="35">
        <f>AVERAGE(BP3:BP12)</f>
        <v>0.080182552668002</v>
      </c>
      <c r="BQ13" s="35">
        <f>AVERAGE(BQ3:BQ12)</f>
        <v>0.291652763299108</v>
      </c>
      <c r="BR13" s="166"/>
      <c r="BS13" s="166"/>
      <c r="BT13" s="166">
        <v>2878171.82</v>
      </c>
      <c r="BU13" s="166"/>
      <c r="BV13" s="166">
        <v>653037000</v>
      </c>
      <c r="BW13" s="166">
        <v>1609011448.3</v>
      </c>
      <c r="BX13" s="166">
        <v>76102228.97</v>
      </c>
      <c r="BY13" s="35"/>
      <c r="BZ13" s="36">
        <f t="shared" si="32"/>
        <v>-0.0204182501858289</v>
      </c>
      <c r="CA13" s="180">
        <v>12449513.86</v>
      </c>
      <c r="CB13" s="68"/>
      <c r="CC13" s="53">
        <v>711000000</v>
      </c>
      <c r="CD13" s="180">
        <v>1336719988.55</v>
      </c>
      <c r="CE13" s="68"/>
      <c r="CF13" s="180">
        <v>-4421512.74</v>
      </c>
      <c r="CG13" s="68"/>
      <c r="CH13" s="180">
        <v>221020719.29</v>
      </c>
      <c r="CI13" s="68"/>
      <c r="CJ13" s="180">
        <v>1394608332.15</v>
      </c>
      <c r="CK13" s="180"/>
      <c r="CL13" s="180">
        <f t="shared" si="12"/>
        <v>3659000000</v>
      </c>
      <c r="CM13" s="35"/>
      <c r="CN13" s="35">
        <f t="shared" si="33"/>
        <v>1</v>
      </c>
      <c r="CO13" s="241">
        <f t="shared" si="34"/>
        <v>1149855500</v>
      </c>
      <c r="CP13" s="35"/>
      <c r="CQ13" s="52">
        <v>1483067408.2</v>
      </c>
      <c r="CR13" s="35"/>
      <c r="CS13" s="52">
        <f>14.9*100000000</f>
        <v>1490000000</v>
      </c>
      <c r="CT13" s="35"/>
      <c r="CU13" s="52"/>
      <c r="CV13" s="52">
        <f>-0.120058*100000000</f>
        <v>-12005800</v>
      </c>
      <c r="CW13" s="53">
        <f t="shared" si="17"/>
        <v>1477994200</v>
      </c>
      <c r="CX13" s="53">
        <f t="shared" si="35"/>
        <v>1471061608.2</v>
      </c>
      <c r="CY13" s="130"/>
      <c r="CZ13" s="35">
        <f t="shared" si="36"/>
        <v>0.403933916370593</v>
      </c>
      <c r="DA13" s="35">
        <f t="shared" si="37"/>
        <v>0.402039247936595</v>
      </c>
      <c r="DB13" s="250">
        <f t="shared" si="44"/>
        <v>1.27934475958066</v>
      </c>
      <c r="DC13" s="35">
        <f t="shared" si="39"/>
        <v>0</v>
      </c>
      <c r="DD13" s="53"/>
      <c r="DE13" s="53"/>
      <c r="DF13" s="53"/>
      <c r="DG13" s="53"/>
      <c r="DH13" s="53"/>
      <c r="DI13" s="53"/>
      <c r="DJ13" s="130"/>
      <c r="DK13" s="256">
        <f t="shared" si="41"/>
        <v>0.09</v>
      </c>
      <c r="DL13" s="257"/>
      <c r="DM13" s="257"/>
      <c r="DN13" s="68"/>
      <c r="DO13" s="68"/>
      <c r="DP13" s="1"/>
    </row>
    <row r="14" spans="1:119">
      <c r="A14" s="12"/>
      <c r="B14" s="14" t="s">
        <v>126</v>
      </c>
      <c r="C14" s="21"/>
      <c r="D14" s="55"/>
      <c r="E14" s="55"/>
      <c r="F14" s="21"/>
      <c r="G14" s="21"/>
      <c r="H14" s="21"/>
      <c r="I14" s="21"/>
      <c r="J14" s="21"/>
      <c r="K14" s="21"/>
      <c r="L14" s="21"/>
      <c r="M14" s="53"/>
      <c r="N14" s="35"/>
      <c r="O14" s="53"/>
      <c r="P14" s="35"/>
      <c r="Q14" s="53"/>
      <c r="R14" s="35"/>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5"/>
      <c r="AT14" s="35"/>
      <c r="AU14" s="52"/>
      <c r="AV14" s="35"/>
      <c r="AW14" s="37"/>
      <c r="AX14" s="52"/>
      <c r="AY14" s="36"/>
      <c r="AZ14" s="52"/>
      <c r="BA14" s="52"/>
      <c r="BB14" s="38"/>
      <c r="BC14" s="38"/>
      <c r="BD14" s="52"/>
      <c r="BE14" s="52"/>
      <c r="BF14" s="52"/>
      <c r="BG14" s="52"/>
      <c r="BH14" s="157"/>
      <c r="BI14" s="230"/>
      <c r="BJ14" s="52"/>
      <c r="BK14" s="52"/>
      <c r="BL14" s="35"/>
      <c r="BM14" s="36"/>
      <c r="BN14" s="36"/>
      <c r="BO14" s="167"/>
      <c r="BP14" s="35"/>
      <c r="BQ14" s="231"/>
      <c r="BR14" s="236"/>
      <c r="BS14" s="236"/>
      <c r="BT14" s="236"/>
      <c r="BU14" s="236"/>
      <c r="BV14" s="236"/>
      <c r="BW14" s="236"/>
      <c r="BX14" s="236"/>
      <c r="BY14" s="231"/>
      <c r="BZ14" s="231"/>
      <c r="CA14" s="68"/>
      <c r="CB14" s="68"/>
      <c r="CC14" s="53"/>
      <c r="CD14" s="68"/>
      <c r="CE14" s="68"/>
      <c r="CF14" s="68"/>
      <c r="CG14" s="68"/>
      <c r="CH14" s="68"/>
      <c r="CI14" s="68"/>
      <c r="CJ14" s="68"/>
      <c r="CK14" s="68"/>
      <c r="CL14" s="180"/>
      <c r="CM14" s="35">
        <f>AVERAGE(CM3:CM10)</f>
        <v>0.172637634797719</v>
      </c>
      <c r="CN14" s="35"/>
      <c r="CO14" s="52"/>
      <c r="CP14" s="35"/>
      <c r="CQ14" s="52"/>
      <c r="CR14" s="35">
        <f>AVERAGE(CR5:CR12)</f>
        <v>0.228216460320239</v>
      </c>
      <c r="CS14" s="52"/>
      <c r="CT14" s="35"/>
      <c r="CU14" s="52"/>
      <c r="CV14" s="52"/>
      <c r="CW14" s="53"/>
      <c r="CX14" s="53"/>
      <c r="CY14" s="130"/>
      <c r="CZ14" s="35"/>
      <c r="DA14" s="35">
        <f>AVERAGE(DA3:DA13)</f>
        <v>0.350410579527772</v>
      </c>
      <c r="DB14" s="250"/>
      <c r="DC14" s="35"/>
      <c r="DD14" s="53"/>
      <c r="DE14" s="53"/>
      <c r="DF14" s="53"/>
      <c r="DG14" s="53"/>
      <c r="DH14" s="53"/>
      <c r="DI14" s="53"/>
      <c r="DJ14" s="130"/>
      <c r="DK14" s="207"/>
      <c r="DL14" s="12"/>
      <c r="DM14" s="12"/>
      <c r="DN14" s="68"/>
      <c r="DO14" s="68"/>
    </row>
    <row r="15" spans="1:119">
      <c r="A15" s="12"/>
      <c r="B15" s="14" t="s">
        <v>127</v>
      </c>
      <c r="C15" s="21"/>
      <c r="D15" s="55"/>
      <c r="E15" s="55"/>
      <c r="F15" s="21"/>
      <c r="G15" s="21"/>
      <c r="H15" s="21"/>
      <c r="I15" s="21"/>
      <c r="J15" s="21"/>
      <c r="K15" s="21"/>
      <c r="L15" s="21"/>
      <c r="M15" s="53"/>
      <c r="N15" s="35"/>
      <c r="O15" s="53"/>
      <c r="P15" s="35"/>
      <c r="Q15" s="53"/>
      <c r="R15" s="35"/>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5"/>
      <c r="AT15" s="35"/>
      <c r="AU15" s="52"/>
      <c r="AV15" s="35"/>
      <c r="AW15" s="37"/>
      <c r="AX15" s="52"/>
      <c r="AY15" s="36"/>
      <c r="AZ15" s="52"/>
      <c r="BA15" s="52"/>
      <c r="BB15" s="38"/>
      <c r="BC15" s="38"/>
      <c r="BD15" s="52"/>
      <c r="BE15" s="52"/>
      <c r="BF15" s="52"/>
      <c r="BG15" s="52"/>
      <c r="BH15" s="157"/>
      <c r="BI15" s="230"/>
      <c r="BJ15" s="52"/>
      <c r="BK15" s="52"/>
      <c r="BL15" s="35"/>
      <c r="BM15" s="36"/>
      <c r="BN15" s="36"/>
      <c r="BO15" s="167"/>
      <c r="BP15" s="35"/>
      <c r="BQ15" s="231"/>
      <c r="BR15" s="236"/>
      <c r="BS15" s="236"/>
      <c r="BT15" s="236"/>
      <c r="BU15" s="236"/>
      <c r="BV15" s="236"/>
      <c r="BW15" s="236"/>
      <c r="BX15" s="236"/>
      <c r="BY15" s="231"/>
      <c r="BZ15" s="231"/>
      <c r="CA15" s="68"/>
      <c r="CB15" s="68"/>
      <c r="CC15" s="53"/>
      <c r="CD15" s="68"/>
      <c r="CE15" s="68"/>
      <c r="CF15" s="68"/>
      <c r="CG15" s="68"/>
      <c r="CH15" s="68"/>
      <c r="CI15" s="68"/>
      <c r="CJ15" s="68"/>
      <c r="CK15" s="68"/>
      <c r="CL15" s="180"/>
      <c r="CM15" s="35">
        <f>STDEV(CM3:CM10)</f>
        <v>0.0259145434591911</v>
      </c>
      <c r="CN15" s="35"/>
      <c r="CO15" s="52"/>
      <c r="CP15" s="35"/>
      <c r="CQ15" s="52"/>
      <c r="CR15" s="35">
        <f>STDEV(CR5:CR12)</f>
        <v>0.0445427973710069</v>
      </c>
      <c r="CS15" s="52"/>
      <c r="CT15" s="35"/>
      <c r="CU15" s="52"/>
      <c r="CV15" s="52"/>
      <c r="CW15" s="53"/>
      <c r="CX15" s="53"/>
      <c r="CY15" s="130"/>
      <c r="CZ15" s="35"/>
      <c r="DA15" s="35">
        <f>STDEV(DA3:DA13)</f>
        <v>0.0596328203159493</v>
      </c>
      <c r="DB15" s="250"/>
      <c r="DC15" s="35"/>
      <c r="DD15" s="53"/>
      <c r="DE15" s="53"/>
      <c r="DF15" s="53"/>
      <c r="DG15" s="53"/>
      <c r="DH15" s="53"/>
      <c r="DI15" s="53"/>
      <c r="DJ15" s="130"/>
      <c r="DK15" s="207"/>
      <c r="DL15" s="12"/>
      <c r="DM15" s="12"/>
      <c r="DN15" s="68"/>
      <c r="DO15" s="68"/>
    </row>
    <row r="16" spans="1:119">
      <c r="A16" s="12"/>
      <c r="B16" s="21" t="s">
        <v>128</v>
      </c>
      <c r="C16" s="21">
        <v>2022</v>
      </c>
      <c r="D16" s="55">
        <f>289.57*100000000</f>
        <v>28957000000</v>
      </c>
      <c r="E16" s="55" t="s">
        <v>114</v>
      </c>
      <c r="F16" s="21"/>
      <c r="G16" s="21"/>
      <c r="H16" s="21"/>
      <c r="I16" s="21"/>
      <c r="J16" s="21"/>
      <c r="K16" s="21"/>
      <c r="L16" s="21"/>
      <c r="M16" s="53">
        <v>6223376570.5</v>
      </c>
      <c r="N16" s="35"/>
      <c r="O16" s="53">
        <v>3464836366.55</v>
      </c>
      <c r="P16" s="35"/>
      <c r="Q16" s="53">
        <v>3009131107.56</v>
      </c>
      <c r="R16" s="35">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5"/>
      <c r="AT16" s="35">
        <f t="shared" ref="AT16:AT49" si="49">AR16/M16</f>
        <v>0.0882651044039052</v>
      </c>
      <c r="AU16" s="52">
        <f t="shared" ref="AU16:AU48" si="50">SUM(AL16:AP16)</f>
        <v>628494354.38</v>
      </c>
      <c r="AV16" s="35"/>
      <c r="AW16" s="37">
        <f t="shared" ref="AW16:AW48" si="51">AU16/M16</f>
        <v>0.100989285681214</v>
      </c>
      <c r="AX16" s="52">
        <f t="shared" ref="AX16:AX48" si="52">M16-AQ16</f>
        <v>5045575233.38</v>
      </c>
      <c r="AY16" s="36">
        <f t="shared" ref="AY16:AY48" si="53">AX16/M16</f>
        <v>0.810745609914881</v>
      </c>
      <c r="AZ16" s="52">
        <v>1608531558.93</v>
      </c>
      <c r="BA16" s="52">
        <v>496987621.64</v>
      </c>
      <c r="BB16" s="38">
        <f t="shared" ref="BB16:BB37" si="54">(AZ16+BA16)/M16</f>
        <v>0.338324245161472</v>
      </c>
      <c r="BC16" s="38"/>
      <c r="BD16" s="52">
        <v>188480697.36</v>
      </c>
      <c r="BE16" s="52"/>
      <c r="BF16" s="52"/>
      <c r="BG16" s="52"/>
      <c r="BH16" s="157"/>
      <c r="BI16" s="230"/>
      <c r="BJ16" s="52"/>
      <c r="BK16" s="52"/>
      <c r="BL16" s="35">
        <f t="shared" ref="BL16:BL37" si="55">SUM(AZ16:BJ16)/M16</f>
        <v>0.368610167210887</v>
      </c>
      <c r="BM16" s="36">
        <f t="shared" ref="BM16:BM48" si="56">SUM(AZ16:BD16)/AX16</f>
        <v>0.4546557671149</v>
      </c>
      <c r="BN16" s="36"/>
      <c r="BO16" s="167"/>
      <c r="BP16" s="35"/>
      <c r="BQ16" s="231"/>
      <c r="BR16" s="236"/>
      <c r="BS16" s="236"/>
      <c r="BT16" s="236"/>
      <c r="BU16" s="236"/>
      <c r="BV16" s="236"/>
      <c r="BW16" s="236"/>
      <c r="BX16" s="236"/>
      <c r="BY16" s="231"/>
      <c r="BZ16" s="231"/>
      <c r="CA16" s="68"/>
      <c r="CB16" s="68"/>
      <c r="CC16" s="53"/>
      <c r="CD16" s="68"/>
      <c r="CE16" s="68"/>
      <c r="CF16" s="68"/>
      <c r="CG16" s="68"/>
      <c r="CH16" s="68"/>
      <c r="CI16" s="68"/>
      <c r="CJ16" s="68"/>
      <c r="CK16" s="68"/>
      <c r="CL16" s="180">
        <f t="shared" ref="CL16:CL26" si="57">O16+AC16</f>
        <v>3825074166.55</v>
      </c>
      <c r="CM16" s="35"/>
      <c r="CN16" s="35"/>
      <c r="CO16" s="52">
        <f t="shared" ref="CO16:CO48" si="58">O16+T16+U16+W16+X16+Z16+AB16-AF16-AG16-AH16-AI16-AJ16-AK16-AL16-AM16-AN16</f>
        <v>2647272829.43</v>
      </c>
      <c r="CP16" s="35"/>
      <c r="CQ16" s="52">
        <v>705693335.16</v>
      </c>
      <c r="CR16" s="35">
        <f>(CQ16-CQ17)/CQ17</f>
        <v>-0.195786910314571</v>
      </c>
      <c r="CS16" s="52">
        <v>-474409780.91</v>
      </c>
      <c r="CT16" s="35"/>
      <c r="CU16" s="52"/>
      <c r="CV16" s="52">
        <v>-4190779.77</v>
      </c>
      <c r="CW16" s="53">
        <f t="shared" ref="CW16:CW48" si="59">CS16+CV16</f>
        <v>-478600560.68</v>
      </c>
      <c r="CX16" s="53">
        <f t="shared" ref="CX16:CX48" si="60">CQ16+CV16</f>
        <v>701502555.39</v>
      </c>
      <c r="CY16" s="130"/>
      <c r="CZ16" s="35">
        <f t="shared" ref="CZ16:CZ25" si="61">CW16/CL16</f>
        <v>-0.125121903482376</v>
      </c>
      <c r="DA16" s="35">
        <f t="shared" ref="DA16:DA47" si="62">CX16/CL16</f>
        <v>0.183395804851208</v>
      </c>
      <c r="DB16" s="250">
        <f>CX16/CO16</f>
        <v>0.264990652867859</v>
      </c>
      <c r="DC16" s="35"/>
      <c r="DD16" s="53"/>
      <c r="DE16" s="53"/>
      <c r="DF16" s="53"/>
      <c r="DG16" s="53"/>
      <c r="DH16" s="53"/>
      <c r="DI16" s="53"/>
      <c r="DJ16" s="130"/>
      <c r="DK16" s="207"/>
      <c r="DL16" s="12"/>
      <c r="DM16" s="12"/>
      <c r="DN16" s="68"/>
      <c r="DO16" s="68"/>
    </row>
    <row r="17" spans="1:119">
      <c r="A17" s="12"/>
      <c r="B17" s="21"/>
      <c r="C17" s="21">
        <v>2021</v>
      </c>
      <c r="D17" s="55">
        <f>302.48*100000000</f>
        <v>30248000000</v>
      </c>
      <c r="E17" s="55" t="s">
        <v>118</v>
      </c>
      <c r="F17" s="21"/>
      <c r="G17" s="21"/>
      <c r="H17" s="21"/>
      <c r="I17" s="21"/>
      <c r="J17" s="21"/>
      <c r="K17" s="21"/>
      <c r="L17" s="21"/>
      <c r="M17" s="53">
        <v>5917652808.13</v>
      </c>
      <c r="N17" s="35"/>
      <c r="O17" s="53">
        <v>4250369296.86</v>
      </c>
      <c r="P17" s="35"/>
      <c r="Q17" s="53">
        <v>3832349780.64</v>
      </c>
      <c r="R17" s="35">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5"/>
      <c r="AT17" s="35">
        <f t="shared" si="49"/>
        <v>0.100278989842853</v>
      </c>
      <c r="AU17" s="52">
        <f t="shared" si="50"/>
        <v>548656736.03</v>
      </c>
      <c r="AV17" s="35"/>
      <c r="AW17" s="37">
        <f t="shared" si="51"/>
        <v>0.0927152629292859</v>
      </c>
      <c r="AX17" s="52">
        <f t="shared" si="52"/>
        <v>4775579826.26</v>
      </c>
      <c r="AY17" s="36">
        <f t="shared" si="53"/>
        <v>0.807005747227861</v>
      </c>
      <c r="AZ17" s="52">
        <v>1600587935.72</v>
      </c>
      <c r="BA17" s="52">
        <v>286157008.81</v>
      </c>
      <c r="BB17" s="38">
        <f t="shared" si="54"/>
        <v>0.318833328974266</v>
      </c>
      <c r="BC17" s="38"/>
      <c r="BD17" s="52">
        <v>192297802.7</v>
      </c>
      <c r="BE17" s="52"/>
      <c r="BF17" s="52"/>
      <c r="BG17" s="52"/>
      <c r="BH17" s="52">
        <v>-554562529.62</v>
      </c>
      <c r="BI17" s="231"/>
      <c r="BJ17" s="52"/>
      <c r="BK17" s="52"/>
      <c r="BL17" s="35">
        <f t="shared" si="55"/>
        <v>0.257615691112263</v>
      </c>
      <c r="BM17" s="36">
        <f t="shared" si="56"/>
        <v>0.435348758305028</v>
      </c>
      <c r="BN17" s="36"/>
      <c r="BO17" s="167"/>
      <c r="BP17" s="35"/>
      <c r="BQ17" s="231"/>
      <c r="BR17" s="236"/>
      <c r="BS17" s="236"/>
      <c r="BT17" s="236"/>
      <c r="BU17" s="236"/>
      <c r="BV17" s="236"/>
      <c r="BW17" s="236"/>
      <c r="BX17" s="236"/>
      <c r="BY17" s="231"/>
      <c r="BZ17" s="231"/>
      <c r="CA17" s="68"/>
      <c r="CB17" s="68"/>
      <c r="CC17" s="53"/>
      <c r="CD17" s="68"/>
      <c r="CE17" s="68"/>
      <c r="CF17" s="68"/>
      <c r="CG17" s="68"/>
      <c r="CH17" s="68"/>
      <c r="CI17" s="68"/>
      <c r="CJ17" s="68"/>
      <c r="CK17" s="68"/>
      <c r="CL17" s="180">
        <f t="shared" si="57"/>
        <v>4363047296.86</v>
      </c>
      <c r="CM17" s="35"/>
      <c r="CN17" s="35"/>
      <c r="CO17" s="52">
        <f t="shared" si="58"/>
        <v>3220974314.99</v>
      </c>
      <c r="CP17" s="35"/>
      <c r="CQ17" s="52">
        <v>877495460.11</v>
      </c>
      <c r="CR17" s="35">
        <f t="shared" ref="CR17:CR27" si="63">(CQ17-CQ18)/CQ18</f>
        <v>-0.249211040407186</v>
      </c>
      <c r="CS17" s="52">
        <v>876523604.02</v>
      </c>
      <c r="CT17" s="35"/>
      <c r="CU17" s="52"/>
      <c r="CV17" s="52">
        <v>19896160.07</v>
      </c>
      <c r="CW17" s="53">
        <f t="shared" si="59"/>
        <v>896419764.09</v>
      </c>
      <c r="CX17" s="53">
        <f t="shared" si="60"/>
        <v>897391620.18</v>
      </c>
      <c r="CY17" s="130"/>
      <c r="CZ17" s="35">
        <f t="shared" si="61"/>
        <v>0.205457264865117</v>
      </c>
      <c r="DA17" s="35">
        <f t="shared" si="62"/>
        <v>0.205680011955368</v>
      </c>
      <c r="DB17" s="250">
        <f t="shared" ref="DB17:DB44" si="64">CX17/CO17</f>
        <v>0.278608747671056</v>
      </c>
      <c r="DC17" s="35"/>
      <c r="DD17" s="53"/>
      <c r="DE17" s="53"/>
      <c r="DF17" s="53"/>
      <c r="DG17" s="53"/>
      <c r="DH17" s="53"/>
      <c r="DI17" s="53"/>
      <c r="DJ17" s="130"/>
      <c r="DK17" s="207"/>
      <c r="DL17" s="12"/>
      <c r="DM17" s="12"/>
      <c r="DN17" s="68"/>
      <c r="DO17" s="68"/>
    </row>
    <row r="18" spans="1:119">
      <c r="A18" s="12"/>
      <c r="B18" s="21"/>
      <c r="C18" s="21">
        <v>2020</v>
      </c>
      <c r="D18" s="55">
        <f>530.96*100000000</f>
        <v>53096000000</v>
      </c>
      <c r="E18" s="55" t="s">
        <v>119</v>
      </c>
      <c r="F18" s="21"/>
      <c r="G18" s="21"/>
      <c r="H18" s="21"/>
      <c r="I18" s="21"/>
      <c r="J18" s="21"/>
      <c r="K18" s="21"/>
      <c r="L18" s="21"/>
      <c r="M18" s="55">
        <v>6658923560.27</v>
      </c>
      <c r="N18" s="38"/>
      <c r="O18" s="53">
        <v>4991639172.49</v>
      </c>
      <c r="P18" s="35"/>
      <c r="Q18" s="53">
        <v>4615875380.59</v>
      </c>
      <c r="R18" s="35">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5"/>
      <c r="AT18" s="35">
        <f t="shared" si="49"/>
        <v>0.0884533027131066</v>
      </c>
      <c r="AU18" s="52">
        <f t="shared" si="50"/>
        <v>1020708716.62</v>
      </c>
      <c r="AV18" s="35"/>
      <c r="AW18" s="37">
        <f t="shared" si="51"/>
        <v>0.153284342038402</v>
      </c>
      <c r="AX18" s="52">
        <f t="shared" si="52"/>
        <v>5049211062.23</v>
      </c>
      <c r="AY18" s="38">
        <f t="shared" si="53"/>
        <v>0.758262355248491</v>
      </c>
      <c r="AZ18" s="52">
        <v>1458030642.5</v>
      </c>
      <c r="BA18" s="52">
        <v>227215629.33</v>
      </c>
      <c r="BB18" s="38">
        <f t="shared" si="54"/>
        <v>0.253080885608134</v>
      </c>
      <c r="BC18" s="38"/>
      <c r="BD18" s="52">
        <v>197604336.16</v>
      </c>
      <c r="BE18" s="52"/>
      <c r="BF18" s="52"/>
      <c r="BG18" s="52"/>
      <c r="BH18" s="52">
        <v>784220450.63</v>
      </c>
      <c r="BI18" s="231"/>
      <c r="BJ18" s="52"/>
      <c r="BK18" s="52"/>
      <c r="BL18" s="35">
        <f t="shared" si="55"/>
        <v>0.400525855978581</v>
      </c>
      <c r="BM18" s="36">
        <f t="shared" si="56"/>
        <v>0.372899961011238</v>
      </c>
      <c r="BN18" s="36"/>
      <c r="BO18" s="167"/>
      <c r="BP18" s="35"/>
      <c r="BQ18" s="231"/>
      <c r="BR18" s="236"/>
      <c r="BS18" s="236"/>
      <c r="BT18" s="236"/>
      <c r="BU18" s="236"/>
      <c r="BV18" s="236"/>
      <c r="BW18" s="236"/>
      <c r="BX18" s="236"/>
      <c r="BY18" s="231"/>
      <c r="BZ18" s="231"/>
      <c r="CA18" s="68"/>
      <c r="CB18" s="68"/>
      <c r="CC18" s="53"/>
      <c r="CD18" s="68"/>
      <c r="CE18" s="68"/>
      <c r="CF18" s="68"/>
      <c r="CG18" s="68"/>
      <c r="CH18" s="68"/>
      <c r="CI18" s="68"/>
      <c r="CJ18" s="68"/>
      <c r="CK18" s="68"/>
      <c r="CL18" s="180">
        <f t="shared" si="57"/>
        <v>5351876972.49</v>
      </c>
      <c r="CM18" s="35"/>
      <c r="CN18" s="35"/>
      <c r="CO18" s="52">
        <f t="shared" si="58"/>
        <v>3742164474.45</v>
      </c>
      <c r="CP18" s="35"/>
      <c r="CQ18" s="52">
        <v>1168764469.56</v>
      </c>
      <c r="CR18" s="35">
        <f t="shared" si="63"/>
        <v>0.255459950471677</v>
      </c>
      <c r="CS18" s="52">
        <v>1130076526.92</v>
      </c>
      <c r="CT18" s="35"/>
      <c r="CU18" s="52"/>
      <c r="CV18" s="52">
        <v>13317353.72</v>
      </c>
      <c r="CW18" s="53">
        <f t="shared" si="59"/>
        <v>1143393880.64</v>
      </c>
      <c r="CX18" s="53">
        <f t="shared" si="60"/>
        <v>1182081823.28</v>
      </c>
      <c r="CY18" s="130"/>
      <c r="CZ18" s="35">
        <f t="shared" si="61"/>
        <v>0.213643528526036</v>
      </c>
      <c r="DA18" s="35">
        <f t="shared" si="62"/>
        <v>0.220872383531273</v>
      </c>
      <c r="DB18" s="250">
        <f t="shared" si="64"/>
        <v>0.315881846281953</v>
      </c>
      <c r="DC18" s="35"/>
      <c r="DD18" s="53"/>
      <c r="DE18" s="53"/>
      <c r="DF18" s="53"/>
      <c r="DG18" s="53"/>
      <c r="DH18" s="53"/>
      <c r="DI18" s="53"/>
      <c r="DJ18" s="130"/>
      <c r="DK18" s="207"/>
      <c r="DL18" s="12"/>
      <c r="DM18" s="12"/>
      <c r="DN18" s="68"/>
      <c r="DO18" s="68"/>
    </row>
    <row r="19" spans="1:119">
      <c r="A19" s="12"/>
      <c r="B19" s="21"/>
      <c r="C19" s="21">
        <v>2019</v>
      </c>
      <c r="D19" s="55">
        <f>313.48*100000000</f>
        <v>31348000000</v>
      </c>
      <c r="E19" s="55" t="s">
        <v>120</v>
      </c>
      <c r="F19" s="21"/>
      <c r="G19" s="21"/>
      <c r="H19" s="21"/>
      <c r="I19" s="21"/>
      <c r="J19" s="21"/>
      <c r="K19" s="21"/>
      <c r="L19" s="21"/>
      <c r="M19" s="55">
        <v>5953726937.24</v>
      </c>
      <c r="N19" s="38"/>
      <c r="O19" s="53">
        <v>4245796115.38</v>
      </c>
      <c r="P19" s="35"/>
      <c r="Q19" s="53">
        <v>3948972297.92</v>
      </c>
      <c r="R19" s="35">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5"/>
      <c r="AT19" s="35">
        <f t="shared" si="49"/>
        <v>0.0610417975632714</v>
      </c>
      <c r="AU19" s="52">
        <f t="shared" si="50"/>
        <v>1833622699.65</v>
      </c>
      <c r="AV19" s="35"/>
      <c r="AW19" s="37">
        <f t="shared" si="51"/>
        <v>0.307978971655697</v>
      </c>
      <c r="AX19" s="52">
        <f t="shared" si="52"/>
        <v>3756678043.14</v>
      </c>
      <c r="AY19" s="38">
        <f t="shared" si="53"/>
        <v>0.630979230781031</v>
      </c>
      <c r="AZ19" s="52">
        <v>1424207470.64</v>
      </c>
      <c r="BA19" s="52">
        <v>366030438.06</v>
      </c>
      <c r="BB19" s="38">
        <f t="shared" si="54"/>
        <v>0.300691974551643</v>
      </c>
      <c r="BC19" s="38"/>
      <c r="BD19" s="52">
        <v>211469631.7</v>
      </c>
      <c r="BE19" s="52"/>
      <c r="BF19" s="52"/>
      <c r="BG19" s="52"/>
      <c r="BH19" s="52">
        <v>971371651.68</v>
      </c>
      <c r="BI19" s="231"/>
      <c r="BJ19" s="52"/>
      <c r="BK19" s="52"/>
      <c r="BL19" s="35">
        <f t="shared" si="55"/>
        <v>0.499364385320456</v>
      </c>
      <c r="BM19" s="36">
        <f t="shared" si="56"/>
        <v>0.532839790291844</v>
      </c>
      <c r="BN19" s="36"/>
      <c r="BO19" s="167"/>
      <c r="BP19" s="35"/>
      <c r="BQ19" s="231"/>
      <c r="BR19" s="236"/>
      <c r="BS19" s="236"/>
      <c r="BT19" s="236"/>
      <c r="BU19" s="236"/>
      <c r="BV19" s="236"/>
      <c r="BW19" s="236"/>
      <c r="BX19" s="236"/>
      <c r="BY19" s="231"/>
      <c r="BZ19" s="231"/>
      <c r="CA19" s="68"/>
      <c r="CB19" s="68"/>
      <c r="CC19" s="53"/>
      <c r="CD19" s="68"/>
      <c r="CE19" s="68"/>
      <c r="CF19" s="68"/>
      <c r="CG19" s="68"/>
      <c r="CH19" s="68"/>
      <c r="CI19" s="68"/>
      <c r="CJ19" s="68"/>
      <c r="CK19" s="68"/>
      <c r="CL19" s="180">
        <f t="shared" si="57"/>
        <v>4358474115.38</v>
      </c>
      <c r="CM19" s="35"/>
      <c r="CN19" s="35"/>
      <c r="CO19" s="52">
        <f t="shared" si="58"/>
        <v>2161425221.28</v>
      </c>
      <c r="CP19" s="35"/>
      <c r="CQ19" s="52">
        <v>930945243.71</v>
      </c>
      <c r="CR19" s="35">
        <f t="shared" si="63"/>
        <v>0.165801025420742</v>
      </c>
      <c r="CS19" s="52">
        <v>928021905.68</v>
      </c>
      <c r="CT19" s="35"/>
      <c r="CU19" s="52"/>
      <c r="CV19" s="52">
        <v>48871548.21</v>
      </c>
      <c r="CW19" s="53">
        <f t="shared" si="59"/>
        <v>976893453.89</v>
      </c>
      <c r="CX19" s="53">
        <f t="shared" si="60"/>
        <v>979816791.92</v>
      </c>
      <c r="CY19" s="130"/>
      <c r="CZ19" s="35">
        <f t="shared" si="61"/>
        <v>0.224136573495476</v>
      </c>
      <c r="DA19" s="35">
        <f t="shared" si="62"/>
        <v>0.224807298605368</v>
      </c>
      <c r="DB19" s="250">
        <f t="shared" si="64"/>
        <v>0.453319773579653</v>
      </c>
      <c r="DC19" s="35"/>
      <c r="DD19" s="53"/>
      <c r="DE19" s="53"/>
      <c r="DF19" s="53"/>
      <c r="DG19" s="53"/>
      <c r="DH19" s="53"/>
      <c r="DI19" s="53"/>
      <c r="DJ19" s="130"/>
      <c r="DK19" s="207"/>
      <c r="DL19" s="12"/>
      <c r="DM19" s="12"/>
      <c r="DN19" s="68"/>
      <c r="DO19" s="68"/>
    </row>
    <row r="20" spans="1:119">
      <c r="A20" s="12"/>
      <c r="B20" s="21"/>
      <c r="C20" s="21">
        <v>2018</v>
      </c>
      <c r="D20" s="55">
        <f>234.69*100000000</f>
        <v>23469000000</v>
      </c>
      <c r="E20" s="55" t="s">
        <v>121</v>
      </c>
      <c r="F20" s="21"/>
      <c r="G20" s="21"/>
      <c r="H20" s="21"/>
      <c r="I20" s="21"/>
      <c r="J20" s="21"/>
      <c r="K20" s="21"/>
      <c r="L20" s="21"/>
      <c r="M20" s="55">
        <v>5983687463.75</v>
      </c>
      <c r="N20" s="38"/>
      <c r="O20" s="53">
        <v>3947798751.9</v>
      </c>
      <c r="P20" s="35"/>
      <c r="Q20" s="53">
        <v>3604791230.11</v>
      </c>
      <c r="R20" s="35">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5"/>
      <c r="AT20" s="35">
        <f t="shared" si="49"/>
        <v>0.0577341650416843</v>
      </c>
      <c r="AU20" s="52">
        <f t="shared" si="50"/>
        <v>397125470.66</v>
      </c>
      <c r="AV20" s="35"/>
      <c r="AW20" s="38">
        <f t="shared" si="51"/>
        <v>0.0663680168902271</v>
      </c>
      <c r="AX20" s="52">
        <f t="shared" si="52"/>
        <v>5241098793.5</v>
      </c>
      <c r="AY20" s="36">
        <f t="shared" si="53"/>
        <v>0.875897818068089</v>
      </c>
      <c r="AZ20" s="52">
        <v>1350355341.56</v>
      </c>
      <c r="BA20" s="52">
        <v>368918360.39</v>
      </c>
      <c r="BB20" s="38">
        <f t="shared" si="54"/>
        <v>0.287326788433653</v>
      </c>
      <c r="BC20" s="38"/>
      <c r="BD20" s="52">
        <v>210168419.28</v>
      </c>
      <c r="BE20" s="52"/>
      <c r="BF20" s="52"/>
      <c r="BG20" s="52"/>
      <c r="BH20" s="52">
        <v>791329913.47</v>
      </c>
      <c r="BI20" s="231"/>
      <c r="BJ20" s="52"/>
      <c r="BK20" s="52"/>
      <c r="BL20" s="35">
        <f t="shared" si="55"/>
        <v>0.454698219362247</v>
      </c>
      <c r="BM20" s="36">
        <f t="shared" si="56"/>
        <v>0.36813694943324</v>
      </c>
      <c r="BN20" s="36"/>
      <c r="BO20" s="167"/>
      <c r="BP20" s="35"/>
      <c r="BQ20" s="231"/>
      <c r="BR20" s="236"/>
      <c r="BS20" s="236"/>
      <c r="BT20" s="236"/>
      <c r="BU20" s="236"/>
      <c r="BV20" s="236"/>
      <c r="BW20" s="236"/>
      <c r="BX20" s="236"/>
      <c r="BY20" s="231"/>
      <c r="BZ20" s="231"/>
      <c r="CA20" s="68"/>
      <c r="CB20" s="68"/>
      <c r="CC20" s="53"/>
      <c r="CD20" s="68"/>
      <c r="CE20" s="68"/>
      <c r="CF20" s="68"/>
      <c r="CG20" s="68"/>
      <c r="CH20" s="68"/>
      <c r="CI20" s="68"/>
      <c r="CJ20" s="68"/>
      <c r="CK20" s="68"/>
      <c r="CL20" s="180">
        <f t="shared" si="57"/>
        <v>4348934805.43</v>
      </c>
      <c r="CM20" s="35"/>
      <c r="CN20" s="35"/>
      <c r="CO20" s="52">
        <f t="shared" si="58"/>
        <v>3606346135.18</v>
      </c>
      <c r="CP20" s="35"/>
      <c r="CQ20" s="52">
        <v>798545569.45</v>
      </c>
      <c r="CR20" s="35">
        <f t="shared" si="63"/>
        <v>0.306884408887428</v>
      </c>
      <c r="CS20" s="52">
        <v>792565637.37</v>
      </c>
      <c r="CT20" s="35"/>
      <c r="CU20" s="52"/>
      <c r="CV20" s="52">
        <v>54180930.6</v>
      </c>
      <c r="CW20" s="53">
        <f t="shared" si="59"/>
        <v>846746567.97</v>
      </c>
      <c r="CX20" s="53">
        <f t="shared" si="60"/>
        <v>852726500.05</v>
      </c>
      <c r="CY20" s="130"/>
      <c r="CZ20" s="35">
        <f t="shared" si="61"/>
        <v>0.194702060585679</v>
      </c>
      <c r="DA20" s="35">
        <f t="shared" si="62"/>
        <v>0.196077094323259</v>
      </c>
      <c r="DB20" s="250">
        <f t="shared" si="64"/>
        <v>0.236451651640321</v>
      </c>
      <c r="DC20" s="35"/>
      <c r="DD20" s="53"/>
      <c r="DE20" s="53"/>
      <c r="DF20" s="53"/>
      <c r="DG20" s="53"/>
      <c r="DH20" s="53"/>
      <c r="DI20" s="53"/>
      <c r="DJ20" s="130"/>
      <c r="DK20" s="207"/>
      <c r="DL20" s="12"/>
      <c r="DM20" s="12"/>
      <c r="DN20" s="68"/>
      <c r="DO20" s="68"/>
    </row>
    <row r="21" spans="1:119">
      <c r="A21" s="12"/>
      <c r="B21" s="21"/>
      <c r="C21" s="21">
        <v>2017</v>
      </c>
      <c r="D21" s="55">
        <f>197.25*100000000</f>
        <v>19725000000</v>
      </c>
      <c r="E21" s="55" t="s">
        <v>122</v>
      </c>
      <c r="F21" s="21"/>
      <c r="G21" s="21"/>
      <c r="H21" s="21"/>
      <c r="I21" s="21"/>
      <c r="J21" s="21"/>
      <c r="K21" s="21"/>
      <c r="L21" s="21"/>
      <c r="M21" s="55">
        <v>5304762875.94</v>
      </c>
      <c r="N21" s="38"/>
      <c r="O21" s="53">
        <v>3450155650.06</v>
      </c>
      <c r="P21" s="35"/>
      <c r="Q21" s="53">
        <v>3140811451.38</v>
      </c>
      <c r="R21" s="35">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5"/>
      <c r="AT21" s="35">
        <f t="shared" si="49"/>
        <v>0.0788604182775788</v>
      </c>
      <c r="AU21" s="52">
        <f t="shared" si="50"/>
        <v>240763315.02</v>
      </c>
      <c r="AV21" s="35"/>
      <c r="AW21" s="38">
        <f t="shared" si="51"/>
        <v>0.0453862539477482</v>
      </c>
      <c r="AX21" s="52">
        <f t="shared" si="52"/>
        <v>4645663741.66</v>
      </c>
      <c r="AY21" s="36">
        <f t="shared" si="53"/>
        <v>0.875753327774673</v>
      </c>
      <c r="AZ21" s="52">
        <v>1213951191.04</v>
      </c>
      <c r="BA21" s="52">
        <v>267213146.27</v>
      </c>
      <c r="BB21" s="38">
        <f t="shared" si="54"/>
        <v>0.279214051965996</v>
      </c>
      <c r="BC21" s="38"/>
      <c r="BD21" s="52">
        <v>211923542.08</v>
      </c>
      <c r="BE21" s="52"/>
      <c r="BF21" s="52"/>
      <c r="BG21" s="52"/>
      <c r="BH21" s="52">
        <v>681238068.35</v>
      </c>
      <c r="BI21" s="231"/>
      <c r="BJ21" s="52"/>
      <c r="BK21" s="52"/>
      <c r="BL21" s="35">
        <f t="shared" si="55"/>
        <v>0.447583804129697</v>
      </c>
      <c r="BM21" s="36">
        <f t="shared" si="56"/>
        <v>0.364444775562735</v>
      </c>
      <c r="BN21" s="36"/>
      <c r="BO21" s="167"/>
      <c r="BP21" s="35"/>
      <c r="BQ21" s="231"/>
      <c r="BR21" s="236"/>
      <c r="BS21" s="236"/>
      <c r="BT21" s="236"/>
      <c r="BU21" s="236"/>
      <c r="BV21" s="236"/>
      <c r="BW21" s="236"/>
      <c r="BX21" s="236"/>
      <c r="BY21" s="231"/>
      <c r="BZ21" s="231"/>
      <c r="CA21" s="68"/>
      <c r="CB21" s="68"/>
      <c r="CC21" s="53"/>
      <c r="CD21" s="68"/>
      <c r="CE21" s="68"/>
      <c r="CF21" s="68"/>
      <c r="CG21" s="68"/>
      <c r="CH21" s="68"/>
      <c r="CI21" s="68"/>
      <c r="CJ21" s="68"/>
      <c r="CK21" s="68"/>
      <c r="CL21" s="180">
        <f t="shared" si="57"/>
        <v>4381217786.68</v>
      </c>
      <c r="CM21" s="35"/>
      <c r="CN21" s="35"/>
      <c r="CO21" s="52">
        <f t="shared" si="58"/>
        <v>3722118652.4</v>
      </c>
      <c r="CP21" s="35"/>
      <c r="CQ21" s="52">
        <v>611029991.65</v>
      </c>
      <c r="CR21" s="35">
        <f t="shared" si="63"/>
        <v>0.307347308853163</v>
      </c>
      <c r="CS21" s="52">
        <v>609177803.64</v>
      </c>
      <c r="CT21" s="35"/>
      <c r="CU21" s="52"/>
      <c r="CV21" s="52"/>
      <c r="CW21" s="53">
        <f t="shared" si="59"/>
        <v>609177803.64</v>
      </c>
      <c r="CX21" s="53">
        <f t="shared" si="60"/>
        <v>611029991.65</v>
      </c>
      <c r="CY21" s="130"/>
      <c r="CZ21" s="35">
        <f t="shared" si="61"/>
        <v>0.139043031709598</v>
      </c>
      <c r="DA21" s="35">
        <f t="shared" si="62"/>
        <v>0.139465788144037</v>
      </c>
      <c r="DB21" s="250">
        <f t="shared" si="64"/>
        <v>0.164161878949241</v>
      </c>
      <c r="DC21" s="35"/>
      <c r="DD21" s="53"/>
      <c r="DE21" s="53"/>
      <c r="DF21" s="53"/>
      <c r="DG21" s="53"/>
      <c r="DH21" s="53"/>
      <c r="DI21" s="53"/>
      <c r="DJ21" s="130"/>
      <c r="DK21" s="207"/>
      <c r="DL21" s="12"/>
      <c r="DM21" s="12"/>
      <c r="DN21" s="68"/>
      <c r="DO21" s="68"/>
    </row>
    <row r="22" spans="1:119">
      <c r="A22" s="12"/>
      <c r="B22" s="21"/>
      <c r="C22" s="21">
        <v>2016</v>
      </c>
      <c r="D22" s="55">
        <f>112.17*100000000</f>
        <v>11217000000</v>
      </c>
      <c r="E22" s="55" t="s">
        <v>123</v>
      </c>
      <c r="F22" s="21"/>
      <c r="G22" s="21"/>
      <c r="H22" s="21"/>
      <c r="I22" s="21"/>
      <c r="J22" s="21"/>
      <c r="K22" s="21"/>
      <c r="L22" s="21"/>
      <c r="M22" s="55">
        <v>4910866585.04</v>
      </c>
      <c r="N22" s="38"/>
      <c r="O22" s="53">
        <v>3089104604.76</v>
      </c>
      <c r="P22" s="35"/>
      <c r="Q22" s="53">
        <v>2799259157.1</v>
      </c>
      <c r="R22" s="35">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5"/>
      <c r="AT22" s="35">
        <f t="shared" si="49"/>
        <v>0.0908592104862416</v>
      </c>
      <c r="AU22" s="52">
        <f t="shared" si="50"/>
        <v>115724324.08</v>
      </c>
      <c r="AV22" s="35"/>
      <c r="AW22" s="38">
        <f t="shared" si="51"/>
        <v>0.0235649497040974</v>
      </c>
      <c r="AX22" s="52">
        <f t="shared" si="52"/>
        <v>4348944800.24</v>
      </c>
      <c r="AY22" s="36">
        <f t="shared" si="53"/>
        <v>0.885575839809661</v>
      </c>
      <c r="AZ22" s="52">
        <v>5070807.93</v>
      </c>
      <c r="BA22" s="52">
        <v>220403829.62</v>
      </c>
      <c r="BB22" s="38">
        <f t="shared" si="54"/>
        <v>0.045913411339022</v>
      </c>
      <c r="BC22" s="38"/>
      <c r="BD22" s="52">
        <v>143185158.14</v>
      </c>
      <c r="BE22" s="52"/>
      <c r="BF22" s="52"/>
      <c r="BG22" s="52"/>
      <c r="BH22" s="52">
        <v>511404568.06</v>
      </c>
      <c r="BI22" s="231"/>
      <c r="BJ22" s="52"/>
      <c r="BK22" s="52"/>
      <c r="BL22" s="35">
        <f t="shared" si="55"/>
        <v>0.179207548923617</v>
      </c>
      <c r="BM22" s="35">
        <f t="shared" si="56"/>
        <v>0.0847699413695866</v>
      </c>
      <c r="BN22" s="35"/>
      <c r="BO22" s="167"/>
      <c r="BP22" s="35"/>
      <c r="BQ22" s="231"/>
      <c r="BR22" s="236"/>
      <c r="BS22" s="236"/>
      <c r="BT22" s="236"/>
      <c r="BU22" s="236"/>
      <c r="BV22" s="236"/>
      <c r="BW22" s="236"/>
      <c r="BX22" s="236"/>
      <c r="BY22" s="231"/>
      <c r="BZ22" s="231"/>
      <c r="CA22" s="68"/>
      <c r="CB22" s="68"/>
      <c r="CC22" s="53"/>
      <c r="CD22" s="68"/>
      <c r="CE22" s="68"/>
      <c r="CF22" s="68"/>
      <c r="CG22" s="68"/>
      <c r="CH22" s="68"/>
      <c r="CI22" s="68"/>
      <c r="CJ22" s="68"/>
      <c r="CK22" s="68"/>
      <c r="CL22" s="180">
        <f t="shared" si="57"/>
        <v>3983537257.11</v>
      </c>
      <c r="CM22" s="35"/>
      <c r="CN22" s="35"/>
      <c r="CO22" s="52">
        <f t="shared" si="58"/>
        <v>3421615472.31</v>
      </c>
      <c r="CP22" s="35"/>
      <c r="CQ22" s="52">
        <v>467381534.74</v>
      </c>
      <c r="CR22" s="35">
        <f t="shared" si="63"/>
        <v>0.553748756960987</v>
      </c>
      <c r="CS22" s="52">
        <v>486262492.39</v>
      </c>
      <c r="CT22" s="35"/>
      <c r="CU22" s="52"/>
      <c r="CV22" s="52">
        <v>63247203.54</v>
      </c>
      <c r="CW22" s="53">
        <f t="shared" si="59"/>
        <v>549509695.93</v>
      </c>
      <c r="CX22" s="53">
        <f t="shared" si="60"/>
        <v>530628738.28</v>
      </c>
      <c r="CY22" s="130"/>
      <c r="CZ22" s="35">
        <f t="shared" si="61"/>
        <v>0.137945162920018</v>
      </c>
      <c r="DA22" s="35">
        <f t="shared" si="62"/>
        <v>0.133205416199612</v>
      </c>
      <c r="DB22" s="250">
        <f t="shared" si="64"/>
        <v>0.15508134756059</v>
      </c>
      <c r="DC22" s="35"/>
      <c r="DD22" s="53"/>
      <c r="DE22" s="53"/>
      <c r="DF22" s="53"/>
      <c r="DG22" s="53"/>
      <c r="DH22" s="53"/>
      <c r="DI22" s="53"/>
      <c r="DJ22" s="130"/>
      <c r="DK22" s="207"/>
      <c r="DL22" s="12"/>
      <c r="DM22" s="12"/>
      <c r="DN22" s="68"/>
      <c r="DO22" s="68"/>
    </row>
    <row r="23" spans="1:119">
      <c r="A23" s="12"/>
      <c r="B23" s="21"/>
      <c r="C23" s="12">
        <v>2015</v>
      </c>
      <c r="D23" s="55">
        <f>124.67*100000000</f>
        <v>12467000000</v>
      </c>
      <c r="E23" s="55" t="s">
        <v>124</v>
      </c>
      <c r="F23" s="21"/>
      <c r="G23" s="21"/>
      <c r="H23" s="21"/>
      <c r="I23" s="21"/>
      <c r="J23" s="21"/>
      <c r="K23" s="21"/>
      <c r="L23" s="21"/>
      <c r="M23" s="55">
        <v>4523115170.58</v>
      </c>
      <c r="N23" s="38"/>
      <c r="O23" s="53">
        <v>2798588123.5</v>
      </c>
      <c r="P23" s="35"/>
      <c r="Q23" s="53">
        <v>2513979782.5</v>
      </c>
      <c r="R23" s="35">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5"/>
      <c r="AT23" s="35">
        <f t="shared" si="49"/>
        <v>0.111472550095457</v>
      </c>
      <c r="AU23" s="52">
        <f t="shared" si="50"/>
        <v>91815071.75</v>
      </c>
      <c r="AV23" s="35"/>
      <c r="AW23" s="38">
        <f t="shared" si="51"/>
        <v>0.0202990789063252</v>
      </c>
      <c r="AX23" s="52">
        <f t="shared" si="52"/>
        <v>3927096916.39</v>
      </c>
      <c r="AY23" s="36">
        <f t="shared" si="53"/>
        <v>0.868228370998218</v>
      </c>
      <c r="AZ23" s="52">
        <v>5050771.62</v>
      </c>
      <c r="BA23" s="52">
        <v>219840981.62</v>
      </c>
      <c r="BB23" s="38">
        <f t="shared" si="54"/>
        <v>0.0497205454114409</v>
      </c>
      <c r="BC23" s="38"/>
      <c r="BD23" s="52">
        <v>107229007.99</v>
      </c>
      <c r="BE23" s="52"/>
      <c r="BF23" s="52"/>
      <c r="BG23" s="52"/>
      <c r="BH23" s="52">
        <v>410264038.18</v>
      </c>
      <c r="BI23" s="231"/>
      <c r="BJ23" s="52"/>
      <c r="BK23" s="52"/>
      <c r="BL23" s="35">
        <f t="shared" si="55"/>
        <v>0.164131305850548</v>
      </c>
      <c r="BM23" s="35">
        <f t="shared" si="56"/>
        <v>0.0845715724237903</v>
      </c>
      <c r="BN23" s="35"/>
      <c r="BO23" s="167"/>
      <c r="BP23" s="35"/>
      <c r="BQ23" s="231"/>
      <c r="BR23" s="236"/>
      <c r="BS23" s="236"/>
      <c r="BT23" s="236"/>
      <c r="BU23" s="236"/>
      <c r="BV23" s="236"/>
      <c r="BW23" s="236"/>
      <c r="BX23" s="236"/>
      <c r="BY23" s="231"/>
      <c r="BZ23" s="231"/>
      <c r="CA23" s="68"/>
      <c r="CB23" s="68"/>
      <c r="CC23" s="53"/>
      <c r="CD23" s="68"/>
      <c r="CE23" s="68"/>
      <c r="CF23" s="68"/>
      <c r="CG23" s="68"/>
      <c r="CH23" s="68"/>
      <c r="CI23" s="68"/>
      <c r="CJ23" s="68"/>
      <c r="CK23" s="68"/>
      <c r="CL23" s="180">
        <f t="shared" si="57"/>
        <v>3691320865.18</v>
      </c>
      <c r="CM23" s="35"/>
      <c r="CN23" s="35"/>
      <c r="CO23" s="52">
        <f t="shared" si="58"/>
        <v>3095302610.99</v>
      </c>
      <c r="CP23" s="35"/>
      <c r="CQ23" s="52">
        <v>300808951.67</v>
      </c>
      <c r="CR23" s="35">
        <f t="shared" si="63"/>
        <v>-0.0680903445305802</v>
      </c>
      <c r="CS23" s="52">
        <v>339119271.56</v>
      </c>
      <c r="CT23" s="35"/>
      <c r="CU23" s="52"/>
      <c r="CV23" s="52">
        <v>61164838.68</v>
      </c>
      <c r="CW23" s="53">
        <f t="shared" si="59"/>
        <v>400284110.24</v>
      </c>
      <c r="CX23" s="53">
        <f t="shared" si="60"/>
        <v>361973790.35</v>
      </c>
      <c r="CY23" s="130"/>
      <c r="CZ23" s="35">
        <f t="shared" si="61"/>
        <v>0.108439261949796</v>
      </c>
      <c r="DA23" s="35">
        <f t="shared" si="62"/>
        <v>0.0980607764999451</v>
      </c>
      <c r="DB23" s="250">
        <f t="shared" si="64"/>
        <v>0.116942940914661</v>
      </c>
      <c r="DC23" s="35"/>
      <c r="DD23" s="53"/>
      <c r="DE23" s="53"/>
      <c r="DF23" s="53"/>
      <c r="DG23" s="53"/>
      <c r="DH23" s="53"/>
      <c r="DI23" s="53"/>
      <c r="DJ23" s="130"/>
      <c r="DK23" s="207"/>
      <c r="DL23" s="12"/>
      <c r="DM23" s="12"/>
      <c r="DN23" s="68"/>
      <c r="DO23" s="68"/>
    </row>
    <row r="24" spans="1:119">
      <c r="A24" s="12"/>
      <c r="B24" s="21"/>
      <c r="C24" s="12">
        <v>2014</v>
      </c>
      <c r="D24" s="55">
        <f>82.69*100000000</f>
        <v>8269000000</v>
      </c>
      <c r="E24" s="55" t="s">
        <v>125</v>
      </c>
      <c r="F24" s="21"/>
      <c r="G24" s="21"/>
      <c r="H24" s="21"/>
      <c r="I24" s="21"/>
      <c r="J24" s="21"/>
      <c r="K24" s="21"/>
      <c r="L24" s="21"/>
      <c r="M24" s="55">
        <v>4058969587.71</v>
      </c>
      <c r="N24" s="38"/>
      <c r="O24" s="53">
        <v>2612537101.13</v>
      </c>
      <c r="P24" s="35"/>
      <c r="Q24" s="53">
        <v>2354641481.49</v>
      </c>
      <c r="R24" s="35">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5"/>
      <c r="AT24" s="35">
        <f t="shared" si="49"/>
        <v>0.134496458939471</v>
      </c>
      <c r="AU24" s="52">
        <f t="shared" si="50"/>
        <v>273155120.26</v>
      </c>
      <c r="AV24" s="35"/>
      <c r="AW24" s="38">
        <f t="shared" si="51"/>
        <v>0.0672966659043408</v>
      </c>
      <c r="AX24" s="52">
        <f t="shared" si="52"/>
        <v>3239897430.96</v>
      </c>
      <c r="AY24" s="36">
        <f t="shared" si="53"/>
        <v>0.798206875156188</v>
      </c>
      <c r="AZ24" s="52">
        <v>1176377517.48</v>
      </c>
      <c r="BA24" s="52">
        <v>191069756.34</v>
      </c>
      <c r="BB24" s="38">
        <f t="shared" si="54"/>
        <v>0.336895176046759</v>
      </c>
      <c r="BC24" s="38"/>
      <c r="BD24" s="52">
        <v>114142333.91</v>
      </c>
      <c r="BE24" s="52"/>
      <c r="BF24" s="52"/>
      <c r="BG24" s="52"/>
      <c r="BH24" s="52">
        <v>274062707.38</v>
      </c>
      <c r="BI24" s="231"/>
      <c r="BJ24" s="52"/>
      <c r="BK24" s="52"/>
      <c r="BL24" s="35">
        <f t="shared" si="55"/>
        <v>0.432536454760038</v>
      </c>
      <c r="BM24" s="35">
        <f t="shared" si="56"/>
        <v>0.457295219876109</v>
      </c>
      <c r="BN24" s="35"/>
      <c r="BO24" s="167"/>
      <c r="BP24" s="35"/>
      <c r="BQ24" s="231"/>
      <c r="BR24" s="236"/>
      <c r="BS24" s="236"/>
      <c r="BT24" s="236"/>
      <c r="BU24" s="236"/>
      <c r="BV24" s="236"/>
      <c r="BW24" s="236"/>
      <c r="BX24" s="236"/>
      <c r="BY24" s="231"/>
      <c r="BZ24" s="231"/>
      <c r="CA24" s="68"/>
      <c r="CB24" s="68"/>
      <c r="CC24" s="53"/>
      <c r="CD24" s="68"/>
      <c r="CE24" s="68"/>
      <c r="CF24" s="68"/>
      <c r="CG24" s="68"/>
      <c r="CH24" s="68"/>
      <c r="CI24" s="68"/>
      <c r="CJ24" s="68"/>
      <c r="CK24" s="68"/>
      <c r="CL24" s="180">
        <f t="shared" si="57"/>
        <v>3316343165.87</v>
      </c>
      <c r="CM24" s="35"/>
      <c r="CN24" s="35"/>
      <c r="CO24" s="52">
        <f t="shared" si="58"/>
        <v>2497271009.12</v>
      </c>
      <c r="CP24" s="35"/>
      <c r="CQ24" s="52">
        <v>322787675.72</v>
      </c>
      <c r="CR24" s="35">
        <f t="shared" si="63"/>
        <v>0.269571861103629</v>
      </c>
      <c r="CS24" s="52">
        <v>344024306.1</v>
      </c>
      <c r="CT24" s="35"/>
      <c r="CU24" s="52"/>
      <c r="CV24" s="52">
        <v>33214100.66</v>
      </c>
      <c r="CW24" s="53">
        <f t="shared" si="59"/>
        <v>377238406.76</v>
      </c>
      <c r="CX24" s="53">
        <f t="shared" si="60"/>
        <v>356001776.38</v>
      </c>
      <c r="CY24" s="130"/>
      <c r="CZ24" s="35">
        <f t="shared" si="61"/>
        <v>0.113751318211677</v>
      </c>
      <c r="DA24" s="35">
        <f t="shared" si="62"/>
        <v>0.107347689480322</v>
      </c>
      <c r="DB24" s="250">
        <f t="shared" si="64"/>
        <v>0.142556324515796</v>
      </c>
      <c r="DC24" s="35"/>
      <c r="DD24" s="53"/>
      <c r="DE24" s="53"/>
      <c r="DF24" s="53"/>
      <c r="DG24" s="53"/>
      <c r="DH24" s="53"/>
      <c r="DI24" s="53"/>
      <c r="DJ24" s="130"/>
      <c r="DK24" s="207"/>
      <c r="DL24" s="12"/>
      <c r="DM24" s="12"/>
      <c r="DN24" s="68"/>
      <c r="DO24" s="68"/>
    </row>
    <row r="25" spans="1:119">
      <c r="A25" s="12"/>
      <c r="B25" s="21"/>
      <c r="C25" s="12">
        <v>2013</v>
      </c>
      <c r="D25" s="55">
        <f>90.58*100000000</f>
        <v>9058000000</v>
      </c>
      <c r="E25" s="21" t="s">
        <v>129</v>
      </c>
      <c r="F25" s="21"/>
      <c r="G25" s="21"/>
      <c r="H25" s="21"/>
      <c r="I25" s="21"/>
      <c r="J25" s="21"/>
      <c r="K25" s="21"/>
      <c r="L25" s="21"/>
      <c r="M25" s="55">
        <v>3696122566.48</v>
      </c>
      <c r="N25" s="38"/>
      <c r="O25" s="53">
        <v>2384818024.28</v>
      </c>
      <c r="P25" s="35"/>
      <c r="Q25" s="53">
        <v>2132672364.41</v>
      </c>
      <c r="R25" s="35">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5"/>
      <c r="AT25" s="35">
        <f t="shared" si="49"/>
        <v>0.16453897278065</v>
      </c>
      <c r="AU25" s="52">
        <f t="shared" si="50"/>
        <v>357779624.98</v>
      </c>
      <c r="AV25" s="35"/>
      <c r="AW25" s="38">
        <f t="shared" si="51"/>
        <v>0.0967986365562361</v>
      </c>
      <c r="AX25" s="52">
        <f t="shared" si="52"/>
        <v>2730186731.14</v>
      </c>
      <c r="AY25" s="38">
        <f t="shared" si="53"/>
        <v>0.738662390663114</v>
      </c>
      <c r="AZ25" s="52">
        <v>669634314.87</v>
      </c>
      <c r="BA25" s="52">
        <v>318586622.82</v>
      </c>
      <c r="BB25" s="38">
        <f t="shared" si="54"/>
        <v>0.267366928427141</v>
      </c>
      <c r="BC25" s="38"/>
      <c r="BD25" s="52">
        <v>105849021.03</v>
      </c>
      <c r="BE25" s="52"/>
      <c r="BF25" s="52"/>
      <c r="BG25" s="52"/>
      <c r="BH25" s="52">
        <v>292629718.44</v>
      </c>
      <c r="BI25" s="231"/>
      <c r="BJ25" s="52"/>
      <c r="BK25" s="52"/>
      <c r="BL25" s="35">
        <f t="shared" si="55"/>
        <v>0.375176865075659</v>
      </c>
      <c r="BM25" s="35">
        <f t="shared" si="56"/>
        <v>0.400730816873663</v>
      </c>
      <c r="BN25" s="35"/>
      <c r="BO25" s="167"/>
      <c r="BP25" s="35"/>
      <c r="BQ25" s="231"/>
      <c r="BR25" s="236"/>
      <c r="BS25" s="236"/>
      <c r="BT25" s="236"/>
      <c r="BU25" s="236"/>
      <c r="BV25" s="236"/>
      <c r="BW25" s="236"/>
      <c r="BX25" s="236"/>
      <c r="BY25" s="231"/>
      <c r="BZ25" s="231"/>
      <c r="CA25" s="68"/>
      <c r="CB25" s="68"/>
      <c r="CC25" s="53"/>
      <c r="CD25" s="68"/>
      <c r="CE25" s="68"/>
      <c r="CF25" s="68"/>
      <c r="CG25" s="68"/>
      <c r="CH25" s="68"/>
      <c r="CI25" s="68"/>
      <c r="CJ25" s="68"/>
      <c r="CK25" s="68"/>
      <c r="CL25" s="180">
        <f t="shared" si="57"/>
        <v>2668508024.28</v>
      </c>
      <c r="CM25" s="35"/>
      <c r="CN25" s="35"/>
      <c r="CO25" s="52">
        <f t="shared" si="58"/>
        <v>1702572188.94</v>
      </c>
      <c r="CP25" s="35"/>
      <c r="CQ25" s="52">
        <v>254249235.99</v>
      </c>
      <c r="CR25" s="35">
        <f t="shared" si="63"/>
        <v>1.15947512084879</v>
      </c>
      <c r="CS25" s="52">
        <v>262357521.58</v>
      </c>
      <c r="CT25" s="35"/>
      <c r="CU25" s="52"/>
      <c r="CV25" s="52">
        <v>33833713.16</v>
      </c>
      <c r="CW25" s="53">
        <f t="shared" si="59"/>
        <v>296191234.74</v>
      </c>
      <c r="CX25" s="53">
        <f t="shared" si="60"/>
        <v>288082949.15</v>
      </c>
      <c r="CY25" s="130"/>
      <c r="CZ25" s="35">
        <f t="shared" si="61"/>
        <v>0.110995069921109</v>
      </c>
      <c r="DA25" s="35">
        <f t="shared" si="62"/>
        <v>0.107956560942974</v>
      </c>
      <c r="DB25" s="250">
        <f t="shared" si="64"/>
        <v>0.16920454299759</v>
      </c>
      <c r="DC25" s="35"/>
      <c r="DD25" s="53"/>
      <c r="DE25" s="53"/>
      <c r="DF25" s="53"/>
      <c r="DG25" s="53"/>
      <c r="DH25" s="53"/>
      <c r="DI25" s="53"/>
      <c r="DJ25" s="130"/>
      <c r="DK25" s="207"/>
      <c r="DL25" s="12"/>
      <c r="DM25" s="12"/>
      <c r="DN25" s="68"/>
      <c r="DO25" s="68"/>
    </row>
    <row r="26" spans="1:119">
      <c r="A26" s="12"/>
      <c r="B26" s="21"/>
      <c r="C26" s="12">
        <v>2012</v>
      </c>
      <c r="D26" s="55"/>
      <c r="E26" s="21"/>
      <c r="F26" s="21"/>
      <c r="G26" s="21"/>
      <c r="H26" s="21"/>
      <c r="I26" s="21"/>
      <c r="J26" s="21"/>
      <c r="K26" s="21"/>
      <c r="L26" s="21"/>
      <c r="M26" s="55">
        <v>3495088667.33</v>
      </c>
      <c r="N26" s="38"/>
      <c r="O26" s="53">
        <v>2189553863.83</v>
      </c>
      <c r="P26" s="35"/>
      <c r="Q26" s="53">
        <v>1947986370.95</v>
      </c>
      <c r="R26" s="35">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5"/>
      <c r="AT26" s="35">
        <f t="shared" si="49"/>
        <v>0.17530242094489</v>
      </c>
      <c r="AU26" s="52">
        <f t="shared" si="50"/>
        <v>357754614.02</v>
      </c>
      <c r="AV26" s="35"/>
      <c r="AW26" s="38">
        <f t="shared" si="51"/>
        <v>0.102359238368994</v>
      </c>
      <c r="AX26" s="52">
        <f t="shared" si="52"/>
        <v>2524636548.51</v>
      </c>
      <c r="AY26" s="38">
        <f t="shared" si="53"/>
        <v>0.722338340686116</v>
      </c>
      <c r="AZ26" s="52">
        <v>588313085.14</v>
      </c>
      <c r="BA26" s="52">
        <v>138230365.82</v>
      </c>
      <c r="BB26" s="38">
        <f t="shared" si="54"/>
        <v>0.207875541971594</v>
      </c>
      <c r="BC26" s="38"/>
      <c r="BD26" s="52">
        <v>89661621.47</v>
      </c>
      <c r="BE26" s="52"/>
      <c r="BF26" s="52"/>
      <c r="BG26" s="52"/>
      <c r="BH26" s="52">
        <v>220352606.18</v>
      </c>
      <c r="BI26" s="231"/>
      <c r="BJ26" s="52"/>
      <c r="BK26" s="52"/>
      <c r="BL26" s="35">
        <f t="shared" si="55"/>
        <v>0.296575502792532</v>
      </c>
      <c r="BM26" s="35">
        <f t="shared" si="56"/>
        <v>0.323296069337025</v>
      </c>
      <c r="BN26" s="35"/>
      <c r="BO26" s="167"/>
      <c r="BP26" s="35"/>
      <c r="BQ26" s="231"/>
      <c r="BR26" s="236"/>
      <c r="BS26" s="236"/>
      <c r="BT26" s="236"/>
      <c r="BU26" s="236"/>
      <c r="BV26" s="236"/>
      <c r="BW26" s="236"/>
      <c r="BX26" s="236"/>
      <c r="BY26" s="231"/>
      <c r="BZ26" s="231"/>
      <c r="CA26" s="68"/>
      <c r="CB26" s="68"/>
      <c r="CC26" s="53"/>
      <c r="CD26" s="68"/>
      <c r="CE26" s="68"/>
      <c r="CF26" s="68"/>
      <c r="CG26" s="68"/>
      <c r="CH26" s="68"/>
      <c r="CI26" s="68"/>
      <c r="CJ26" s="68"/>
      <c r="CK26" s="68"/>
      <c r="CL26" s="180">
        <f t="shared" si="57"/>
        <v>2274553863.83</v>
      </c>
      <c r="CM26" s="35"/>
      <c r="CN26" s="35"/>
      <c r="CO26" s="52">
        <f t="shared" si="58"/>
        <v>1304101745.01</v>
      </c>
      <c r="CP26" s="35"/>
      <c r="CQ26" s="52">
        <v>117736589.57</v>
      </c>
      <c r="CR26" s="35"/>
      <c r="CS26" s="52">
        <v>145320131.28</v>
      </c>
      <c r="CT26" s="35"/>
      <c r="CU26" s="52"/>
      <c r="CV26" s="52">
        <v>40927808.72</v>
      </c>
      <c r="CW26" s="53">
        <f t="shared" si="59"/>
        <v>186247940</v>
      </c>
      <c r="CX26" s="53">
        <f t="shared" si="60"/>
        <v>158664398.29</v>
      </c>
      <c r="CY26" s="130"/>
      <c r="CZ26" s="35">
        <f t="shared" ref="CZ26:CZ57" si="65">CW26/CL26</f>
        <v>0.0818832839976746</v>
      </c>
      <c r="DA26" s="35">
        <f t="shared" si="62"/>
        <v>0.0697562721257493</v>
      </c>
      <c r="DB26" s="250">
        <f t="shared" si="64"/>
        <v>0.121665659061581</v>
      </c>
      <c r="DC26" s="35"/>
      <c r="DD26" s="53"/>
      <c r="DE26" s="53"/>
      <c r="DF26" s="53"/>
      <c r="DG26" s="53"/>
      <c r="DH26" s="53"/>
      <c r="DI26" s="53"/>
      <c r="DJ26" s="130"/>
      <c r="DK26" s="207"/>
      <c r="DL26" s="12"/>
      <c r="DM26" s="12"/>
      <c r="DN26" s="68"/>
      <c r="DO26" s="68"/>
    </row>
    <row r="27" customFormat="1" spans="1:119">
      <c r="A27" s="12"/>
      <c r="B27" s="12" t="s">
        <v>130</v>
      </c>
      <c r="C27" s="12">
        <v>2022</v>
      </c>
      <c r="D27" s="55">
        <f>200.62*100000000</f>
        <v>20062000000</v>
      </c>
      <c r="E27" s="55" t="s">
        <v>114</v>
      </c>
      <c r="F27" s="21"/>
      <c r="G27" s="21"/>
      <c r="H27" s="21"/>
      <c r="I27" s="21"/>
      <c r="J27" s="21"/>
      <c r="K27" s="21"/>
      <c r="L27" s="21"/>
      <c r="M27" s="55">
        <v>3171593207.19</v>
      </c>
      <c r="N27" s="38"/>
      <c r="O27" s="53">
        <v>2353022936.1</v>
      </c>
      <c r="P27" s="35"/>
      <c r="Q27" s="53"/>
      <c r="R27" s="35"/>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5"/>
      <c r="AT27" s="35">
        <f t="shared" si="49"/>
        <v>0</v>
      </c>
      <c r="AU27" s="52">
        <f t="shared" si="50"/>
        <v>819279659.48</v>
      </c>
      <c r="AV27" s="35"/>
      <c r="AW27" s="37">
        <f t="shared" si="51"/>
        <v>0.258318014309872</v>
      </c>
      <c r="AX27" s="52">
        <f t="shared" si="52"/>
        <v>2352313547.71</v>
      </c>
      <c r="AY27" s="38">
        <f t="shared" si="53"/>
        <v>0.741681985690128</v>
      </c>
      <c r="AZ27" s="52">
        <v>882644351.4</v>
      </c>
      <c r="BA27" s="52">
        <v>351547774.26</v>
      </c>
      <c r="BB27" s="38">
        <f t="shared" si="54"/>
        <v>0.389139478184682</v>
      </c>
      <c r="BC27" s="38"/>
      <c r="BD27" s="52">
        <v>97675956.36</v>
      </c>
      <c r="BE27" s="52"/>
      <c r="BF27" s="52"/>
      <c r="BG27" s="52"/>
      <c r="BH27" s="52">
        <v>122413432.23</v>
      </c>
      <c r="BI27" s="231"/>
      <c r="BJ27" s="52"/>
      <c r="BK27" s="52"/>
      <c r="BL27" s="35">
        <f t="shared" si="55"/>
        <v>0.458533430877038</v>
      </c>
      <c r="BM27" s="36">
        <f t="shared" si="56"/>
        <v>0.566194963127142</v>
      </c>
      <c r="BN27" s="36"/>
      <c r="BO27" s="167"/>
      <c r="BP27" s="35"/>
      <c r="BQ27" s="231"/>
      <c r="BR27" s="236"/>
      <c r="BS27" s="236"/>
      <c r="BT27" s="236"/>
      <c r="BU27" s="236"/>
      <c r="BV27" s="236"/>
      <c r="BW27" s="236"/>
      <c r="BX27" s="236"/>
      <c r="BY27" s="231"/>
      <c r="BZ27" s="231"/>
      <c r="CA27" s="68"/>
      <c r="CB27" s="68"/>
      <c r="CC27" s="53"/>
      <c r="CD27" s="68"/>
      <c r="CE27" s="68"/>
      <c r="CF27" s="68"/>
      <c r="CG27" s="68"/>
      <c r="CH27" s="68"/>
      <c r="CI27" s="68"/>
      <c r="CJ27" s="68"/>
      <c r="CK27" s="68"/>
      <c r="CL27" s="180">
        <f t="shared" ref="CL27:CL58" si="66">O27+AC27</f>
        <v>2418022936.1</v>
      </c>
      <c r="CM27" s="35"/>
      <c r="CN27" s="35"/>
      <c r="CO27" s="52">
        <f t="shared" si="58"/>
        <v>1598743276.62</v>
      </c>
      <c r="CP27" s="35"/>
      <c r="CQ27" s="52">
        <v>400347681.7</v>
      </c>
      <c r="CR27" s="35">
        <f t="shared" si="63"/>
        <v>0.482807717901446</v>
      </c>
      <c r="CS27" s="52">
        <v>400347681.7</v>
      </c>
      <c r="CT27" s="35"/>
      <c r="CU27" s="52"/>
      <c r="CV27" s="52">
        <v>-8308696.86</v>
      </c>
      <c r="CW27" s="53">
        <f t="shared" si="59"/>
        <v>392038984.84</v>
      </c>
      <c r="CX27" s="53">
        <f t="shared" si="60"/>
        <v>392038984.84</v>
      </c>
      <c r="CY27" s="130"/>
      <c r="CZ27" s="35">
        <f t="shared" si="65"/>
        <v>0.162132037288412</v>
      </c>
      <c r="DA27" s="35">
        <f t="shared" si="62"/>
        <v>0.162132037288412</v>
      </c>
      <c r="DB27" s="250">
        <f t="shared" si="64"/>
        <v>0.245216971713453</v>
      </c>
      <c r="DC27" s="35"/>
      <c r="DD27" s="53"/>
      <c r="DE27" s="53"/>
      <c r="DF27" s="53"/>
      <c r="DG27" s="53"/>
      <c r="DH27" s="53"/>
      <c r="DI27" s="53"/>
      <c r="DJ27" s="130"/>
      <c r="DK27" s="207"/>
      <c r="DL27" s="12"/>
      <c r="DM27" s="12"/>
      <c r="DN27" s="68"/>
      <c r="DO27" s="68"/>
    </row>
    <row r="28" customFormat="1" spans="1:119">
      <c r="A28" s="12"/>
      <c r="B28" s="12"/>
      <c r="C28" s="12">
        <v>2021</v>
      </c>
      <c r="D28" s="55">
        <f>192.35*100000000</f>
        <v>19235000000</v>
      </c>
      <c r="E28" s="55" t="s">
        <v>118</v>
      </c>
      <c r="F28" s="21"/>
      <c r="G28" s="21"/>
      <c r="H28" s="21"/>
      <c r="I28" s="21"/>
      <c r="J28" s="21"/>
      <c r="K28" s="21"/>
      <c r="L28" s="21"/>
      <c r="M28" s="55">
        <v>2397922657.19</v>
      </c>
      <c r="N28" s="38"/>
      <c r="O28" s="53">
        <v>2074320828.6</v>
      </c>
      <c r="P28" s="35"/>
      <c r="Q28" s="53"/>
      <c r="R28" s="35"/>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5"/>
      <c r="AT28" s="35">
        <f t="shared" si="49"/>
        <v>0</v>
      </c>
      <c r="AU28" s="52">
        <f t="shared" si="50"/>
        <v>356955347.02</v>
      </c>
      <c r="AV28" s="35"/>
      <c r="AW28" s="37">
        <f t="shared" si="51"/>
        <v>0.148860241988913</v>
      </c>
      <c r="AX28" s="52">
        <f t="shared" si="52"/>
        <v>2040967310.17</v>
      </c>
      <c r="AY28" s="36">
        <f t="shared" si="53"/>
        <v>0.851139758011087</v>
      </c>
      <c r="AZ28" s="52">
        <v>842528924.16</v>
      </c>
      <c r="BA28" s="52">
        <v>284081775.37</v>
      </c>
      <c r="BB28" s="38">
        <f t="shared" si="54"/>
        <v>0.469827788712008</v>
      </c>
      <c r="BC28" s="38"/>
      <c r="BD28" s="52">
        <v>103322955.28</v>
      </c>
      <c r="BE28" s="52"/>
      <c r="BF28" s="52"/>
      <c r="BG28" s="52"/>
      <c r="BH28" s="53">
        <v>343953008.15</v>
      </c>
      <c r="BI28" s="35"/>
      <c r="BJ28" s="52"/>
      <c r="BK28" s="52"/>
      <c r="BL28" s="35">
        <f t="shared" si="55"/>
        <v>0.656354223398591</v>
      </c>
      <c r="BM28" s="36">
        <f t="shared" si="56"/>
        <v>0.602622907849211</v>
      </c>
      <c r="BN28" s="36"/>
      <c r="BO28" s="167"/>
      <c r="BP28" s="35"/>
      <c r="BQ28" s="231"/>
      <c r="BR28" s="236"/>
      <c r="BS28" s="236"/>
      <c r="BT28" s="236"/>
      <c r="BU28" s="236"/>
      <c r="BV28" s="236"/>
      <c r="BW28" s="236"/>
      <c r="BX28" s="236"/>
      <c r="BY28" s="231"/>
      <c r="BZ28" s="231"/>
      <c r="CA28" s="68"/>
      <c r="CB28" s="68"/>
      <c r="CC28" s="53"/>
      <c r="CD28" s="68"/>
      <c r="CE28" s="68"/>
      <c r="CF28" s="68"/>
      <c r="CG28" s="68"/>
      <c r="CH28" s="68"/>
      <c r="CI28" s="68"/>
      <c r="CJ28" s="68"/>
      <c r="CK28" s="68"/>
      <c r="CL28" s="180">
        <f t="shared" si="66"/>
        <v>2074320828.6</v>
      </c>
      <c r="CM28" s="35"/>
      <c r="CN28" s="35"/>
      <c r="CO28" s="52">
        <f t="shared" si="58"/>
        <v>1717365481.58</v>
      </c>
      <c r="CP28" s="35"/>
      <c r="CQ28" s="52">
        <v>269992984.84</v>
      </c>
      <c r="CR28" s="35">
        <f t="shared" ref="CR28:CR33" si="68">(CQ28-CQ29)/CQ29</f>
        <v>0.0308449051626719</v>
      </c>
      <c r="CS28" s="52">
        <v>269992984.84</v>
      </c>
      <c r="CT28" s="35"/>
      <c r="CU28" s="52"/>
      <c r="CV28" s="245">
        <v>-2704183.35</v>
      </c>
      <c r="CW28" s="53">
        <f t="shared" si="59"/>
        <v>267288801.49</v>
      </c>
      <c r="CX28" s="53">
        <f t="shared" si="60"/>
        <v>267288801.49</v>
      </c>
      <c r="CY28" s="130"/>
      <c r="CZ28" s="35">
        <f t="shared" si="65"/>
        <v>0.128856056307547</v>
      </c>
      <c r="DA28" s="35">
        <f t="shared" si="62"/>
        <v>0.128856056307547</v>
      </c>
      <c r="DB28" s="250">
        <f t="shared" si="64"/>
        <v>0.155638857515694</v>
      </c>
      <c r="DC28" s="35"/>
      <c r="DD28" s="53"/>
      <c r="DE28" s="53"/>
      <c r="DF28" s="53"/>
      <c r="DG28" s="53"/>
      <c r="DH28" s="53"/>
      <c r="DI28" s="53"/>
      <c r="DJ28" s="130"/>
      <c r="DK28" s="207"/>
      <c r="DL28" s="12"/>
      <c r="DM28" s="12"/>
      <c r="DN28" s="68"/>
      <c r="DO28" s="68"/>
    </row>
    <row r="29" customFormat="1" spans="1:119">
      <c r="A29" s="12"/>
      <c r="B29" s="12"/>
      <c r="C29" s="12">
        <v>2020</v>
      </c>
      <c r="D29" s="55">
        <f>248.83*100000000</f>
        <v>24883000000</v>
      </c>
      <c r="E29" s="55" t="s">
        <v>119</v>
      </c>
      <c r="F29" s="21"/>
      <c r="G29" s="21"/>
      <c r="H29" s="21"/>
      <c r="I29" s="21"/>
      <c r="J29" s="21"/>
      <c r="K29" s="21"/>
      <c r="L29" s="21"/>
      <c r="M29" s="55">
        <v>2185494550.48</v>
      </c>
      <c r="N29" s="38"/>
      <c r="O29" s="53">
        <v>1897911349</v>
      </c>
      <c r="P29" s="35"/>
      <c r="Q29" s="53"/>
      <c r="R29" s="35"/>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5"/>
      <c r="AT29" s="35">
        <f t="shared" si="49"/>
        <v>0</v>
      </c>
      <c r="AU29" s="52">
        <f t="shared" si="50"/>
        <v>507463290.74</v>
      </c>
      <c r="AV29" s="35"/>
      <c r="AW29" s="37">
        <f t="shared" si="51"/>
        <v>0.232196090641611</v>
      </c>
      <c r="AX29" s="52">
        <f t="shared" si="52"/>
        <v>1678031259.74</v>
      </c>
      <c r="AY29" s="38">
        <f t="shared" si="53"/>
        <v>0.767803909358389</v>
      </c>
      <c r="AZ29" s="52">
        <v>826764257.92</v>
      </c>
      <c r="BA29" s="52">
        <v>140301049.56</v>
      </c>
      <c r="BB29" s="38">
        <f t="shared" si="54"/>
        <v>0.442492664768989</v>
      </c>
      <c r="BC29" s="38"/>
      <c r="BD29" s="52">
        <v>105258498.85</v>
      </c>
      <c r="BE29" s="52"/>
      <c r="BF29" s="52"/>
      <c r="BG29" s="52"/>
      <c r="BH29" s="53">
        <v>221401595.43</v>
      </c>
      <c r="BI29" s="35"/>
      <c r="BJ29" s="52"/>
      <c r="BK29" s="52"/>
      <c r="BL29" s="35">
        <f t="shared" si="55"/>
        <v>0.59196002200891</v>
      </c>
      <c r="BM29" s="36">
        <f t="shared" si="56"/>
        <v>0.639036847822872</v>
      </c>
      <c r="BN29" s="36"/>
      <c r="BO29" s="167"/>
      <c r="BP29" s="35"/>
      <c r="BQ29" s="231"/>
      <c r="BR29" s="236"/>
      <c r="BS29" s="236"/>
      <c r="BT29" s="236"/>
      <c r="BU29" s="236"/>
      <c r="BV29" s="236"/>
      <c r="BW29" s="236"/>
      <c r="BX29" s="236"/>
      <c r="BY29" s="231"/>
      <c r="BZ29" s="231"/>
      <c r="CA29" s="68"/>
      <c r="CB29" s="68"/>
      <c r="CC29" s="53"/>
      <c r="CD29" s="68"/>
      <c r="CE29" s="68"/>
      <c r="CF29" s="68"/>
      <c r="CG29" s="68"/>
      <c r="CH29" s="68"/>
      <c r="CI29" s="68"/>
      <c r="CJ29" s="68"/>
      <c r="CK29" s="68"/>
      <c r="CL29" s="180">
        <f t="shared" si="66"/>
        <v>1897911349</v>
      </c>
      <c r="CM29" s="35"/>
      <c r="CN29" s="35"/>
      <c r="CO29" s="52">
        <f t="shared" si="58"/>
        <v>1390448058.26</v>
      </c>
      <c r="CP29" s="35"/>
      <c r="CQ29" s="52">
        <v>261914264.2</v>
      </c>
      <c r="CR29" s="35">
        <f t="shared" si="68"/>
        <v>0.129739274060072</v>
      </c>
      <c r="CS29" s="52">
        <v>261914264.2</v>
      </c>
      <c r="CT29" s="35"/>
      <c r="CU29" s="52"/>
      <c r="CV29" s="52">
        <v>-3216073.21</v>
      </c>
      <c r="CW29" s="53">
        <f t="shared" si="59"/>
        <v>258698190.99</v>
      </c>
      <c r="CX29" s="53">
        <f t="shared" si="60"/>
        <v>258698190.99</v>
      </c>
      <c r="CY29" s="130"/>
      <c r="CZ29" s="35">
        <f t="shared" si="65"/>
        <v>0.136306783310141</v>
      </c>
      <c r="DA29" s="35">
        <f t="shared" si="62"/>
        <v>0.136306783310141</v>
      </c>
      <c r="DB29" s="250">
        <f t="shared" si="64"/>
        <v>0.186053833117458</v>
      </c>
      <c r="DC29" s="35"/>
      <c r="DD29" s="53"/>
      <c r="DE29" s="53"/>
      <c r="DF29" s="53"/>
      <c r="DG29" s="53"/>
      <c r="DH29" s="53"/>
      <c r="DI29" s="53"/>
      <c r="DJ29" s="130"/>
      <c r="DK29" s="207"/>
      <c r="DL29" s="12"/>
      <c r="DM29" s="12"/>
      <c r="DN29" s="68"/>
      <c r="DO29" s="68"/>
    </row>
    <row r="30" customFormat="1" spans="1:119">
      <c r="A30" s="12"/>
      <c r="B30" s="12"/>
      <c r="C30" s="12">
        <v>2019</v>
      </c>
      <c r="D30" s="55">
        <f>99.04*100000000</f>
        <v>9904000000</v>
      </c>
      <c r="E30" s="55" t="s">
        <v>120</v>
      </c>
      <c r="F30" s="21"/>
      <c r="G30" s="21"/>
      <c r="H30" s="21"/>
      <c r="I30" s="21"/>
      <c r="J30" s="21"/>
      <c r="K30" s="21"/>
      <c r="L30" s="21"/>
      <c r="M30" s="55">
        <v>2055571609.08</v>
      </c>
      <c r="N30" s="38"/>
      <c r="O30" s="53">
        <v>1592531795</v>
      </c>
      <c r="P30" s="35"/>
      <c r="Q30" s="53"/>
      <c r="R30" s="35"/>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5"/>
      <c r="AT30" s="35">
        <f t="shared" si="49"/>
        <v>0</v>
      </c>
      <c r="AU30" s="52">
        <f t="shared" si="50"/>
        <v>429062661.58</v>
      </c>
      <c r="AV30" s="35"/>
      <c r="AW30" s="37">
        <f t="shared" si="51"/>
        <v>0.208731556558145</v>
      </c>
      <c r="AX30" s="52">
        <f t="shared" si="52"/>
        <v>1626508947.5</v>
      </c>
      <c r="AY30" s="36">
        <f t="shared" si="53"/>
        <v>0.791268443441855</v>
      </c>
      <c r="AZ30" s="52">
        <v>692422171.85</v>
      </c>
      <c r="BA30" s="52">
        <v>198232449.32</v>
      </c>
      <c r="BB30" s="38">
        <f t="shared" si="54"/>
        <v>0.43328805342307</v>
      </c>
      <c r="BC30" s="38"/>
      <c r="BD30" s="52">
        <v>121391437.7</v>
      </c>
      <c r="BE30" s="52"/>
      <c r="BF30" s="52"/>
      <c r="BG30" s="52"/>
      <c r="BH30" s="53">
        <v>205801040.39</v>
      </c>
      <c r="BI30" s="35"/>
      <c r="BJ30" s="52"/>
      <c r="BK30" s="52"/>
      <c r="BL30" s="35">
        <f t="shared" si="55"/>
        <v>0.592461529588041</v>
      </c>
      <c r="BM30" s="36">
        <f t="shared" si="56"/>
        <v>0.622219792186719</v>
      </c>
      <c r="BN30" s="36"/>
      <c r="BO30" s="167"/>
      <c r="BP30" s="35"/>
      <c r="BQ30" s="231"/>
      <c r="BR30" s="236"/>
      <c r="BS30" s="236"/>
      <c r="BT30" s="236"/>
      <c r="BU30" s="236"/>
      <c r="BV30" s="236"/>
      <c r="BW30" s="236"/>
      <c r="BX30" s="236"/>
      <c r="BY30" s="231"/>
      <c r="BZ30" s="231"/>
      <c r="CA30" s="68"/>
      <c r="CB30" s="68"/>
      <c r="CC30" s="53"/>
      <c r="CD30" s="68"/>
      <c r="CE30" s="68"/>
      <c r="CF30" s="68"/>
      <c r="CG30" s="68"/>
      <c r="CH30" s="68"/>
      <c r="CI30" s="68"/>
      <c r="CJ30" s="68"/>
      <c r="CK30" s="68"/>
      <c r="CL30" s="180">
        <f t="shared" si="66"/>
        <v>1750536660.85</v>
      </c>
      <c r="CM30" s="35"/>
      <c r="CN30" s="35"/>
      <c r="CO30" s="52">
        <f t="shared" si="58"/>
        <v>1321473999.27</v>
      </c>
      <c r="CP30" s="35"/>
      <c r="CQ30" s="52">
        <v>231836026.43</v>
      </c>
      <c r="CR30" s="35">
        <f t="shared" si="68"/>
        <v>-0.187040220446328</v>
      </c>
      <c r="CS30" s="52">
        <v>231836026.43</v>
      </c>
      <c r="CT30" s="35"/>
      <c r="CU30" s="52"/>
      <c r="CV30" s="52">
        <v>-7515207.85</v>
      </c>
      <c r="CW30" s="53">
        <f t="shared" si="59"/>
        <v>224320818.58</v>
      </c>
      <c r="CX30" s="53">
        <f t="shared" si="60"/>
        <v>224320818.58</v>
      </c>
      <c r="CY30" s="130"/>
      <c r="CZ30" s="35">
        <f t="shared" si="65"/>
        <v>0.128144027826917</v>
      </c>
      <c r="DA30" s="35">
        <f t="shared" si="62"/>
        <v>0.128144027826917</v>
      </c>
      <c r="DB30" s="250">
        <f t="shared" si="64"/>
        <v>0.169750459489871</v>
      </c>
      <c r="DC30" s="35"/>
      <c r="DD30" s="53"/>
      <c r="DE30" s="53"/>
      <c r="DF30" s="53"/>
      <c r="DG30" s="53"/>
      <c r="DH30" s="53"/>
      <c r="DI30" s="53"/>
      <c r="DJ30" s="130"/>
      <c r="DK30" s="207"/>
      <c r="DL30" s="12"/>
      <c r="DM30" s="12"/>
      <c r="DN30" s="68"/>
      <c r="DO30" s="68"/>
    </row>
    <row r="31" customFormat="1" spans="1:119">
      <c r="A31" s="12"/>
      <c r="B31" s="12"/>
      <c r="C31" s="12">
        <v>2018</v>
      </c>
      <c r="D31" s="55">
        <f>50.17*100000000</f>
        <v>5017000000</v>
      </c>
      <c r="E31" s="55" t="s">
        <v>121</v>
      </c>
      <c r="F31" s="21"/>
      <c r="G31" s="21"/>
      <c r="H31" s="21"/>
      <c r="I31" s="21"/>
      <c r="J31" s="21"/>
      <c r="K31" s="21"/>
      <c r="L31" s="21"/>
      <c r="M31" s="55">
        <v>1931143438.96</v>
      </c>
      <c r="N31" s="38"/>
      <c r="O31" s="53">
        <v>1306508786.36</v>
      </c>
      <c r="P31" s="35"/>
      <c r="Q31" s="53"/>
      <c r="R31" s="35"/>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5"/>
      <c r="AT31" s="35">
        <f t="shared" si="49"/>
        <v>0</v>
      </c>
      <c r="AU31" s="52">
        <f t="shared" si="50"/>
        <v>454485084.24</v>
      </c>
      <c r="AV31" s="35"/>
      <c r="AW31" s="37">
        <f t="shared" si="51"/>
        <v>0.235345068145098</v>
      </c>
      <c r="AX31" s="52">
        <f t="shared" si="52"/>
        <v>1476658354.72</v>
      </c>
      <c r="AY31" s="38">
        <f t="shared" si="53"/>
        <v>0.764654931854902</v>
      </c>
      <c r="AZ31" s="52">
        <v>414111164.86</v>
      </c>
      <c r="BA31" s="52">
        <v>305810425.36</v>
      </c>
      <c r="BB31" s="38">
        <f t="shared" si="54"/>
        <v>0.372795503273287</v>
      </c>
      <c r="BC31" s="38"/>
      <c r="BD31" s="52">
        <v>52826585.01</v>
      </c>
      <c r="BE31" s="52"/>
      <c r="BF31" s="52"/>
      <c r="BG31" s="52"/>
      <c r="BH31" s="53">
        <v>198253970.53</v>
      </c>
      <c r="BI31" s="35"/>
      <c r="BJ31" s="52"/>
      <c r="BK31" s="52"/>
      <c r="BL31" s="35">
        <f t="shared" si="55"/>
        <v>0.502812026565836</v>
      </c>
      <c r="BM31" s="36">
        <f t="shared" si="56"/>
        <v>0.523308707889525</v>
      </c>
      <c r="BN31" s="36"/>
      <c r="BO31" s="167"/>
      <c r="BP31" s="35"/>
      <c r="BQ31" s="231"/>
      <c r="BR31" s="236"/>
      <c r="BS31" s="236"/>
      <c r="BT31" s="236"/>
      <c r="BU31" s="236"/>
      <c r="BV31" s="236"/>
      <c r="BW31" s="236"/>
      <c r="BX31" s="236"/>
      <c r="BY31" s="231"/>
      <c r="BZ31" s="231"/>
      <c r="CA31" s="68"/>
      <c r="CB31" s="68"/>
      <c r="CC31" s="53"/>
      <c r="CD31" s="68"/>
      <c r="CE31" s="68"/>
      <c r="CF31" s="68"/>
      <c r="CG31" s="68"/>
      <c r="CH31" s="68"/>
      <c r="CI31" s="68"/>
      <c r="CJ31" s="68"/>
      <c r="CK31" s="68"/>
      <c r="CL31" s="180">
        <f t="shared" si="66"/>
        <v>1693034035.01</v>
      </c>
      <c r="CM31" s="35"/>
      <c r="CN31" s="35"/>
      <c r="CO31" s="52">
        <f t="shared" si="58"/>
        <v>1238548950.77</v>
      </c>
      <c r="CP31" s="35"/>
      <c r="CQ31" s="52">
        <v>285175272.21</v>
      </c>
      <c r="CR31" s="35">
        <f t="shared" si="68"/>
        <v>0.685464477427612</v>
      </c>
      <c r="CS31" s="52">
        <v>285175272.21</v>
      </c>
      <c r="CT31" s="35"/>
      <c r="CU31" s="52"/>
      <c r="CV31" s="52">
        <v>1697152.63</v>
      </c>
      <c r="CW31" s="53">
        <f t="shared" si="59"/>
        <v>286872424.84</v>
      </c>
      <c r="CX31" s="53">
        <f t="shared" si="60"/>
        <v>286872424.84</v>
      </c>
      <c r="CY31" s="130"/>
      <c r="CZ31" s="35">
        <f t="shared" si="65"/>
        <v>0.169442798495368</v>
      </c>
      <c r="DA31" s="35">
        <f t="shared" si="62"/>
        <v>0.169442798495368</v>
      </c>
      <c r="DB31" s="250">
        <f t="shared" si="64"/>
        <v>0.231619771395917</v>
      </c>
      <c r="DC31" s="35"/>
      <c r="DD31" s="53"/>
      <c r="DE31" s="53"/>
      <c r="DF31" s="53"/>
      <c r="DG31" s="53"/>
      <c r="DH31" s="53"/>
      <c r="DI31" s="53"/>
      <c r="DJ31" s="130"/>
      <c r="DK31" s="207"/>
      <c r="DL31" s="12"/>
      <c r="DM31" s="12"/>
      <c r="DN31" s="68"/>
      <c r="DO31" s="68"/>
    </row>
    <row r="32" customFormat="1" spans="1:119">
      <c r="A32" s="12"/>
      <c r="B32" s="12"/>
      <c r="C32" s="12">
        <v>2017</v>
      </c>
      <c r="D32" s="55">
        <f>58.64*100000000</f>
        <v>5864000000</v>
      </c>
      <c r="E32" s="55" t="s">
        <v>122</v>
      </c>
      <c r="F32" s="21"/>
      <c r="G32" s="21"/>
      <c r="H32" s="21"/>
      <c r="I32" s="21"/>
      <c r="J32" s="21"/>
      <c r="K32" s="21"/>
      <c r="L32" s="21"/>
      <c r="M32" s="55">
        <v>1196126831.38</v>
      </c>
      <c r="N32" s="38"/>
      <c r="O32" s="53">
        <v>1062987000.38</v>
      </c>
      <c r="P32" s="35"/>
      <c r="Q32" s="53"/>
      <c r="R32" s="35"/>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5"/>
      <c r="AT32" s="35">
        <f t="shared" si="49"/>
        <v>0</v>
      </c>
      <c r="AU32" s="52">
        <f t="shared" si="50"/>
        <v>80908967.56</v>
      </c>
      <c r="AV32" s="35"/>
      <c r="AW32" s="38">
        <f t="shared" si="51"/>
        <v>0.0676424651946428</v>
      </c>
      <c r="AX32" s="52">
        <f t="shared" si="52"/>
        <v>1115217863.82</v>
      </c>
      <c r="AY32" s="36">
        <f t="shared" si="53"/>
        <v>0.932357534805357</v>
      </c>
      <c r="AZ32" s="52">
        <v>433226421.79</v>
      </c>
      <c r="BA32" s="52">
        <v>99305024.29</v>
      </c>
      <c r="BB32" s="38">
        <f t="shared" si="54"/>
        <v>0.445213193207618</v>
      </c>
      <c r="BC32" s="38"/>
      <c r="BD32" s="52">
        <v>57617282.2</v>
      </c>
      <c r="BE32" s="52"/>
      <c r="BF32" s="52"/>
      <c r="BG32" s="52"/>
      <c r="BH32" s="53">
        <v>240023601.23</v>
      </c>
      <c r="BI32" s="35"/>
      <c r="BJ32" s="52"/>
      <c r="BK32" s="52"/>
      <c r="BL32" s="35">
        <f t="shared" si="55"/>
        <v>0.694050420219588</v>
      </c>
      <c r="BM32" s="36">
        <f t="shared" si="56"/>
        <v>0.529177973085683</v>
      </c>
      <c r="BN32" s="36"/>
      <c r="BO32" s="167"/>
      <c r="BP32" s="35"/>
      <c r="BQ32" s="231"/>
      <c r="BR32" s="236"/>
      <c r="BS32" s="236"/>
      <c r="BT32" s="236"/>
      <c r="BU32" s="236"/>
      <c r="BV32" s="236"/>
      <c r="BW32" s="236"/>
      <c r="BX32" s="236"/>
      <c r="BY32" s="231"/>
      <c r="BZ32" s="231"/>
      <c r="CA32" s="68"/>
      <c r="CB32" s="68"/>
      <c r="CC32" s="53"/>
      <c r="CD32" s="68"/>
      <c r="CE32" s="68"/>
      <c r="CF32" s="68"/>
      <c r="CG32" s="68"/>
      <c r="CH32" s="68"/>
      <c r="CI32" s="68"/>
      <c r="CJ32" s="68"/>
      <c r="CK32" s="68"/>
      <c r="CL32" s="180">
        <f t="shared" si="66"/>
        <v>1062987000.38</v>
      </c>
      <c r="CM32" s="35"/>
      <c r="CN32" s="35"/>
      <c r="CO32" s="52">
        <f t="shared" si="58"/>
        <v>982078032.82</v>
      </c>
      <c r="CP32" s="35"/>
      <c r="CQ32" s="52">
        <v>169196845.16</v>
      </c>
      <c r="CR32" s="35">
        <f t="shared" si="68"/>
        <v>0.540882684440888</v>
      </c>
      <c r="CS32" s="52">
        <v>169196845.16</v>
      </c>
      <c r="CT32" s="35"/>
      <c r="CU32" s="52"/>
      <c r="CV32" s="52">
        <v>1193171.8</v>
      </c>
      <c r="CW32" s="53">
        <f t="shared" si="59"/>
        <v>170390016.96</v>
      </c>
      <c r="CX32" s="53">
        <f t="shared" si="60"/>
        <v>170390016.96</v>
      </c>
      <c r="CY32" s="130"/>
      <c r="CZ32" s="35">
        <f t="shared" si="65"/>
        <v>0.160293603683854</v>
      </c>
      <c r="DA32" s="35">
        <f t="shared" si="62"/>
        <v>0.160293603683854</v>
      </c>
      <c r="DB32" s="250">
        <f t="shared" si="64"/>
        <v>0.173499468744588</v>
      </c>
      <c r="DC32" s="35"/>
      <c r="DD32" s="53"/>
      <c r="DE32" s="53"/>
      <c r="DF32" s="53"/>
      <c r="DG32" s="53"/>
      <c r="DH32" s="53"/>
      <c r="DI32" s="53"/>
      <c r="DJ32" s="130"/>
      <c r="DK32" s="207"/>
      <c r="DL32" s="12"/>
      <c r="DM32" s="12"/>
      <c r="DN32" s="68"/>
      <c r="DO32" s="68"/>
    </row>
    <row r="33" customFormat="1" spans="1:119">
      <c r="A33" s="12"/>
      <c r="B33" s="12"/>
      <c r="C33" s="12">
        <v>2016</v>
      </c>
      <c r="D33" s="55">
        <f>71.95*100000000</f>
        <v>7195000000</v>
      </c>
      <c r="E33" s="55" t="s">
        <v>123</v>
      </c>
      <c r="F33" s="21"/>
      <c r="G33" s="21"/>
      <c r="H33" s="21"/>
      <c r="I33" s="21"/>
      <c r="J33" s="21"/>
      <c r="K33" s="21"/>
      <c r="L33" s="21"/>
      <c r="M33" s="55">
        <v>1026655803.71</v>
      </c>
      <c r="N33" s="38"/>
      <c r="O33" s="53">
        <v>890420754.13</v>
      </c>
      <c r="P33" s="35"/>
      <c r="Q33" s="53"/>
      <c r="R33" s="35"/>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5"/>
      <c r="AT33" s="35">
        <f t="shared" si="49"/>
        <v>0</v>
      </c>
      <c r="AU33" s="52">
        <f t="shared" si="50"/>
        <v>92047470.8</v>
      </c>
      <c r="AV33" s="35"/>
      <c r="AW33" s="38">
        <f t="shared" si="51"/>
        <v>0.0896575760516527</v>
      </c>
      <c r="AX33" s="52">
        <f t="shared" si="52"/>
        <v>934608332.91</v>
      </c>
      <c r="AY33" s="36">
        <f t="shared" si="53"/>
        <v>0.910342423948347</v>
      </c>
      <c r="AZ33" s="52">
        <v>441122863.27</v>
      </c>
      <c r="BA33" s="52">
        <v>351208.05</v>
      </c>
      <c r="BB33" s="38">
        <f t="shared" si="54"/>
        <v>0.430011762193966</v>
      </c>
      <c r="BC33" s="38"/>
      <c r="BD33" s="52">
        <v>52537975.61</v>
      </c>
      <c r="BE33" s="52"/>
      <c r="BF33" s="52"/>
      <c r="BG33" s="52"/>
      <c r="BH33" s="53">
        <v>144059434.25</v>
      </c>
      <c r="BI33" s="35"/>
      <c r="BJ33" s="52"/>
      <c r="BK33" s="52"/>
      <c r="BL33" s="35">
        <f t="shared" si="55"/>
        <v>0.621504772392295</v>
      </c>
      <c r="BM33" s="36">
        <f t="shared" si="56"/>
        <v>0.528576549089664</v>
      </c>
      <c r="BN33" s="36"/>
      <c r="BO33" s="167"/>
      <c r="BP33" s="35"/>
      <c r="BQ33" s="231"/>
      <c r="BR33" s="236"/>
      <c r="BS33" s="236"/>
      <c r="BT33" s="236"/>
      <c r="BU33" s="236"/>
      <c r="BV33" s="236"/>
      <c r="BW33" s="236"/>
      <c r="BX33" s="236"/>
      <c r="BY33" s="231"/>
      <c r="BZ33" s="231"/>
      <c r="CA33" s="68"/>
      <c r="CB33" s="68"/>
      <c r="CC33" s="53"/>
      <c r="CD33" s="68"/>
      <c r="CE33" s="68"/>
      <c r="CF33" s="68"/>
      <c r="CG33" s="68"/>
      <c r="CH33" s="68"/>
      <c r="CI33" s="68"/>
      <c r="CJ33" s="68"/>
      <c r="CK33" s="68"/>
      <c r="CL33" s="180">
        <f t="shared" si="66"/>
        <v>890420754.13</v>
      </c>
      <c r="CM33" s="35"/>
      <c r="CN33" s="35"/>
      <c r="CO33" s="52">
        <f t="shared" si="58"/>
        <v>798373283.33</v>
      </c>
      <c r="CP33" s="35"/>
      <c r="CQ33" s="52">
        <v>109805144.07</v>
      </c>
      <c r="CR33" s="35">
        <f t="shared" si="68"/>
        <v>0.399912047672062</v>
      </c>
      <c r="CS33" s="52">
        <v>109805144.07</v>
      </c>
      <c r="CT33" s="35"/>
      <c r="CU33" s="52"/>
      <c r="CV33" s="52">
        <v>-744236.12</v>
      </c>
      <c r="CW33" s="53">
        <f t="shared" si="59"/>
        <v>109060907.95</v>
      </c>
      <c r="CX33" s="53">
        <f t="shared" si="60"/>
        <v>109060907.95</v>
      </c>
      <c r="CY33" s="130"/>
      <c r="CZ33" s="35">
        <f t="shared" si="65"/>
        <v>0.12248244152458</v>
      </c>
      <c r="DA33" s="35">
        <f t="shared" si="62"/>
        <v>0.12248244152458</v>
      </c>
      <c r="DB33" s="250">
        <f t="shared" si="64"/>
        <v>0.136603904748802</v>
      </c>
      <c r="DC33" s="35"/>
      <c r="DD33" s="53"/>
      <c r="DE33" s="53"/>
      <c r="DF33" s="53"/>
      <c r="DG33" s="53"/>
      <c r="DH33" s="53"/>
      <c r="DI33" s="53"/>
      <c r="DJ33" s="130"/>
      <c r="DK33" s="207"/>
      <c r="DL33" s="12"/>
      <c r="DM33" s="12"/>
      <c r="DN33" s="68"/>
      <c r="DO33" s="68"/>
    </row>
    <row r="34" customFormat="1" spans="1:119">
      <c r="A34" s="12"/>
      <c r="B34" s="12"/>
      <c r="C34" s="12">
        <v>2015</v>
      </c>
      <c r="D34" s="55"/>
      <c r="E34" s="55"/>
      <c r="F34" s="21"/>
      <c r="G34" s="21"/>
      <c r="H34" s="21"/>
      <c r="I34" s="21"/>
      <c r="J34" s="21"/>
      <c r="K34" s="21"/>
      <c r="L34" s="21"/>
      <c r="M34" s="55">
        <v>724122606.18</v>
      </c>
      <c r="N34" s="38"/>
      <c r="O34" s="53">
        <v>467498088.49</v>
      </c>
      <c r="P34" s="35"/>
      <c r="Q34" s="53"/>
      <c r="R34" s="35"/>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5"/>
      <c r="AT34" s="35">
        <f t="shared" si="49"/>
        <v>0</v>
      </c>
      <c r="AU34" s="52">
        <f t="shared" si="50"/>
        <v>48418130.2</v>
      </c>
      <c r="AV34" s="35"/>
      <c r="AW34" s="38">
        <f t="shared" si="51"/>
        <v>0.0668645472282968</v>
      </c>
      <c r="AX34" s="52">
        <f t="shared" si="52"/>
        <v>675704475.98</v>
      </c>
      <c r="AY34" s="36">
        <f t="shared" si="53"/>
        <v>0.933135452771703</v>
      </c>
      <c r="AZ34" s="52">
        <v>296712047.05</v>
      </c>
      <c r="BA34" s="52">
        <v>100113894.14</v>
      </c>
      <c r="BB34" s="38">
        <f t="shared" si="54"/>
        <v>0.548009325773429</v>
      </c>
      <c r="BC34" s="38"/>
      <c r="BD34" s="52">
        <v>45529574.87</v>
      </c>
      <c r="BE34" s="52"/>
      <c r="BF34" s="52"/>
      <c r="BG34" s="52"/>
      <c r="BH34" s="52">
        <v>100088565.58</v>
      </c>
      <c r="BI34" s="231"/>
      <c r="BJ34" s="52"/>
      <c r="BK34" s="52"/>
      <c r="BL34" s="35">
        <f t="shared" si="55"/>
        <v>0.749105300067335</v>
      </c>
      <c r="BM34" s="36">
        <f t="shared" si="56"/>
        <v>0.654658260131316</v>
      </c>
      <c r="BN34" s="36"/>
      <c r="BO34" s="167"/>
      <c r="BP34" s="35"/>
      <c r="BQ34" s="231"/>
      <c r="BR34" s="236"/>
      <c r="BS34" s="236"/>
      <c r="BT34" s="236"/>
      <c r="BU34" s="236"/>
      <c r="BV34" s="236"/>
      <c r="BW34" s="236"/>
      <c r="BX34" s="236"/>
      <c r="BY34" s="231"/>
      <c r="BZ34" s="231"/>
      <c r="CA34" s="68"/>
      <c r="CB34" s="68"/>
      <c r="CC34" s="53"/>
      <c r="CD34" s="68"/>
      <c r="CE34" s="68"/>
      <c r="CF34" s="68"/>
      <c r="CG34" s="68"/>
      <c r="CH34" s="68"/>
      <c r="CI34" s="68"/>
      <c r="CJ34" s="68"/>
      <c r="CK34" s="68"/>
      <c r="CL34" s="180">
        <f t="shared" si="66"/>
        <v>601998088.49</v>
      </c>
      <c r="CM34" s="35"/>
      <c r="CN34" s="35"/>
      <c r="CO34" s="52">
        <f t="shared" si="58"/>
        <v>553579958.29</v>
      </c>
      <c r="CP34" s="35"/>
      <c r="CQ34" s="52">
        <v>78437173.43</v>
      </c>
      <c r="CR34" s="35"/>
      <c r="CS34" s="52">
        <v>78437173.43</v>
      </c>
      <c r="CT34" s="35"/>
      <c r="CU34" s="52"/>
      <c r="CV34" s="52">
        <v>7181535.02</v>
      </c>
      <c r="CW34" s="53">
        <f t="shared" si="59"/>
        <v>85618708.45</v>
      </c>
      <c r="CX34" s="53">
        <f t="shared" si="60"/>
        <v>85618708.45</v>
      </c>
      <c r="CY34" s="130"/>
      <c r="CZ34" s="35">
        <f t="shared" si="65"/>
        <v>0.142224219789067</v>
      </c>
      <c r="DA34" s="35">
        <f t="shared" si="62"/>
        <v>0.142224219789067</v>
      </c>
      <c r="DB34" s="250">
        <f t="shared" si="64"/>
        <v>0.15466367083533</v>
      </c>
      <c r="DC34" s="35"/>
      <c r="DD34" s="53"/>
      <c r="DE34" s="53"/>
      <c r="DF34" s="53"/>
      <c r="DG34" s="53"/>
      <c r="DH34" s="53"/>
      <c r="DI34" s="53"/>
      <c r="DJ34" s="130"/>
      <c r="DK34" s="207"/>
      <c r="DL34" s="12"/>
      <c r="DM34" s="12"/>
      <c r="DN34" s="68"/>
      <c r="DO34" s="68"/>
    </row>
    <row r="35" customFormat="1" spans="1:119">
      <c r="A35" s="12"/>
      <c r="B35" s="12"/>
      <c r="C35" s="12">
        <v>2014</v>
      </c>
      <c r="D35" s="55"/>
      <c r="E35" s="55"/>
      <c r="F35" s="21"/>
      <c r="G35" s="21"/>
      <c r="H35" s="21"/>
      <c r="I35" s="21"/>
      <c r="J35" s="21"/>
      <c r="K35" s="21"/>
      <c r="L35" s="21"/>
      <c r="M35" s="55"/>
      <c r="N35" s="38"/>
      <c r="O35" s="53"/>
      <c r="P35" s="35"/>
      <c r="Q35" s="53"/>
      <c r="R35" s="35"/>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5"/>
      <c r="AT35" s="35" t="e">
        <f t="shared" si="49"/>
        <v>#DIV/0!</v>
      </c>
      <c r="AU35" s="52">
        <f t="shared" si="50"/>
        <v>0</v>
      </c>
      <c r="AV35" s="35"/>
      <c r="AW35" s="38" t="e">
        <f t="shared" si="51"/>
        <v>#DIV/0!</v>
      </c>
      <c r="AX35" s="52">
        <f t="shared" si="52"/>
        <v>0</v>
      </c>
      <c r="AY35" s="38" t="e">
        <f t="shared" si="53"/>
        <v>#DIV/0!</v>
      </c>
      <c r="AZ35" s="52"/>
      <c r="BA35" s="52"/>
      <c r="BB35" s="38" t="e">
        <f t="shared" si="54"/>
        <v>#DIV/0!</v>
      </c>
      <c r="BC35" s="38"/>
      <c r="BD35" s="52"/>
      <c r="BE35" s="52"/>
      <c r="BF35" s="52"/>
      <c r="BG35" s="52"/>
      <c r="BH35" s="52">
        <v>66531118.6</v>
      </c>
      <c r="BI35" s="231"/>
      <c r="BJ35" s="52"/>
      <c r="BK35" s="52"/>
      <c r="BL35" s="35" t="e">
        <f t="shared" si="55"/>
        <v>#DIV/0!</v>
      </c>
      <c r="BM35" s="35" t="e">
        <f t="shared" si="56"/>
        <v>#DIV/0!</v>
      </c>
      <c r="BN35" s="35"/>
      <c r="BO35" s="167"/>
      <c r="BP35" s="35"/>
      <c r="BQ35" s="231"/>
      <c r="BR35" s="236"/>
      <c r="BS35" s="236"/>
      <c r="BT35" s="236"/>
      <c r="BU35" s="236"/>
      <c r="BV35" s="236"/>
      <c r="BW35" s="236"/>
      <c r="BX35" s="236"/>
      <c r="BY35" s="231"/>
      <c r="BZ35" s="231"/>
      <c r="CA35" s="68"/>
      <c r="CB35" s="68"/>
      <c r="CC35" s="53"/>
      <c r="CD35" s="68"/>
      <c r="CE35" s="68"/>
      <c r="CF35" s="68"/>
      <c r="CG35" s="68"/>
      <c r="CH35" s="68"/>
      <c r="CI35" s="68"/>
      <c r="CJ35" s="68"/>
      <c r="CK35" s="68"/>
      <c r="CL35" s="180">
        <f t="shared" si="66"/>
        <v>0</v>
      </c>
      <c r="CM35" s="35"/>
      <c r="CN35" s="35"/>
      <c r="CO35" s="52">
        <f t="shared" si="58"/>
        <v>0</v>
      </c>
      <c r="CP35" s="35"/>
      <c r="CQ35" s="52"/>
      <c r="CR35" s="35"/>
      <c r="CS35" s="52"/>
      <c r="CT35" s="35"/>
      <c r="CU35" s="52"/>
      <c r="CV35" s="52"/>
      <c r="CW35" s="53">
        <f t="shared" si="59"/>
        <v>0</v>
      </c>
      <c r="CX35" s="53">
        <f t="shared" si="60"/>
        <v>0</v>
      </c>
      <c r="CY35" s="130"/>
      <c r="CZ35" s="35" t="e">
        <f t="shared" si="65"/>
        <v>#DIV/0!</v>
      </c>
      <c r="DA35" s="35" t="e">
        <f t="shared" si="62"/>
        <v>#DIV/0!</v>
      </c>
      <c r="DB35" s="250" t="e">
        <f t="shared" si="64"/>
        <v>#DIV/0!</v>
      </c>
      <c r="DC35" s="35"/>
      <c r="DD35" s="53"/>
      <c r="DE35" s="53"/>
      <c r="DF35" s="53"/>
      <c r="DG35" s="53"/>
      <c r="DH35" s="53"/>
      <c r="DI35" s="53"/>
      <c r="DJ35" s="130"/>
      <c r="DK35" s="207"/>
      <c r="DL35" s="12"/>
      <c r="DM35" s="12"/>
      <c r="DN35" s="68"/>
      <c r="DO35" s="68"/>
    </row>
    <row r="36" customFormat="1" spans="1:119">
      <c r="A36" s="12"/>
      <c r="B36" s="12"/>
      <c r="C36" s="12">
        <v>2013</v>
      </c>
      <c r="D36" s="55"/>
      <c r="E36" s="21"/>
      <c r="F36" s="21"/>
      <c r="G36" s="21"/>
      <c r="H36" s="21"/>
      <c r="I36" s="21"/>
      <c r="J36" s="21"/>
      <c r="K36" s="21"/>
      <c r="L36" s="21"/>
      <c r="M36" s="55"/>
      <c r="N36" s="38"/>
      <c r="O36" s="53"/>
      <c r="P36" s="35"/>
      <c r="Q36" s="53"/>
      <c r="R36" s="35"/>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5"/>
      <c r="AT36" s="35" t="e">
        <f t="shared" si="49"/>
        <v>#DIV/0!</v>
      </c>
      <c r="AU36" s="52">
        <f t="shared" si="50"/>
        <v>0</v>
      </c>
      <c r="AV36" s="35"/>
      <c r="AW36" s="38" t="e">
        <f t="shared" si="51"/>
        <v>#DIV/0!</v>
      </c>
      <c r="AX36" s="52">
        <f t="shared" si="52"/>
        <v>0</v>
      </c>
      <c r="AY36" s="38" t="e">
        <f t="shared" si="53"/>
        <v>#DIV/0!</v>
      </c>
      <c r="AZ36" s="52"/>
      <c r="BA36" s="52"/>
      <c r="BB36" s="38" t="e">
        <f t="shared" si="54"/>
        <v>#DIV/0!</v>
      </c>
      <c r="BC36" s="38"/>
      <c r="BD36" s="52"/>
      <c r="BE36" s="52"/>
      <c r="BF36" s="52"/>
      <c r="BG36" s="52"/>
      <c r="BH36" s="52">
        <v>52970324.69</v>
      </c>
      <c r="BI36" s="231"/>
      <c r="BJ36" s="52"/>
      <c r="BK36" s="52"/>
      <c r="BL36" s="35" t="e">
        <f t="shared" si="55"/>
        <v>#DIV/0!</v>
      </c>
      <c r="BM36" s="35" t="e">
        <f t="shared" si="56"/>
        <v>#DIV/0!</v>
      </c>
      <c r="BN36" s="35"/>
      <c r="BO36" s="167"/>
      <c r="BP36" s="35"/>
      <c r="BQ36" s="231"/>
      <c r="BR36" s="236"/>
      <c r="BS36" s="236"/>
      <c r="BT36" s="236"/>
      <c r="BU36" s="236"/>
      <c r="BV36" s="236"/>
      <c r="BW36" s="236"/>
      <c r="BX36" s="236"/>
      <c r="BY36" s="231"/>
      <c r="BZ36" s="231"/>
      <c r="CA36" s="68"/>
      <c r="CB36" s="68"/>
      <c r="CC36" s="53"/>
      <c r="CD36" s="68"/>
      <c r="CE36" s="68"/>
      <c r="CF36" s="68"/>
      <c r="CG36" s="68"/>
      <c r="CH36" s="68"/>
      <c r="CI36" s="68"/>
      <c r="CJ36" s="68"/>
      <c r="CK36" s="68"/>
      <c r="CL36" s="180">
        <f t="shared" si="66"/>
        <v>0</v>
      </c>
      <c r="CM36" s="35"/>
      <c r="CN36" s="35"/>
      <c r="CO36" s="52">
        <f t="shared" si="58"/>
        <v>0</v>
      </c>
      <c r="CP36" s="35"/>
      <c r="CQ36" s="52"/>
      <c r="CR36" s="35"/>
      <c r="CS36" s="52"/>
      <c r="CT36" s="35"/>
      <c r="CU36" s="52"/>
      <c r="CV36" s="52"/>
      <c r="CW36" s="53">
        <f t="shared" si="59"/>
        <v>0</v>
      </c>
      <c r="CX36" s="53">
        <f t="shared" si="60"/>
        <v>0</v>
      </c>
      <c r="CY36" s="130"/>
      <c r="CZ36" s="35" t="e">
        <f t="shared" si="65"/>
        <v>#DIV/0!</v>
      </c>
      <c r="DA36" s="35" t="e">
        <f t="shared" si="62"/>
        <v>#DIV/0!</v>
      </c>
      <c r="DB36" s="250" t="e">
        <f t="shared" si="64"/>
        <v>#DIV/0!</v>
      </c>
      <c r="DC36" s="35"/>
      <c r="DD36" s="53"/>
      <c r="DE36" s="53"/>
      <c r="DF36" s="53"/>
      <c r="DG36" s="53"/>
      <c r="DH36" s="53"/>
      <c r="DI36" s="53"/>
      <c r="DJ36" s="130"/>
      <c r="DK36" s="207"/>
      <c r="DL36" s="12"/>
      <c r="DM36" s="12"/>
      <c r="DN36" s="68"/>
      <c r="DO36" s="68"/>
    </row>
    <row r="37" customFormat="1" spans="1:119">
      <c r="A37" s="12"/>
      <c r="B37" s="12"/>
      <c r="C37" s="12">
        <v>2012</v>
      </c>
      <c r="D37" s="55"/>
      <c r="E37" s="21"/>
      <c r="F37" s="21"/>
      <c r="G37" s="21"/>
      <c r="H37" s="21"/>
      <c r="I37" s="21"/>
      <c r="J37" s="21"/>
      <c r="K37" s="21"/>
      <c r="L37" s="21"/>
      <c r="M37" s="55"/>
      <c r="N37" s="38"/>
      <c r="O37" s="53"/>
      <c r="P37" s="35"/>
      <c r="Q37" s="53"/>
      <c r="R37" s="35"/>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5"/>
      <c r="AT37" s="35" t="e">
        <f t="shared" si="49"/>
        <v>#DIV/0!</v>
      </c>
      <c r="AU37" s="52">
        <f t="shared" si="50"/>
        <v>0</v>
      </c>
      <c r="AV37" s="35"/>
      <c r="AW37" s="38" t="e">
        <f t="shared" si="51"/>
        <v>#DIV/0!</v>
      </c>
      <c r="AX37" s="52">
        <f t="shared" si="52"/>
        <v>0</v>
      </c>
      <c r="AY37" s="38" t="e">
        <f t="shared" si="53"/>
        <v>#DIV/0!</v>
      </c>
      <c r="AZ37" s="52"/>
      <c r="BA37" s="52"/>
      <c r="BB37" s="38" t="e">
        <f t="shared" si="54"/>
        <v>#DIV/0!</v>
      </c>
      <c r="BC37" s="38"/>
      <c r="BD37" s="52"/>
      <c r="BE37" s="52"/>
      <c r="BF37" s="52"/>
      <c r="BG37" s="52"/>
      <c r="BH37" s="52">
        <v>70469172.6</v>
      </c>
      <c r="BI37" s="231"/>
      <c r="BJ37" s="52"/>
      <c r="BK37" s="52"/>
      <c r="BL37" s="35" t="e">
        <f t="shared" si="55"/>
        <v>#DIV/0!</v>
      </c>
      <c r="BM37" s="35" t="e">
        <f t="shared" si="56"/>
        <v>#DIV/0!</v>
      </c>
      <c r="BN37" s="35"/>
      <c r="BO37" s="167"/>
      <c r="BP37" s="35"/>
      <c r="BQ37" s="231"/>
      <c r="BR37" s="236"/>
      <c r="BS37" s="236"/>
      <c r="BT37" s="236"/>
      <c r="BU37" s="236"/>
      <c r="BV37" s="236"/>
      <c r="BW37" s="236"/>
      <c r="BX37" s="236"/>
      <c r="BY37" s="231"/>
      <c r="BZ37" s="231"/>
      <c r="CA37" s="68"/>
      <c r="CB37" s="68"/>
      <c r="CC37" s="53"/>
      <c r="CD37" s="68"/>
      <c r="CE37" s="68"/>
      <c r="CF37" s="68"/>
      <c r="CG37" s="68"/>
      <c r="CH37" s="68"/>
      <c r="CI37" s="68"/>
      <c r="CJ37" s="68"/>
      <c r="CK37" s="68"/>
      <c r="CL37" s="180">
        <f t="shared" si="66"/>
        <v>0</v>
      </c>
      <c r="CM37" s="35"/>
      <c r="CN37" s="35"/>
      <c r="CO37" s="52">
        <f t="shared" si="58"/>
        <v>0</v>
      </c>
      <c r="CP37" s="35"/>
      <c r="CQ37" s="52"/>
      <c r="CR37" s="35"/>
      <c r="CS37" s="52"/>
      <c r="CT37" s="35"/>
      <c r="CU37" s="52"/>
      <c r="CV37" s="52"/>
      <c r="CW37" s="53">
        <f t="shared" si="59"/>
        <v>0</v>
      </c>
      <c r="CX37" s="53">
        <f t="shared" si="60"/>
        <v>0</v>
      </c>
      <c r="CY37" s="130"/>
      <c r="CZ37" s="35" t="e">
        <f t="shared" si="65"/>
        <v>#DIV/0!</v>
      </c>
      <c r="DA37" s="35" t="e">
        <f t="shared" si="62"/>
        <v>#DIV/0!</v>
      </c>
      <c r="DB37" s="250" t="e">
        <f t="shared" si="64"/>
        <v>#DIV/0!</v>
      </c>
      <c r="DC37" s="35"/>
      <c r="DD37" s="53"/>
      <c r="DE37" s="53"/>
      <c r="DF37" s="53"/>
      <c r="DG37" s="53"/>
      <c r="DH37" s="53"/>
      <c r="DI37" s="53"/>
      <c r="DJ37" s="130"/>
      <c r="DK37" s="207"/>
      <c r="DL37" s="12"/>
      <c r="DM37" s="12"/>
      <c r="DN37" s="68"/>
      <c r="DO37" s="68"/>
    </row>
    <row r="38" customFormat="1" spans="1:119">
      <c r="A38" s="12"/>
      <c r="B38" s="12" t="s">
        <v>131</v>
      </c>
      <c r="C38" s="12">
        <v>2022</v>
      </c>
      <c r="D38" s="202">
        <f>209.69*100000000</f>
        <v>20969000000</v>
      </c>
      <c r="E38" s="55" t="s">
        <v>114</v>
      </c>
      <c r="F38" s="21"/>
      <c r="G38" s="21"/>
      <c r="H38" s="21"/>
      <c r="I38" s="21"/>
      <c r="J38" s="21"/>
      <c r="K38" s="21"/>
      <c r="L38" s="21"/>
      <c r="M38" s="55">
        <v>4821728151.31</v>
      </c>
      <c r="N38" s="38"/>
      <c r="O38" s="53">
        <v>4024801422.74</v>
      </c>
      <c r="P38" s="35"/>
      <c r="Q38" s="53">
        <v>4020108495.73</v>
      </c>
      <c r="R38" s="35">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5"/>
      <c r="AT38" s="35">
        <f t="shared" si="49"/>
        <v>0.10327629473775</v>
      </c>
      <c r="AU38" s="52">
        <f t="shared" si="50"/>
        <v>2949537465.83</v>
      </c>
      <c r="AV38" s="35"/>
      <c r="AW38" s="37">
        <f t="shared" si="51"/>
        <v>0.611717909693571</v>
      </c>
      <c r="AX38" s="52">
        <f t="shared" si="52"/>
        <v>1374220467.78</v>
      </c>
      <c r="AY38" s="38">
        <f t="shared" si="53"/>
        <v>0.285005795568679</v>
      </c>
      <c r="AZ38" s="52">
        <v>727027170.02</v>
      </c>
      <c r="BA38" s="52">
        <v>287525786.58</v>
      </c>
      <c r="BB38" s="38">
        <f t="shared" ref="BB38:BB69" si="71">(AZ38+BA38)/M38</f>
        <v>0.210412724393091</v>
      </c>
      <c r="BC38" s="38"/>
      <c r="BD38" s="52">
        <v>45828226.9</v>
      </c>
      <c r="BE38" s="52"/>
      <c r="BF38" s="52"/>
      <c r="BG38" s="52"/>
      <c r="BH38" s="52"/>
      <c r="BI38" s="231"/>
      <c r="BJ38" s="52"/>
      <c r="BK38" s="52"/>
      <c r="BL38" s="35">
        <f t="shared" ref="BL38:BL69" si="72">SUM(AZ38:BJ38)/M38</f>
        <v>0.219917247599768</v>
      </c>
      <c r="BM38" s="38">
        <f t="shared" si="56"/>
        <v>0.771623774039268</v>
      </c>
      <c r="BN38" s="38"/>
      <c r="BO38" s="167"/>
      <c r="BP38" s="35"/>
      <c r="BQ38" s="231"/>
      <c r="BR38" s="236"/>
      <c r="BS38" s="236"/>
      <c r="BT38" s="236"/>
      <c r="BU38" s="236"/>
      <c r="BV38" s="236"/>
      <c r="BW38" s="236"/>
      <c r="BX38" s="236"/>
      <c r="BY38" s="231"/>
      <c r="BZ38" s="231"/>
      <c r="CA38" s="68"/>
      <c r="CB38" s="68"/>
      <c r="CC38" s="53"/>
      <c r="CD38" s="68"/>
      <c r="CE38" s="68"/>
      <c r="CF38" s="68"/>
      <c r="CG38" s="68"/>
      <c r="CH38" s="68"/>
      <c r="CI38" s="68"/>
      <c r="CJ38" s="68"/>
      <c r="CK38" s="68"/>
      <c r="CL38" s="180">
        <f t="shared" si="66"/>
        <v>4024801422.74</v>
      </c>
      <c r="CM38" s="35"/>
      <c r="CN38" s="35"/>
      <c r="CO38" s="52">
        <f t="shared" si="58"/>
        <v>577293739.21</v>
      </c>
      <c r="CP38" s="35"/>
      <c r="CQ38" s="52">
        <v>405819152.23</v>
      </c>
      <c r="CR38" s="35">
        <f t="shared" ref="CR38:CR43" si="73">(CQ38-CQ39)/CQ39</f>
        <v>1.14663861623975</v>
      </c>
      <c r="CS38" s="52">
        <v>403799001.87</v>
      </c>
      <c r="CT38" s="35"/>
      <c r="CU38" s="52"/>
      <c r="CV38" s="52">
        <v>-18204490.44</v>
      </c>
      <c r="CW38" s="53">
        <f t="shared" si="59"/>
        <v>385594511.43</v>
      </c>
      <c r="CX38" s="53">
        <f t="shared" si="60"/>
        <v>387614661.79</v>
      </c>
      <c r="CY38" s="130"/>
      <c r="CZ38" s="35">
        <f t="shared" si="65"/>
        <v>0.0958046052288203</v>
      </c>
      <c r="DA38" s="35">
        <f t="shared" si="62"/>
        <v>0.096306530702357</v>
      </c>
      <c r="DB38" s="250">
        <f t="shared" si="64"/>
        <v>0.671434029962689</v>
      </c>
      <c r="DC38" s="35"/>
      <c r="DD38" s="53"/>
      <c r="DE38" s="53"/>
      <c r="DF38" s="53"/>
      <c r="DG38" s="53"/>
      <c r="DH38" s="53"/>
      <c r="DI38" s="53"/>
      <c r="DJ38" s="130"/>
      <c r="DK38" s="207"/>
      <c r="DL38" s="12"/>
      <c r="DM38" s="12"/>
      <c r="DN38" s="68"/>
      <c r="DO38" s="68"/>
    </row>
    <row r="39" customFormat="1" spans="1:119">
      <c r="A39" s="12"/>
      <c r="B39" s="12"/>
      <c r="C39" s="12">
        <v>2021</v>
      </c>
      <c r="D39" s="203">
        <f>202.2*100000000</f>
        <v>20220000000</v>
      </c>
      <c r="E39" s="55" t="s">
        <v>118</v>
      </c>
      <c r="F39" s="21"/>
      <c r="G39" s="21"/>
      <c r="H39" s="21"/>
      <c r="I39" s="21"/>
      <c r="J39" s="21"/>
      <c r="K39" s="21"/>
      <c r="L39" s="21"/>
      <c r="M39" s="55">
        <v>4230481534.85</v>
      </c>
      <c r="N39" s="38"/>
      <c r="O39" s="53">
        <v>3804077971.37</v>
      </c>
      <c r="P39" s="35"/>
      <c r="Q39" s="53">
        <v>3804291456.8</v>
      </c>
      <c r="R39" s="35">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5"/>
      <c r="AT39" s="35">
        <f t="shared" si="49"/>
        <v>0.0430297426121385</v>
      </c>
      <c r="AU39" s="52">
        <f t="shared" si="50"/>
        <v>2944703430.4</v>
      </c>
      <c r="AV39" s="35"/>
      <c r="AW39" s="37">
        <f t="shared" si="51"/>
        <v>0.696068144049803</v>
      </c>
      <c r="AX39" s="52">
        <f t="shared" si="52"/>
        <v>1103741572.88</v>
      </c>
      <c r="AY39" s="38">
        <f t="shared" si="53"/>
        <v>0.260902113338059</v>
      </c>
      <c r="AZ39" s="52">
        <v>442833056.84</v>
      </c>
      <c r="BA39" s="52">
        <v>268340570.54</v>
      </c>
      <c r="BB39" s="38">
        <f t="shared" si="71"/>
        <v>0.16810701607405</v>
      </c>
      <c r="BC39" s="38"/>
      <c r="BD39" s="52">
        <v>44958296.82</v>
      </c>
      <c r="BE39" s="52"/>
      <c r="BF39" s="52"/>
      <c r="BG39" s="52"/>
      <c r="BH39" s="52">
        <v>340611085.5</v>
      </c>
      <c r="BI39" s="231"/>
      <c r="BJ39" s="52"/>
      <c r="BK39" s="52"/>
      <c r="BL39" s="35">
        <f t="shared" si="72"/>
        <v>0.259247795040191</v>
      </c>
      <c r="BM39" s="38">
        <f t="shared" si="56"/>
        <v>0.685062466565545</v>
      </c>
      <c r="BN39" s="38"/>
      <c r="BO39" s="167"/>
      <c r="BP39" s="35"/>
      <c r="BQ39" s="231"/>
      <c r="BR39" s="236"/>
      <c r="BS39" s="236"/>
      <c r="BT39" s="236"/>
      <c r="BU39" s="236"/>
      <c r="BV39" s="236"/>
      <c r="BW39" s="236"/>
      <c r="BX39" s="236"/>
      <c r="BY39" s="231"/>
      <c r="BZ39" s="231"/>
      <c r="CA39" s="68"/>
      <c r="CB39" s="68"/>
      <c r="CC39" s="53"/>
      <c r="CD39" s="68"/>
      <c r="CE39" s="68"/>
      <c r="CF39" s="68"/>
      <c r="CG39" s="68"/>
      <c r="CH39" s="68"/>
      <c r="CI39" s="68"/>
      <c r="CJ39" s="68"/>
      <c r="CK39" s="68"/>
      <c r="CL39" s="180">
        <f t="shared" si="66"/>
        <v>3804077971.37</v>
      </c>
      <c r="CM39" s="35"/>
      <c r="CN39" s="35"/>
      <c r="CO39" s="52">
        <f t="shared" si="58"/>
        <v>677338009.4</v>
      </c>
      <c r="CP39" s="35"/>
      <c r="CQ39" s="52">
        <v>189048659.22</v>
      </c>
      <c r="CR39" s="35">
        <f t="shared" si="73"/>
        <v>-0.535422513007205</v>
      </c>
      <c r="CS39" s="52">
        <v>216128285.6</v>
      </c>
      <c r="CT39" s="35"/>
      <c r="CU39" s="52"/>
      <c r="CV39" s="52">
        <v>-34723295.56</v>
      </c>
      <c r="CW39" s="53">
        <f t="shared" si="59"/>
        <v>181404990.04</v>
      </c>
      <c r="CX39" s="53">
        <f t="shared" si="60"/>
        <v>154325363.66</v>
      </c>
      <c r="CY39" s="130"/>
      <c r="CZ39" s="35">
        <f t="shared" si="65"/>
        <v>0.0476869799739328</v>
      </c>
      <c r="DA39" s="35">
        <f t="shared" si="62"/>
        <v>0.0405684018102345</v>
      </c>
      <c r="DB39" s="250">
        <f t="shared" si="64"/>
        <v>0.227840991526084</v>
      </c>
      <c r="DC39" s="35"/>
      <c r="DD39" s="53"/>
      <c r="DE39" s="53"/>
      <c r="DF39" s="53"/>
      <c r="DG39" s="53"/>
      <c r="DH39" s="53"/>
      <c r="DI39" s="53"/>
      <c r="DJ39" s="130"/>
      <c r="DK39" s="207"/>
      <c r="DL39" s="12"/>
      <c r="DM39" s="12"/>
      <c r="DN39" s="68"/>
      <c r="DO39" s="68"/>
    </row>
    <row r="40" customFormat="1" spans="1:119">
      <c r="A40" s="12"/>
      <c r="B40" s="12"/>
      <c r="C40" s="12">
        <v>2020</v>
      </c>
      <c r="D40" s="203">
        <f>518.48*100000000</f>
        <v>51848000000</v>
      </c>
      <c r="E40" s="55" t="s">
        <v>119</v>
      </c>
      <c r="F40" s="21"/>
      <c r="G40" s="21"/>
      <c r="H40" s="21"/>
      <c r="I40" s="21"/>
      <c r="J40" s="21"/>
      <c r="K40" s="21"/>
      <c r="L40" s="21"/>
      <c r="M40" s="55">
        <v>4289984896.09</v>
      </c>
      <c r="N40" s="38"/>
      <c r="O40" s="53">
        <v>3729658162.74</v>
      </c>
      <c r="P40" s="35"/>
      <c r="Q40" s="53">
        <v>3729658162.74</v>
      </c>
      <c r="R40" s="35">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5"/>
      <c r="AT40" s="35">
        <f t="shared" si="49"/>
        <v>0</v>
      </c>
      <c r="AU40" s="52">
        <f t="shared" si="50"/>
        <v>3378845771.53</v>
      </c>
      <c r="AV40" s="35"/>
      <c r="AW40" s="37">
        <f t="shared" si="51"/>
        <v>0.787612509920388</v>
      </c>
      <c r="AX40" s="52">
        <f t="shared" si="52"/>
        <v>911139124.56</v>
      </c>
      <c r="AY40" s="38">
        <f t="shared" si="53"/>
        <v>0.212387490079612</v>
      </c>
      <c r="AZ40" s="52">
        <v>432123417.35</v>
      </c>
      <c r="BA40" s="52">
        <v>75890363.53</v>
      </c>
      <c r="BB40" s="38">
        <f t="shared" si="71"/>
        <v>0.118418547660393</v>
      </c>
      <c r="BC40" s="38"/>
      <c r="BD40" s="52">
        <v>44707222.63</v>
      </c>
      <c r="BE40" s="52"/>
      <c r="BF40" s="52"/>
      <c r="BG40" s="52"/>
      <c r="BH40" s="52">
        <v>184385937.85</v>
      </c>
      <c r="BI40" s="231"/>
      <c r="BJ40" s="52"/>
      <c r="BK40" s="52"/>
      <c r="BL40" s="35">
        <f t="shared" si="72"/>
        <v>0.171820404810804</v>
      </c>
      <c r="BM40" s="38">
        <f t="shared" si="56"/>
        <v>0.606626352364502</v>
      </c>
      <c r="BN40" s="38"/>
      <c r="BO40" s="167"/>
      <c r="BP40" s="35"/>
      <c r="BQ40" s="231"/>
      <c r="BR40" s="236"/>
      <c r="BS40" s="236"/>
      <c r="BT40" s="236"/>
      <c r="BU40" s="236"/>
      <c r="BV40" s="236"/>
      <c r="BW40" s="236"/>
      <c r="BX40" s="236"/>
      <c r="BY40" s="231"/>
      <c r="BZ40" s="231"/>
      <c r="CA40" s="68"/>
      <c r="CB40" s="68"/>
      <c r="CC40" s="53"/>
      <c r="CD40" s="68"/>
      <c r="CE40" s="68"/>
      <c r="CF40" s="68"/>
      <c r="CG40" s="68"/>
      <c r="CH40" s="68"/>
      <c r="CI40" s="68"/>
      <c r="CJ40" s="68"/>
      <c r="CK40" s="68"/>
      <c r="CL40" s="180">
        <f t="shared" si="66"/>
        <v>3729658162.74</v>
      </c>
      <c r="CM40" s="35"/>
      <c r="CN40" s="35"/>
      <c r="CO40" s="52">
        <f t="shared" si="58"/>
        <v>350812391.21</v>
      </c>
      <c r="CP40" s="35"/>
      <c r="CQ40" s="52">
        <v>406926001.61</v>
      </c>
      <c r="CR40" s="35">
        <f t="shared" si="73"/>
        <v>0.219366471762599</v>
      </c>
      <c r="CS40" s="52">
        <v>428054028.52</v>
      </c>
      <c r="CT40" s="35"/>
      <c r="CU40" s="52"/>
      <c r="CV40" s="52">
        <v>-15207763.94</v>
      </c>
      <c r="CW40" s="53">
        <f t="shared" si="59"/>
        <v>412846264.58</v>
      </c>
      <c r="CX40" s="53">
        <f t="shared" si="60"/>
        <v>391718237.67</v>
      </c>
      <c r="CY40" s="130"/>
      <c r="CZ40" s="35">
        <f t="shared" si="65"/>
        <v>0.110692789142022</v>
      </c>
      <c r="DA40" s="35">
        <f t="shared" si="62"/>
        <v>0.105027919604896</v>
      </c>
      <c r="DB40" s="250">
        <f t="shared" si="64"/>
        <v>1.1166031972785</v>
      </c>
      <c r="DC40" s="35"/>
      <c r="DD40" s="53"/>
      <c r="DE40" s="53"/>
      <c r="DF40" s="53"/>
      <c r="DG40" s="53"/>
      <c r="DH40" s="53"/>
      <c r="DI40" s="53"/>
      <c r="DJ40" s="130"/>
      <c r="DK40" s="207"/>
      <c r="DL40" s="12"/>
      <c r="DM40" s="12"/>
      <c r="DN40" s="68"/>
      <c r="DO40" s="68"/>
    </row>
    <row r="41" customFormat="1" spans="1:119">
      <c r="A41" s="12"/>
      <c r="B41" s="12"/>
      <c r="C41" s="12">
        <v>2019</v>
      </c>
      <c r="D41" s="203">
        <f>185.51*100000000</f>
        <v>18551000000</v>
      </c>
      <c r="E41" s="55" t="s">
        <v>120</v>
      </c>
      <c r="F41" s="21"/>
      <c r="G41" s="21"/>
      <c r="H41" s="21"/>
      <c r="I41" s="21"/>
      <c r="J41" s="21"/>
      <c r="K41" s="21"/>
      <c r="L41" s="21"/>
      <c r="M41" s="55">
        <v>2142313400.4</v>
      </c>
      <c r="N41" s="38"/>
      <c r="O41" s="53">
        <v>1841916395.05</v>
      </c>
      <c r="P41" s="35"/>
      <c r="Q41" s="53">
        <v>1841916395.05</v>
      </c>
      <c r="R41" s="35">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5"/>
      <c r="AT41" s="35">
        <f t="shared" si="49"/>
        <v>0</v>
      </c>
      <c r="AU41" s="52">
        <f t="shared" si="50"/>
        <v>1616296162.79</v>
      </c>
      <c r="AV41" s="35"/>
      <c r="AW41" s="37">
        <f t="shared" si="51"/>
        <v>0.754462984962058</v>
      </c>
      <c r="AX41" s="52">
        <f t="shared" si="52"/>
        <v>526017237.61</v>
      </c>
      <c r="AY41" s="38">
        <f t="shared" si="53"/>
        <v>0.245537015037942</v>
      </c>
      <c r="AZ41" s="52">
        <v>361890082.05</v>
      </c>
      <c r="BA41" s="52"/>
      <c r="BB41" s="38">
        <f t="shared" si="71"/>
        <v>0.168924902389366</v>
      </c>
      <c r="BC41" s="38"/>
      <c r="BD41" s="52">
        <v>34248482.92</v>
      </c>
      <c r="BE41" s="52"/>
      <c r="BF41" s="52"/>
      <c r="BG41" s="52"/>
      <c r="BH41" s="52">
        <v>364271283.1</v>
      </c>
      <c r="BI41" s="231"/>
      <c r="BJ41" s="52"/>
      <c r="BK41" s="52"/>
      <c r="BL41" s="35">
        <f t="shared" si="72"/>
        <v>0.354947995982729</v>
      </c>
      <c r="BM41" s="38">
        <f t="shared" si="56"/>
        <v>0.753090463230466</v>
      </c>
      <c r="BN41" s="38"/>
      <c r="BO41" s="167"/>
      <c r="BP41" s="35"/>
      <c r="BQ41" s="231"/>
      <c r="BR41" s="236"/>
      <c r="BS41" s="236"/>
      <c r="BT41" s="236"/>
      <c r="BU41" s="236"/>
      <c r="BV41" s="236"/>
      <c r="BW41" s="236"/>
      <c r="BX41" s="236"/>
      <c r="BY41" s="231"/>
      <c r="BZ41" s="231"/>
      <c r="CA41" s="68"/>
      <c r="CB41" s="68"/>
      <c r="CC41" s="53"/>
      <c r="CD41" s="68"/>
      <c r="CE41" s="68"/>
      <c r="CF41" s="68"/>
      <c r="CG41" s="68"/>
      <c r="CH41" s="68"/>
      <c r="CI41" s="68"/>
      <c r="CJ41" s="68"/>
      <c r="CK41" s="68"/>
      <c r="CL41" s="180">
        <f t="shared" si="66"/>
        <v>1843416395.05</v>
      </c>
      <c r="CM41" s="35"/>
      <c r="CN41" s="35"/>
      <c r="CO41" s="52">
        <f t="shared" si="58"/>
        <v>227120232.26</v>
      </c>
      <c r="CP41" s="35"/>
      <c r="CQ41" s="52">
        <v>333719198.48</v>
      </c>
      <c r="CR41" s="35">
        <f t="shared" si="73"/>
        <v>0.113954011194644</v>
      </c>
      <c r="CS41" s="52">
        <v>346426076.51</v>
      </c>
      <c r="CT41" s="35"/>
      <c r="CU41" s="52"/>
      <c r="CV41" s="52">
        <v>-4547297.69</v>
      </c>
      <c r="CW41" s="53">
        <f t="shared" si="59"/>
        <v>341878778.82</v>
      </c>
      <c r="CX41" s="53">
        <f t="shared" si="60"/>
        <v>329171900.79</v>
      </c>
      <c r="CY41" s="130"/>
      <c r="CZ41" s="35">
        <f t="shared" si="65"/>
        <v>0.185459335035765</v>
      </c>
      <c r="DA41" s="35">
        <f t="shared" si="62"/>
        <v>0.178566221757549</v>
      </c>
      <c r="DB41" s="250">
        <f t="shared" si="64"/>
        <v>1.44932883131774</v>
      </c>
      <c r="DC41" s="35"/>
      <c r="DD41" s="53"/>
      <c r="DE41" s="53"/>
      <c r="DF41" s="53"/>
      <c r="DG41" s="53"/>
      <c r="DH41" s="53"/>
      <c r="DI41" s="53"/>
      <c r="DJ41" s="130"/>
      <c r="DK41" s="207"/>
      <c r="DL41" s="12"/>
      <c r="DM41" s="12"/>
      <c r="DN41" s="68"/>
      <c r="DO41" s="68"/>
    </row>
    <row r="42" customFormat="1" spans="1:119">
      <c r="A42" s="12"/>
      <c r="B42" s="12"/>
      <c r="C42" s="12">
        <v>2018</v>
      </c>
      <c r="D42" s="55"/>
      <c r="E42" s="55" t="s">
        <v>121</v>
      </c>
      <c r="F42" s="21"/>
      <c r="G42" s="21"/>
      <c r="H42" s="21"/>
      <c r="I42" s="21"/>
      <c r="J42" s="21"/>
      <c r="K42" s="21"/>
      <c r="L42" s="21"/>
      <c r="M42" s="55">
        <v>1386819709.64</v>
      </c>
      <c r="N42" s="38"/>
      <c r="O42" s="53">
        <v>1138264322.8</v>
      </c>
      <c r="P42" s="35"/>
      <c r="Q42" s="53">
        <v>1138264322.8</v>
      </c>
      <c r="R42" s="35">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5"/>
      <c r="AT42" s="35">
        <f t="shared" si="49"/>
        <v>0</v>
      </c>
      <c r="AU42" s="52">
        <f t="shared" si="50"/>
        <v>354894241.72</v>
      </c>
      <c r="AV42" s="35"/>
      <c r="AW42" s="38">
        <f t="shared" si="51"/>
        <v>0.255905103780307</v>
      </c>
      <c r="AX42" s="52">
        <f t="shared" si="52"/>
        <v>1031925467.92</v>
      </c>
      <c r="AY42" s="36">
        <f t="shared" si="53"/>
        <v>0.744094896219693</v>
      </c>
      <c r="AZ42" s="52">
        <v>347270926.98</v>
      </c>
      <c r="BA42" s="52"/>
      <c r="BB42" s="38">
        <f t="shared" si="71"/>
        <v>0.250408127722779</v>
      </c>
      <c r="BC42" s="38"/>
      <c r="BD42" s="52">
        <v>34876914.15</v>
      </c>
      <c r="BE42" s="52"/>
      <c r="BF42" s="52"/>
      <c r="BG42" s="52"/>
      <c r="BH42" s="52">
        <v>296971724.13</v>
      </c>
      <c r="BI42" s="231"/>
      <c r="BJ42" s="52"/>
      <c r="BK42" s="52"/>
      <c r="BL42" s="35">
        <f t="shared" si="72"/>
        <v>0.489695640168468</v>
      </c>
      <c r="BM42" s="36">
        <f t="shared" si="56"/>
        <v>0.370325041158916</v>
      </c>
      <c r="BN42" s="36"/>
      <c r="BO42" s="167"/>
      <c r="BP42" s="35"/>
      <c r="BQ42" s="231"/>
      <c r="BR42" s="236"/>
      <c r="BS42" s="236"/>
      <c r="BT42" s="236"/>
      <c r="BU42" s="236"/>
      <c r="BV42" s="236"/>
      <c r="BW42" s="236"/>
      <c r="BX42" s="236"/>
      <c r="BY42" s="231"/>
      <c r="BZ42" s="231"/>
      <c r="CA42" s="68"/>
      <c r="CB42" s="68"/>
      <c r="CC42" s="53"/>
      <c r="CD42" s="68"/>
      <c r="CE42" s="68"/>
      <c r="CF42" s="68"/>
      <c r="CG42" s="68"/>
      <c r="CH42" s="68"/>
      <c r="CI42" s="68"/>
      <c r="CJ42" s="68"/>
      <c r="CK42" s="68"/>
      <c r="CL42" s="180">
        <f t="shared" si="66"/>
        <v>1139514322.8</v>
      </c>
      <c r="CM42" s="35"/>
      <c r="CN42" s="35"/>
      <c r="CO42" s="52">
        <f t="shared" si="58"/>
        <v>784620081.08</v>
      </c>
      <c r="CP42" s="35"/>
      <c r="CQ42" s="52">
        <v>299580768.26</v>
      </c>
      <c r="CR42" s="35">
        <f t="shared" si="73"/>
        <v>0.478886610771441</v>
      </c>
      <c r="CS42" s="52">
        <v>310714328.49</v>
      </c>
      <c r="CT42" s="35"/>
      <c r="CU42" s="52"/>
      <c r="CV42" s="52">
        <v>-1795071.34</v>
      </c>
      <c r="CW42" s="53">
        <f t="shared" si="59"/>
        <v>308919257.15</v>
      </c>
      <c r="CX42" s="53">
        <f t="shared" si="60"/>
        <v>297785696.92</v>
      </c>
      <c r="CY42" s="130"/>
      <c r="CZ42" s="37">
        <f t="shared" si="65"/>
        <v>0.271097300814024</v>
      </c>
      <c r="DA42" s="35">
        <f t="shared" si="62"/>
        <v>0.261326857382788</v>
      </c>
      <c r="DB42" s="250">
        <f t="shared" si="64"/>
        <v>0.379528518452025</v>
      </c>
      <c r="DC42" s="35"/>
      <c r="DD42" s="53"/>
      <c r="DE42" s="53"/>
      <c r="DF42" s="53"/>
      <c r="DG42" s="53"/>
      <c r="DH42" s="53"/>
      <c r="DI42" s="53"/>
      <c r="DJ42" s="130"/>
      <c r="DK42" s="207"/>
      <c r="DL42" s="12"/>
      <c r="DM42" s="12"/>
      <c r="DN42" s="68"/>
      <c r="DO42" s="68"/>
    </row>
    <row r="43" customFormat="1" spans="1:119">
      <c r="A43" s="12"/>
      <c r="B43" s="12"/>
      <c r="C43" s="12">
        <v>2017</v>
      </c>
      <c r="D43" s="55"/>
      <c r="E43" s="55" t="s">
        <v>122</v>
      </c>
      <c r="F43" s="21"/>
      <c r="G43" s="21"/>
      <c r="H43" s="21"/>
      <c r="I43" s="21"/>
      <c r="J43" s="21"/>
      <c r="K43" s="21"/>
      <c r="L43" s="21"/>
      <c r="M43" s="55">
        <v>1192648317.5</v>
      </c>
      <c r="N43" s="38"/>
      <c r="O43" s="53">
        <v>931150919.19</v>
      </c>
      <c r="P43" s="35"/>
      <c r="Q43" s="53">
        <v>931150919.19</v>
      </c>
      <c r="R43" s="35">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5"/>
      <c r="AT43" s="35">
        <f t="shared" si="49"/>
        <v>0</v>
      </c>
      <c r="AU43" s="52">
        <f t="shared" si="50"/>
        <v>244636371.41</v>
      </c>
      <c r="AV43" s="35"/>
      <c r="AW43" s="38">
        <f t="shared" si="51"/>
        <v>0.205120292227302</v>
      </c>
      <c r="AX43" s="52">
        <f t="shared" si="52"/>
        <v>948011946.09</v>
      </c>
      <c r="AY43" s="36">
        <f t="shared" si="53"/>
        <v>0.794879707772698</v>
      </c>
      <c r="AZ43" s="52">
        <v>348935152.83</v>
      </c>
      <c r="BA43" s="52"/>
      <c r="BB43" s="38">
        <f t="shared" si="71"/>
        <v>0.292571705933757</v>
      </c>
      <c r="BC43" s="38"/>
      <c r="BD43" s="52">
        <v>35079098.02</v>
      </c>
      <c r="BE43" s="52"/>
      <c r="BF43" s="52"/>
      <c r="BG43" s="52"/>
      <c r="BH43" s="52">
        <v>266607003.61</v>
      </c>
      <c r="BI43" s="231"/>
      <c r="BJ43" s="52"/>
      <c r="BK43" s="52"/>
      <c r="BL43" s="35">
        <f t="shared" si="72"/>
        <v>0.545526493607426</v>
      </c>
      <c r="BM43" s="36">
        <f t="shared" si="56"/>
        <v>0.405073219516281</v>
      </c>
      <c r="BN43" s="36"/>
      <c r="BO43" s="167"/>
      <c r="BP43" s="35"/>
      <c r="BQ43" s="231"/>
      <c r="BR43" s="236"/>
      <c r="BS43" s="236"/>
      <c r="BT43" s="236"/>
      <c r="BU43" s="236"/>
      <c r="BV43" s="236"/>
      <c r="BW43" s="236"/>
      <c r="BX43" s="236"/>
      <c r="BY43" s="231"/>
      <c r="BZ43" s="231"/>
      <c r="CA43" s="68"/>
      <c r="CB43" s="68"/>
      <c r="CC43" s="53"/>
      <c r="CD43" s="68"/>
      <c r="CE43" s="68"/>
      <c r="CF43" s="68"/>
      <c r="CG43" s="68"/>
      <c r="CH43" s="68"/>
      <c r="CI43" s="68"/>
      <c r="CJ43" s="68"/>
      <c r="CK43" s="68"/>
      <c r="CL43" s="180">
        <f t="shared" si="66"/>
        <v>931900919.19</v>
      </c>
      <c r="CM43" s="35"/>
      <c r="CN43" s="35"/>
      <c r="CO43" s="52">
        <f t="shared" si="58"/>
        <v>687264547.78</v>
      </c>
      <c r="CP43" s="35"/>
      <c r="CQ43" s="52">
        <v>202571830.78</v>
      </c>
      <c r="CR43" s="35">
        <f t="shared" si="73"/>
        <v>-0.0043782750622469</v>
      </c>
      <c r="CS43" s="52">
        <v>214910355.24</v>
      </c>
      <c r="CT43" s="35"/>
      <c r="CU43" s="52"/>
      <c r="CV43" s="52">
        <v>-2099574.4</v>
      </c>
      <c r="CW43" s="53">
        <f t="shared" si="59"/>
        <v>212810780.84</v>
      </c>
      <c r="CX43" s="53">
        <f t="shared" si="60"/>
        <v>200472256.38</v>
      </c>
      <c r="CY43" s="130"/>
      <c r="CZ43" s="35">
        <f t="shared" si="65"/>
        <v>0.22836202482231</v>
      </c>
      <c r="DA43" s="35">
        <f t="shared" si="62"/>
        <v>0.215121857111428</v>
      </c>
      <c r="DB43" s="250">
        <f t="shared" si="64"/>
        <v>0.291695908115099</v>
      </c>
      <c r="DC43" s="35"/>
      <c r="DD43" s="53"/>
      <c r="DE43" s="53"/>
      <c r="DF43" s="53"/>
      <c r="DG43" s="53"/>
      <c r="DH43" s="53"/>
      <c r="DI43" s="53"/>
      <c r="DJ43" s="130"/>
      <c r="DK43" s="207"/>
      <c r="DL43" s="12"/>
      <c r="DM43" s="12"/>
      <c r="DN43" s="68"/>
      <c r="DO43" s="68"/>
    </row>
    <row r="44" customFormat="1" spans="1:119">
      <c r="A44" s="12"/>
      <c r="B44" s="12"/>
      <c r="C44" s="12">
        <v>2016</v>
      </c>
      <c r="D44" s="55"/>
      <c r="E44" s="55" t="s">
        <v>123</v>
      </c>
      <c r="F44" s="21"/>
      <c r="G44" s="21"/>
      <c r="H44" s="21"/>
      <c r="I44" s="21"/>
      <c r="J44" s="21"/>
      <c r="K44" s="21"/>
      <c r="L44" s="21"/>
      <c r="M44" s="55">
        <v>1151506778.33</v>
      </c>
      <c r="N44" s="38"/>
      <c r="O44" s="53">
        <v>945560809.3</v>
      </c>
      <c r="P44" s="35"/>
      <c r="Q44" s="53">
        <v>945560809.3</v>
      </c>
      <c r="R44" s="35">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5"/>
      <c r="AT44" s="35">
        <f t="shared" si="49"/>
        <v>0</v>
      </c>
      <c r="AU44" s="52">
        <f t="shared" si="50"/>
        <v>312085269.45</v>
      </c>
      <c r="AV44" s="35"/>
      <c r="AW44" s="38">
        <f t="shared" si="51"/>
        <v>0.271023388939672</v>
      </c>
      <c r="AX44" s="52">
        <f t="shared" si="52"/>
        <v>839421508.88</v>
      </c>
      <c r="AY44" s="36">
        <f t="shared" si="53"/>
        <v>0.728976611060328</v>
      </c>
      <c r="AZ44" s="52">
        <v>360596708.86</v>
      </c>
      <c r="BA44" s="52">
        <v>55641.03</v>
      </c>
      <c r="BB44" s="38">
        <f t="shared" si="71"/>
        <v>0.313200370746445</v>
      </c>
      <c r="BC44" s="38"/>
      <c r="BD44" s="52">
        <v>36778441.29</v>
      </c>
      <c r="BE44" s="52"/>
      <c r="BF44" s="52"/>
      <c r="BG44" s="52"/>
      <c r="BH44" s="52"/>
      <c r="BI44" s="231"/>
      <c r="BJ44" s="52"/>
      <c r="BK44" s="52"/>
      <c r="BL44" s="35">
        <f t="shared" si="72"/>
        <v>0.345139775963441</v>
      </c>
      <c r="BM44" s="36">
        <f t="shared" si="56"/>
        <v>0.473457955614544</v>
      </c>
      <c r="BN44" s="36"/>
      <c r="BO44" s="167"/>
      <c r="BP44" s="35"/>
      <c r="BQ44" s="231"/>
      <c r="BR44" s="236"/>
      <c r="BS44" s="236"/>
      <c r="BT44" s="236"/>
      <c r="BU44" s="236"/>
      <c r="BV44" s="236"/>
      <c r="BW44" s="236"/>
      <c r="BX44" s="236"/>
      <c r="BY44" s="231"/>
      <c r="BZ44" s="231"/>
      <c r="CA44" s="68"/>
      <c r="CB44" s="68"/>
      <c r="CC44" s="53"/>
      <c r="CD44" s="68"/>
      <c r="CE44" s="68"/>
      <c r="CF44" s="68"/>
      <c r="CG44" s="68"/>
      <c r="CH44" s="68"/>
      <c r="CI44" s="68"/>
      <c r="CJ44" s="68"/>
      <c r="CK44" s="68"/>
      <c r="CL44" s="180">
        <f t="shared" si="66"/>
        <v>945560809.3</v>
      </c>
      <c r="CM44" s="35"/>
      <c r="CN44" s="35"/>
      <c r="CO44" s="52">
        <f t="shared" si="58"/>
        <v>633475539.85</v>
      </c>
      <c r="CP44" s="35"/>
      <c r="CQ44" s="52">
        <v>203462646.21</v>
      </c>
      <c r="CR44" s="35"/>
      <c r="CS44" s="52">
        <v>237185917.95</v>
      </c>
      <c r="CT44" s="35"/>
      <c r="CU44" s="52"/>
      <c r="CV44" s="52">
        <v>-1677127.31</v>
      </c>
      <c r="CW44" s="53">
        <f t="shared" si="59"/>
        <v>235508790.64</v>
      </c>
      <c r="CX44" s="53">
        <f t="shared" si="60"/>
        <v>201785518.9</v>
      </c>
      <c r="CY44" s="130"/>
      <c r="CZ44" s="35">
        <f t="shared" si="65"/>
        <v>0.249067842410207</v>
      </c>
      <c r="DA44" s="35">
        <f t="shared" si="62"/>
        <v>0.213403005830352</v>
      </c>
      <c r="DB44" s="250">
        <f t="shared" si="64"/>
        <v>0.318537190793161</v>
      </c>
      <c r="DC44" s="35"/>
      <c r="DD44" s="53"/>
      <c r="DE44" s="53"/>
      <c r="DF44" s="53"/>
      <c r="DG44" s="53"/>
      <c r="DH44" s="53"/>
      <c r="DI44" s="53"/>
      <c r="DJ44" s="130"/>
      <c r="DK44" s="207"/>
      <c r="DL44" s="12"/>
      <c r="DM44" s="12"/>
      <c r="DN44" s="68"/>
      <c r="DO44" s="68"/>
    </row>
    <row r="45" customFormat="1" spans="1:119">
      <c r="A45" s="12"/>
      <c r="B45" s="12"/>
      <c r="C45" s="12">
        <v>2015</v>
      </c>
      <c r="D45" s="55"/>
      <c r="E45" s="21"/>
      <c r="F45" s="21"/>
      <c r="G45" s="21"/>
      <c r="H45" s="21"/>
      <c r="I45" s="21"/>
      <c r="J45" s="21"/>
      <c r="K45" s="21"/>
      <c r="L45" s="21"/>
      <c r="M45" s="55"/>
      <c r="N45" s="38"/>
      <c r="O45" s="53"/>
      <c r="P45" s="35"/>
      <c r="Q45" s="53"/>
      <c r="R45" s="35"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5"/>
      <c r="AT45" s="35" t="e">
        <f t="shared" si="49"/>
        <v>#DIV/0!</v>
      </c>
      <c r="AU45" s="52">
        <f t="shared" si="50"/>
        <v>0</v>
      </c>
      <c r="AV45" s="35"/>
      <c r="AW45" s="38" t="e">
        <f t="shared" si="51"/>
        <v>#DIV/0!</v>
      </c>
      <c r="AX45" s="52">
        <f t="shared" si="52"/>
        <v>0</v>
      </c>
      <c r="AY45" s="38" t="e">
        <f t="shared" si="53"/>
        <v>#DIV/0!</v>
      </c>
      <c r="AZ45" s="52"/>
      <c r="BA45" s="52"/>
      <c r="BB45" s="38" t="e">
        <f t="shared" si="71"/>
        <v>#DIV/0!</v>
      </c>
      <c r="BC45" s="38"/>
      <c r="BD45" s="52"/>
      <c r="BE45" s="52"/>
      <c r="BF45" s="52"/>
      <c r="BG45" s="52"/>
      <c r="BH45" s="52"/>
      <c r="BI45" s="231"/>
      <c r="BJ45" s="52"/>
      <c r="BK45" s="52"/>
      <c r="BL45" s="35" t="e">
        <f t="shared" si="72"/>
        <v>#DIV/0!</v>
      </c>
      <c r="BM45" s="35" t="e">
        <f t="shared" si="56"/>
        <v>#DIV/0!</v>
      </c>
      <c r="BN45" s="35"/>
      <c r="BO45" s="167"/>
      <c r="BP45" s="35"/>
      <c r="BQ45" s="231"/>
      <c r="BR45" s="236"/>
      <c r="BS45" s="236"/>
      <c r="BT45" s="236"/>
      <c r="BU45" s="236"/>
      <c r="BV45" s="236"/>
      <c r="BW45" s="236"/>
      <c r="BX45" s="236"/>
      <c r="BY45" s="231"/>
      <c r="BZ45" s="231"/>
      <c r="CA45" s="68"/>
      <c r="CB45" s="68"/>
      <c r="CC45" s="53"/>
      <c r="CD45" s="68"/>
      <c r="CE45" s="68"/>
      <c r="CF45" s="68"/>
      <c r="CG45" s="68"/>
      <c r="CH45" s="68"/>
      <c r="CI45" s="68"/>
      <c r="CJ45" s="68"/>
      <c r="CK45" s="68"/>
      <c r="CL45" s="180">
        <f t="shared" si="66"/>
        <v>0</v>
      </c>
      <c r="CM45" s="35"/>
      <c r="CN45" s="35"/>
      <c r="CO45" s="52">
        <f t="shared" si="58"/>
        <v>0</v>
      </c>
      <c r="CP45" s="35"/>
      <c r="CQ45" s="52"/>
      <c r="CR45" s="35"/>
      <c r="CS45" s="52"/>
      <c r="CT45" s="35"/>
      <c r="CU45" s="52"/>
      <c r="CV45" s="52"/>
      <c r="CW45" s="53">
        <f t="shared" si="59"/>
        <v>0</v>
      </c>
      <c r="CX45" s="53">
        <f t="shared" si="60"/>
        <v>0</v>
      </c>
      <c r="CY45" s="130"/>
      <c r="CZ45" s="35" t="e">
        <f t="shared" si="65"/>
        <v>#DIV/0!</v>
      </c>
      <c r="DA45" s="35" t="e">
        <f t="shared" si="62"/>
        <v>#DIV/0!</v>
      </c>
      <c r="DB45" s="250"/>
      <c r="DC45" s="35"/>
      <c r="DD45" s="53"/>
      <c r="DE45" s="53"/>
      <c r="DF45" s="53"/>
      <c r="DG45" s="53"/>
      <c r="DH45" s="53"/>
      <c r="DI45" s="53"/>
      <c r="DJ45" s="130"/>
      <c r="DK45" s="207"/>
      <c r="DL45" s="12"/>
      <c r="DM45" s="12"/>
      <c r="DN45" s="68"/>
      <c r="DO45" s="68"/>
    </row>
    <row r="46" customFormat="1" spans="1:119">
      <c r="A46" s="12"/>
      <c r="B46" s="12"/>
      <c r="C46" s="12">
        <v>2014</v>
      </c>
      <c r="D46" s="55"/>
      <c r="E46" s="21"/>
      <c r="F46" s="21"/>
      <c r="G46" s="21"/>
      <c r="H46" s="21"/>
      <c r="I46" s="21"/>
      <c r="J46" s="21"/>
      <c r="K46" s="21"/>
      <c r="L46" s="21"/>
      <c r="M46" s="55"/>
      <c r="N46" s="38"/>
      <c r="O46" s="53"/>
      <c r="P46" s="35"/>
      <c r="Q46" s="53"/>
      <c r="R46" s="35"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5"/>
      <c r="AT46" s="35" t="e">
        <f t="shared" si="49"/>
        <v>#DIV/0!</v>
      </c>
      <c r="AU46" s="52">
        <f t="shared" si="50"/>
        <v>0</v>
      </c>
      <c r="AV46" s="35"/>
      <c r="AW46" s="38" t="e">
        <f t="shared" si="51"/>
        <v>#DIV/0!</v>
      </c>
      <c r="AX46" s="52">
        <f t="shared" si="52"/>
        <v>0</v>
      </c>
      <c r="AY46" s="38" t="e">
        <f t="shared" si="53"/>
        <v>#DIV/0!</v>
      </c>
      <c r="AZ46" s="52"/>
      <c r="BA46" s="52"/>
      <c r="BB46" s="38" t="e">
        <f t="shared" si="71"/>
        <v>#DIV/0!</v>
      </c>
      <c r="BC46" s="38"/>
      <c r="BD46" s="52"/>
      <c r="BE46" s="52"/>
      <c r="BF46" s="52"/>
      <c r="BG46" s="52"/>
      <c r="BH46" s="52"/>
      <c r="BI46" s="231"/>
      <c r="BJ46" s="52"/>
      <c r="BK46" s="52"/>
      <c r="BL46" s="35" t="e">
        <f t="shared" si="72"/>
        <v>#DIV/0!</v>
      </c>
      <c r="BM46" s="35" t="e">
        <f t="shared" si="56"/>
        <v>#DIV/0!</v>
      </c>
      <c r="BN46" s="35"/>
      <c r="BO46" s="167"/>
      <c r="BP46" s="35"/>
      <c r="BQ46" s="231"/>
      <c r="BR46" s="236"/>
      <c r="BS46" s="236"/>
      <c r="BT46" s="236"/>
      <c r="BU46" s="236"/>
      <c r="BV46" s="236"/>
      <c r="BW46" s="236"/>
      <c r="BX46" s="236"/>
      <c r="BY46" s="231"/>
      <c r="BZ46" s="231"/>
      <c r="CA46" s="68"/>
      <c r="CB46" s="68"/>
      <c r="CC46" s="53"/>
      <c r="CD46" s="68"/>
      <c r="CE46" s="68"/>
      <c r="CF46" s="68"/>
      <c r="CG46" s="68"/>
      <c r="CH46" s="68"/>
      <c r="CI46" s="68"/>
      <c r="CJ46" s="68"/>
      <c r="CK46" s="68"/>
      <c r="CL46" s="180">
        <f t="shared" si="66"/>
        <v>0</v>
      </c>
      <c r="CM46" s="35"/>
      <c r="CN46" s="35"/>
      <c r="CO46" s="52">
        <f t="shared" si="58"/>
        <v>0</v>
      </c>
      <c r="CP46" s="35"/>
      <c r="CQ46" s="52"/>
      <c r="CR46" s="35"/>
      <c r="CS46" s="52"/>
      <c r="CT46" s="35"/>
      <c r="CU46" s="52"/>
      <c r="CV46" s="52"/>
      <c r="CW46" s="53">
        <f t="shared" si="59"/>
        <v>0</v>
      </c>
      <c r="CX46" s="53">
        <f t="shared" si="60"/>
        <v>0</v>
      </c>
      <c r="CY46" s="130"/>
      <c r="CZ46" s="35" t="e">
        <f t="shared" si="65"/>
        <v>#DIV/0!</v>
      </c>
      <c r="DA46" s="35" t="e">
        <f t="shared" si="62"/>
        <v>#DIV/0!</v>
      </c>
      <c r="DB46" s="250"/>
      <c r="DC46" s="35"/>
      <c r="DD46" s="53"/>
      <c r="DE46" s="53"/>
      <c r="DF46" s="53"/>
      <c r="DG46" s="53"/>
      <c r="DH46" s="53"/>
      <c r="DI46" s="53"/>
      <c r="DJ46" s="130"/>
      <c r="DK46" s="207"/>
      <c r="DL46" s="12"/>
      <c r="DM46" s="12"/>
      <c r="DN46" s="68"/>
      <c r="DO46" s="68"/>
    </row>
    <row r="47" customFormat="1" spans="1:119">
      <c r="A47" s="12"/>
      <c r="B47" s="12"/>
      <c r="C47" s="12">
        <v>2013</v>
      </c>
      <c r="D47" s="55"/>
      <c r="E47" s="21"/>
      <c r="F47" s="21"/>
      <c r="G47" s="21"/>
      <c r="H47" s="21"/>
      <c r="I47" s="21"/>
      <c r="J47" s="21"/>
      <c r="K47" s="21"/>
      <c r="L47" s="21"/>
      <c r="M47" s="55"/>
      <c r="N47" s="38"/>
      <c r="O47" s="53"/>
      <c r="P47" s="35"/>
      <c r="Q47" s="53"/>
      <c r="R47" s="35"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5"/>
      <c r="AT47" s="35" t="e">
        <f t="shared" si="49"/>
        <v>#DIV/0!</v>
      </c>
      <c r="AU47" s="52">
        <f t="shared" si="50"/>
        <v>0</v>
      </c>
      <c r="AV47" s="35"/>
      <c r="AW47" s="38" t="e">
        <f t="shared" si="51"/>
        <v>#DIV/0!</v>
      </c>
      <c r="AX47" s="52">
        <f t="shared" si="52"/>
        <v>0</v>
      </c>
      <c r="AY47" s="38" t="e">
        <f t="shared" si="53"/>
        <v>#DIV/0!</v>
      </c>
      <c r="AZ47" s="52"/>
      <c r="BA47" s="52"/>
      <c r="BB47" s="38" t="e">
        <f t="shared" si="71"/>
        <v>#DIV/0!</v>
      </c>
      <c r="BC47" s="38"/>
      <c r="BD47" s="52"/>
      <c r="BE47" s="52"/>
      <c r="BF47" s="52"/>
      <c r="BG47" s="52"/>
      <c r="BH47" s="52"/>
      <c r="BI47" s="231"/>
      <c r="BJ47" s="52"/>
      <c r="BK47" s="52"/>
      <c r="BL47" s="35" t="e">
        <f t="shared" si="72"/>
        <v>#DIV/0!</v>
      </c>
      <c r="BM47" s="35" t="e">
        <f t="shared" si="56"/>
        <v>#DIV/0!</v>
      </c>
      <c r="BN47" s="35"/>
      <c r="BO47" s="167"/>
      <c r="BP47" s="35"/>
      <c r="BQ47" s="231"/>
      <c r="BR47" s="236"/>
      <c r="BS47" s="236"/>
      <c r="BT47" s="236"/>
      <c r="BU47" s="236"/>
      <c r="BV47" s="236"/>
      <c r="BW47" s="236"/>
      <c r="BX47" s="236"/>
      <c r="BY47" s="231"/>
      <c r="BZ47" s="231"/>
      <c r="CA47" s="68"/>
      <c r="CB47" s="68"/>
      <c r="CC47" s="53"/>
      <c r="CD47" s="68"/>
      <c r="CE47" s="68"/>
      <c r="CF47" s="68"/>
      <c r="CG47" s="68"/>
      <c r="CH47" s="68"/>
      <c r="CI47" s="68"/>
      <c r="CJ47" s="68"/>
      <c r="CK47" s="68"/>
      <c r="CL47" s="180">
        <f t="shared" si="66"/>
        <v>0</v>
      </c>
      <c r="CM47" s="35"/>
      <c r="CN47" s="35"/>
      <c r="CO47" s="52">
        <f t="shared" si="58"/>
        <v>0</v>
      </c>
      <c r="CP47" s="35"/>
      <c r="CQ47" s="52"/>
      <c r="CR47" s="35"/>
      <c r="CS47" s="52"/>
      <c r="CT47" s="35"/>
      <c r="CU47" s="52"/>
      <c r="CV47" s="52"/>
      <c r="CW47" s="53">
        <f t="shared" si="59"/>
        <v>0</v>
      </c>
      <c r="CX47" s="53">
        <f t="shared" si="60"/>
        <v>0</v>
      </c>
      <c r="CY47" s="130"/>
      <c r="CZ47" s="35" t="e">
        <f t="shared" si="65"/>
        <v>#DIV/0!</v>
      </c>
      <c r="DA47" s="35" t="e">
        <f t="shared" si="62"/>
        <v>#DIV/0!</v>
      </c>
      <c r="DB47" s="250"/>
      <c r="DC47" s="35"/>
      <c r="DD47" s="53"/>
      <c r="DE47" s="53"/>
      <c r="DF47" s="53"/>
      <c r="DG47" s="53"/>
      <c r="DH47" s="53"/>
      <c r="DI47" s="53"/>
      <c r="DJ47" s="130"/>
      <c r="DK47" s="207"/>
      <c r="DL47" s="12"/>
      <c r="DM47" s="12"/>
      <c r="DN47" s="68"/>
      <c r="DO47" s="68"/>
    </row>
    <row r="48" customFormat="1" spans="1:119">
      <c r="A48" s="12"/>
      <c r="B48" s="12"/>
      <c r="C48" s="12">
        <v>2012</v>
      </c>
      <c r="D48" s="55"/>
      <c r="E48" s="21"/>
      <c r="F48" s="21"/>
      <c r="G48" s="21"/>
      <c r="H48" s="21"/>
      <c r="I48" s="21"/>
      <c r="J48" s="21"/>
      <c r="K48" s="21"/>
      <c r="L48" s="21"/>
      <c r="M48" s="55"/>
      <c r="N48" s="38"/>
      <c r="O48" s="53"/>
      <c r="P48" s="35"/>
      <c r="Q48" s="53"/>
      <c r="R48" s="35"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5"/>
      <c r="AT48" s="35" t="e">
        <f t="shared" si="49"/>
        <v>#DIV/0!</v>
      </c>
      <c r="AU48" s="52">
        <f t="shared" si="50"/>
        <v>0</v>
      </c>
      <c r="AV48" s="35"/>
      <c r="AW48" s="38" t="e">
        <f t="shared" si="51"/>
        <v>#DIV/0!</v>
      </c>
      <c r="AX48" s="52">
        <f t="shared" si="52"/>
        <v>0</v>
      </c>
      <c r="AY48" s="38" t="e">
        <f t="shared" si="53"/>
        <v>#DIV/0!</v>
      </c>
      <c r="AZ48" s="52"/>
      <c r="BA48" s="52"/>
      <c r="BB48" s="38" t="e">
        <f t="shared" si="71"/>
        <v>#DIV/0!</v>
      </c>
      <c r="BC48" s="38"/>
      <c r="BD48" s="52"/>
      <c r="BE48" s="52"/>
      <c r="BF48" s="52"/>
      <c r="BG48" s="52"/>
      <c r="BH48" s="52"/>
      <c r="BI48" s="231"/>
      <c r="BJ48" s="52"/>
      <c r="BK48" s="52"/>
      <c r="BL48" s="35" t="e">
        <f t="shared" si="72"/>
        <v>#DIV/0!</v>
      </c>
      <c r="BM48" s="35" t="e">
        <f t="shared" si="56"/>
        <v>#DIV/0!</v>
      </c>
      <c r="BN48" s="35"/>
      <c r="BO48" s="167"/>
      <c r="BP48" s="35"/>
      <c r="BQ48" s="231"/>
      <c r="BR48" s="236"/>
      <c r="BS48" s="236"/>
      <c r="BT48" s="236"/>
      <c r="BU48" s="236"/>
      <c r="BV48" s="236"/>
      <c r="BW48" s="236"/>
      <c r="BX48" s="236"/>
      <c r="BY48" s="231"/>
      <c r="BZ48" s="231"/>
      <c r="CA48" s="68"/>
      <c r="CB48" s="68"/>
      <c r="CC48" s="53"/>
      <c r="CD48" s="68"/>
      <c r="CE48" s="68"/>
      <c r="CF48" s="68"/>
      <c r="CG48" s="68"/>
      <c r="CH48" s="68"/>
      <c r="CI48" s="68"/>
      <c r="CJ48" s="68"/>
      <c r="CK48" s="68"/>
      <c r="CL48" s="180">
        <f t="shared" si="66"/>
        <v>0</v>
      </c>
      <c r="CM48" s="35"/>
      <c r="CN48" s="35"/>
      <c r="CO48" s="52">
        <f t="shared" si="58"/>
        <v>0</v>
      </c>
      <c r="CP48" s="35"/>
      <c r="CQ48" s="52"/>
      <c r="CR48" s="35"/>
      <c r="CS48" s="52"/>
      <c r="CT48" s="35"/>
      <c r="CU48" s="52"/>
      <c r="CV48" s="52"/>
      <c r="CW48" s="53">
        <f t="shared" si="59"/>
        <v>0</v>
      </c>
      <c r="CX48" s="53">
        <f t="shared" si="60"/>
        <v>0</v>
      </c>
      <c r="CY48" s="130"/>
      <c r="CZ48" s="35" t="e">
        <f t="shared" si="65"/>
        <v>#DIV/0!</v>
      </c>
      <c r="DA48" s="35" t="e">
        <f t="shared" ref="DA48:DA79" si="74">CX48/CL48</f>
        <v>#DIV/0!</v>
      </c>
      <c r="DB48" s="250"/>
      <c r="DC48" s="35"/>
      <c r="DD48" s="53"/>
      <c r="DE48" s="53"/>
      <c r="DF48" s="53"/>
      <c r="DG48" s="53"/>
      <c r="DH48" s="53"/>
      <c r="DI48" s="53"/>
      <c r="DJ48" s="130"/>
      <c r="DK48" s="207"/>
      <c r="DL48" s="12"/>
      <c r="DM48" s="12"/>
      <c r="DN48" s="68"/>
      <c r="DO48" s="68"/>
    </row>
    <row r="49" spans="1:119">
      <c r="A49" s="12"/>
      <c r="B49" s="21" t="s">
        <v>132</v>
      </c>
      <c r="C49" s="21">
        <v>2022</v>
      </c>
      <c r="D49" s="55"/>
      <c r="E49" s="21"/>
      <c r="F49" s="21"/>
      <c r="G49" s="21"/>
      <c r="H49" s="21"/>
      <c r="I49" s="21"/>
      <c r="J49" s="21"/>
      <c r="K49" s="21"/>
      <c r="L49" s="21"/>
      <c r="M49" s="55"/>
      <c r="N49" s="38"/>
      <c r="O49" s="53"/>
      <c r="P49" s="35"/>
      <c r="Q49" s="53"/>
      <c r="R49" s="35"/>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5"/>
      <c r="AT49" s="35" t="e">
        <f t="shared" si="49"/>
        <v>#DIV/0!</v>
      </c>
      <c r="AU49" s="52"/>
      <c r="AV49" s="35"/>
      <c r="AW49" s="35"/>
      <c r="AX49" s="52"/>
      <c r="AY49" s="52"/>
      <c r="AZ49" s="52"/>
      <c r="BA49" s="52"/>
      <c r="BB49" s="38" t="e">
        <f t="shared" si="71"/>
        <v>#DIV/0!</v>
      </c>
      <c r="BC49" s="38"/>
      <c r="BD49" s="52"/>
      <c r="BE49" s="52"/>
      <c r="BF49" s="52"/>
      <c r="BG49" s="52"/>
      <c r="BH49" s="52"/>
      <c r="BI49" s="231"/>
      <c r="BJ49" s="52"/>
      <c r="BK49" s="52"/>
      <c r="BL49" s="35" t="e">
        <f t="shared" si="72"/>
        <v>#DIV/0!</v>
      </c>
      <c r="BM49" s="231"/>
      <c r="BN49" s="231"/>
      <c r="BO49" s="234"/>
      <c r="BP49" s="231"/>
      <c r="BQ49" s="231"/>
      <c r="BR49" s="236"/>
      <c r="BS49" s="236"/>
      <c r="BT49" s="236"/>
      <c r="BU49" s="236"/>
      <c r="BV49" s="236"/>
      <c r="BW49" s="236"/>
      <c r="BX49" s="236"/>
      <c r="BY49" s="231"/>
      <c r="BZ49" s="231"/>
      <c r="CA49" s="68"/>
      <c r="CB49" s="68"/>
      <c r="CC49" s="53"/>
      <c r="CD49" s="68"/>
      <c r="CE49" s="68"/>
      <c r="CF49" s="68"/>
      <c r="CG49" s="68"/>
      <c r="CH49" s="68"/>
      <c r="CI49" s="68"/>
      <c r="CJ49" s="68"/>
      <c r="CK49" s="68"/>
      <c r="CL49" s="180">
        <f t="shared" si="66"/>
        <v>0</v>
      </c>
      <c r="CM49" s="35"/>
      <c r="CN49" s="35"/>
      <c r="CO49" s="52"/>
      <c r="CP49" s="35"/>
      <c r="CQ49" s="52"/>
      <c r="CR49" s="35"/>
      <c r="CS49" s="52"/>
      <c r="CT49" s="35"/>
      <c r="CU49" s="52"/>
      <c r="CV49" s="52"/>
      <c r="CW49" s="53"/>
      <c r="CX49" s="53"/>
      <c r="CY49" s="130"/>
      <c r="CZ49" s="35" t="e">
        <f t="shared" si="65"/>
        <v>#DIV/0!</v>
      </c>
      <c r="DA49" s="35" t="e">
        <f t="shared" si="74"/>
        <v>#DIV/0!</v>
      </c>
      <c r="DB49" s="250"/>
      <c r="DC49" s="35"/>
      <c r="DD49" s="53"/>
      <c r="DE49" s="53"/>
      <c r="DF49" s="53"/>
      <c r="DG49" s="53"/>
      <c r="DH49" s="53"/>
      <c r="DI49" s="53"/>
      <c r="DJ49" s="130"/>
      <c r="DK49" s="207"/>
      <c r="DL49" s="12"/>
      <c r="DM49" s="12"/>
      <c r="DN49" s="68"/>
      <c r="DO49" s="68"/>
    </row>
    <row r="50" spans="1:119">
      <c r="A50" s="12"/>
      <c r="B50" s="21"/>
      <c r="C50" s="21">
        <v>2021</v>
      </c>
      <c r="D50" s="55"/>
      <c r="E50" s="21"/>
      <c r="F50" s="21"/>
      <c r="G50" s="21"/>
      <c r="H50" s="21"/>
      <c r="I50" s="21"/>
      <c r="J50" s="21"/>
      <c r="K50" s="21"/>
      <c r="L50" s="21"/>
      <c r="M50" s="55"/>
      <c r="N50" s="38"/>
      <c r="O50" s="53"/>
      <c r="P50" s="35"/>
      <c r="Q50" s="53"/>
      <c r="R50" s="35"/>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5"/>
      <c r="AT50" s="35"/>
      <c r="AU50" s="52"/>
      <c r="AV50" s="35"/>
      <c r="AW50" s="35"/>
      <c r="AX50" s="52"/>
      <c r="AY50" s="52"/>
      <c r="AZ50" s="52"/>
      <c r="BA50" s="52"/>
      <c r="BB50" s="38" t="e">
        <f t="shared" si="71"/>
        <v>#DIV/0!</v>
      </c>
      <c r="BC50" s="38"/>
      <c r="BD50" s="52"/>
      <c r="BE50" s="52"/>
      <c r="BF50" s="52"/>
      <c r="BG50" s="52"/>
      <c r="BJ50" s="52"/>
      <c r="BK50" s="52"/>
      <c r="BL50" s="35" t="e">
        <f t="shared" si="72"/>
        <v>#DIV/0!</v>
      </c>
      <c r="BM50" s="231"/>
      <c r="BN50" s="231"/>
      <c r="BO50" s="234"/>
      <c r="BP50" s="231"/>
      <c r="BQ50" s="231"/>
      <c r="BR50" s="236"/>
      <c r="BS50" s="236"/>
      <c r="BT50" s="236"/>
      <c r="BU50" s="236"/>
      <c r="BV50" s="236"/>
      <c r="BW50" s="236"/>
      <c r="BX50" s="236"/>
      <c r="BY50" s="231"/>
      <c r="BZ50" s="231"/>
      <c r="CA50" s="68"/>
      <c r="CB50" s="68"/>
      <c r="CC50" s="53"/>
      <c r="CD50" s="68"/>
      <c r="CE50" s="68"/>
      <c r="CF50" s="68"/>
      <c r="CG50" s="68"/>
      <c r="CH50" s="68"/>
      <c r="CI50" s="68"/>
      <c r="CJ50" s="68"/>
      <c r="CK50" s="68"/>
      <c r="CL50" s="180">
        <f t="shared" si="66"/>
        <v>0</v>
      </c>
      <c r="CM50" s="35"/>
      <c r="CN50" s="35"/>
      <c r="CO50" s="52"/>
      <c r="CP50" s="35"/>
      <c r="CQ50" s="52"/>
      <c r="CR50" s="35"/>
      <c r="CS50" s="52"/>
      <c r="CT50" s="35"/>
      <c r="CU50" s="52"/>
      <c r="CV50" s="52"/>
      <c r="CW50" s="53"/>
      <c r="CX50" s="53"/>
      <c r="CY50" s="130"/>
      <c r="CZ50" s="35" t="e">
        <f t="shared" si="65"/>
        <v>#DIV/0!</v>
      </c>
      <c r="DA50" s="35" t="e">
        <f t="shared" si="74"/>
        <v>#DIV/0!</v>
      </c>
      <c r="DB50" s="250"/>
      <c r="DC50" s="35"/>
      <c r="DD50" s="53"/>
      <c r="DE50" s="53"/>
      <c r="DF50" s="53"/>
      <c r="DG50" s="53"/>
      <c r="DH50" s="53"/>
      <c r="DI50" s="53"/>
      <c r="DJ50" s="130"/>
      <c r="DK50" s="207"/>
      <c r="DL50" s="12"/>
      <c r="DM50" s="12"/>
      <c r="DN50" s="68"/>
      <c r="DO50" s="68"/>
    </row>
    <row r="51" spans="1:119">
      <c r="A51" s="12"/>
      <c r="B51" s="21"/>
      <c r="C51" s="21">
        <v>2020</v>
      </c>
      <c r="D51" s="55"/>
      <c r="E51" s="21"/>
      <c r="F51" s="21"/>
      <c r="G51" s="21"/>
      <c r="H51" s="21"/>
      <c r="I51" s="21"/>
      <c r="J51" s="21"/>
      <c r="K51" s="21"/>
      <c r="L51" s="21"/>
      <c r="M51" s="55"/>
      <c r="N51" s="38"/>
      <c r="O51" s="53"/>
      <c r="P51" s="35"/>
      <c r="Q51" s="53"/>
      <c r="R51" s="35"/>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5"/>
      <c r="AT51" s="35"/>
      <c r="AU51" s="52"/>
      <c r="AV51" s="35"/>
      <c r="AW51" s="35"/>
      <c r="AX51" s="52"/>
      <c r="AY51" s="52"/>
      <c r="AZ51" s="52"/>
      <c r="BA51" s="52"/>
      <c r="BB51" s="38" t="e">
        <f t="shared" si="71"/>
        <v>#DIV/0!</v>
      </c>
      <c r="BC51" s="38"/>
      <c r="BD51" s="52"/>
      <c r="BE51" s="52"/>
      <c r="BF51" s="52"/>
      <c r="BG51" s="52"/>
      <c r="BJ51" s="52"/>
      <c r="BK51" s="52"/>
      <c r="BL51" s="35" t="e">
        <f t="shared" si="72"/>
        <v>#DIV/0!</v>
      </c>
      <c r="BM51" s="231"/>
      <c r="BN51" s="231"/>
      <c r="BO51" s="234"/>
      <c r="BP51" s="231"/>
      <c r="BQ51" s="231"/>
      <c r="BR51" s="236"/>
      <c r="BS51" s="236"/>
      <c r="BT51" s="236"/>
      <c r="BU51" s="236"/>
      <c r="BV51" s="236"/>
      <c r="BW51" s="236"/>
      <c r="BX51" s="236"/>
      <c r="BY51" s="231"/>
      <c r="BZ51" s="231"/>
      <c r="CA51" s="68"/>
      <c r="CB51" s="68"/>
      <c r="CC51" s="53"/>
      <c r="CD51" s="68"/>
      <c r="CE51" s="68"/>
      <c r="CF51" s="68"/>
      <c r="CG51" s="68"/>
      <c r="CH51" s="68"/>
      <c r="CI51" s="68"/>
      <c r="CJ51" s="68"/>
      <c r="CK51" s="68"/>
      <c r="CL51" s="180">
        <f t="shared" si="66"/>
        <v>0</v>
      </c>
      <c r="CM51" s="35"/>
      <c r="CN51" s="35"/>
      <c r="CO51" s="52"/>
      <c r="CP51" s="35"/>
      <c r="CQ51" s="52"/>
      <c r="CR51" s="35"/>
      <c r="CS51" s="52"/>
      <c r="CT51" s="35"/>
      <c r="CU51" s="52"/>
      <c r="CV51" s="52"/>
      <c r="CW51" s="53"/>
      <c r="CX51" s="53"/>
      <c r="CY51" s="130"/>
      <c r="CZ51" s="35" t="e">
        <f t="shared" si="65"/>
        <v>#DIV/0!</v>
      </c>
      <c r="DA51" s="35" t="e">
        <f t="shared" si="74"/>
        <v>#DIV/0!</v>
      </c>
      <c r="DB51" s="250"/>
      <c r="DC51" s="35"/>
      <c r="DD51" s="53"/>
      <c r="DE51" s="53"/>
      <c r="DF51" s="53"/>
      <c r="DG51" s="53"/>
      <c r="DH51" s="53"/>
      <c r="DI51" s="53"/>
      <c r="DJ51" s="130"/>
      <c r="DK51" s="207"/>
      <c r="DL51" s="12"/>
      <c r="DM51" s="12"/>
      <c r="DN51" s="68"/>
      <c r="DO51" s="68"/>
    </row>
    <row r="52" spans="1:119">
      <c r="A52" s="12"/>
      <c r="B52" s="21"/>
      <c r="C52" s="21">
        <v>2019</v>
      </c>
      <c r="D52" s="55"/>
      <c r="E52" s="21"/>
      <c r="F52" s="21"/>
      <c r="G52" s="21"/>
      <c r="H52" s="21"/>
      <c r="I52" s="21"/>
      <c r="J52" s="21"/>
      <c r="K52" s="21"/>
      <c r="L52" s="21"/>
      <c r="M52" s="55"/>
      <c r="N52" s="38"/>
      <c r="O52" s="53"/>
      <c r="P52" s="35"/>
      <c r="Q52" s="53"/>
      <c r="R52" s="35"/>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5"/>
      <c r="AT52" s="35"/>
      <c r="AU52" s="52"/>
      <c r="AV52" s="35"/>
      <c r="AW52" s="35"/>
      <c r="AX52" s="52"/>
      <c r="AY52" s="52"/>
      <c r="AZ52" s="52"/>
      <c r="BA52" s="52"/>
      <c r="BB52" s="38" t="e">
        <f t="shared" si="71"/>
        <v>#DIV/0!</v>
      </c>
      <c r="BC52" s="38"/>
      <c r="BD52" s="52"/>
      <c r="BE52" s="52"/>
      <c r="BF52" s="52"/>
      <c r="BG52" s="52"/>
      <c r="BJ52" s="52"/>
      <c r="BK52" s="52"/>
      <c r="BL52" s="35" t="e">
        <f t="shared" si="72"/>
        <v>#DIV/0!</v>
      </c>
      <c r="BM52" s="231"/>
      <c r="BN52" s="231"/>
      <c r="BO52" s="234"/>
      <c r="BP52" s="231"/>
      <c r="BQ52" s="231"/>
      <c r="BR52" s="236"/>
      <c r="BS52" s="236"/>
      <c r="BT52" s="236"/>
      <c r="BU52" s="236"/>
      <c r="BV52" s="236"/>
      <c r="BW52" s="236"/>
      <c r="BX52" s="236"/>
      <c r="BY52" s="231"/>
      <c r="BZ52" s="231"/>
      <c r="CA52" s="68"/>
      <c r="CB52" s="68"/>
      <c r="CC52" s="53"/>
      <c r="CD52" s="68"/>
      <c r="CE52" s="68"/>
      <c r="CF52" s="68"/>
      <c r="CG52" s="68"/>
      <c r="CH52" s="68"/>
      <c r="CI52" s="68"/>
      <c r="CJ52" s="68"/>
      <c r="CK52" s="68"/>
      <c r="CL52" s="180">
        <f t="shared" si="66"/>
        <v>0</v>
      </c>
      <c r="CM52" s="35"/>
      <c r="CN52" s="35"/>
      <c r="CO52" s="52"/>
      <c r="CP52" s="35"/>
      <c r="CQ52" s="52"/>
      <c r="CR52" s="35"/>
      <c r="CS52" s="52"/>
      <c r="CT52" s="35"/>
      <c r="CU52" s="52"/>
      <c r="CV52" s="52"/>
      <c r="CW52" s="53"/>
      <c r="CX52" s="53"/>
      <c r="CY52" s="130"/>
      <c r="CZ52" s="35" t="e">
        <f t="shared" si="65"/>
        <v>#DIV/0!</v>
      </c>
      <c r="DA52" s="35" t="e">
        <f t="shared" si="74"/>
        <v>#DIV/0!</v>
      </c>
      <c r="DB52" s="250"/>
      <c r="DC52" s="35"/>
      <c r="DD52" s="53"/>
      <c r="DE52" s="53"/>
      <c r="DF52" s="53"/>
      <c r="DG52" s="53"/>
      <c r="DH52" s="53"/>
      <c r="DI52" s="53"/>
      <c r="DJ52" s="130"/>
      <c r="DK52" s="207"/>
      <c r="DL52" s="12"/>
      <c r="DM52" s="12"/>
      <c r="DN52" s="68"/>
      <c r="DO52" s="68"/>
    </row>
    <row r="53" spans="1:119">
      <c r="A53" s="12"/>
      <c r="B53" s="21"/>
      <c r="C53" s="21">
        <v>2018</v>
      </c>
      <c r="D53" s="55"/>
      <c r="E53" s="21"/>
      <c r="F53" s="21"/>
      <c r="G53" s="21"/>
      <c r="H53" s="21"/>
      <c r="I53" s="21"/>
      <c r="J53" s="21"/>
      <c r="K53" s="21"/>
      <c r="L53" s="21"/>
      <c r="M53" s="55"/>
      <c r="N53" s="38"/>
      <c r="O53" s="53"/>
      <c r="P53" s="35"/>
      <c r="Q53" s="53"/>
      <c r="R53" s="35"/>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5"/>
      <c r="AT53" s="35"/>
      <c r="AU53" s="52"/>
      <c r="AV53" s="35"/>
      <c r="AW53" s="35"/>
      <c r="AX53" s="52"/>
      <c r="AY53" s="52"/>
      <c r="AZ53" s="52"/>
      <c r="BA53" s="52"/>
      <c r="BB53" s="38" t="e">
        <f t="shared" si="71"/>
        <v>#DIV/0!</v>
      </c>
      <c r="BC53" s="38"/>
      <c r="BD53" s="52"/>
      <c r="BE53" s="52"/>
      <c r="BF53" s="52"/>
      <c r="BG53" s="52"/>
      <c r="BJ53" s="52"/>
      <c r="BK53" s="52"/>
      <c r="BL53" s="35" t="e">
        <f t="shared" si="72"/>
        <v>#DIV/0!</v>
      </c>
      <c r="BM53" s="231"/>
      <c r="BN53" s="231"/>
      <c r="BO53" s="234"/>
      <c r="BP53" s="231"/>
      <c r="BQ53" s="231"/>
      <c r="BR53" s="236"/>
      <c r="BS53" s="236"/>
      <c r="BT53" s="236"/>
      <c r="BU53" s="236"/>
      <c r="BV53" s="236"/>
      <c r="BW53" s="236"/>
      <c r="BX53" s="236"/>
      <c r="BY53" s="231"/>
      <c r="BZ53" s="231"/>
      <c r="CA53" s="68"/>
      <c r="CB53" s="68"/>
      <c r="CC53" s="53"/>
      <c r="CD53" s="68"/>
      <c r="CE53" s="68"/>
      <c r="CF53" s="68"/>
      <c r="CG53" s="68"/>
      <c r="CH53" s="68"/>
      <c r="CI53" s="68"/>
      <c r="CJ53" s="68"/>
      <c r="CK53" s="68"/>
      <c r="CL53" s="180">
        <f t="shared" si="66"/>
        <v>0</v>
      </c>
      <c r="CM53" s="35"/>
      <c r="CN53" s="35"/>
      <c r="CO53" s="52"/>
      <c r="CP53" s="35"/>
      <c r="CQ53" s="52"/>
      <c r="CR53" s="35"/>
      <c r="CS53" s="52"/>
      <c r="CT53" s="35"/>
      <c r="CU53" s="52"/>
      <c r="CV53" s="52"/>
      <c r="CW53" s="53"/>
      <c r="CX53" s="53"/>
      <c r="CY53" s="130"/>
      <c r="CZ53" s="35" t="e">
        <f t="shared" si="65"/>
        <v>#DIV/0!</v>
      </c>
      <c r="DA53" s="35" t="e">
        <f t="shared" si="74"/>
        <v>#DIV/0!</v>
      </c>
      <c r="DB53" s="250"/>
      <c r="DC53" s="35"/>
      <c r="DD53" s="53"/>
      <c r="DE53" s="53"/>
      <c r="DF53" s="53"/>
      <c r="DG53" s="53"/>
      <c r="DH53" s="53"/>
      <c r="DI53" s="53"/>
      <c r="DJ53" s="130"/>
      <c r="DK53" s="207"/>
      <c r="DL53" s="12"/>
      <c r="DM53" s="12"/>
      <c r="DN53" s="68"/>
      <c r="DO53" s="68"/>
    </row>
    <row r="54" spans="1:119">
      <c r="A54" s="12"/>
      <c r="B54" s="21"/>
      <c r="C54" s="21">
        <v>2017</v>
      </c>
      <c r="D54" s="55"/>
      <c r="E54" s="21"/>
      <c r="F54" s="21"/>
      <c r="G54" s="21"/>
      <c r="H54" s="21"/>
      <c r="I54" s="21"/>
      <c r="J54" s="21"/>
      <c r="K54" s="21"/>
      <c r="L54" s="21"/>
      <c r="M54" s="55"/>
      <c r="N54" s="38"/>
      <c r="O54" s="53"/>
      <c r="P54" s="35"/>
      <c r="Q54" s="53"/>
      <c r="R54" s="35"/>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5"/>
      <c r="AT54" s="35"/>
      <c r="AU54" s="52"/>
      <c r="AV54" s="35"/>
      <c r="AW54" s="35"/>
      <c r="AX54" s="52"/>
      <c r="AY54" s="52"/>
      <c r="AZ54" s="52"/>
      <c r="BA54" s="52"/>
      <c r="BB54" s="38" t="e">
        <f t="shared" si="71"/>
        <v>#DIV/0!</v>
      </c>
      <c r="BC54" s="38"/>
      <c r="BD54" s="52"/>
      <c r="BE54" s="52"/>
      <c r="BF54" s="52"/>
      <c r="BG54" s="52"/>
      <c r="BJ54" s="52"/>
      <c r="BK54" s="52"/>
      <c r="BL54" s="35" t="e">
        <f t="shared" si="72"/>
        <v>#DIV/0!</v>
      </c>
      <c r="BM54" s="231"/>
      <c r="BN54" s="231"/>
      <c r="BO54" s="234"/>
      <c r="BP54" s="231"/>
      <c r="BQ54" s="231"/>
      <c r="BR54" s="236"/>
      <c r="BS54" s="236"/>
      <c r="BT54" s="236"/>
      <c r="BU54" s="236"/>
      <c r="BV54" s="236"/>
      <c r="BW54" s="236"/>
      <c r="BX54" s="236"/>
      <c r="BY54" s="231"/>
      <c r="BZ54" s="231"/>
      <c r="CA54" s="68"/>
      <c r="CB54" s="68"/>
      <c r="CC54" s="53"/>
      <c r="CD54" s="68"/>
      <c r="CE54" s="68"/>
      <c r="CF54" s="68"/>
      <c r="CG54" s="68"/>
      <c r="CH54" s="68"/>
      <c r="CI54" s="68"/>
      <c r="CJ54" s="68"/>
      <c r="CK54" s="68"/>
      <c r="CL54" s="180">
        <f t="shared" si="66"/>
        <v>0</v>
      </c>
      <c r="CM54" s="35"/>
      <c r="CN54" s="35"/>
      <c r="CO54" s="52"/>
      <c r="CP54" s="35"/>
      <c r="CQ54" s="52"/>
      <c r="CR54" s="35"/>
      <c r="CS54" s="52"/>
      <c r="CT54" s="35"/>
      <c r="CU54" s="52"/>
      <c r="CV54" s="52"/>
      <c r="CW54" s="53"/>
      <c r="CX54" s="53"/>
      <c r="CY54" s="130"/>
      <c r="CZ54" s="35" t="e">
        <f t="shared" si="65"/>
        <v>#DIV/0!</v>
      </c>
      <c r="DA54" s="35" t="e">
        <f t="shared" si="74"/>
        <v>#DIV/0!</v>
      </c>
      <c r="DB54" s="250"/>
      <c r="DC54" s="35"/>
      <c r="DD54" s="53"/>
      <c r="DE54" s="53"/>
      <c r="DF54" s="53"/>
      <c r="DG54" s="53"/>
      <c r="DH54" s="53"/>
      <c r="DI54" s="53"/>
      <c r="DJ54" s="130"/>
      <c r="DK54" s="207"/>
      <c r="DL54" s="12"/>
      <c r="DM54" s="12"/>
      <c r="DN54" s="68"/>
      <c r="DO54" s="68"/>
    </row>
    <row r="55" spans="1:119">
      <c r="A55" s="12"/>
      <c r="B55" s="21"/>
      <c r="C55" s="21">
        <v>2016</v>
      </c>
      <c r="D55" s="55"/>
      <c r="E55" s="21"/>
      <c r="F55" s="21"/>
      <c r="G55" s="21"/>
      <c r="H55" s="21"/>
      <c r="I55" s="21"/>
      <c r="J55" s="21"/>
      <c r="K55" s="21"/>
      <c r="L55" s="21"/>
      <c r="M55" s="55"/>
      <c r="N55" s="38"/>
      <c r="O55" s="53"/>
      <c r="P55" s="35"/>
      <c r="Q55" s="53"/>
      <c r="R55" s="35"/>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5"/>
      <c r="AT55" s="35"/>
      <c r="AU55" s="52"/>
      <c r="AV55" s="35"/>
      <c r="AW55" s="35"/>
      <c r="AX55" s="52"/>
      <c r="AY55" s="52"/>
      <c r="AZ55" s="52"/>
      <c r="BA55" s="52"/>
      <c r="BB55" s="38" t="e">
        <f t="shared" si="71"/>
        <v>#DIV/0!</v>
      </c>
      <c r="BC55" s="38"/>
      <c r="BD55" s="52"/>
      <c r="BE55" s="52"/>
      <c r="BF55" s="52"/>
      <c r="BG55" s="52"/>
      <c r="BJ55" s="52"/>
      <c r="BK55" s="52"/>
      <c r="BL55" s="35" t="e">
        <f t="shared" si="72"/>
        <v>#DIV/0!</v>
      </c>
      <c r="BM55" s="231"/>
      <c r="BN55" s="231"/>
      <c r="BO55" s="234"/>
      <c r="BP55" s="231"/>
      <c r="BQ55" s="231"/>
      <c r="BR55" s="236"/>
      <c r="BS55" s="236"/>
      <c r="BT55" s="236"/>
      <c r="BU55" s="236"/>
      <c r="BV55" s="236"/>
      <c r="BW55" s="236"/>
      <c r="BX55" s="236"/>
      <c r="BY55" s="231"/>
      <c r="BZ55" s="231"/>
      <c r="CA55" s="68"/>
      <c r="CB55" s="68"/>
      <c r="CC55" s="53"/>
      <c r="CD55" s="68"/>
      <c r="CE55" s="68"/>
      <c r="CF55" s="68"/>
      <c r="CG55" s="68"/>
      <c r="CH55" s="68"/>
      <c r="CI55" s="68"/>
      <c r="CJ55" s="68"/>
      <c r="CK55" s="68"/>
      <c r="CL55" s="180">
        <f t="shared" si="66"/>
        <v>0</v>
      </c>
      <c r="CM55" s="35"/>
      <c r="CN55" s="35"/>
      <c r="CO55" s="52"/>
      <c r="CP55" s="35"/>
      <c r="CQ55" s="52"/>
      <c r="CR55" s="35"/>
      <c r="CS55" s="52"/>
      <c r="CT55" s="35"/>
      <c r="CU55" s="52"/>
      <c r="CV55" s="52"/>
      <c r="CW55" s="53"/>
      <c r="CX55" s="53"/>
      <c r="CY55" s="130"/>
      <c r="CZ55" s="35" t="e">
        <f t="shared" si="65"/>
        <v>#DIV/0!</v>
      </c>
      <c r="DA55" s="35" t="e">
        <f t="shared" si="74"/>
        <v>#DIV/0!</v>
      </c>
      <c r="DB55" s="250"/>
      <c r="DC55" s="35"/>
      <c r="DD55" s="53"/>
      <c r="DE55" s="53"/>
      <c r="DF55" s="53"/>
      <c r="DG55" s="53"/>
      <c r="DH55" s="53"/>
      <c r="DI55" s="53"/>
      <c r="DJ55" s="130"/>
      <c r="DK55" s="207"/>
      <c r="DL55" s="12"/>
      <c r="DM55" s="12"/>
      <c r="DN55" s="68"/>
      <c r="DO55" s="68"/>
    </row>
    <row r="56" spans="1:119">
      <c r="A56" s="12"/>
      <c r="B56" s="21"/>
      <c r="C56" s="21">
        <v>2015</v>
      </c>
      <c r="D56" s="55"/>
      <c r="E56" s="21"/>
      <c r="F56" s="21"/>
      <c r="G56" s="21"/>
      <c r="H56" s="21"/>
      <c r="I56" s="21"/>
      <c r="J56" s="21"/>
      <c r="K56" s="21"/>
      <c r="L56" s="21"/>
      <c r="M56" s="55"/>
      <c r="N56" s="38"/>
      <c r="O56" s="53"/>
      <c r="P56" s="35"/>
      <c r="Q56" s="53"/>
      <c r="R56" s="35"/>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5"/>
      <c r="AT56" s="35"/>
      <c r="AU56" s="52"/>
      <c r="AV56" s="35"/>
      <c r="AW56" s="35"/>
      <c r="AX56" s="52"/>
      <c r="AY56" s="52"/>
      <c r="AZ56" s="52"/>
      <c r="BA56" s="52"/>
      <c r="BB56" s="38" t="e">
        <f t="shared" si="71"/>
        <v>#DIV/0!</v>
      </c>
      <c r="BC56" s="38"/>
      <c r="BD56" s="52"/>
      <c r="BE56" s="52"/>
      <c r="BF56" s="52"/>
      <c r="BG56" s="52"/>
      <c r="BJ56" s="52"/>
      <c r="BK56" s="52"/>
      <c r="BL56" s="35" t="e">
        <f t="shared" si="72"/>
        <v>#DIV/0!</v>
      </c>
      <c r="BM56" s="231"/>
      <c r="BN56" s="231"/>
      <c r="BO56" s="234"/>
      <c r="BP56" s="231"/>
      <c r="BQ56" s="231"/>
      <c r="BR56" s="236"/>
      <c r="BS56" s="236"/>
      <c r="BT56" s="236"/>
      <c r="BU56" s="236"/>
      <c r="BV56" s="236"/>
      <c r="BW56" s="236"/>
      <c r="BX56" s="236"/>
      <c r="BY56" s="231"/>
      <c r="BZ56" s="231"/>
      <c r="CA56" s="68"/>
      <c r="CB56" s="68"/>
      <c r="CC56" s="53"/>
      <c r="CD56" s="68"/>
      <c r="CE56" s="68"/>
      <c r="CF56" s="68"/>
      <c r="CG56" s="68"/>
      <c r="CH56" s="68"/>
      <c r="CI56" s="68"/>
      <c r="CJ56" s="68"/>
      <c r="CK56" s="68"/>
      <c r="CL56" s="180">
        <f t="shared" si="66"/>
        <v>0</v>
      </c>
      <c r="CM56" s="35"/>
      <c r="CN56" s="35"/>
      <c r="CO56" s="52"/>
      <c r="CP56" s="35"/>
      <c r="CQ56" s="52"/>
      <c r="CR56" s="35"/>
      <c r="CS56" s="52"/>
      <c r="CT56" s="35"/>
      <c r="CU56" s="52"/>
      <c r="CV56" s="52"/>
      <c r="CW56" s="53"/>
      <c r="CX56" s="53"/>
      <c r="CY56" s="130"/>
      <c r="CZ56" s="35" t="e">
        <f t="shared" si="65"/>
        <v>#DIV/0!</v>
      </c>
      <c r="DA56" s="35" t="e">
        <f t="shared" si="74"/>
        <v>#DIV/0!</v>
      </c>
      <c r="DB56" s="250"/>
      <c r="DC56" s="35"/>
      <c r="DD56" s="53"/>
      <c r="DE56" s="53"/>
      <c r="DF56" s="53"/>
      <c r="DG56" s="53"/>
      <c r="DH56" s="53"/>
      <c r="DI56" s="53"/>
      <c r="DJ56" s="130"/>
      <c r="DK56" s="207"/>
      <c r="DL56" s="12"/>
      <c r="DM56" s="12"/>
      <c r="DN56" s="68"/>
      <c r="DO56" s="68"/>
    </row>
    <row r="57" spans="1:119">
      <c r="A57" s="12"/>
      <c r="B57" s="21"/>
      <c r="C57" s="21">
        <v>2014</v>
      </c>
      <c r="D57" s="55"/>
      <c r="E57" s="21"/>
      <c r="F57" s="21"/>
      <c r="G57" s="21"/>
      <c r="H57" s="21"/>
      <c r="I57" s="21"/>
      <c r="J57" s="21"/>
      <c r="K57" s="21"/>
      <c r="L57" s="21"/>
      <c r="M57" s="55"/>
      <c r="N57" s="38"/>
      <c r="O57" s="53"/>
      <c r="P57" s="35"/>
      <c r="Q57" s="53"/>
      <c r="R57" s="35"/>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5"/>
      <c r="AT57" s="35"/>
      <c r="AU57" s="52"/>
      <c r="AV57" s="35"/>
      <c r="AW57" s="35"/>
      <c r="AX57" s="52"/>
      <c r="AY57" s="52"/>
      <c r="AZ57" s="52"/>
      <c r="BA57" s="52"/>
      <c r="BB57" s="38" t="e">
        <f t="shared" si="71"/>
        <v>#DIV/0!</v>
      </c>
      <c r="BC57" s="38"/>
      <c r="BD57" s="52"/>
      <c r="BE57" s="52"/>
      <c r="BF57" s="52"/>
      <c r="BG57" s="52"/>
      <c r="BJ57" s="52"/>
      <c r="BK57" s="52"/>
      <c r="BL57" s="35" t="e">
        <f t="shared" si="72"/>
        <v>#DIV/0!</v>
      </c>
      <c r="BM57" s="231"/>
      <c r="BN57" s="231"/>
      <c r="BO57" s="234"/>
      <c r="BP57" s="231"/>
      <c r="BQ57" s="231"/>
      <c r="BR57" s="236"/>
      <c r="BS57" s="236"/>
      <c r="BT57" s="236"/>
      <c r="BU57" s="236"/>
      <c r="BV57" s="236"/>
      <c r="BW57" s="236"/>
      <c r="BX57" s="236"/>
      <c r="BY57" s="231"/>
      <c r="BZ57" s="231"/>
      <c r="CA57" s="68"/>
      <c r="CB57" s="68"/>
      <c r="CC57" s="53"/>
      <c r="CD57" s="68"/>
      <c r="CE57" s="68"/>
      <c r="CF57" s="68"/>
      <c r="CG57" s="68"/>
      <c r="CH57" s="68"/>
      <c r="CI57" s="68"/>
      <c r="CJ57" s="68"/>
      <c r="CK57" s="68"/>
      <c r="CL57" s="180">
        <f t="shared" si="66"/>
        <v>0</v>
      </c>
      <c r="CM57" s="35"/>
      <c r="CN57" s="35"/>
      <c r="CO57" s="52"/>
      <c r="CP57" s="35"/>
      <c r="CQ57" s="52"/>
      <c r="CR57" s="35"/>
      <c r="CS57" s="52"/>
      <c r="CT57" s="35"/>
      <c r="CU57" s="52"/>
      <c r="CV57" s="52"/>
      <c r="CW57" s="53"/>
      <c r="CX57" s="53"/>
      <c r="CY57" s="130"/>
      <c r="CZ57" s="35" t="e">
        <f t="shared" si="65"/>
        <v>#DIV/0!</v>
      </c>
      <c r="DA57" s="35" t="e">
        <f t="shared" si="74"/>
        <v>#DIV/0!</v>
      </c>
      <c r="DB57" s="250"/>
      <c r="DC57" s="35"/>
      <c r="DD57" s="53"/>
      <c r="DE57" s="53"/>
      <c r="DF57" s="53"/>
      <c r="DG57" s="53"/>
      <c r="DH57" s="53"/>
      <c r="DI57" s="53"/>
      <c r="DJ57" s="130"/>
      <c r="DK57" s="207"/>
      <c r="DL57" s="12"/>
      <c r="DM57" s="12"/>
      <c r="DN57" s="68"/>
      <c r="DO57" s="68"/>
    </row>
    <row r="58" spans="1:119">
      <c r="A58" s="12"/>
      <c r="B58" s="21"/>
      <c r="C58" s="21">
        <v>2013</v>
      </c>
      <c r="D58" s="55"/>
      <c r="E58" s="21"/>
      <c r="F58" s="21"/>
      <c r="G58" s="21"/>
      <c r="H58" s="21"/>
      <c r="I58" s="21"/>
      <c r="J58" s="21"/>
      <c r="K58" s="21"/>
      <c r="L58" s="21"/>
      <c r="M58" s="55"/>
      <c r="N58" s="38"/>
      <c r="O58" s="53"/>
      <c r="P58" s="35"/>
      <c r="Q58" s="53"/>
      <c r="R58" s="35"/>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5"/>
      <c r="AT58" s="35"/>
      <c r="AU58" s="52"/>
      <c r="AV58" s="35"/>
      <c r="AW58" s="35"/>
      <c r="AX58" s="52"/>
      <c r="AY58" s="52"/>
      <c r="AZ58" s="52"/>
      <c r="BA58" s="52"/>
      <c r="BB58" s="38" t="e">
        <f t="shared" si="71"/>
        <v>#DIV/0!</v>
      </c>
      <c r="BC58" s="38"/>
      <c r="BD58" s="52"/>
      <c r="BE58" s="52"/>
      <c r="BF58" s="52"/>
      <c r="BG58" s="52"/>
      <c r="BJ58" s="52"/>
      <c r="BK58" s="52"/>
      <c r="BL58" s="35" t="e">
        <f t="shared" si="72"/>
        <v>#DIV/0!</v>
      </c>
      <c r="BM58" s="231"/>
      <c r="BN58" s="231"/>
      <c r="BO58" s="234"/>
      <c r="BP58" s="231"/>
      <c r="BQ58" s="231"/>
      <c r="BR58" s="236"/>
      <c r="BS58" s="236"/>
      <c r="BT58" s="236"/>
      <c r="BU58" s="236"/>
      <c r="BV58" s="236"/>
      <c r="BW58" s="236"/>
      <c r="BX58" s="236"/>
      <c r="BY58" s="231"/>
      <c r="BZ58" s="231"/>
      <c r="CA58" s="68"/>
      <c r="CB58" s="68"/>
      <c r="CC58" s="53"/>
      <c r="CD58" s="68"/>
      <c r="CE58" s="68"/>
      <c r="CF58" s="68"/>
      <c r="CG58" s="68"/>
      <c r="CH58" s="68"/>
      <c r="CI58" s="68"/>
      <c r="CJ58" s="68"/>
      <c r="CK58" s="68"/>
      <c r="CL58" s="180">
        <f t="shared" si="66"/>
        <v>0</v>
      </c>
      <c r="CM58" s="35"/>
      <c r="CN58" s="35"/>
      <c r="CO58" s="52"/>
      <c r="CP58" s="35"/>
      <c r="CQ58" s="52"/>
      <c r="CR58" s="35"/>
      <c r="CS58" s="52"/>
      <c r="CT58" s="35"/>
      <c r="CU58" s="52"/>
      <c r="CV58" s="52"/>
      <c r="CW58" s="53"/>
      <c r="CX58" s="53"/>
      <c r="CY58" s="130"/>
      <c r="CZ58" s="35" t="e">
        <f t="shared" ref="CZ58:CZ103" si="75">CW58/CL58</f>
        <v>#DIV/0!</v>
      </c>
      <c r="DA58" s="35" t="e">
        <f t="shared" si="74"/>
        <v>#DIV/0!</v>
      </c>
      <c r="DB58" s="250"/>
      <c r="DC58" s="35"/>
      <c r="DD58" s="53"/>
      <c r="DE58" s="53"/>
      <c r="DF58" s="53"/>
      <c r="DG58" s="53"/>
      <c r="DH58" s="53"/>
      <c r="DI58" s="53"/>
      <c r="DJ58" s="130"/>
      <c r="DK58" s="207"/>
      <c r="DL58" s="12"/>
      <c r="DM58" s="12"/>
      <c r="DN58" s="68"/>
      <c r="DO58" s="68"/>
    </row>
    <row r="59" spans="1:119">
      <c r="A59" s="12"/>
      <c r="B59" s="21"/>
      <c r="C59" s="21">
        <v>2012</v>
      </c>
      <c r="D59" s="55"/>
      <c r="E59" s="21"/>
      <c r="F59" s="21"/>
      <c r="G59" s="21"/>
      <c r="H59" s="21"/>
      <c r="I59" s="21"/>
      <c r="J59" s="21"/>
      <c r="K59" s="21"/>
      <c r="L59" s="21"/>
      <c r="M59" s="55"/>
      <c r="N59" s="38"/>
      <c r="O59" s="53"/>
      <c r="P59" s="35"/>
      <c r="Q59" s="53"/>
      <c r="R59" s="35"/>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5"/>
      <c r="AT59" s="35"/>
      <c r="AU59" s="52"/>
      <c r="AV59" s="35"/>
      <c r="AW59" s="35"/>
      <c r="AX59" s="52"/>
      <c r="AY59" s="52"/>
      <c r="AZ59" s="52"/>
      <c r="BA59" s="52"/>
      <c r="BB59" s="38" t="e">
        <f t="shared" si="71"/>
        <v>#DIV/0!</v>
      </c>
      <c r="BC59" s="38"/>
      <c r="BD59" s="52"/>
      <c r="BE59" s="52"/>
      <c r="BF59" s="52"/>
      <c r="BG59" s="52"/>
      <c r="BJ59" s="52"/>
      <c r="BK59" s="52"/>
      <c r="BL59" s="35" t="e">
        <f t="shared" si="72"/>
        <v>#DIV/0!</v>
      </c>
      <c r="BM59" s="231"/>
      <c r="BN59" s="231"/>
      <c r="BO59" s="234"/>
      <c r="BP59" s="231"/>
      <c r="BQ59" s="231"/>
      <c r="BR59" s="236"/>
      <c r="BS59" s="236"/>
      <c r="BT59" s="236"/>
      <c r="BU59" s="236"/>
      <c r="BV59" s="236"/>
      <c r="BW59" s="236"/>
      <c r="BX59" s="236"/>
      <c r="BY59" s="231"/>
      <c r="BZ59" s="231"/>
      <c r="CA59" s="68"/>
      <c r="CB59" s="68"/>
      <c r="CC59" s="53"/>
      <c r="CD59" s="68"/>
      <c r="CE59" s="68"/>
      <c r="CF59" s="68"/>
      <c r="CG59" s="68"/>
      <c r="CH59" s="68"/>
      <c r="CI59" s="68"/>
      <c r="CJ59" s="68"/>
      <c r="CK59" s="68"/>
      <c r="CL59" s="180">
        <f t="shared" ref="CL59:CL109" si="76">O59+AC59</f>
        <v>0</v>
      </c>
      <c r="CM59" s="35"/>
      <c r="CN59" s="35"/>
      <c r="CO59" s="52"/>
      <c r="CP59" s="35"/>
      <c r="CQ59" s="52"/>
      <c r="CR59" s="35"/>
      <c r="CS59" s="52"/>
      <c r="CT59" s="35"/>
      <c r="CU59" s="52"/>
      <c r="CV59" s="52"/>
      <c r="CW59" s="53"/>
      <c r="CX59" s="53"/>
      <c r="CY59" s="130"/>
      <c r="CZ59" s="35" t="e">
        <f t="shared" si="75"/>
        <v>#DIV/0!</v>
      </c>
      <c r="DA59" s="35" t="e">
        <f t="shared" si="74"/>
        <v>#DIV/0!</v>
      </c>
      <c r="DB59" s="250"/>
      <c r="DC59" s="35"/>
      <c r="DD59" s="53"/>
      <c r="DE59" s="53"/>
      <c r="DF59" s="53"/>
      <c r="DG59" s="53"/>
      <c r="DH59" s="53"/>
      <c r="DI59" s="53"/>
      <c r="DJ59" s="130"/>
      <c r="DK59" s="207"/>
      <c r="DL59" s="12"/>
      <c r="DM59" s="12"/>
      <c r="DN59" s="68"/>
      <c r="DO59" s="68"/>
    </row>
    <row r="60" spans="1:119">
      <c r="A60" s="12"/>
      <c r="B60" s="21" t="s">
        <v>133</v>
      </c>
      <c r="C60" s="21">
        <v>2022</v>
      </c>
      <c r="D60" s="55">
        <f>53.22*100000000</f>
        <v>5322000000</v>
      </c>
      <c r="E60" s="55" t="s">
        <v>114</v>
      </c>
      <c r="F60" s="21"/>
      <c r="G60" s="21"/>
      <c r="H60" s="21"/>
      <c r="I60" s="21"/>
      <c r="J60" s="21"/>
      <c r="K60" s="21"/>
      <c r="L60" s="21"/>
      <c r="M60" s="55"/>
      <c r="N60" s="38"/>
      <c r="O60" s="53"/>
      <c r="P60" s="35"/>
      <c r="Q60" s="53"/>
      <c r="R60" s="35"/>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5"/>
      <c r="AT60" s="35"/>
      <c r="AU60" s="52"/>
      <c r="AV60" s="35"/>
      <c r="AW60" s="35"/>
      <c r="AX60" s="52"/>
      <c r="AY60" s="52"/>
      <c r="AZ60" s="52"/>
      <c r="BA60" s="52"/>
      <c r="BB60" s="38" t="e">
        <f t="shared" si="71"/>
        <v>#DIV/0!</v>
      </c>
      <c r="BC60" s="38"/>
      <c r="BD60" s="52"/>
      <c r="BE60" s="52"/>
      <c r="BF60" s="52"/>
      <c r="BG60" s="52"/>
      <c r="BJ60" s="52"/>
      <c r="BK60" s="52"/>
      <c r="BL60" s="35" t="e">
        <f t="shared" si="72"/>
        <v>#DIV/0!</v>
      </c>
      <c r="BM60" s="231"/>
      <c r="BN60" s="231"/>
      <c r="BO60" s="234"/>
      <c r="BP60" s="231"/>
      <c r="BQ60" s="231"/>
      <c r="BR60" s="236"/>
      <c r="BS60" s="236"/>
      <c r="BT60" s="236"/>
      <c r="BU60" s="236"/>
      <c r="BV60" s="236"/>
      <c r="BW60" s="236"/>
      <c r="BX60" s="236"/>
      <c r="BY60" s="231"/>
      <c r="BZ60" s="231"/>
      <c r="CA60" s="68"/>
      <c r="CB60" s="68"/>
      <c r="CC60" s="53"/>
      <c r="CD60" s="68"/>
      <c r="CE60" s="68"/>
      <c r="CF60" s="68"/>
      <c r="CG60" s="68"/>
      <c r="CH60" s="68"/>
      <c r="CI60" s="68"/>
      <c r="CJ60" s="68"/>
      <c r="CK60" s="68"/>
      <c r="CL60" s="180">
        <f t="shared" si="76"/>
        <v>0</v>
      </c>
      <c r="CM60" s="35"/>
      <c r="CN60" s="35"/>
      <c r="CO60" s="52"/>
      <c r="CP60" s="35"/>
      <c r="CQ60" s="52"/>
      <c r="CR60" s="35"/>
      <c r="CS60" s="52"/>
      <c r="CT60" s="35"/>
      <c r="CU60" s="52"/>
      <c r="CV60" s="52"/>
      <c r="CW60" s="53"/>
      <c r="CX60" s="53"/>
      <c r="CY60" s="130"/>
      <c r="CZ60" s="35" t="e">
        <f t="shared" si="75"/>
        <v>#DIV/0!</v>
      </c>
      <c r="DA60" s="35" t="e">
        <f t="shared" si="74"/>
        <v>#DIV/0!</v>
      </c>
      <c r="DB60" s="250"/>
      <c r="DC60" s="35"/>
      <c r="DD60" s="53"/>
      <c r="DE60" s="53"/>
      <c r="DF60" s="53"/>
      <c r="DG60" s="53"/>
      <c r="DH60" s="53"/>
      <c r="DI60" s="53"/>
      <c r="DJ60" s="130"/>
      <c r="DK60" s="207"/>
      <c r="DL60" s="68"/>
      <c r="DM60" s="68"/>
      <c r="DN60" s="68"/>
      <c r="DO60" s="68"/>
    </row>
    <row r="61" spans="1:119">
      <c r="A61" s="12"/>
      <c r="B61" s="21"/>
      <c r="C61" s="21">
        <v>2021</v>
      </c>
      <c r="D61" s="55">
        <f>79.03*100000000</f>
        <v>7903000000</v>
      </c>
      <c r="E61" s="55" t="s">
        <v>118</v>
      </c>
      <c r="F61" s="21"/>
      <c r="G61" s="21"/>
      <c r="H61" s="21"/>
      <c r="I61" s="21"/>
      <c r="J61" s="21"/>
      <c r="K61" s="21"/>
      <c r="L61" s="21"/>
      <c r="M61" s="55"/>
      <c r="N61" s="38"/>
      <c r="O61" s="53"/>
      <c r="P61" s="35"/>
      <c r="Q61" s="53"/>
      <c r="R61" s="35"/>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5"/>
      <c r="AT61" s="35"/>
      <c r="AU61" s="52"/>
      <c r="AV61" s="35"/>
      <c r="AW61" s="35"/>
      <c r="AX61" s="52"/>
      <c r="AY61" s="52"/>
      <c r="AZ61" s="52"/>
      <c r="BA61" s="52"/>
      <c r="BB61" s="38" t="e">
        <f t="shared" si="71"/>
        <v>#DIV/0!</v>
      </c>
      <c r="BC61" s="38"/>
      <c r="BD61" s="52"/>
      <c r="BE61" s="52"/>
      <c r="BF61" s="52"/>
      <c r="BG61" s="52"/>
      <c r="BJ61" s="52"/>
      <c r="BK61" s="52"/>
      <c r="BL61" s="35" t="e">
        <f t="shared" si="72"/>
        <v>#DIV/0!</v>
      </c>
      <c r="BM61" s="231"/>
      <c r="BN61" s="231"/>
      <c r="BO61" s="234"/>
      <c r="BP61" s="231"/>
      <c r="BQ61" s="231"/>
      <c r="BR61" s="236"/>
      <c r="BS61" s="236"/>
      <c r="BT61" s="236"/>
      <c r="BU61" s="236"/>
      <c r="BV61" s="236"/>
      <c r="BW61" s="236"/>
      <c r="BX61" s="236"/>
      <c r="BY61" s="231"/>
      <c r="BZ61" s="231"/>
      <c r="CA61" s="68"/>
      <c r="CB61" s="68"/>
      <c r="CC61" s="53"/>
      <c r="CD61" s="68"/>
      <c r="CE61" s="68"/>
      <c r="CF61" s="68"/>
      <c r="CG61" s="68"/>
      <c r="CH61" s="68"/>
      <c r="CI61" s="68"/>
      <c r="CJ61" s="68"/>
      <c r="CK61" s="68"/>
      <c r="CL61" s="180">
        <f t="shared" si="76"/>
        <v>0</v>
      </c>
      <c r="CM61" s="35"/>
      <c r="CN61" s="35"/>
      <c r="CO61" s="52"/>
      <c r="CP61" s="35"/>
      <c r="CQ61" s="52"/>
      <c r="CR61" s="35"/>
      <c r="CS61" s="52"/>
      <c r="CT61" s="35"/>
      <c r="CU61" s="52"/>
      <c r="CV61" s="52"/>
      <c r="CW61" s="53"/>
      <c r="CX61" s="53"/>
      <c r="CY61" s="130"/>
      <c r="CZ61" s="35" t="e">
        <f t="shared" si="75"/>
        <v>#DIV/0!</v>
      </c>
      <c r="DA61" s="35" t="e">
        <f t="shared" si="74"/>
        <v>#DIV/0!</v>
      </c>
      <c r="DB61" s="250"/>
      <c r="DC61" s="35"/>
      <c r="DD61" s="53"/>
      <c r="DE61" s="53"/>
      <c r="DF61" s="53"/>
      <c r="DG61" s="53"/>
      <c r="DH61" s="53"/>
      <c r="DI61" s="53"/>
      <c r="DJ61" s="130"/>
      <c r="DK61" s="207"/>
      <c r="DL61" s="68"/>
      <c r="DM61" s="68"/>
      <c r="DN61" s="68"/>
      <c r="DO61" s="68"/>
    </row>
    <row r="62" spans="1:119">
      <c r="A62" s="12"/>
      <c r="B62" s="21"/>
      <c r="C62" s="21">
        <v>2020</v>
      </c>
      <c r="D62" s="55">
        <f>78.11*100000000</f>
        <v>7811000000</v>
      </c>
      <c r="E62" s="55" t="s">
        <v>119</v>
      </c>
      <c r="F62" s="21"/>
      <c r="G62" s="21"/>
      <c r="H62" s="21"/>
      <c r="I62" s="21"/>
      <c r="J62" s="21"/>
      <c r="K62" s="21"/>
      <c r="L62" s="21"/>
      <c r="M62" s="55"/>
      <c r="N62" s="38"/>
      <c r="O62" s="53"/>
      <c r="P62" s="35"/>
      <c r="Q62" s="53"/>
      <c r="R62" s="35"/>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5"/>
      <c r="AT62" s="35"/>
      <c r="AU62" s="52"/>
      <c r="AV62" s="35"/>
      <c r="AW62" s="35"/>
      <c r="AX62" s="52"/>
      <c r="AY62" s="52"/>
      <c r="AZ62" s="52"/>
      <c r="BA62" s="52"/>
      <c r="BB62" s="38" t="e">
        <f t="shared" si="71"/>
        <v>#DIV/0!</v>
      </c>
      <c r="BC62" s="38"/>
      <c r="BD62" s="52"/>
      <c r="BE62" s="52"/>
      <c r="BF62" s="52"/>
      <c r="BG62" s="52"/>
      <c r="BJ62" s="52"/>
      <c r="BK62" s="52"/>
      <c r="BL62" s="35" t="e">
        <f t="shared" si="72"/>
        <v>#DIV/0!</v>
      </c>
      <c r="BM62" s="231"/>
      <c r="BN62" s="231"/>
      <c r="BO62" s="234"/>
      <c r="BP62" s="231"/>
      <c r="BQ62" s="231"/>
      <c r="BR62" s="236"/>
      <c r="BS62" s="236"/>
      <c r="BT62" s="236"/>
      <c r="BU62" s="236"/>
      <c r="BV62" s="236"/>
      <c r="BW62" s="236"/>
      <c r="BX62" s="236"/>
      <c r="BY62" s="231"/>
      <c r="BZ62" s="231"/>
      <c r="CA62" s="68"/>
      <c r="CB62" s="68"/>
      <c r="CC62" s="53"/>
      <c r="CD62" s="68"/>
      <c r="CE62" s="68"/>
      <c r="CF62" s="68"/>
      <c r="CG62" s="68"/>
      <c r="CH62" s="68"/>
      <c r="CI62" s="68"/>
      <c r="CJ62" s="68"/>
      <c r="CK62" s="68"/>
      <c r="CL62" s="180">
        <f t="shared" si="76"/>
        <v>0</v>
      </c>
      <c r="CM62" s="35"/>
      <c r="CN62" s="35"/>
      <c r="CO62" s="52"/>
      <c r="CP62" s="35"/>
      <c r="CQ62" s="52"/>
      <c r="CR62" s="35"/>
      <c r="CS62" s="52"/>
      <c r="CT62" s="35"/>
      <c r="CU62" s="52"/>
      <c r="CV62" s="52"/>
      <c r="CW62" s="53"/>
      <c r="CX62" s="53"/>
      <c r="CY62" s="130"/>
      <c r="CZ62" s="35" t="e">
        <f t="shared" si="75"/>
        <v>#DIV/0!</v>
      </c>
      <c r="DA62" s="35" t="e">
        <f t="shared" si="74"/>
        <v>#DIV/0!</v>
      </c>
      <c r="DB62" s="250"/>
      <c r="DC62" s="35"/>
      <c r="DD62" s="53"/>
      <c r="DE62" s="53"/>
      <c r="DF62" s="53"/>
      <c r="DG62" s="53"/>
      <c r="DH62" s="53"/>
      <c r="DI62" s="53"/>
      <c r="DJ62" s="130"/>
      <c r="DK62" s="207"/>
      <c r="DL62" s="68"/>
      <c r="DM62" s="68"/>
      <c r="DN62" s="68"/>
      <c r="DO62" s="68"/>
    </row>
    <row r="63" spans="1:119">
      <c r="A63" s="12"/>
      <c r="B63" s="21"/>
      <c r="C63" s="21">
        <v>2019</v>
      </c>
      <c r="D63" s="55">
        <f>41.24*100000000</f>
        <v>4124000000</v>
      </c>
      <c r="E63" s="55" t="s">
        <v>120</v>
      </c>
      <c r="F63" s="21"/>
      <c r="G63" s="21"/>
      <c r="H63" s="21"/>
      <c r="I63" s="21"/>
      <c r="J63" s="21"/>
      <c r="K63" s="21"/>
      <c r="L63" s="21"/>
      <c r="M63" s="55"/>
      <c r="N63" s="38"/>
      <c r="O63" s="53"/>
      <c r="P63" s="35"/>
      <c r="Q63" s="53"/>
      <c r="R63" s="35"/>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5"/>
      <c r="AT63" s="35"/>
      <c r="AU63" s="52"/>
      <c r="AV63" s="35"/>
      <c r="AW63" s="35"/>
      <c r="AX63" s="52"/>
      <c r="AY63" s="52"/>
      <c r="AZ63" s="52"/>
      <c r="BA63" s="52"/>
      <c r="BB63" s="38" t="e">
        <f t="shared" si="71"/>
        <v>#DIV/0!</v>
      </c>
      <c r="BC63" s="38"/>
      <c r="BD63" s="52"/>
      <c r="BE63" s="52"/>
      <c r="BF63" s="52"/>
      <c r="BG63" s="52"/>
      <c r="BJ63" s="52"/>
      <c r="BK63" s="52"/>
      <c r="BL63" s="35" t="e">
        <f t="shared" si="72"/>
        <v>#DIV/0!</v>
      </c>
      <c r="BM63" s="231"/>
      <c r="BN63" s="231"/>
      <c r="BO63" s="234"/>
      <c r="BP63" s="231"/>
      <c r="BQ63" s="231"/>
      <c r="BR63" s="236"/>
      <c r="BS63" s="236"/>
      <c r="BT63" s="236"/>
      <c r="BU63" s="236"/>
      <c r="BV63" s="236"/>
      <c r="BW63" s="236"/>
      <c r="BX63" s="236"/>
      <c r="BY63" s="231"/>
      <c r="BZ63" s="231"/>
      <c r="CA63" s="68"/>
      <c r="CB63" s="68"/>
      <c r="CC63" s="53"/>
      <c r="CD63" s="68"/>
      <c r="CE63" s="68"/>
      <c r="CF63" s="68"/>
      <c r="CG63" s="68"/>
      <c r="CH63" s="68"/>
      <c r="CI63" s="68"/>
      <c r="CJ63" s="68"/>
      <c r="CK63" s="68"/>
      <c r="CL63" s="180">
        <f t="shared" si="76"/>
        <v>0</v>
      </c>
      <c r="CM63" s="35"/>
      <c r="CN63" s="35"/>
      <c r="CO63" s="52"/>
      <c r="CP63" s="35"/>
      <c r="CQ63" s="52"/>
      <c r="CR63" s="35"/>
      <c r="CS63" s="52"/>
      <c r="CT63" s="35"/>
      <c r="CU63" s="52"/>
      <c r="CV63" s="52"/>
      <c r="CW63" s="53"/>
      <c r="CX63" s="53"/>
      <c r="CY63" s="130"/>
      <c r="CZ63" s="35" t="e">
        <f t="shared" si="75"/>
        <v>#DIV/0!</v>
      </c>
      <c r="DA63" s="35" t="e">
        <f t="shared" si="74"/>
        <v>#DIV/0!</v>
      </c>
      <c r="DB63" s="250"/>
      <c r="DC63" s="35"/>
      <c r="DD63" s="53"/>
      <c r="DE63" s="53"/>
      <c r="DF63" s="53"/>
      <c r="DG63" s="53"/>
      <c r="DH63" s="53"/>
      <c r="DI63" s="53"/>
      <c r="DJ63" s="130"/>
      <c r="DK63" s="207"/>
      <c r="DL63" s="68"/>
      <c r="DM63" s="68"/>
      <c r="DN63" s="68"/>
      <c r="DO63" s="68"/>
    </row>
    <row r="64" spans="1:119">
      <c r="A64" s="12"/>
      <c r="B64" s="21"/>
      <c r="C64" s="21">
        <v>2018</v>
      </c>
      <c r="D64" s="55">
        <f>41.47*100000000</f>
        <v>4147000000</v>
      </c>
      <c r="E64" s="55" t="s">
        <v>121</v>
      </c>
      <c r="F64" s="21"/>
      <c r="G64" s="21"/>
      <c r="H64" s="21"/>
      <c r="I64" s="21"/>
      <c r="J64" s="21"/>
      <c r="K64" s="21"/>
      <c r="L64" s="21"/>
      <c r="M64" s="55"/>
      <c r="N64" s="38"/>
      <c r="O64" s="53"/>
      <c r="P64" s="35"/>
      <c r="Q64" s="53"/>
      <c r="R64" s="35"/>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5"/>
      <c r="AT64" s="35"/>
      <c r="AU64" s="52"/>
      <c r="AV64" s="35"/>
      <c r="AW64" s="35"/>
      <c r="AX64" s="52"/>
      <c r="AY64" s="52"/>
      <c r="AZ64" s="52"/>
      <c r="BA64" s="52"/>
      <c r="BB64" s="38" t="e">
        <f t="shared" si="71"/>
        <v>#DIV/0!</v>
      </c>
      <c r="BC64" s="38"/>
      <c r="BD64" s="52"/>
      <c r="BE64" s="52"/>
      <c r="BF64" s="52"/>
      <c r="BG64" s="52"/>
      <c r="BJ64" s="52"/>
      <c r="BK64" s="52"/>
      <c r="BL64" s="35" t="e">
        <f t="shared" si="72"/>
        <v>#DIV/0!</v>
      </c>
      <c r="BM64" s="231"/>
      <c r="BN64" s="231"/>
      <c r="BO64" s="234"/>
      <c r="BP64" s="231"/>
      <c r="BQ64" s="231"/>
      <c r="BR64" s="236"/>
      <c r="BS64" s="236"/>
      <c r="BT64" s="236"/>
      <c r="BU64" s="236"/>
      <c r="BV64" s="236"/>
      <c r="BW64" s="236"/>
      <c r="BX64" s="236"/>
      <c r="BY64" s="231"/>
      <c r="BZ64" s="231"/>
      <c r="CA64" s="68"/>
      <c r="CB64" s="68"/>
      <c r="CC64" s="53"/>
      <c r="CD64" s="68"/>
      <c r="CE64" s="68"/>
      <c r="CF64" s="68"/>
      <c r="CG64" s="68"/>
      <c r="CH64" s="68"/>
      <c r="CI64" s="68"/>
      <c r="CJ64" s="68"/>
      <c r="CK64" s="68"/>
      <c r="CL64" s="180">
        <f t="shared" si="76"/>
        <v>0</v>
      </c>
      <c r="CM64" s="35"/>
      <c r="CN64" s="35"/>
      <c r="CO64" s="52"/>
      <c r="CP64" s="35"/>
      <c r="CQ64" s="52"/>
      <c r="CR64" s="35"/>
      <c r="CS64" s="52"/>
      <c r="CT64" s="35"/>
      <c r="CU64" s="52"/>
      <c r="CV64" s="52"/>
      <c r="CW64" s="53"/>
      <c r="CX64" s="53"/>
      <c r="CY64" s="130"/>
      <c r="CZ64" s="35" t="e">
        <f t="shared" si="75"/>
        <v>#DIV/0!</v>
      </c>
      <c r="DA64" s="35" t="e">
        <f t="shared" si="74"/>
        <v>#DIV/0!</v>
      </c>
      <c r="DB64" s="250"/>
      <c r="DC64" s="35"/>
      <c r="DD64" s="53"/>
      <c r="DE64" s="53"/>
      <c r="DF64" s="53"/>
      <c r="DG64" s="53"/>
      <c r="DH64" s="53"/>
      <c r="DI64" s="53"/>
      <c r="DJ64" s="130"/>
      <c r="DK64" s="207"/>
      <c r="DL64" s="68"/>
      <c r="DM64" s="68"/>
      <c r="DN64" s="68"/>
      <c r="DO64" s="68"/>
    </row>
    <row r="65" spans="1:119">
      <c r="A65" s="12"/>
      <c r="B65" s="21"/>
      <c r="C65" s="21">
        <v>2017</v>
      </c>
      <c r="D65" s="55">
        <f>81.33*100000000</f>
        <v>8133000000</v>
      </c>
      <c r="E65" s="55" t="s">
        <v>122</v>
      </c>
      <c r="F65" s="21"/>
      <c r="G65" s="21"/>
      <c r="H65" s="21"/>
      <c r="I65" s="21"/>
      <c r="J65" s="21"/>
      <c r="K65" s="21"/>
      <c r="L65" s="21"/>
      <c r="M65" s="55"/>
      <c r="N65" s="38"/>
      <c r="O65" s="53"/>
      <c r="P65" s="35"/>
      <c r="Q65" s="53"/>
      <c r="R65" s="35"/>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5"/>
      <c r="AT65" s="35"/>
      <c r="AU65" s="52"/>
      <c r="AV65" s="35"/>
      <c r="AW65" s="35"/>
      <c r="AX65" s="52"/>
      <c r="AY65" s="52"/>
      <c r="AZ65" s="52"/>
      <c r="BA65" s="52"/>
      <c r="BB65" s="38" t="e">
        <f t="shared" si="71"/>
        <v>#DIV/0!</v>
      </c>
      <c r="BC65" s="38"/>
      <c r="BD65" s="52"/>
      <c r="BE65" s="52"/>
      <c r="BF65" s="52"/>
      <c r="BG65" s="52"/>
      <c r="BJ65" s="52"/>
      <c r="BK65" s="52"/>
      <c r="BL65" s="35" t="e">
        <f t="shared" si="72"/>
        <v>#DIV/0!</v>
      </c>
      <c r="BM65" s="231"/>
      <c r="BN65" s="231"/>
      <c r="BO65" s="234"/>
      <c r="BP65" s="231"/>
      <c r="BQ65" s="231"/>
      <c r="BR65" s="236"/>
      <c r="BS65" s="236"/>
      <c r="BT65" s="236"/>
      <c r="BU65" s="236"/>
      <c r="BV65" s="236"/>
      <c r="BW65" s="236"/>
      <c r="BX65" s="236"/>
      <c r="BY65" s="231"/>
      <c r="BZ65" s="231"/>
      <c r="CA65" s="68"/>
      <c r="CB65" s="68"/>
      <c r="CC65" s="53"/>
      <c r="CD65" s="68"/>
      <c r="CE65" s="68"/>
      <c r="CF65" s="68"/>
      <c r="CG65" s="68"/>
      <c r="CH65" s="68"/>
      <c r="CI65" s="68"/>
      <c r="CJ65" s="68"/>
      <c r="CK65" s="68"/>
      <c r="CL65" s="180">
        <f t="shared" si="76"/>
        <v>0</v>
      </c>
      <c r="CM65" s="35"/>
      <c r="CN65" s="35"/>
      <c r="CO65" s="52"/>
      <c r="CP65" s="35"/>
      <c r="CQ65" s="52"/>
      <c r="CR65" s="35"/>
      <c r="CS65" s="52"/>
      <c r="CT65" s="35"/>
      <c r="CU65" s="52"/>
      <c r="CV65" s="52"/>
      <c r="CW65" s="53"/>
      <c r="CX65" s="53"/>
      <c r="CY65" s="130"/>
      <c r="CZ65" s="35" t="e">
        <f t="shared" si="75"/>
        <v>#DIV/0!</v>
      </c>
      <c r="DA65" s="35" t="e">
        <f t="shared" si="74"/>
        <v>#DIV/0!</v>
      </c>
      <c r="DB65" s="250"/>
      <c r="DC65" s="35"/>
      <c r="DD65" s="53"/>
      <c r="DE65" s="53"/>
      <c r="DF65" s="53"/>
      <c r="DG65" s="53"/>
      <c r="DH65" s="53"/>
      <c r="DI65" s="53"/>
      <c r="DJ65" s="130"/>
      <c r="DK65" s="207"/>
      <c r="DL65" s="68"/>
      <c r="DM65" s="68"/>
      <c r="DN65" s="68"/>
      <c r="DO65" s="68"/>
    </row>
    <row r="66" spans="1:119">
      <c r="A66" s="12"/>
      <c r="B66" s="21"/>
      <c r="C66" s="21">
        <v>2016</v>
      </c>
      <c r="D66" s="55">
        <f>81.1*100000000</f>
        <v>8110000000</v>
      </c>
      <c r="E66" s="55" t="s">
        <v>123</v>
      </c>
      <c r="F66" s="21"/>
      <c r="G66" s="21"/>
      <c r="H66" s="21"/>
      <c r="I66" s="21"/>
      <c r="J66" s="21"/>
      <c r="K66" s="21"/>
      <c r="L66" s="21"/>
      <c r="M66" s="55"/>
      <c r="N66" s="38"/>
      <c r="O66" s="53"/>
      <c r="P66" s="35"/>
      <c r="Q66" s="53"/>
      <c r="R66" s="35"/>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5"/>
      <c r="AT66" s="35"/>
      <c r="AU66" s="52"/>
      <c r="AV66" s="35"/>
      <c r="AW66" s="35"/>
      <c r="AX66" s="52"/>
      <c r="AY66" s="52"/>
      <c r="AZ66" s="52"/>
      <c r="BA66" s="52"/>
      <c r="BB66" s="38" t="e">
        <f t="shared" si="71"/>
        <v>#DIV/0!</v>
      </c>
      <c r="BC66" s="38"/>
      <c r="BD66" s="52"/>
      <c r="BE66" s="52"/>
      <c r="BF66" s="52"/>
      <c r="BG66" s="52"/>
      <c r="BJ66" s="52"/>
      <c r="BK66" s="52"/>
      <c r="BL66" s="35" t="e">
        <f t="shared" si="72"/>
        <v>#DIV/0!</v>
      </c>
      <c r="BM66" s="231"/>
      <c r="BN66" s="231"/>
      <c r="BO66" s="234"/>
      <c r="BP66" s="231"/>
      <c r="BQ66" s="231"/>
      <c r="BR66" s="236"/>
      <c r="BS66" s="236"/>
      <c r="BT66" s="236"/>
      <c r="BU66" s="236"/>
      <c r="BV66" s="236"/>
      <c r="BW66" s="236"/>
      <c r="BX66" s="236"/>
      <c r="BY66" s="231"/>
      <c r="BZ66" s="231"/>
      <c r="CA66" s="68"/>
      <c r="CB66" s="68"/>
      <c r="CC66" s="53"/>
      <c r="CD66" s="68"/>
      <c r="CE66" s="68"/>
      <c r="CF66" s="68"/>
      <c r="CG66" s="68"/>
      <c r="CH66" s="68"/>
      <c r="CI66" s="68"/>
      <c r="CJ66" s="68"/>
      <c r="CK66" s="68"/>
      <c r="CL66" s="180">
        <f t="shared" si="76"/>
        <v>0</v>
      </c>
      <c r="CM66" s="35"/>
      <c r="CN66" s="35"/>
      <c r="CO66" s="52"/>
      <c r="CP66" s="35"/>
      <c r="CQ66" s="52"/>
      <c r="CR66" s="35"/>
      <c r="CS66" s="52"/>
      <c r="CT66" s="35"/>
      <c r="CU66" s="52"/>
      <c r="CV66" s="52"/>
      <c r="CW66" s="53"/>
      <c r="CX66" s="53"/>
      <c r="CY66" s="130"/>
      <c r="CZ66" s="35" t="e">
        <f t="shared" si="75"/>
        <v>#DIV/0!</v>
      </c>
      <c r="DA66" s="35" t="e">
        <f t="shared" si="74"/>
        <v>#DIV/0!</v>
      </c>
      <c r="DB66" s="250"/>
      <c r="DC66" s="35"/>
      <c r="DD66" s="53"/>
      <c r="DE66" s="53"/>
      <c r="DF66" s="53"/>
      <c r="DG66" s="53"/>
      <c r="DH66" s="53"/>
      <c r="DI66" s="53"/>
      <c r="DJ66" s="130"/>
      <c r="DK66" s="207"/>
      <c r="DL66" s="68"/>
      <c r="DM66" s="68"/>
      <c r="DN66" s="68"/>
      <c r="DO66" s="68"/>
    </row>
    <row r="67" spans="1:119">
      <c r="A67" s="12"/>
      <c r="B67" s="21"/>
      <c r="C67" s="21">
        <v>2015</v>
      </c>
      <c r="D67" s="55">
        <f>93.54*100000000</f>
        <v>9354000000</v>
      </c>
      <c r="E67" s="55" t="s">
        <v>124</v>
      </c>
      <c r="F67" s="21"/>
      <c r="G67" s="21"/>
      <c r="H67" s="21"/>
      <c r="I67" s="21"/>
      <c r="J67" s="21"/>
      <c r="K67" s="21"/>
      <c r="L67" s="21"/>
      <c r="M67" s="55"/>
      <c r="N67" s="38"/>
      <c r="O67" s="53"/>
      <c r="P67" s="35"/>
      <c r="Q67" s="53"/>
      <c r="R67" s="35"/>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5"/>
      <c r="AT67" s="35"/>
      <c r="AU67" s="52"/>
      <c r="AV67" s="35"/>
      <c r="AW67" s="35"/>
      <c r="AX67" s="52"/>
      <c r="AY67" s="52"/>
      <c r="AZ67" s="52"/>
      <c r="BA67" s="52"/>
      <c r="BB67" s="38" t="e">
        <f t="shared" si="71"/>
        <v>#DIV/0!</v>
      </c>
      <c r="BC67" s="38"/>
      <c r="BD67" s="52"/>
      <c r="BE67" s="52"/>
      <c r="BF67" s="52"/>
      <c r="BG67" s="52"/>
      <c r="BJ67" s="52"/>
      <c r="BK67" s="52"/>
      <c r="BL67" s="35" t="e">
        <f t="shared" si="72"/>
        <v>#DIV/0!</v>
      </c>
      <c r="BM67" s="231"/>
      <c r="BN67" s="231"/>
      <c r="BO67" s="234"/>
      <c r="BP67" s="231"/>
      <c r="BQ67" s="231"/>
      <c r="BR67" s="236"/>
      <c r="BS67" s="236"/>
      <c r="BT67" s="236"/>
      <c r="BU67" s="236"/>
      <c r="BV67" s="236"/>
      <c r="BW67" s="236"/>
      <c r="BX67" s="236"/>
      <c r="BY67" s="231"/>
      <c r="BZ67" s="231"/>
      <c r="CA67" s="68"/>
      <c r="CB67" s="68"/>
      <c r="CC67" s="53"/>
      <c r="CD67" s="68"/>
      <c r="CE67" s="68"/>
      <c r="CF67" s="68"/>
      <c r="CG67" s="68"/>
      <c r="CH67" s="68"/>
      <c r="CI67" s="68"/>
      <c r="CJ67" s="68"/>
      <c r="CK67" s="68"/>
      <c r="CL67" s="180">
        <f t="shared" si="76"/>
        <v>0</v>
      </c>
      <c r="CM67" s="35"/>
      <c r="CN67" s="35"/>
      <c r="CO67" s="52"/>
      <c r="CP67" s="35"/>
      <c r="CQ67" s="52"/>
      <c r="CR67" s="35"/>
      <c r="CS67" s="52"/>
      <c r="CT67" s="35"/>
      <c r="CU67" s="52"/>
      <c r="CV67" s="52"/>
      <c r="CW67" s="53"/>
      <c r="CX67" s="53"/>
      <c r="CY67" s="130"/>
      <c r="CZ67" s="35" t="e">
        <f t="shared" si="75"/>
        <v>#DIV/0!</v>
      </c>
      <c r="DA67" s="35" t="e">
        <f t="shared" si="74"/>
        <v>#DIV/0!</v>
      </c>
      <c r="DB67" s="250"/>
      <c r="DC67" s="35"/>
      <c r="DD67" s="53"/>
      <c r="DE67" s="53"/>
      <c r="DF67" s="53"/>
      <c r="DG67" s="53"/>
      <c r="DH67" s="53"/>
      <c r="DI67" s="53"/>
      <c r="DJ67" s="130"/>
      <c r="DK67" s="207"/>
      <c r="DL67" s="68"/>
      <c r="DM67" s="68"/>
      <c r="DN67" s="68"/>
      <c r="DO67" s="68"/>
    </row>
    <row r="68" spans="1:119">
      <c r="A68" s="12"/>
      <c r="B68" s="21"/>
      <c r="C68" s="21">
        <v>2014</v>
      </c>
      <c r="D68" s="55">
        <f>54.51*100000000</f>
        <v>5451000000</v>
      </c>
      <c r="E68" s="55" t="s">
        <v>125</v>
      </c>
      <c r="F68" s="21"/>
      <c r="G68" s="21"/>
      <c r="H68" s="21"/>
      <c r="I68" s="21"/>
      <c r="J68" s="21"/>
      <c r="K68" s="21"/>
      <c r="L68" s="21"/>
      <c r="M68" s="55"/>
      <c r="N68" s="38"/>
      <c r="O68" s="53"/>
      <c r="P68" s="35"/>
      <c r="Q68" s="53"/>
      <c r="R68" s="35"/>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5"/>
      <c r="AT68" s="35"/>
      <c r="AU68" s="52"/>
      <c r="AV68" s="35"/>
      <c r="AW68" s="35"/>
      <c r="AX68" s="52"/>
      <c r="AY68" s="52"/>
      <c r="AZ68" s="52"/>
      <c r="BA68" s="52"/>
      <c r="BB68" s="38" t="e">
        <f t="shared" si="71"/>
        <v>#DIV/0!</v>
      </c>
      <c r="BC68" s="38"/>
      <c r="BD68" s="52"/>
      <c r="BE68" s="52"/>
      <c r="BF68" s="52"/>
      <c r="BG68" s="52"/>
      <c r="BJ68" s="52"/>
      <c r="BK68" s="52"/>
      <c r="BL68" s="35" t="e">
        <f t="shared" si="72"/>
        <v>#DIV/0!</v>
      </c>
      <c r="BM68" s="231"/>
      <c r="BN68" s="231"/>
      <c r="BO68" s="234"/>
      <c r="BP68" s="231"/>
      <c r="BQ68" s="231"/>
      <c r="BR68" s="236"/>
      <c r="BS68" s="236"/>
      <c r="BT68" s="236"/>
      <c r="BU68" s="236"/>
      <c r="BV68" s="236"/>
      <c r="BW68" s="236"/>
      <c r="BX68" s="236"/>
      <c r="BY68" s="231"/>
      <c r="BZ68" s="231"/>
      <c r="CA68" s="68"/>
      <c r="CB68" s="68"/>
      <c r="CC68" s="53"/>
      <c r="CD68" s="68"/>
      <c r="CE68" s="68"/>
      <c r="CF68" s="68"/>
      <c r="CG68" s="68"/>
      <c r="CH68" s="68"/>
      <c r="CI68" s="68"/>
      <c r="CJ68" s="68"/>
      <c r="CK68" s="68"/>
      <c r="CL68" s="180">
        <f t="shared" si="76"/>
        <v>0</v>
      </c>
      <c r="CM68" s="35"/>
      <c r="CN68" s="35"/>
      <c r="CO68" s="52"/>
      <c r="CP68" s="35"/>
      <c r="CQ68" s="52"/>
      <c r="CR68" s="35"/>
      <c r="CS68" s="52"/>
      <c r="CT68" s="35"/>
      <c r="CU68" s="52"/>
      <c r="CV68" s="52"/>
      <c r="CW68" s="53"/>
      <c r="CX68" s="53"/>
      <c r="CY68" s="130"/>
      <c r="CZ68" s="35" t="e">
        <f t="shared" si="75"/>
        <v>#DIV/0!</v>
      </c>
      <c r="DA68" s="35" t="e">
        <f t="shared" si="74"/>
        <v>#DIV/0!</v>
      </c>
      <c r="DB68" s="250"/>
      <c r="DC68" s="35"/>
      <c r="DD68" s="53"/>
      <c r="DE68" s="53"/>
      <c r="DF68" s="53"/>
      <c r="DG68" s="53"/>
      <c r="DH68" s="53"/>
      <c r="DI68" s="53"/>
      <c r="DJ68" s="130"/>
      <c r="DK68" s="207"/>
      <c r="DL68" s="68"/>
      <c r="DM68" s="68"/>
      <c r="DN68" s="68"/>
      <c r="DO68" s="68"/>
    </row>
    <row r="69" spans="1:119">
      <c r="A69" s="12"/>
      <c r="B69" s="21"/>
      <c r="C69" s="21">
        <v>2013</v>
      </c>
      <c r="D69" s="55">
        <f>43.82*100000000</f>
        <v>4382000000</v>
      </c>
      <c r="E69" s="21" t="s">
        <v>129</v>
      </c>
      <c r="F69" s="21"/>
      <c r="G69" s="21"/>
      <c r="H69" s="21"/>
      <c r="I69" s="21"/>
      <c r="J69" s="21"/>
      <c r="K69" s="21"/>
      <c r="L69" s="21"/>
      <c r="M69" s="55"/>
      <c r="N69" s="38"/>
      <c r="O69" s="53"/>
      <c r="P69" s="35"/>
      <c r="Q69" s="53"/>
      <c r="R69" s="35"/>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5"/>
      <c r="AT69" s="35"/>
      <c r="AU69" s="52"/>
      <c r="AV69" s="35"/>
      <c r="AW69" s="35"/>
      <c r="AX69" s="52"/>
      <c r="AY69" s="52"/>
      <c r="AZ69" s="52"/>
      <c r="BA69" s="52"/>
      <c r="BB69" s="38" t="e">
        <f t="shared" si="71"/>
        <v>#DIV/0!</v>
      </c>
      <c r="BC69" s="38"/>
      <c r="BD69" s="52"/>
      <c r="BE69" s="52"/>
      <c r="BF69" s="52"/>
      <c r="BG69" s="52"/>
      <c r="BJ69" s="52"/>
      <c r="BK69" s="52"/>
      <c r="BL69" s="35" t="e">
        <f t="shared" si="72"/>
        <v>#DIV/0!</v>
      </c>
      <c r="BM69" s="231"/>
      <c r="BN69" s="231"/>
      <c r="BO69" s="234"/>
      <c r="BP69" s="231"/>
      <c r="BQ69" s="231"/>
      <c r="BR69" s="236"/>
      <c r="BS69" s="236"/>
      <c r="BT69" s="236"/>
      <c r="BU69" s="236"/>
      <c r="BV69" s="236"/>
      <c r="BW69" s="236"/>
      <c r="BX69" s="236"/>
      <c r="BY69" s="231"/>
      <c r="BZ69" s="231"/>
      <c r="CA69" s="68"/>
      <c r="CB69" s="68"/>
      <c r="CC69" s="53"/>
      <c r="CD69" s="68"/>
      <c r="CE69" s="68"/>
      <c r="CF69" s="68"/>
      <c r="CG69" s="68"/>
      <c r="CH69" s="68"/>
      <c r="CI69" s="68"/>
      <c r="CJ69" s="68"/>
      <c r="CK69" s="68"/>
      <c r="CL69" s="180">
        <f t="shared" si="76"/>
        <v>0</v>
      </c>
      <c r="CM69" s="35"/>
      <c r="CN69" s="35"/>
      <c r="CO69" s="52"/>
      <c r="CP69" s="35"/>
      <c r="CQ69" s="52"/>
      <c r="CR69" s="35"/>
      <c r="CS69" s="52"/>
      <c r="CT69" s="35"/>
      <c r="CU69" s="52"/>
      <c r="CV69" s="52"/>
      <c r="CW69" s="53"/>
      <c r="CX69" s="53"/>
      <c r="CY69" s="130"/>
      <c r="CZ69" s="35" t="e">
        <f t="shared" si="75"/>
        <v>#DIV/0!</v>
      </c>
      <c r="DA69" s="35" t="e">
        <f t="shared" si="74"/>
        <v>#DIV/0!</v>
      </c>
      <c r="DB69" s="250"/>
      <c r="DC69" s="35"/>
      <c r="DD69" s="53"/>
      <c r="DE69" s="53"/>
      <c r="DF69" s="53"/>
      <c r="DG69" s="53"/>
      <c r="DH69" s="53"/>
      <c r="DI69" s="53"/>
      <c r="DJ69" s="130"/>
      <c r="DK69" s="207"/>
      <c r="DL69" s="68"/>
      <c r="DM69" s="68"/>
      <c r="DN69" s="68"/>
      <c r="DO69" s="68"/>
    </row>
    <row r="70" spans="1:119">
      <c r="A70" s="12"/>
      <c r="B70" s="21"/>
      <c r="C70" s="21">
        <v>2012</v>
      </c>
      <c r="D70" s="55"/>
      <c r="E70" s="21"/>
      <c r="F70" s="21"/>
      <c r="G70" s="21"/>
      <c r="H70" s="21"/>
      <c r="I70" s="21"/>
      <c r="J70" s="21"/>
      <c r="K70" s="21"/>
      <c r="L70" s="21"/>
      <c r="M70" s="55"/>
      <c r="N70" s="38"/>
      <c r="O70" s="53"/>
      <c r="P70" s="35"/>
      <c r="Q70" s="53"/>
      <c r="R70" s="35"/>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5"/>
      <c r="AT70" s="35"/>
      <c r="AU70" s="52"/>
      <c r="AV70" s="35"/>
      <c r="AW70" s="35"/>
      <c r="AX70" s="52"/>
      <c r="AY70" s="52"/>
      <c r="AZ70" s="52"/>
      <c r="BA70" s="52"/>
      <c r="BB70" s="38" t="e">
        <f t="shared" ref="BB70:BB101" si="77">(AZ70+BA70)/M70</f>
        <v>#DIV/0!</v>
      </c>
      <c r="BC70" s="38"/>
      <c r="BD70" s="52"/>
      <c r="BE70" s="52"/>
      <c r="BF70" s="52"/>
      <c r="BG70" s="52"/>
      <c r="BJ70" s="52"/>
      <c r="BK70" s="52"/>
      <c r="BL70" s="35" t="e">
        <f t="shared" ref="BL70:BL101" si="78">SUM(AZ70:BJ70)/M70</f>
        <v>#DIV/0!</v>
      </c>
      <c r="BM70" s="231"/>
      <c r="BN70" s="231"/>
      <c r="BO70" s="234"/>
      <c r="BP70" s="231"/>
      <c r="BQ70" s="231"/>
      <c r="BR70" s="236"/>
      <c r="BS70" s="236"/>
      <c r="BT70" s="236"/>
      <c r="BU70" s="236"/>
      <c r="BV70" s="236"/>
      <c r="BW70" s="236"/>
      <c r="BX70" s="236"/>
      <c r="BY70" s="231"/>
      <c r="BZ70" s="231"/>
      <c r="CA70" s="68"/>
      <c r="CB70" s="68"/>
      <c r="CC70" s="53"/>
      <c r="CD70" s="68"/>
      <c r="CE70" s="68"/>
      <c r="CF70" s="68"/>
      <c r="CG70" s="68"/>
      <c r="CH70" s="68"/>
      <c r="CI70" s="68"/>
      <c r="CJ70" s="68"/>
      <c r="CK70" s="68"/>
      <c r="CL70" s="180">
        <f t="shared" si="76"/>
        <v>0</v>
      </c>
      <c r="CM70" s="35"/>
      <c r="CN70" s="35"/>
      <c r="CO70" s="52"/>
      <c r="CP70" s="35"/>
      <c r="CQ70" s="52"/>
      <c r="CR70" s="35"/>
      <c r="CS70" s="52"/>
      <c r="CT70" s="35"/>
      <c r="CU70" s="52"/>
      <c r="CV70" s="52"/>
      <c r="CW70" s="53"/>
      <c r="CX70" s="53"/>
      <c r="CY70" s="130"/>
      <c r="CZ70" s="35" t="e">
        <f t="shared" si="75"/>
        <v>#DIV/0!</v>
      </c>
      <c r="DA70" s="35" t="e">
        <f t="shared" si="74"/>
        <v>#DIV/0!</v>
      </c>
      <c r="DB70" s="250"/>
      <c r="DC70" s="35"/>
      <c r="DD70" s="53"/>
      <c r="DE70" s="53"/>
      <c r="DF70" s="53"/>
      <c r="DG70" s="53"/>
      <c r="DH70" s="53"/>
      <c r="DI70" s="53"/>
      <c r="DJ70" s="130"/>
      <c r="DK70" s="207"/>
      <c r="DL70" s="68"/>
      <c r="DM70" s="68"/>
      <c r="DN70" s="68"/>
      <c r="DO70" s="68"/>
    </row>
    <row r="71" spans="1:119">
      <c r="A71" s="12"/>
      <c r="B71" s="21" t="s">
        <v>134</v>
      </c>
      <c r="C71" s="21">
        <v>2022</v>
      </c>
      <c r="D71" s="55"/>
      <c r="E71" s="21"/>
      <c r="F71" s="21"/>
      <c r="G71" s="21"/>
      <c r="H71" s="21"/>
      <c r="I71" s="21"/>
      <c r="J71" s="21"/>
      <c r="K71" s="21"/>
      <c r="L71" s="21"/>
      <c r="M71" s="55"/>
      <c r="N71" s="38"/>
      <c r="O71" s="53"/>
      <c r="P71" s="35"/>
      <c r="Q71" s="53"/>
      <c r="R71" s="35"/>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5"/>
      <c r="AT71" s="35"/>
      <c r="AU71" s="52"/>
      <c r="AV71" s="35"/>
      <c r="AW71" s="35"/>
      <c r="AX71" s="52"/>
      <c r="AY71" s="52"/>
      <c r="AZ71" s="52"/>
      <c r="BA71" s="52"/>
      <c r="BB71" s="38" t="e">
        <f t="shared" si="77"/>
        <v>#DIV/0!</v>
      </c>
      <c r="BC71" s="38"/>
      <c r="BD71" s="52"/>
      <c r="BE71" s="52"/>
      <c r="BF71" s="52"/>
      <c r="BG71" s="52"/>
      <c r="BJ71" s="52"/>
      <c r="BK71" s="52"/>
      <c r="BL71" s="35" t="e">
        <f t="shared" si="78"/>
        <v>#DIV/0!</v>
      </c>
      <c r="BM71" s="231"/>
      <c r="BN71" s="231"/>
      <c r="BO71" s="234"/>
      <c r="BP71" s="231"/>
      <c r="BQ71" s="231"/>
      <c r="BR71" s="236"/>
      <c r="BS71" s="236"/>
      <c r="BT71" s="236"/>
      <c r="BU71" s="236"/>
      <c r="BV71" s="236"/>
      <c r="BW71" s="236"/>
      <c r="BX71" s="236"/>
      <c r="BY71" s="231"/>
      <c r="BZ71" s="231"/>
      <c r="CA71" s="68"/>
      <c r="CB71" s="68"/>
      <c r="CC71" s="53"/>
      <c r="CD71" s="68"/>
      <c r="CE71" s="68"/>
      <c r="CF71" s="68"/>
      <c r="CG71" s="68"/>
      <c r="CH71" s="68"/>
      <c r="CI71" s="68"/>
      <c r="CJ71" s="68"/>
      <c r="CK71" s="68"/>
      <c r="CL71" s="180">
        <f t="shared" si="76"/>
        <v>0</v>
      </c>
      <c r="CM71" s="35"/>
      <c r="CN71" s="35"/>
      <c r="CO71" s="52"/>
      <c r="CP71" s="35"/>
      <c r="CQ71" s="52"/>
      <c r="CR71" s="35"/>
      <c r="CS71" s="52"/>
      <c r="CT71" s="35"/>
      <c r="CU71" s="52"/>
      <c r="CV71" s="52"/>
      <c r="CW71" s="53"/>
      <c r="CX71" s="53"/>
      <c r="CY71" s="130"/>
      <c r="CZ71" s="35" t="e">
        <f t="shared" si="75"/>
        <v>#DIV/0!</v>
      </c>
      <c r="DA71" s="35" t="e">
        <f t="shared" si="74"/>
        <v>#DIV/0!</v>
      </c>
      <c r="DB71" s="250"/>
      <c r="DC71" s="35"/>
      <c r="DD71" s="53"/>
      <c r="DE71" s="53"/>
      <c r="DF71" s="53"/>
      <c r="DG71" s="53"/>
      <c r="DH71" s="53"/>
      <c r="DI71" s="53"/>
      <c r="DJ71" s="130"/>
      <c r="DK71" s="207"/>
      <c r="DL71" s="68"/>
      <c r="DM71" s="68"/>
      <c r="DN71" s="68"/>
      <c r="DO71" s="68"/>
    </row>
    <row r="72" spans="1:119">
      <c r="A72" s="12"/>
      <c r="B72" s="21"/>
      <c r="C72" s="21">
        <v>2021</v>
      </c>
      <c r="D72" s="55"/>
      <c r="E72" s="21"/>
      <c r="F72" s="21"/>
      <c r="G72" s="21"/>
      <c r="H72" s="21"/>
      <c r="I72" s="21"/>
      <c r="J72" s="21"/>
      <c r="K72" s="21"/>
      <c r="L72" s="21"/>
      <c r="M72" s="55"/>
      <c r="N72" s="38"/>
      <c r="O72" s="53"/>
      <c r="P72" s="35"/>
      <c r="Q72" s="53"/>
      <c r="R72" s="35"/>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5"/>
      <c r="AT72" s="35"/>
      <c r="AU72" s="52"/>
      <c r="AV72" s="35"/>
      <c r="AW72" s="35"/>
      <c r="AX72" s="52"/>
      <c r="AY72" s="52"/>
      <c r="AZ72" s="52"/>
      <c r="BA72" s="52"/>
      <c r="BB72" s="38" t="e">
        <f t="shared" si="77"/>
        <v>#DIV/0!</v>
      </c>
      <c r="BC72" s="38"/>
      <c r="BD72" s="52"/>
      <c r="BE72" s="52"/>
      <c r="BF72" s="52"/>
      <c r="BG72" s="52"/>
      <c r="BJ72" s="52"/>
      <c r="BK72" s="52"/>
      <c r="BL72" s="35" t="e">
        <f t="shared" si="78"/>
        <v>#DIV/0!</v>
      </c>
      <c r="BM72" s="231"/>
      <c r="BN72" s="231"/>
      <c r="BO72" s="234"/>
      <c r="BP72" s="231"/>
      <c r="BQ72" s="231"/>
      <c r="BR72" s="236"/>
      <c r="BS72" s="236"/>
      <c r="BT72" s="236"/>
      <c r="BU72" s="236"/>
      <c r="BV72" s="236"/>
      <c r="BW72" s="236"/>
      <c r="BX72" s="236"/>
      <c r="BY72" s="231"/>
      <c r="BZ72" s="231"/>
      <c r="CA72" s="68"/>
      <c r="CB72" s="68"/>
      <c r="CC72" s="53"/>
      <c r="CD72" s="68"/>
      <c r="CE72" s="68"/>
      <c r="CF72" s="68"/>
      <c r="CG72" s="68"/>
      <c r="CH72" s="68"/>
      <c r="CI72" s="68"/>
      <c r="CJ72" s="68"/>
      <c r="CK72" s="68"/>
      <c r="CL72" s="180">
        <f t="shared" si="76"/>
        <v>0</v>
      </c>
      <c r="CM72" s="35"/>
      <c r="CN72" s="35"/>
      <c r="CO72" s="52"/>
      <c r="CP72" s="35"/>
      <c r="CQ72" s="52"/>
      <c r="CR72" s="35"/>
      <c r="CS72" s="52"/>
      <c r="CT72" s="35"/>
      <c r="CU72" s="52"/>
      <c r="CV72" s="52"/>
      <c r="CW72" s="53"/>
      <c r="CX72" s="53"/>
      <c r="CY72" s="130"/>
      <c r="CZ72" s="35" t="e">
        <f t="shared" si="75"/>
        <v>#DIV/0!</v>
      </c>
      <c r="DA72" s="35" t="e">
        <f t="shared" si="74"/>
        <v>#DIV/0!</v>
      </c>
      <c r="DB72" s="250"/>
      <c r="DC72" s="35"/>
      <c r="DD72" s="53"/>
      <c r="DE72" s="53"/>
      <c r="DF72" s="53"/>
      <c r="DG72" s="53"/>
      <c r="DH72" s="53"/>
      <c r="DI72" s="53"/>
      <c r="DJ72" s="130"/>
      <c r="DK72" s="207"/>
      <c r="DL72" s="68"/>
      <c r="DM72" s="68"/>
      <c r="DN72" s="68"/>
      <c r="DO72" s="68"/>
    </row>
    <row r="73" spans="1:119">
      <c r="A73" s="12"/>
      <c r="B73" s="21"/>
      <c r="C73" s="21">
        <v>2020</v>
      </c>
      <c r="D73" s="55"/>
      <c r="E73" s="21"/>
      <c r="F73" s="21"/>
      <c r="G73" s="21"/>
      <c r="H73" s="21"/>
      <c r="I73" s="21"/>
      <c r="J73" s="21"/>
      <c r="K73" s="21"/>
      <c r="L73" s="21"/>
      <c r="M73" s="55"/>
      <c r="N73" s="38"/>
      <c r="O73" s="53"/>
      <c r="P73" s="35"/>
      <c r="Q73" s="53"/>
      <c r="R73" s="35"/>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5"/>
      <c r="AT73" s="35"/>
      <c r="AU73" s="52"/>
      <c r="AV73" s="35"/>
      <c r="AW73" s="35"/>
      <c r="AX73" s="52"/>
      <c r="AY73" s="52"/>
      <c r="AZ73" s="52"/>
      <c r="BA73" s="52"/>
      <c r="BB73" s="38" t="e">
        <f t="shared" si="77"/>
        <v>#DIV/0!</v>
      </c>
      <c r="BC73" s="38"/>
      <c r="BD73" s="52"/>
      <c r="BE73" s="52"/>
      <c r="BF73" s="52"/>
      <c r="BG73" s="52"/>
      <c r="BJ73" s="52"/>
      <c r="BK73" s="52"/>
      <c r="BL73" s="35" t="e">
        <f t="shared" si="78"/>
        <v>#DIV/0!</v>
      </c>
      <c r="BM73" s="231"/>
      <c r="BN73" s="231"/>
      <c r="BO73" s="234"/>
      <c r="BP73" s="231"/>
      <c r="BQ73" s="231"/>
      <c r="BR73" s="236"/>
      <c r="BS73" s="236"/>
      <c r="BT73" s="236"/>
      <c r="BU73" s="236"/>
      <c r="BV73" s="236"/>
      <c r="BW73" s="236"/>
      <c r="BX73" s="236"/>
      <c r="BY73" s="231"/>
      <c r="BZ73" s="231"/>
      <c r="CA73" s="68"/>
      <c r="CB73" s="68"/>
      <c r="CC73" s="53"/>
      <c r="CD73" s="68"/>
      <c r="CE73" s="68"/>
      <c r="CF73" s="68"/>
      <c r="CG73" s="68"/>
      <c r="CH73" s="68"/>
      <c r="CI73" s="68"/>
      <c r="CJ73" s="68"/>
      <c r="CK73" s="68"/>
      <c r="CL73" s="180">
        <f t="shared" si="76"/>
        <v>0</v>
      </c>
      <c r="CM73" s="35"/>
      <c r="CN73" s="35"/>
      <c r="CO73" s="52"/>
      <c r="CP73" s="35"/>
      <c r="CQ73" s="52"/>
      <c r="CR73" s="35"/>
      <c r="CS73" s="52"/>
      <c r="CT73" s="35"/>
      <c r="CU73" s="52"/>
      <c r="CV73" s="52"/>
      <c r="CW73" s="53"/>
      <c r="CX73" s="53"/>
      <c r="CY73" s="130"/>
      <c r="CZ73" s="35" t="e">
        <f t="shared" si="75"/>
        <v>#DIV/0!</v>
      </c>
      <c r="DA73" s="35" t="e">
        <f t="shared" si="74"/>
        <v>#DIV/0!</v>
      </c>
      <c r="DB73" s="250"/>
      <c r="DC73" s="35"/>
      <c r="DD73" s="53"/>
      <c r="DE73" s="53"/>
      <c r="DF73" s="53"/>
      <c r="DG73" s="53"/>
      <c r="DH73" s="53"/>
      <c r="DI73" s="53"/>
      <c r="DJ73" s="130"/>
      <c r="DK73" s="207"/>
      <c r="DL73" s="68"/>
      <c r="DM73" s="68"/>
      <c r="DN73" s="68"/>
      <c r="DO73" s="68"/>
    </row>
    <row r="74" spans="1:119">
      <c r="A74" s="12"/>
      <c r="B74" s="21"/>
      <c r="C74" s="21">
        <v>2019</v>
      </c>
      <c r="D74" s="55"/>
      <c r="E74" s="21"/>
      <c r="F74" s="21"/>
      <c r="G74" s="21"/>
      <c r="H74" s="21"/>
      <c r="I74" s="21"/>
      <c r="J74" s="21"/>
      <c r="K74" s="21"/>
      <c r="L74" s="21"/>
      <c r="M74" s="55"/>
      <c r="N74" s="38"/>
      <c r="O74" s="53"/>
      <c r="P74" s="35"/>
      <c r="Q74" s="53"/>
      <c r="R74" s="35"/>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5"/>
      <c r="AT74" s="35"/>
      <c r="AU74" s="52"/>
      <c r="AV74" s="35"/>
      <c r="AW74" s="35"/>
      <c r="AX74" s="52"/>
      <c r="AY74" s="52"/>
      <c r="AZ74" s="52"/>
      <c r="BA74" s="52"/>
      <c r="BB74" s="38" t="e">
        <f t="shared" si="77"/>
        <v>#DIV/0!</v>
      </c>
      <c r="BC74" s="38"/>
      <c r="BD74" s="52"/>
      <c r="BE74" s="52"/>
      <c r="BF74" s="52"/>
      <c r="BG74" s="52"/>
      <c r="BJ74" s="52"/>
      <c r="BK74" s="52"/>
      <c r="BL74" s="35" t="e">
        <f t="shared" si="78"/>
        <v>#DIV/0!</v>
      </c>
      <c r="BM74" s="231"/>
      <c r="BN74" s="231"/>
      <c r="BO74" s="234"/>
      <c r="BP74" s="231"/>
      <c r="BQ74" s="231"/>
      <c r="BR74" s="236"/>
      <c r="BS74" s="236"/>
      <c r="BT74" s="236"/>
      <c r="BU74" s="236"/>
      <c r="BV74" s="236"/>
      <c r="BW74" s="236"/>
      <c r="BX74" s="236"/>
      <c r="BY74" s="231"/>
      <c r="BZ74" s="231"/>
      <c r="CA74" s="68"/>
      <c r="CB74" s="68"/>
      <c r="CC74" s="53"/>
      <c r="CD74" s="68"/>
      <c r="CE74" s="68"/>
      <c r="CF74" s="68"/>
      <c r="CG74" s="68"/>
      <c r="CH74" s="68"/>
      <c r="CI74" s="68"/>
      <c r="CJ74" s="68"/>
      <c r="CK74" s="68"/>
      <c r="CL74" s="180">
        <f t="shared" si="76"/>
        <v>0</v>
      </c>
      <c r="CM74" s="35"/>
      <c r="CN74" s="35"/>
      <c r="CO74" s="52"/>
      <c r="CP74" s="35"/>
      <c r="CQ74" s="52"/>
      <c r="CR74" s="35"/>
      <c r="CS74" s="52"/>
      <c r="CT74" s="35"/>
      <c r="CU74" s="52"/>
      <c r="CV74" s="52"/>
      <c r="CW74" s="53"/>
      <c r="CX74" s="53"/>
      <c r="CY74" s="130"/>
      <c r="CZ74" s="35" t="e">
        <f t="shared" si="75"/>
        <v>#DIV/0!</v>
      </c>
      <c r="DA74" s="35" t="e">
        <f t="shared" si="74"/>
        <v>#DIV/0!</v>
      </c>
      <c r="DB74" s="250"/>
      <c r="DC74" s="35"/>
      <c r="DD74" s="53"/>
      <c r="DE74" s="53"/>
      <c r="DF74" s="53"/>
      <c r="DG74" s="53"/>
      <c r="DH74" s="53"/>
      <c r="DI74" s="53"/>
      <c r="DJ74" s="130"/>
      <c r="DK74" s="207"/>
      <c r="DL74" s="68"/>
      <c r="DM74" s="68"/>
      <c r="DN74" s="68"/>
      <c r="DO74" s="68"/>
    </row>
    <row r="75" spans="1:119">
      <c r="A75" s="12"/>
      <c r="B75" s="21"/>
      <c r="C75" s="21">
        <v>2018</v>
      </c>
      <c r="D75" s="55"/>
      <c r="E75" s="21"/>
      <c r="F75" s="21"/>
      <c r="G75" s="21"/>
      <c r="H75" s="21"/>
      <c r="I75" s="21"/>
      <c r="J75" s="21"/>
      <c r="K75" s="21"/>
      <c r="L75" s="21"/>
      <c r="M75" s="55"/>
      <c r="N75" s="38"/>
      <c r="O75" s="53"/>
      <c r="P75" s="35"/>
      <c r="Q75" s="53"/>
      <c r="R75" s="35"/>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5"/>
      <c r="AT75" s="35"/>
      <c r="AU75" s="52"/>
      <c r="AV75" s="35"/>
      <c r="AW75" s="35"/>
      <c r="AX75" s="52"/>
      <c r="AY75" s="52"/>
      <c r="AZ75" s="52"/>
      <c r="BA75" s="52"/>
      <c r="BB75" s="38" t="e">
        <f t="shared" si="77"/>
        <v>#DIV/0!</v>
      </c>
      <c r="BC75" s="38"/>
      <c r="BD75" s="52"/>
      <c r="BE75" s="52"/>
      <c r="BF75" s="52"/>
      <c r="BG75" s="52"/>
      <c r="BJ75" s="52"/>
      <c r="BK75" s="52"/>
      <c r="BL75" s="35" t="e">
        <f t="shared" si="78"/>
        <v>#DIV/0!</v>
      </c>
      <c r="BM75" s="231"/>
      <c r="BN75" s="231"/>
      <c r="BO75" s="234"/>
      <c r="BP75" s="231"/>
      <c r="BQ75" s="231"/>
      <c r="BR75" s="236"/>
      <c r="BS75" s="236"/>
      <c r="BT75" s="236"/>
      <c r="BU75" s="236"/>
      <c r="BV75" s="236"/>
      <c r="BW75" s="236"/>
      <c r="BX75" s="236"/>
      <c r="BY75" s="231"/>
      <c r="BZ75" s="231"/>
      <c r="CA75" s="68"/>
      <c r="CB75" s="68"/>
      <c r="CC75" s="53"/>
      <c r="CD75" s="68"/>
      <c r="CE75" s="68"/>
      <c r="CF75" s="68"/>
      <c r="CG75" s="68"/>
      <c r="CH75" s="68"/>
      <c r="CI75" s="68"/>
      <c r="CJ75" s="68"/>
      <c r="CK75" s="68"/>
      <c r="CL75" s="180">
        <f t="shared" si="76"/>
        <v>0</v>
      </c>
      <c r="CM75" s="35"/>
      <c r="CN75" s="35"/>
      <c r="CO75" s="52"/>
      <c r="CP75" s="35"/>
      <c r="CQ75" s="52"/>
      <c r="CR75" s="35"/>
      <c r="CS75" s="52"/>
      <c r="CT75" s="35"/>
      <c r="CU75" s="52"/>
      <c r="CV75" s="52"/>
      <c r="CW75" s="53"/>
      <c r="CX75" s="53"/>
      <c r="CY75" s="130"/>
      <c r="CZ75" s="35" t="e">
        <f t="shared" si="75"/>
        <v>#DIV/0!</v>
      </c>
      <c r="DA75" s="35" t="e">
        <f t="shared" si="74"/>
        <v>#DIV/0!</v>
      </c>
      <c r="DB75" s="250"/>
      <c r="DC75" s="35"/>
      <c r="DD75" s="53"/>
      <c r="DE75" s="53"/>
      <c r="DF75" s="53"/>
      <c r="DG75" s="53"/>
      <c r="DH75" s="53"/>
      <c r="DI75" s="53"/>
      <c r="DJ75" s="130"/>
      <c r="DK75" s="207"/>
      <c r="DL75" s="68"/>
      <c r="DM75" s="68"/>
      <c r="DN75" s="68"/>
      <c r="DO75" s="68"/>
    </row>
    <row r="76" spans="1:119">
      <c r="A76" s="12"/>
      <c r="B76" s="21"/>
      <c r="C76" s="21">
        <v>2017</v>
      </c>
      <c r="D76" s="55"/>
      <c r="E76" s="21"/>
      <c r="F76" s="21"/>
      <c r="G76" s="21"/>
      <c r="H76" s="21"/>
      <c r="I76" s="21"/>
      <c r="J76" s="21"/>
      <c r="K76" s="21"/>
      <c r="L76" s="21"/>
      <c r="M76" s="55"/>
      <c r="N76" s="38"/>
      <c r="O76" s="53"/>
      <c r="P76" s="35"/>
      <c r="Q76" s="53"/>
      <c r="R76" s="35"/>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5"/>
      <c r="AT76" s="35"/>
      <c r="AU76" s="52"/>
      <c r="AV76" s="35"/>
      <c r="AW76" s="35"/>
      <c r="AX76" s="52"/>
      <c r="AY76" s="52"/>
      <c r="AZ76" s="52"/>
      <c r="BA76" s="52"/>
      <c r="BB76" s="38" t="e">
        <f t="shared" si="77"/>
        <v>#DIV/0!</v>
      </c>
      <c r="BC76" s="38"/>
      <c r="BD76" s="52"/>
      <c r="BE76" s="52"/>
      <c r="BF76" s="52"/>
      <c r="BG76" s="52"/>
      <c r="BJ76" s="52"/>
      <c r="BK76" s="52"/>
      <c r="BL76" s="35" t="e">
        <f t="shared" si="78"/>
        <v>#DIV/0!</v>
      </c>
      <c r="BM76" s="231"/>
      <c r="BN76" s="231"/>
      <c r="BO76" s="234"/>
      <c r="BP76" s="231"/>
      <c r="BQ76" s="231"/>
      <c r="BR76" s="236"/>
      <c r="BS76" s="236"/>
      <c r="BT76" s="236"/>
      <c r="BU76" s="236"/>
      <c r="BV76" s="236"/>
      <c r="BW76" s="236"/>
      <c r="BX76" s="236"/>
      <c r="BY76" s="231"/>
      <c r="BZ76" s="231"/>
      <c r="CA76" s="68"/>
      <c r="CB76" s="68"/>
      <c r="CC76" s="53"/>
      <c r="CD76" s="68"/>
      <c r="CE76" s="68"/>
      <c r="CF76" s="68"/>
      <c r="CG76" s="68"/>
      <c r="CH76" s="68"/>
      <c r="CI76" s="68"/>
      <c r="CJ76" s="68"/>
      <c r="CK76" s="68"/>
      <c r="CL76" s="180">
        <f t="shared" si="76"/>
        <v>0</v>
      </c>
      <c r="CM76" s="35"/>
      <c r="CN76" s="35"/>
      <c r="CO76" s="52"/>
      <c r="CP76" s="35"/>
      <c r="CQ76" s="52"/>
      <c r="CR76" s="35"/>
      <c r="CS76" s="52"/>
      <c r="CT76" s="35"/>
      <c r="CU76" s="52"/>
      <c r="CV76" s="52"/>
      <c r="CW76" s="53"/>
      <c r="CX76" s="53"/>
      <c r="CY76" s="130"/>
      <c r="CZ76" s="35" t="e">
        <f t="shared" si="75"/>
        <v>#DIV/0!</v>
      </c>
      <c r="DA76" s="35" t="e">
        <f t="shared" si="74"/>
        <v>#DIV/0!</v>
      </c>
      <c r="DB76" s="250"/>
      <c r="DC76" s="35"/>
      <c r="DD76" s="53"/>
      <c r="DE76" s="53"/>
      <c r="DF76" s="53"/>
      <c r="DG76" s="53"/>
      <c r="DH76" s="53"/>
      <c r="DI76" s="53"/>
      <c r="DJ76" s="130"/>
      <c r="DK76" s="207"/>
      <c r="DL76" s="68"/>
      <c r="DM76" s="68"/>
      <c r="DN76" s="68"/>
      <c r="DO76" s="68"/>
    </row>
    <row r="77" spans="1:119">
      <c r="A77" s="12"/>
      <c r="B77" s="21"/>
      <c r="C77" s="21">
        <v>2016</v>
      </c>
      <c r="D77" s="55"/>
      <c r="E77" s="21"/>
      <c r="F77" s="21"/>
      <c r="G77" s="21"/>
      <c r="H77" s="21"/>
      <c r="I77" s="21"/>
      <c r="J77" s="21"/>
      <c r="K77" s="21"/>
      <c r="L77" s="21"/>
      <c r="M77" s="55"/>
      <c r="N77" s="38"/>
      <c r="O77" s="53"/>
      <c r="P77" s="35"/>
      <c r="Q77" s="53"/>
      <c r="R77" s="35"/>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5"/>
      <c r="AT77" s="35"/>
      <c r="AU77" s="52"/>
      <c r="AV77" s="35"/>
      <c r="AW77" s="35"/>
      <c r="AX77" s="52"/>
      <c r="AY77" s="52"/>
      <c r="AZ77" s="52"/>
      <c r="BA77" s="52"/>
      <c r="BB77" s="38" t="e">
        <f t="shared" si="77"/>
        <v>#DIV/0!</v>
      </c>
      <c r="BC77" s="38"/>
      <c r="BD77" s="52"/>
      <c r="BE77" s="52"/>
      <c r="BF77" s="52"/>
      <c r="BG77" s="52"/>
      <c r="BJ77" s="52"/>
      <c r="BK77" s="52"/>
      <c r="BL77" s="35" t="e">
        <f t="shared" si="78"/>
        <v>#DIV/0!</v>
      </c>
      <c r="BM77" s="231"/>
      <c r="BN77" s="231"/>
      <c r="BO77" s="234"/>
      <c r="BP77" s="231"/>
      <c r="BQ77" s="231"/>
      <c r="BR77" s="236"/>
      <c r="BS77" s="236"/>
      <c r="BT77" s="236"/>
      <c r="BU77" s="236"/>
      <c r="BV77" s="236"/>
      <c r="BW77" s="236"/>
      <c r="BX77" s="236"/>
      <c r="BY77" s="231"/>
      <c r="BZ77" s="231"/>
      <c r="CA77" s="68"/>
      <c r="CB77" s="68"/>
      <c r="CC77" s="53"/>
      <c r="CD77" s="68"/>
      <c r="CE77" s="68"/>
      <c r="CF77" s="68"/>
      <c r="CG77" s="68"/>
      <c r="CH77" s="68"/>
      <c r="CI77" s="68"/>
      <c r="CJ77" s="68"/>
      <c r="CK77" s="68"/>
      <c r="CL77" s="180">
        <f t="shared" si="76"/>
        <v>0</v>
      </c>
      <c r="CM77" s="35"/>
      <c r="CN77" s="35"/>
      <c r="CO77" s="52"/>
      <c r="CP77" s="35"/>
      <c r="CQ77" s="52"/>
      <c r="CR77" s="35"/>
      <c r="CS77" s="52"/>
      <c r="CT77" s="35"/>
      <c r="CU77" s="52"/>
      <c r="CV77" s="52"/>
      <c r="CW77" s="53"/>
      <c r="CX77" s="53"/>
      <c r="CY77" s="130"/>
      <c r="CZ77" s="35" t="e">
        <f t="shared" si="75"/>
        <v>#DIV/0!</v>
      </c>
      <c r="DA77" s="35" t="e">
        <f t="shared" si="74"/>
        <v>#DIV/0!</v>
      </c>
      <c r="DB77" s="250"/>
      <c r="DC77" s="35"/>
      <c r="DD77" s="53"/>
      <c r="DE77" s="53"/>
      <c r="DF77" s="53"/>
      <c r="DG77" s="53"/>
      <c r="DH77" s="53"/>
      <c r="DI77" s="53"/>
      <c r="DJ77" s="130"/>
      <c r="DK77" s="207"/>
      <c r="DL77" s="68"/>
      <c r="DM77" s="68"/>
      <c r="DN77" s="68"/>
      <c r="DO77" s="68"/>
    </row>
    <row r="78" spans="1:119">
      <c r="A78" s="12"/>
      <c r="B78" s="21"/>
      <c r="C78" s="21">
        <v>2015</v>
      </c>
      <c r="D78" s="55"/>
      <c r="E78" s="21"/>
      <c r="F78" s="21"/>
      <c r="G78" s="21"/>
      <c r="H78" s="21"/>
      <c r="I78" s="21"/>
      <c r="J78" s="21"/>
      <c r="K78" s="21"/>
      <c r="L78" s="21"/>
      <c r="M78" s="55"/>
      <c r="N78" s="38"/>
      <c r="O78" s="53"/>
      <c r="P78" s="35"/>
      <c r="Q78" s="53"/>
      <c r="R78" s="35"/>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5"/>
      <c r="AT78" s="35"/>
      <c r="AU78" s="52"/>
      <c r="AV78" s="35"/>
      <c r="AW78" s="35"/>
      <c r="AX78" s="52"/>
      <c r="AY78" s="52"/>
      <c r="AZ78" s="52"/>
      <c r="BA78" s="52"/>
      <c r="BB78" s="38" t="e">
        <f t="shared" si="77"/>
        <v>#DIV/0!</v>
      </c>
      <c r="BC78" s="38"/>
      <c r="BD78" s="52"/>
      <c r="BE78" s="52"/>
      <c r="BF78" s="52"/>
      <c r="BG78" s="52"/>
      <c r="BJ78" s="52"/>
      <c r="BK78" s="52"/>
      <c r="BL78" s="35" t="e">
        <f t="shared" si="78"/>
        <v>#DIV/0!</v>
      </c>
      <c r="BM78" s="231"/>
      <c r="BN78" s="231"/>
      <c r="BO78" s="234"/>
      <c r="BP78" s="231"/>
      <c r="BQ78" s="231"/>
      <c r="BR78" s="236"/>
      <c r="BS78" s="236"/>
      <c r="BT78" s="236"/>
      <c r="BU78" s="236"/>
      <c r="BV78" s="236"/>
      <c r="BW78" s="236"/>
      <c r="BX78" s="236"/>
      <c r="BY78" s="231"/>
      <c r="BZ78" s="231"/>
      <c r="CA78" s="68"/>
      <c r="CB78" s="68"/>
      <c r="CC78" s="53"/>
      <c r="CD78" s="68"/>
      <c r="CE78" s="68"/>
      <c r="CF78" s="68"/>
      <c r="CG78" s="68"/>
      <c r="CH78" s="68"/>
      <c r="CI78" s="68"/>
      <c r="CJ78" s="68"/>
      <c r="CK78" s="68"/>
      <c r="CL78" s="180">
        <f t="shared" si="76"/>
        <v>0</v>
      </c>
      <c r="CM78" s="35"/>
      <c r="CN78" s="35"/>
      <c r="CO78" s="52"/>
      <c r="CP78" s="35"/>
      <c r="CQ78" s="52"/>
      <c r="CR78" s="35"/>
      <c r="CS78" s="52"/>
      <c r="CT78" s="35"/>
      <c r="CU78" s="52"/>
      <c r="CV78" s="52"/>
      <c r="CW78" s="53"/>
      <c r="CX78" s="53"/>
      <c r="CY78" s="130"/>
      <c r="CZ78" s="35" t="e">
        <f t="shared" si="75"/>
        <v>#DIV/0!</v>
      </c>
      <c r="DA78" s="35" t="e">
        <f t="shared" si="74"/>
        <v>#DIV/0!</v>
      </c>
      <c r="DB78" s="250"/>
      <c r="DC78" s="35"/>
      <c r="DD78" s="53"/>
      <c r="DE78" s="53"/>
      <c r="DF78" s="53"/>
      <c r="DG78" s="53"/>
      <c r="DH78" s="53"/>
      <c r="DI78" s="53"/>
      <c r="DJ78" s="130"/>
      <c r="DK78" s="207"/>
      <c r="DL78" s="68"/>
      <c r="DM78" s="68"/>
      <c r="DN78" s="68"/>
      <c r="DO78" s="68"/>
    </row>
    <row r="79" spans="1:119">
      <c r="A79" s="12"/>
      <c r="B79" s="21"/>
      <c r="C79" s="21">
        <v>2014</v>
      </c>
      <c r="D79" s="55"/>
      <c r="E79" s="21"/>
      <c r="F79" s="21"/>
      <c r="G79" s="21"/>
      <c r="H79" s="21"/>
      <c r="I79" s="21"/>
      <c r="J79" s="21"/>
      <c r="K79" s="21"/>
      <c r="L79" s="21"/>
      <c r="M79" s="55"/>
      <c r="N79" s="38"/>
      <c r="O79" s="53"/>
      <c r="P79" s="35"/>
      <c r="Q79" s="53"/>
      <c r="R79" s="35"/>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5"/>
      <c r="AT79" s="35"/>
      <c r="AU79" s="52"/>
      <c r="AV79" s="35"/>
      <c r="AW79" s="35"/>
      <c r="AX79" s="52"/>
      <c r="AY79" s="52"/>
      <c r="AZ79" s="52"/>
      <c r="BA79" s="52"/>
      <c r="BB79" s="38" t="e">
        <f t="shared" si="77"/>
        <v>#DIV/0!</v>
      </c>
      <c r="BC79" s="38"/>
      <c r="BD79" s="52"/>
      <c r="BE79" s="52"/>
      <c r="BF79" s="52"/>
      <c r="BG79" s="52"/>
      <c r="BJ79" s="52"/>
      <c r="BK79" s="52"/>
      <c r="BL79" s="35" t="e">
        <f t="shared" si="78"/>
        <v>#DIV/0!</v>
      </c>
      <c r="BM79" s="231"/>
      <c r="BN79" s="231"/>
      <c r="BO79" s="234"/>
      <c r="BP79" s="231"/>
      <c r="BQ79" s="231"/>
      <c r="BR79" s="236"/>
      <c r="BS79" s="236"/>
      <c r="BT79" s="236"/>
      <c r="BU79" s="236"/>
      <c r="BV79" s="236"/>
      <c r="BW79" s="236"/>
      <c r="BX79" s="236"/>
      <c r="BY79" s="231"/>
      <c r="BZ79" s="231"/>
      <c r="CA79" s="68"/>
      <c r="CB79" s="68"/>
      <c r="CC79" s="53"/>
      <c r="CD79" s="68"/>
      <c r="CE79" s="68"/>
      <c r="CF79" s="68"/>
      <c r="CG79" s="68"/>
      <c r="CH79" s="68"/>
      <c r="CI79" s="68"/>
      <c r="CJ79" s="68"/>
      <c r="CK79" s="68"/>
      <c r="CL79" s="180">
        <f t="shared" si="76"/>
        <v>0</v>
      </c>
      <c r="CM79" s="35"/>
      <c r="CN79" s="35"/>
      <c r="CO79" s="52"/>
      <c r="CP79" s="35"/>
      <c r="CQ79" s="52"/>
      <c r="CR79" s="35"/>
      <c r="CS79" s="52"/>
      <c r="CT79" s="35"/>
      <c r="CU79" s="52"/>
      <c r="CV79" s="52"/>
      <c r="CW79" s="53"/>
      <c r="CX79" s="53"/>
      <c r="CY79" s="130"/>
      <c r="CZ79" s="35" t="e">
        <f t="shared" si="75"/>
        <v>#DIV/0!</v>
      </c>
      <c r="DA79" s="35" t="e">
        <f t="shared" si="74"/>
        <v>#DIV/0!</v>
      </c>
      <c r="DB79" s="250"/>
      <c r="DC79" s="35"/>
      <c r="DD79" s="53"/>
      <c r="DE79" s="53"/>
      <c r="DF79" s="53"/>
      <c r="DG79" s="53"/>
      <c r="DH79" s="53"/>
      <c r="DI79" s="53"/>
      <c r="DJ79" s="130"/>
      <c r="DK79" s="207"/>
      <c r="DL79" s="68"/>
      <c r="DM79" s="68"/>
      <c r="DN79" s="68"/>
      <c r="DO79" s="68"/>
    </row>
    <row r="80" spans="1:119">
      <c r="A80" s="12"/>
      <c r="B80" s="21"/>
      <c r="C80" s="21">
        <v>2013</v>
      </c>
      <c r="D80" s="55"/>
      <c r="E80" s="21"/>
      <c r="F80" s="21"/>
      <c r="G80" s="21"/>
      <c r="H80" s="21"/>
      <c r="I80" s="21"/>
      <c r="J80" s="21"/>
      <c r="K80" s="21"/>
      <c r="L80" s="21"/>
      <c r="M80" s="55"/>
      <c r="N80" s="38"/>
      <c r="O80" s="53"/>
      <c r="P80" s="35"/>
      <c r="Q80" s="53"/>
      <c r="R80" s="35"/>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5"/>
      <c r="AT80" s="35"/>
      <c r="AU80" s="52"/>
      <c r="AV80" s="35"/>
      <c r="AW80" s="35"/>
      <c r="AX80" s="52"/>
      <c r="AY80" s="52"/>
      <c r="AZ80" s="52"/>
      <c r="BA80" s="52"/>
      <c r="BB80" s="38" t="e">
        <f t="shared" si="77"/>
        <v>#DIV/0!</v>
      </c>
      <c r="BC80" s="38"/>
      <c r="BD80" s="52"/>
      <c r="BE80" s="52"/>
      <c r="BF80" s="52"/>
      <c r="BG80" s="52"/>
      <c r="BJ80" s="52"/>
      <c r="BK80" s="52"/>
      <c r="BL80" s="35" t="e">
        <f t="shared" si="78"/>
        <v>#DIV/0!</v>
      </c>
      <c r="BM80" s="231"/>
      <c r="BN80" s="231"/>
      <c r="BO80" s="234"/>
      <c r="BP80" s="231"/>
      <c r="BQ80" s="231"/>
      <c r="BR80" s="236"/>
      <c r="BS80" s="236"/>
      <c r="BT80" s="236"/>
      <c r="BU80" s="236"/>
      <c r="BV80" s="236"/>
      <c r="BW80" s="236"/>
      <c r="BX80" s="236"/>
      <c r="BY80" s="231"/>
      <c r="BZ80" s="231"/>
      <c r="CA80" s="68"/>
      <c r="CB80" s="68"/>
      <c r="CC80" s="53"/>
      <c r="CD80" s="68"/>
      <c r="CE80" s="68"/>
      <c r="CF80" s="68"/>
      <c r="CG80" s="68"/>
      <c r="CH80" s="68"/>
      <c r="CI80" s="68"/>
      <c r="CJ80" s="68"/>
      <c r="CK80" s="68"/>
      <c r="CL80" s="180">
        <f t="shared" si="76"/>
        <v>0</v>
      </c>
      <c r="CM80" s="35"/>
      <c r="CN80" s="35"/>
      <c r="CO80" s="52"/>
      <c r="CP80" s="35"/>
      <c r="CQ80" s="52"/>
      <c r="CR80" s="35"/>
      <c r="CS80" s="52"/>
      <c r="CT80" s="35"/>
      <c r="CU80" s="52"/>
      <c r="CV80" s="52"/>
      <c r="CW80" s="53"/>
      <c r="CX80" s="53"/>
      <c r="CY80" s="130"/>
      <c r="CZ80" s="35" t="e">
        <f t="shared" si="75"/>
        <v>#DIV/0!</v>
      </c>
      <c r="DA80" s="35" t="e">
        <f t="shared" ref="DA80:DA111" si="79">CX80/CL80</f>
        <v>#DIV/0!</v>
      </c>
      <c r="DB80" s="250"/>
      <c r="DC80" s="35"/>
      <c r="DD80" s="53"/>
      <c r="DE80" s="53"/>
      <c r="DF80" s="53"/>
      <c r="DG80" s="53"/>
      <c r="DH80" s="53"/>
      <c r="DI80" s="53"/>
      <c r="DJ80" s="130"/>
      <c r="DK80" s="207"/>
      <c r="DL80" s="68"/>
      <c r="DM80" s="68"/>
      <c r="DN80" s="68"/>
      <c r="DO80" s="68"/>
    </row>
    <row r="81" spans="1:119">
      <c r="A81" s="12"/>
      <c r="B81" s="21"/>
      <c r="C81" s="21">
        <v>2012</v>
      </c>
      <c r="D81" s="55"/>
      <c r="E81" s="21"/>
      <c r="F81" s="21"/>
      <c r="G81" s="21"/>
      <c r="H81" s="21"/>
      <c r="I81" s="21"/>
      <c r="J81" s="21"/>
      <c r="K81" s="21"/>
      <c r="L81" s="21"/>
      <c r="M81" s="55"/>
      <c r="N81" s="38"/>
      <c r="O81" s="53"/>
      <c r="P81" s="35"/>
      <c r="Q81" s="53"/>
      <c r="R81" s="35"/>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5"/>
      <c r="AT81" s="35"/>
      <c r="AU81" s="52"/>
      <c r="AV81" s="35"/>
      <c r="AW81" s="35"/>
      <c r="AX81" s="52"/>
      <c r="AY81" s="52"/>
      <c r="AZ81" s="52"/>
      <c r="BA81" s="52"/>
      <c r="BB81" s="38" t="e">
        <f t="shared" si="77"/>
        <v>#DIV/0!</v>
      </c>
      <c r="BC81" s="38"/>
      <c r="BD81" s="52"/>
      <c r="BE81" s="52"/>
      <c r="BF81" s="52"/>
      <c r="BG81" s="52"/>
      <c r="BJ81" s="52"/>
      <c r="BK81" s="52"/>
      <c r="BL81" s="35" t="e">
        <f t="shared" si="78"/>
        <v>#DIV/0!</v>
      </c>
      <c r="BM81" s="231"/>
      <c r="BN81" s="231"/>
      <c r="BO81" s="234"/>
      <c r="BP81" s="231"/>
      <c r="BQ81" s="231"/>
      <c r="BR81" s="236"/>
      <c r="BS81" s="236"/>
      <c r="BT81" s="236"/>
      <c r="BU81" s="236"/>
      <c r="BV81" s="236"/>
      <c r="BW81" s="236"/>
      <c r="BX81" s="236"/>
      <c r="BY81" s="231"/>
      <c r="BZ81" s="231"/>
      <c r="CA81" s="68"/>
      <c r="CB81" s="68"/>
      <c r="CC81" s="53"/>
      <c r="CD81" s="68"/>
      <c r="CE81" s="68"/>
      <c r="CF81" s="68"/>
      <c r="CG81" s="68"/>
      <c r="CH81" s="68"/>
      <c r="CI81" s="68"/>
      <c r="CJ81" s="68"/>
      <c r="CK81" s="68"/>
      <c r="CL81" s="180">
        <f t="shared" si="76"/>
        <v>0</v>
      </c>
      <c r="CM81" s="35"/>
      <c r="CN81" s="35"/>
      <c r="CO81" s="52"/>
      <c r="CP81" s="35"/>
      <c r="CQ81" s="52"/>
      <c r="CR81" s="35"/>
      <c r="CS81" s="52"/>
      <c r="CT81" s="35"/>
      <c r="CU81" s="52"/>
      <c r="CV81" s="52"/>
      <c r="CW81" s="53"/>
      <c r="CX81" s="53"/>
      <c r="CY81" s="130"/>
      <c r="CZ81" s="35" t="e">
        <f t="shared" si="75"/>
        <v>#DIV/0!</v>
      </c>
      <c r="DA81" s="35" t="e">
        <f t="shared" si="79"/>
        <v>#DIV/0!</v>
      </c>
      <c r="DB81" s="250"/>
      <c r="DC81" s="35"/>
      <c r="DD81" s="53"/>
      <c r="DE81" s="53"/>
      <c r="DF81" s="53"/>
      <c r="DG81" s="53"/>
      <c r="DH81" s="53"/>
      <c r="DI81" s="53"/>
      <c r="DJ81" s="130"/>
      <c r="DK81" s="207"/>
      <c r="DL81" s="68"/>
      <c r="DM81" s="68"/>
      <c r="DN81" s="68"/>
      <c r="DO81" s="68"/>
    </row>
    <row r="82" spans="1:119">
      <c r="A82" s="12"/>
      <c r="B82" s="21" t="s">
        <v>135</v>
      </c>
      <c r="C82" s="21">
        <v>2022</v>
      </c>
      <c r="D82" s="55"/>
      <c r="E82" s="21"/>
      <c r="F82" s="21"/>
      <c r="G82" s="21"/>
      <c r="H82" s="21"/>
      <c r="I82" s="21"/>
      <c r="J82" s="21"/>
      <c r="K82" s="21"/>
      <c r="L82" s="21"/>
      <c r="M82" s="55"/>
      <c r="N82" s="38"/>
      <c r="O82" s="53"/>
      <c r="P82" s="35"/>
      <c r="Q82" s="53"/>
      <c r="R82" s="35"/>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5"/>
      <c r="AT82" s="35"/>
      <c r="AU82" s="52"/>
      <c r="AV82" s="35"/>
      <c r="AW82" s="35"/>
      <c r="AX82" s="52"/>
      <c r="AY82" s="52"/>
      <c r="AZ82" s="52"/>
      <c r="BA82" s="52"/>
      <c r="BB82" s="38" t="e">
        <f t="shared" si="77"/>
        <v>#DIV/0!</v>
      </c>
      <c r="BC82" s="38"/>
      <c r="BD82" s="52"/>
      <c r="BE82" s="52"/>
      <c r="BF82" s="52"/>
      <c r="BG82" s="52"/>
      <c r="BJ82" s="52"/>
      <c r="BK82" s="52"/>
      <c r="BL82" s="35" t="e">
        <f t="shared" si="78"/>
        <v>#DIV/0!</v>
      </c>
      <c r="BM82" s="231"/>
      <c r="BN82" s="231"/>
      <c r="BO82" s="234"/>
      <c r="BP82" s="231"/>
      <c r="BQ82" s="231"/>
      <c r="BR82" s="236"/>
      <c r="BS82" s="236"/>
      <c r="BT82" s="236"/>
      <c r="BU82" s="236"/>
      <c r="BV82" s="236"/>
      <c r="BW82" s="236"/>
      <c r="BX82" s="236"/>
      <c r="BY82" s="231"/>
      <c r="BZ82" s="231"/>
      <c r="CA82" s="68"/>
      <c r="CB82" s="68"/>
      <c r="CC82" s="53"/>
      <c r="CD82" s="68"/>
      <c r="CE82" s="68"/>
      <c r="CF82" s="68"/>
      <c r="CG82" s="68"/>
      <c r="CH82" s="68"/>
      <c r="CI82" s="68"/>
      <c r="CJ82" s="68"/>
      <c r="CK82" s="68"/>
      <c r="CL82" s="180">
        <f t="shared" si="76"/>
        <v>0</v>
      </c>
      <c r="CM82" s="35"/>
      <c r="CN82" s="35"/>
      <c r="CO82" s="52"/>
      <c r="CP82" s="35"/>
      <c r="CQ82" s="52"/>
      <c r="CR82" s="35"/>
      <c r="CS82" s="52"/>
      <c r="CT82" s="35"/>
      <c r="CU82" s="52"/>
      <c r="CV82" s="52"/>
      <c r="CW82" s="53"/>
      <c r="CX82" s="53"/>
      <c r="CY82" s="130"/>
      <c r="CZ82" s="35" t="e">
        <f t="shared" si="75"/>
        <v>#DIV/0!</v>
      </c>
      <c r="DA82" s="35" t="e">
        <f t="shared" si="79"/>
        <v>#DIV/0!</v>
      </c>
      <c r="DB82" s="250"/>
      <c r="DC82" s="35"/>
      <c r="DD82" s="53"/>
      <c r="DE82" s="53"/>
      <c r="DF82" s="53"/>
      <c r="DG82" s="53"/>
      <c r="DH82" s="53"/>
      <c r="DI82" s="53"/>
      <c r="DJ82" s="130"/>
      <c r="DK82" s="207"/>
      <c r="DL82" s="68"/>
      <c r="DM82" s="68"/>
      <c r="DN82" s="68"/>
      <c r="DO82" s="68"/>
    </row>
    <row r="83" spans="1:119">
      <c r="A83" s="12"/>
      <c r="B83" s="21"/>
      <c r="C83" s="21">
        <v>2021</v>
      </c>
      <c r="D83" s="55"/>
      <c r="E83" s="21"/>
      <c r="F83" s="21"/>
      <c r="G83" s="21"/>
      <c r="H83" s="21"/>
      <c r="I83" s="21"/>
      <c r="J83" s="21"/>
      <c r="K83" s="21"/>
      <c r="L83" s="21"/>
      <c r="M83" s="55"/>
      <c r="N83" s="38"/>
      <c r="O83" s="53"/>
      <c r="P83" s="35"/>
      <c r="Q83" s="53"/>
      <c r="R83" s="35"/>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5"/>
      <c r="AT83" s="35"/>
      <c r="AU83" s="52"/>
      <c r="AV83" s="35"/>
      <c r="AW83" s="35"/>
      <c r="AX83" s="52"/>
      <c r="AY83" s="52"/>
      <c r="AZ83" s="52"/>
      <c r="BA83" s="52"/>
      <c r="BB83" s="38" t="e">
        <f t="shared" si="77"/>
        <v>#DIV/0!</v>
      </c>
      <c r="BC83" s="38"/>
      <c r="BD83" s="52"/>
      <c r="BE83" s="52"/>
      <c r="BF83" s="52"/>
      <c r="BG83" s="52"/>
      <c r="BJ83" s="52"/>
      <c r="BK83" s="52"/>
      <c r="BL83" s="35" t="e">
        <f t="shared" si="78"/>
        <v>#DIV/0!</v>
      </c>
      <c r="BM83" s="231"/>
      <c r="BN83" s="231"/>
      <c r="BO83" s="234"/>
      <c r="BP83" s="231"/>
      <c r="BQ83" s="231"/>
      <c r="BR83" s="236"/>
      <c r="BS83" s="236"/>
      <c r="BT83" s="236"/>
      <c r="BU83" s="236"/>
      <c r="BV83" s="236"/>
      <c r="BW83" s="236"/>
      <c r="BX83" s="236"/>
      <c r="BY83" s="231"/>
      <c r="BZ83" s="231"/>
      <c r="CA83" s="68"/>
      <c r="CB83" s="68"/>
      <c r="CC83" s="53"/>
      <c r="CD83" s="68"/>
      <c r="CE83" s="68"/>
      <c r="CF83" s="68"/>
      <c r="CG83" s="68"/>
      <c r="CH83" s="68"/>
      <c r="CI83" s="68"/>
      <c r="CJ83" s="68"/>
      <c r="CK83" s="68"/>
      <c r="CL83" s="180">
        <f t="shared" si="76"/>
        <v>0</v>
      </c>
      <c r="CM83" s="35"/>
      <c r="CN83" s="35"/>
      <c r="CO83" s="52"/>
      <c r="CP83" s="35"/>
      <c r="CQ83" s="52"/>
      <c r="CR83" s="35"/>
      <c r="CS83" s="52"/>
      <c r="CT83" s="35"/>
      <c r="CU83" s="52"/>
      <c r="CV83" s="52"/>
      <c r="CW83" s="53"/>
      <c r="CX83" s="53"/>
      <c r="CY83" s="130"/>
      <c r="CZ83" s="35" t="e">
        <f t="shared" si="75"/>
        <v>#DIV/0!</v>
      </c>
      <c r="DA83" s="35" t="e">
        <f t="shared" si="79"/>
        <v>#DIV/0!</v>
      </c>
      <c r="DB83" s="250"/>
      <c r="DC83" s="35"/>
      <c r="DD83" s="53"/>
      <c r="DE83" s="53"/>
      <c r="DF83" s="53"/>
      <c r="DG83" s="53"/>
      <c r="DH83" s="53"/>
      <c r="DI83" s="53"/>
      <c r="DJ83" s="130"/>
      <c r="DK83" s="207"/>
      <c r="DL83" s="68"/>
      <c r="DM83" s="68"/>
      <c r="DN83" s="68"/>
      <c r="DO83" s="68"/>
    </row>
    <row r="84" spans="1:119">
      <c r="A84" s="12"/>
      <c r="B84" s="21"/>
      <c r="C84" s="21">
        <v>2020</v>
      </c>
      <c r="D84" s="55"/>
      <c r="E84" s="21"/>
      <c r="F84" s="21"/>
      <c r="G84" s="21"/>
      <c r="H84" s="21"/>
      <c r="I84" s="21"/>
      <c r="J84" s="21"/>
      <c r="K84" s="21"/>
      <c r="L84" s="21"/>
      <c r="M84" s="55"/>
      <c r="N84" s="38"/>
      <c r="O84" s="53"/>
      <c r="P84" s="35"/>
      <c r="Q84" s="53"/>
      <c r="R84" s="35"/>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5"/>
      <c r="AT84" s="35"/>
      <c r="AU84" s="52"/>
      <c r="AV84" s="35"/>
      <c r="AW84" s="35"/>
      <c r="AX84" s="52"/>
      <c r="AY84" s="52"/>
      <c r="AZ84" s="52"/>
      <c r="BA84" s="52"/>
      <c r="BB84" s="38" t="e">
        <f t="shared" si="77"/>
        <v>#DIV/0!</v>
      </c>
      <c r="BC84" s="38"/>
      <c r="BD84" s="52"/>
      <c r="BE84" s="52"/>
      <c r="BF84" s="52"/>
      <c r="BG84" s="52"/>
      <c r="BJ84" s="52"/>
      <c r="BK84" s="52"/>
      <c r="BL84" s="35" t="e">
        <f t="shared" si="78"/>
        <v>#DIV/0!</v>
      </c>
      <c r="BM84" s="231"/>
      <c r="BN84" s="231"/>
      <c r="BO84" s="234"/>
      <c r="BP84" s="231"/>
      <c r="BQ84" s="231"/>
      <c r="BR84" s="236"/>
      <c r="BS84" s="236"/>
      <c r="BT84" s="236"/>
      <c r="BU84" s="236"/>
      <c r="BV84" s="236"/>
      <c r="BW84" s="236"/>
      <c r="BX84" s="236"/>
      <c r="BY84" s="231"/>
      <c r="BZ84" s="231"/>
      <c r="CA84" s="68"/>
      <c r="CB84" s="68"/>
      <c r="CC84" s="53"/>
      <c r="CD84" s="68"/>
      <c r="CE84" s="68"/>
      <c r="CF84" s="68"/>
      <c r="CG84" s="68"/>
      <c r="CH84" s="68"/>
      <c r="CI84" s="68"/>
      <c r="CJ84" s="68"/>
      <c r="CK84" s="68"/>
      <c r="CL84" s="180">
        <f t="shared" si="76"/>
        <v>0</v>
      </c>
      <c r="CM84" s="35"/>
      <c r="CN84" s="35"/>
      <c r="CO84" s="52"/>
      <c r="CP84" s="35"/>
      <c r="CQ84" s="52"/>
      <c r="CR84" s="35"/>
      <c r="CS84" s="52"/>
      <c r="CT84" s="35"/>
      <c r="CU84" s="52"/>
      <c r="CV84" s="52"/>
      <c r="CW84" s="53"/>
      <c r="CX84" s="53"/>
      <c r="CY84" s="130"/>
      <c r="CZ84" s="35" t="e">
        <f t="shared" si="75"/>
        <v>#DIV/0!</v>
      </c>
      <c r="DA84" s="35" t="e">
        <f t="shared" si="79"/>
        <v>#DIV/0!</v>
      </c>
      <c r="DB84" s="250"/>
      <c r="DC84" s="35"/>
      <c r="DD84" s="53"/>
      <c r="DE84" s="53"/>
      <c r="DF84" s="53"/>
      <c r="DG84" s="53"/>
      <c r="DH84" s="53"/>
      <c r="DI84" s="53"/>
      <c r="DJ84" s="130"/>
      <c r="DK84" s="207"/>
      <c r="DL84" s="68"/>
      <c r="DM84" s="68"/>
      <c r="DN84" s="68"/>
      <c r="DO84" s="68"/>
    </row>
    <row r="85" spans="1:119">
      <c r="A85" s="12"/>
      <c r="B85" s="21"/>
      <c r="C85" s="21">
        <v>2019</v>
      </c>
      <c r="D85" s="55"/>
      <c r="E85" s="21"/>
      <c r="F85" s="21"/>
      <c r="G85" s="21"/>
      <c r="H85" s="21"/>
      <c r="I85" s="21"/>
      <c r="J85" s="21"/>
      <c r="K85" s="21"/>
      <c r="L85" s="21"/>
      <c r="M85" s="55"/>
      <c r="N85" s="38"/>
      <c r="O85" s="53"/>
      <c r="P85" s="35"/>
      <c r="Q85" s="53"/>
      <c r="R85" s="35"/>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5"/>
      <c r="AT85" s="35"/>
      <c r="AU85" s="52"/>
      <c r="AV85" s="35"/>
      <c r="AW85" s="35"/>
      <c r="AX85" s="52"/>
      <c r="AY85" s="52"/>
      <c r="AZ85" s="52"/>
      <c r="BA85" s="52"/>
      <c r="BB85" s="38" t="e">
        <f t="shared" si="77"/>
        <v>#DIV/0!</v>
      </c>
      <c r="BC85" s="38"/>
      <c r="BD85" s="52"/>
      <c r="BE85" s="52"/>
      <c r="BF85" s="52"/>
      <c r="BG85" s="52"/>
      <c r="BJ85" s="52"/>
      <c r="BK85" s="52"/>
      <c r="BL85" s="35" t="e">
        <f t="shared" si="78"/>
        <v>#DIV/0!</v>
      </c>
      <c r="BM85" s="231"/>
      <c r="BN85" s="231"/>
      <c r="BO85" s="234"/>
      <c r="BP85" s="231"/>
      <c r="BQ85" s="231"/>
      <c r="BR85" s="236"/>
      <c r="BS85" s="236"/>
      <c r="BT85" s="236"/>
      <c r="BU85" s="236"/>
      <c r="BV85" s="236"/>
      <c r="BW85" s="236"/>
      <c r="BX85" s="236"/>
      <c r="BY85" s="231"/>
      <c r="BZ85" s="231"/>
      <c r="CA85" s="68"/>
      <c r="CB85" s="68"/>
      <c r="CC85" s="53"/>
      <c r="CD85" s="68"/>
      <c r="CE85" s="68"/>
      <c r="CF85" s="68"/>
      <c r="CG85" s="68"/>
      <c r="CH85" s="68"/>
      <c r="CI85" s="68"/>
      <c r="CJ85" s="68"/>
      <c r="CK85" s="68"/>
      <c r="CL85" s="180">
        <f t="shared" si="76"/>
        <v>0</v>
      </c>
      <c r="CM85" s="35"/>
      <c r="CN85" s="35"/>
      <c r="CO85" s="52"/>
      <c r="CP85" s="35"/>
      <c r="CQ85" s="52"/>
      <c r="CR85" s="35"/>
      <c r="CS85" s="52"/>
      <c r="CT85" s="35"/>
      <c r="CU85" s="52"/>
      <c r="CV85" s="52"/>
      <c r="CW85" s="53"/>
      <c r="CX85" s="53"/>
      <c r="CY85" s="130"/>
      <c r="CZ85" s="35" t="e">
        <f t="shared" si="75"/>
        <v>#DIV/0!</v>
      </c>
      <c r="DA85" s="35" t="e">
        <f t="shared" si="79"/>
        <v>#DIV/0!</v>
      </c>
      <c r="DB85" s="260"/>
      <c r="DC85" s="38"/>
      <c r="DD85" s="55"/>
      <c r="DE85" s="55"/>
      <c r="DF85" s="55"/>
      <c r="DG85" s="55"/>
      <c r="DH85" s="55"/>
      <c r="DI85" s="55"/>
      <c r="DJ85" s="30"/>
      <c r="DK85" s="207"/>
      <c r="DL85" s="68"/>
      <c r="DM85" s="68"/>
      <c r="DN85" s="68"/>
      <c r="DO85" s="68"/>
    </row>
    <row r="86" spans="1:119">
      <c r="A86" s="12"/>
      <c r="B86" s="21"/>
      <c r="C86" s="21">
        <v>2018</v>
      </c>
      <c r="D86" s="55"/>
      <c r="E86" s="21"/>
      <c r="F86" s="21"/>
      <c r="G86" s="21"/>
      <c r="H86" s="21"/>
      <c r="I86" s="21"/>
      <c r="J86" s="21"/>
      <c r="K86" s="21"/>
      <c r="L86" s="21"/>
      <c r="M86" s="55"/>
      <c r="N86" s="38"/>
      <c r="O86" s="53"/>
      <c r="P86" s="35"/>
      <c r="Q86" s="53"/>
      <c r="R86" s="35"/>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5"/>
      <c r="AT86" s="35"/>
      <c r="AU86" s="52"/>
      <c r="AV86" s="35"/>
      <c r="AW86" s="35"/>
      <c r="AX86" s="52"/>
      <c r="AY86" s="52"/>
      <c r="AZ86" s="52"/>
      <c r="BA86" s="52"/>
      <c r="BB86" s="38" t="e">
        <f t="shared" si="77"/>
        <v>#DIV/0!</v>
      </c>
      <c r="BC86" s="38"/>
      <c r="BD86" s="52"/>
      <c r="BE86" s="52"/>
      <c r="BF86" s="52"/>
      <c r="BG86" s="52"/>
      <c r="BJ86" s="52"/>
      <c r="BK86" s="52"/>
      <c r="BL86" s="35" t="e">
        <f t="shared" si="78"/>
        <v>#DIV/0!</v>
      </c>
      <c r="BM86" s="231"/>
      <c r="BN86" s="231"/>
      <c r="BO86" s="234"/>
      <c r="BP86" s="231"/>
      <c r="BQ86" s="231"/>
      <c r="BR86" s="236"/>
      <c r="BS86" s="236"/>
      <c r="BT86" s="236"/>
      <c r="BU86" s="236"/>
      <c r="BV86" s="236"/>
      <c r="BW86" s="236"/>
      <c r="BX86" s="236"/>
      <c r="BY86" s="231"/>
      <c r="BZ86" s="231"/>
      <c r="CA86" s="68"/>
      <c r="CB86" s="68"/>
      <c r="CC86" s="53"/>
      <c r="CD86" s="68"/>
      <c r="CE86" s="68"/>
      <c r="CF86" s="68"/>
      <c r="CG86" s="68"/>
      <c r="CH86" s="68"/>
      <c r="CI86" s="68"/>
      <c r="CJ86" s="68"/>
      <c r="CK86" s="68"/>
      <c r="CL86" s="180">
        <f t="shared" si="76"/>
        <v>0</v>
      </c>
      <c r="CM86" s="35"/>
      <c r="CN86" s="35"/>
      <c r="CO86" s="52"/>
      <c r="CP86" s="35"/>
      <c r="CQ86" s="52"/>
      <c r="CR86" s="35"/>
      <c r="CS86" s="52"/>
      <c r="CT86" s="35"/>
      <c r="CU86" s="52"/>
      <c r="CV86" s="52"/>
      <c r="CW86" s="53"/>
      <c r="CX86" s="53"/>
      <c r="CY86" s="130"/>
      <c r="CZ86" s="35" t="e">
        <f t="shared" si="75"/>
        <v>#DIV/0!</v>
      </c>
      <c r="DA86" s="35" t="e">
        <f t="shared" si="79"/>
        <v>#DIV/0!</v>
      </c>
      <c r="DB86" s="260"/>
      <c r="DC86" s="38"/>
      <c r="DD86" s="55"/>
      <c r="DE86" s="55"/>
      <c r="DF86" s="55"/>
      <c r="DG86" s="55"/>
      <c r="DH86" s="55"/>
      <c r="DI86" s="55"/>
      <c r="DJ86" s="30"/>
      <c r="DK86" s="207"/>
      <c r="DL86" s="68"/>
      <c r="DM86" s="68"/>
      <c r="DN86" s="68"/>
      <c r="DO86" s="68"/>
    </row>
    <row r="87" spans="1:119">
      <c r="A87" s="12"/>
      <c r="B87" s="21"/>
      <c r="C87" s="21">
        <v>2017</v>
      </c>
      <c r="D87" s="55"/>
      <c r="E87" s="21"/>
      <c r="F87" s="21"/>
      <c r="G87" s="21"/>
      <c r="H87" s="21"/>
      <c r="I87" s="21"/>
      <c r="J87" s="21"/>
      <c r="K87" s="21"/>
      <c r="L87" s="21"/>
      <c r="M87" s="55"/>
      <c r="N87" s="38"/>
      <c r="O87" s="53"/>
      <c r="P87" s="35"/>
      <c r="Q87" s="53"/>
      <c r="R87" s="35"/>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5"/>
      <c r="AT87" s="35"/>
      <c r="AU87" s="52"/>
      <c r="AV87" s="35"/>
      <c r="AW87" s="35"/>
      <c r="AX87" s="52"/>
      <c r="AY87" s="52"/>
      <c r="AZ87" s="52"/>
      <c r="BA87" s="52"/>
      <c r="BB87" s="38" t="e">
        <f t="shared" si="77"/>
        <v>#DIV/0!</v>
      </c>
      <c r="BC87" s="38"/>
      <c r="BD87" s="52"/>
      <c r="BE87" s="52"/>
      <c r="BF87" s="52"/>
      <c r="BG87" s="52"/>
      <c r="BJ87" s="52"/>
      <c r="BK87" s="52"/>
      <c r="BL87" s="35" t="e">
        <f t="shared" si="78"/>
        <v>#DIV/0!</v>
      </c>
      <c r="BM87" s="231"/>
      <c r="BN87" s="231"/>
      <c r="BO87" s="234"/>
      <c r="BP87" s="231"/>
      <c r="BQ87" s="231"/>
      <c r="BR87" s="236"/>
      <c r="BS87" s="236"/>
      <c r="BT87" s="236"/>
      <c r="BU87" s="236"/>
      <c r="BV87" s="236"/>
      <c r="BW87" s="236"/>
      <c r="BX87" s="236"/>
      <c r="BY87" s="231"/>
      <c r="BZ87" s="231"/>
      <c r="CA87" s="68"/>
      <c r="CB87" s="68"/>
      <c r="CC87" s="53"/>
      <c r="CD87" s="68"/>
      <c r="CE87" s="68"/>
      <c r="CF87" s="68"/>
      <c r="CG87" s="68"/>
      <c r="CH87" s="68"/>
      <c r="CI87" s="68"/>
      <c r="CJ87" s="68"/>
      <c r="CK87" s="68"/>
      <c r="CL87" s="180">
        <f t="shared" si="76"/>
        <v>0</v>
      </c>
      <c r="CM87" s="35"/>
      <c r="CN87" s="35"/>
      <c r="CO87" s="52"/>
      <c r="CP87" s="35"/>
      <c r="CQ87" s="52"/>
      <c r="CR87" s="35"/>
      <c r="CS87" s="52"/>
      <c r="CT87" s="35"/>
      <c r="CU87" s="52"/>
      <c r="CV87" s="52"/>
      <c r="CW87" s="53"/>
      <c r="CX87" s="53"/>
      <c r="CY87" s="130"/>
      <c r="CZ87" s="35" t="e">
        <f t="shared" si="75"/>
        <v>#DIV/0!</v>
      </c>
      <c r="DA87" s="35" t="e">
        <f t="shared" si="79"/>
        <v>#DIV/0!</v>
      </c>
      <c r="DB87" s="260"/>
      <c r="DC87" s="38"/>
      <c r="DD87" s="55"/>
      <c r="DE87" s="55"/>
      <c r="DF87" s="55"/>
      <c r="DG87" s="55"/>
      <c r="DH87" s="55"/>
      <c r="DI87" s="55"/>
      <c r="DJ87" s="30"/>
      <c r="DK87" s="207"/>
      <c r="DL87" s="68"/>
      <c r="DM87" s="68"/>
      <c r="DN87" s="68"/>
      <c r="DO87" s="68"/>
    </row>
    <row r="88" spans="1:119">
      <c r="A88" s="12"/>
      <c r="B88" s="21"/>
      <c r="C88" s="21">
        <v>2016</v>
      </c>
      <c r="D88" s="55"/>
      <c r="E88" s="21"/>
      <c r="F88" s="21"/>
      <c r="G88" s="21"/>
      <c r="H88" s="21"/>
      <c r="I88" s="21"/>
      <c r="J88" s="21"/>
      <c r="K88" s="21"/>
      <c r="L88" s="21"/>
      <c r="M88" s="55"/>
      <c r="N88" s="38"/>
      <c r="O88" s="53"/>
      <c r="P88" s="35"/>
      <c r="Q88" s="53"/>
      <c r="R88" s="35"/>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5"/>
      <c r="AT88" s="35"/>
      <c r="AU88" s="52"/>
      <c r="AV88" s="35"/>
      <c r="AW88" s="35"/>
      <c r="AX88" s="52"/>
      <c r="AY88" s="52"/>
      <c r="AZ88" s="52"/>
      <c r="BA88" s="52"/>
      <c r="BB88" s="38" t="e">
        <f t="shared" si="77"/>
        <v>#DIV/0!</v>
      </c>
      <c r="BC88" s="38"/>
      <c r="BD88" s="52"/>
      <c r="BE88" s="52"/>
      <c r="BF88" s="52"/>
      <c r="BG88" s="52"/>
      <c r="BJ88" s="52"/>
      <c r="BK88" s="52"/>
      <c r="BL88" s="35" t="e">
        <f t="shared" si="78"/>
        <v>#DIV/0!</v>
      </c>
      <c r="BM88" s="231"/>
      <c r="BN88" s="231"/>
      <c r="BO88" s="234"/>
      <c r="BP88" s="231"/>
      <c r="BQ88" s="231"/>
      <c r="BR88" s="236"/>
      <c r="BS88" s="236"/>
      <c r="BT88" s="236"/>
      <c r="BU88" s="236"/>
      <c r="BV88" s="236"/>
      <c r="BW88" s="236"/>
      <c r="BX88" s="236"/>
      <c r="BY88" s="231"/>
      <c r="BZ88" s="231"/>
      <c r="CA88" s="68"/>
      <c r="CB88" s="68"/>
      <c r="CC88" s="53"/>
      <c r="CD88" s="68"/>
      <c r="CE88" s="68"/>
      <c r="CF88" s="68"/>
      <c r="CG88" s="68"/>
      <c r="CH88" s="68"/>
      <c r="CI88" s="68"/>
      <c r="CJ88" s="68"/>
      <c r="CK88" s="68"/>
      <c r="CL88" s="180">
        <f t="shared" si="76"/>
        <v>0</v>
      </c>
      <c r="CM88" s="35"/>
      <c r="CN88" s="35"/>
      <c r="CO88" s="52"/>
      <c r="CP88" s="35"/>
      <c r="CQ88" s="52"/>
      <c r="CR88" s="35"/>
      <c r="CS88" s="52"/>
      <c r="CT88" s="35"/>
      <c r="CU88" s="52"/>
      <c r="CV88" s="52"/>
      <c r="CW88" s="53"/>
      <c r="CX88" s="53"/>
      <c r="CY88" s="130"/>
      <c r="CZ88" s="35" t="e">
        <f t="shared" si="75"/>
        <v>#DIV/0!</v>
      </c>
      <c r="DA88" s="35" t="e">
        <f t="shared" si="79"/>
        <v>#DIV/0!</v>
      </c>
      <c r="DB88" s="260"/>
      <c r="DC88" s="38"/>
      <c r="DD88" s="55"/>
      <c r="DE88" s="55"/>
      <c r="DF88" s="55"/>
      <c r="DG88" s="55"/>
      <c r="DH88" s="55"/>
      <c r="DI88" s="55"/>
      <c r="DJ88" s="30"/>
      <c r="DK88" s="207"/>
      <c r="DL88" s="68"/>
      <c r="DM88" s="68"/>
      <c r="DN88" s="68"/>
      <c r="DO88" s="68"/>
    </row>
    <row r="89" spans="1:119">
      <c r="A89" s="12"/>
      <c r="B89" s="21"/>
      <c r="C89" s="21">
        <v>2015</v>
      </c>
      <c r="D89" s="55"/>
      <c r="E89" s="21"/>
      <c r="F89" s="21"/>
      <c r="G89" s="21"/>
      <c r="H89" s="21"/>
      <c r="I89" s="21"/>
      <c r="J89" s="21"/>
      <c r="K89" s="21"/>
      <c r="L89" s="21"/>
      <c r="M89" s="55"/>
      <c r="N89" s="38"/>
      <c r="O89" s="53"/>
      <c r="P89" s="35"/>
      <c r="Q89" s="53"/>
      <c r="R89" s="35"/>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5"/>
      <c r="AT89" s="35"/>
      <c r="AU89" s="52"/>
      <c r="AV89" s="35"/>
      <c r="AW89" s="35"/>
      <c r="AX89" s="52"/>
      <c r="AY89" s="52"/>
      <c r="AZ89" s="52"/>
      <c r="BA89" s="52"/>
      <c r="BB89" s="38" t="e">
        <f t="shared" si="77"/>
        <v>#DIV/0!</v>
      </c>
      <c r="BC89" s="38"/>
      <c r="BD89" s="52"/>
      <c r="BE89" s="52"/>
      <c r="BF89" s="52"/>
      <c r="BG89" s="52"/>
      <c r="BJ89" s="52"/>
      <c r="BK89" s="52"/>
      <c r="BL89" s="35" t="e">
        <f t="shared" si="78"/>
        <v>#DIV/0!</v>
      </c>
      <c r="BM89" s="231"/>
      <c r="BN89" s="231"/>
      <c r="BO89" s="234"/>
      <c r="BP89" s="231"/>
      <c r="BQ89" s="231"/>
      <c r="BR89" s="236"/>
      <c r="BS89" s="236"/>
      <c r="BT89" s="236"/>
      <c r="BU89" s="236"/>
      <c r="BV89" s="236"/>
      <c r="BW89" s="236"/>
      <c r="BX89" s="236"/>
      <c r="BY89" s="231"/>
      <c r="BZ89" s="231"/>
      <c r="CA89" s="68"/>
      <c r="CB89" s="68"/>
      <c r="CC89" s="53"/>
      <c r="CD89" s="68"/>
      <c r="CE89" s="68"/>
      <c r="CF89" s="68"/>
      <c r="CG89" s="68"/>
      <c r="CH89" s="68"/>
      <c r="CI89" s="68"/>
      <c r="CJ89" s="68"/>
      <c r="CK89" s="68"/>
      <c r="CL89" s="180">
        <f t="shared" si="76"/>
        <v>0</v>
      </c>
      <c r="CM89" s="35"/>
      <c r="CN89" s="35"/>
      <c r="CO89" s="52"/>
      <c r="CP89" s="35"/>
      <c r="CQ89" s="52"/>
      <c r="CR89" s="35"/>
      <c r="CS89" s="52"/>
      <c r="CT89" s="35"/>
      <c r="CU89" s="52"/>
      <c r="CV89" s="52"/>
      <c r="CW89" s="53"/>
      <c r="CX89" s="53"/>
      <c r="CY89" s="130"/>
      <c r="CZ89" s="35" t="e">
        <f t="shared" si="75"/>
        <v>#DIV/0!</v>
      </c>
      <c r="DA89" s="35" t="e">
        <f t="shared" si="79"/>
        <v>#DIV/0!</v>
      </c>
      <c r="DB89" s="260"/>
      <c r="DC89" s="38"/>
      <c r="DD89" s="55"/>
      <c r="DE89" s="55"/>
      <c r="DF89" s="55"/>
      <c r="DG89" s="55"/>
      <c r="DH89" s="55"/>
      <c r="DI89" s="55"/>
      <c r="DJ89" s="30"/>
      <c r="DK89" s="207"/>
      <c r="DL89" s="68"/>
      <c r="DM89" s="68"/>
      <c r="DN89" s="68"/>
      <c r="DO89" s="68"/>
    </row>
    <row r="90" spans="1:119">
      <c r="A90" s="12"/>
      <c r="B90" s="21"/>
      <c r="C90" s="21">
        <v>2014</v>
      </c>
      <c r="D90" s="55"/>
      <c r="E90" s="21"/>
      <c r="F90" s="21"/>
      <c r="G90" s="21"/>
      <c r="H90" s="21"/>
      <c r="I90" s="21"/>
      <c r="J90" s="21"/>
      <c r="K90" s="21"/>
      <c r="L90" s="21"/>
      <c r="M90" s="55"/>
      <c r="N90" s="38"/>
      <c r="O90" s="53"/>
      <c r="P90" s="35"/>
      <c r="Q90" s="53"/>
      <c r="R90" s="35"/>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5"/>
      <c r="AT90" s="35"/>
      <c r="AU90" s="52"/>
      <c r="AV90" s="35"/>
      <c r="AW90" s="35"/>
      <c r="AX90" s="52"/>
      <c r="AY90" s="52"/>
      <c r="AZ90" s="52"/>
      <c r="BA90" s="52"/>
      <c r="BB90" s="38" t="e">
        <f t="shared" si="77"/>
        <v>#DIV/0!</v>
      </c>
      <c r="BC90" s="38"/>
      <c r="BD90" s="52"/>
      <c r="BE90" s="52"/>
      <c r="BF90" s="52"/>
      <c r="BG90" s="52"/>
      <c r="BJ90" s="52"/>
      <c r="BK90" s="52"/>
      <c r="BL90" s="35" t="e">
        <f t="shared" si="78"/>
        <v>#DIV/0!</v>
      </c>
      <c r="BM90" s="231"/>
      <c r="BN90" s="231"/>
      <c r="BO90" s="234"/>
      <c r="BP90" s="231"/>
      <c r="BQ90" s="231"/>
      <c r="BR90" s="236"/>
      <c r="BS90" s="236"/>
      <c r="BT90" s="236"/>
      <c r="BU90" s="236"/>
      <c r="BV90" s="236"/>
      <c r="BW90" s="236"/>
      <c r="BX90" s="236"/>
      <c r="BY90" s="231"/>
      <c r="BZ90" s="231"/>
      <c r="CA90" s="68"/>
      <c r="CB90" s="68"/>
      <c r="CC90" s="53"/>
      <c r="CD90" s="68"/>
      <c r="CE90" s="68"/>
      <c r="CF90" s="68"/>
      <c r="CG90" s="68"/>
      <c r="CH90" s="68"/>
      <c r="CI90" s="68"/>
      <c r="CJ90" s="68"/>
      <c r="CK90" s="68"/>
      <c r="CL90" s="180">
        <f t="shared" si="76"/>
        <v>0</v>
      </c>
      <c r="CM90" s="35"/>
      <c r="CN90" s="35"/>
      <c r="CO90" s="52"/>
      <c r="CP90" s="35"/>
      <c r="CQ90" s="52"/>
      <c r="CR90" s="35"/>
      <c r="CS90" s="52"/>
      <c r="CT90" s="35"/>
      <c r="CU90" s="52"/>
      <c r="CV90" s="52"/>
      <c r="CW90" s="53"/>
      <c r="CX90" s="53"/>
      <c r="CY90" s="130"/>
      <c r="CZ90" s="35" t="e">
        <f t="shared" si="75"/>
        <v>#DIV/0!</v>
      </c>
      <c r="DA90" s="35" t="e">
        <f t="shared" si="79"/>
        <v>#DIV/0!</v>
      </c>
      <c r="DB90" s="260"/>
      <c r="DC90" s="38"/>
      <c r="DD90" s="55"/>
      <c r="DE90" s="55"/>
      <c r="DF90" s="55"/>
      <c r="DG90" s="55"/>
      <c r="DH90" s="55"/>
      <c r="DI90" s="55"/>
      <c r="DJ90" s="30"/>
      <c r="DK90" s="207"/>
      <c r="DL90" s="68"/>
      <c r="DM90" s="68"/>
      <c r="DN90" s="68"/>
      <c r="DO90" s="68"/>
    </row>
    <row r="91" spans="1:119">
      <c r="A91" s="12"/>
      <c r="B91" s="21"/>
      <c r="C91" s="21">
        <v>2013</v>
      </c>
      <c r="D91" s="55"/>
      <c r="E91" s="21"/>
      <c r="F91" s="21"/>
      <c r="G91" s="21"/>
      <c r="H91" s="21"/>
      <c r="I91" s="21"/>
      <c r="J91" s="21"/>
      <c r="K91" s="21"/>
      <c r="L91" s="21"/>
      <c r="M91" s="55"/>
      <c r="N91" s="38"/>
      <c r="O91" s="53"/>
      <c r="P91" s="35"/>
      <c r="Q91" s="53"/>
      <c r="R91" s="35"/>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5"/>
      <c r="AT91" s="35"/>
      <c r="AU91" s="52"/>
      <c r="AV91" s="35"/>
      <c r="AW91" s="35"/>
      <c r="AX91" s="52"/>
      <c r="AY91" s="52"/>
      <c r="AZ91" s="52"/>
      <c r="BA91" s="52"/>
      <c r="BB91" s="38" t="e">
        <f t="shared" si="77"/>
        <v>#DIV/0!</v>
      </c>
      <c r="BC91" s="38"/>
      <c r="BD91" s="52"/>
      <c r="BE91" s="52"/>
      <c r="BF91" s="52"/>
      <c r="BG91" s="52"/>
      <c r="BJ91" s="52"/>
      <c r="BK91" s="52"/>
      <c r="BL91" s="35" t="e">
        <f t="shared" si="78"/>
        <v>#DIV/0!</v>
      </c>
      <c r="BM91" s="231"/>
      <c r="BN91" s="231"/>
      <c r="BO91" s="234"/>
      <c r="BP91" s="231"/>
      <c r="BQ91" s="231"/>
      <c r="BR91" s="236"/>
      <c r="BS91" s="236"/>
      <c r="BT91" s="236"/>
      <c r="BU91" s="236"/>
      <c r="BV91" s="236"/>
      <c r="BW91" s="236"/>
      <c r="BX91" s="236"/>
      <c r="BY91" s="231"/>
      <c r="BZ91" s="231"/>
      <c r="CA91" s="68"/>
      <c r="CB91" s="68"/>
      <c r="CC91" s="53"/>
      <c r="CD91" s="68"/>
      <c r="CE91" s="68"/>
      <c r="CF91" s="68"/>
      <c r="CG91" s="68"/>
      <c r="CH91" s="68"/>
      <c r="CI91" s="68"/>
      <c r="CJ91" s="68"/>
      <c r="CK91" s="68"/>
      <c r="CL91" s="180">
        <f t="shared" si="76"/>
        <v>0</v>
      </c>
      <c r="CM91" s="35"/>
      <c r="CN91" s="35"/>
      <c r="CO91" s="52"/>
      <c r="CP91" s="35"/>
      <c r="CQ91" s="52"/>
      <c r="CR91" s="35"/>
      <c r="CS91" s="52"/>
      <c r="CT91" s="35"/>
      <c r="CU91" s="52"/>
      <c r="CV91" s="52"/>
      <c r="CW91" s="53"/>
      <c r="CX91" s="53"/>
      <c r="CY91" s="130"/>
      <c r="CZ91" s="35" t="e">
        <f t="shared" si="75"/>
        <v>#DIV/0!</v>
      </c>
      <c r="DA91" s="35" t="e">
        <f t="shared" si="79"/>
        <v>#DIV/0!</v>
      </c>
      <c r="DB91" s="260"/>
      <c r="DC91" s="38"/>
      <c r="DD91" s="55"/>
      <c r="DE91" s="55"/>
      <c r="DF91" s="55"/>
      <c r="DG91" s="55"/>
      <c r="DH91" s="55"/>
      <c r="DI91" s="55"/>
      <c r="DJ91" s="30"/>
      <c r="DK91" s="207"/>
      <c r="DL91" s="68"/>
      <c r="DM91" s="68"/>
      <c r="DN91" s="68"/>
      <c r="DO91" s="68"/>
    </row>
    <row r="92" spans="1:119">
      <c r="A92" s="12"/>
      <c r="B92" s="21"/>
      <c r="C92" s="21">
        <v>2012</v>
      </c>
      <c r="D92" s="55"/>
      <c r="E92" s="21"/>
      <c r="F92" s="21"/>
      <c r="G92" s="21"/>
      <c r="H92" s="21"/>
      <c r="I92" s="21"/>
      <c r="J92" s="21"/>
      <c r="K92" s="21"/>
      <c r="L92" s="21"/>
      <c r="M92" s="55"/>
      <c r="N92" s="38"/>
      <c r="O92" s="53"/>
      <c r="P92" s="35"/>
      <c r="Q92" s="53"/>
      <c r="R92" s="35"/>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5"/>
      <c r="AT92" s="35"/>
      <c r="AU92" s="52"/>
      <c r="AV92" s="35"/>
      <c r="AW92" s="35"/>
      <c r="AX92" s="52"/>
      <c r="AY92" s="52"/>
      <c r="AZ92" s="52"/>
      <c r="BA92" s="52"/>
      <c r="BB92" s="38" t="e">
        <f t="shared" si="77"/>
        <v>#DIV/0!</v>
      </c>
      <c r="BC92" s="38"/>
      <c r="BD92" s="52"/>
      <c r="BE92" s="52"/>
      <c r="BF92" s="52"/>
      <c r="BG92" s="52"/>
      <c r="BJ92" s="52"/>
      <c r="BK92" s="52"/>
      <c r="BL92" s="35" t="e">
        <f t="shared" si="78"/>
        <v>#DIV/0!</v>
      </c>
      <c r="BM92" s="231"/>
      <c r="BN92" s="231"/>
      <c r="BO92" s="234"/>
      <c r="BP92" s="231"/>
      <c r="BQ92" s="231"/>
      <c r="BR92" s="236"/>
      <c r="BS92" s="236"/>
      <c r="BT92" s="236"/>
      <c r="BU92" s="236"/>
      <c r="BV92" s="236"/>
      <c r="BW92" s="236"/>
      <c r="BX92" s="236"/>
      <c r="BY92" s="231"/>
      <c r="BZ92" s="231"/>
      <c r="CA92" s="68"/>
      <c r="CB92" s="68"/>
      <c r="CC92" s="53"/>
      <c r="CD92" s="68"/>
      <c r="CE92" s="68"/>
      <c r="CF92" s="68"/>
      <c r="CG92" s="68"/>
      <c r="CH92" s="68"/>
      <c r="CI92" s="68"/>
      <c r="CJ92" s="68"/>
      <c r="CK92" s="68"/>
      <c r="CL92" s="180">
        <f t="shared" si="76"/>
        <v>0</v>
      </c>
      <c r="CM92" s="35"/>
      <c r="CN92" s="35"/>
      <c r="CO92" s="52"/>
      <c r="CP92" s="35"/>
      <c r="CQ92" s="52"/>
      <c r="CR92" s="35"/>
      <c r="CS92" s="52"/>
      <c r="CT92" s="35"/>
      <c r="CU92" s="52"/>
      <c r="CV92" s="52"/>
      <c r="CW92" s="53"/>
      <c r="CX92" s="53"/>
      <c r="CY92" s="130"/>
      <c r="CZ92" s="35" t="e">
        <f t="shared" si="75"/>
        <v>#DIV/0!</v>
      </c>
      <c r="DA92" s="35" t="e">
        <f t="shared" si="79"/>
        <v>#DIV/0!</v>
      </c>
      <c r="DB92" s="260"/>
      <c r="DC92" s="38"/>
      <c r="DD92" s="55"/>
      <c r="DE92" s="55"/>
      <c r="DF92" s="55"/>
      <c r="DG92" s="55"/>
      <c r="DH92" s="55"/>
      <c r="DI92" s="55"/>
      <c r="DJ92" s="30"/>
      <c r="DK92" s="207"/>
      <c r="DL92" s="68"/>
      <c r="DM92" s="68"/>
      <c r="DN92" s="68"/>
      <c r="DO92" s="68"/>
    </row>
    <row r="93" spans="1:119">
      <c r="A93" s="68"/>
      <c r="B93" s="21" t="s">
        <v>136</v>
      </c>
      <c r="C93" s="21">
        <v>2022</v>
      </c>
      <c r="D93" s="55"/>
      <c r="E93" s="21"/>
      <c r="F93" s="21"/>
      <c r="G93" s="21"/>
      <c r="H93" s="21"/>
      <c r="I93" s="21"/>
      <c r="J93" s="21"/>
      <c r="K93" s="21"/>
      <c r="L93" s="21"/>
      <c r="M93" s="55"/>
      <c r="N93" s="38"/>
      <c r="O93" s="53"/>
      <c r="P93" s="35"/>
      <c r="Q93" s="53"/>
      <c r="R93" s="35"/>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5"/>
      <c r="AT93" s="35"/>
      <c r="AU93" s="52"/>
      <c r="AV93" s="35"/>
      <c r="AW93" s="35"/>
      <c r="AX93" s="52"/>
      <c r="AY93" s="52"/>
      <c r="AZ93" s="52"/>
      <c r="BA93" s="52"/>
      <c r="BB93" s="38" t="e">
        <f t="shared" si="77"/>
        <v>#DIV/0!</v>
      </c>
      <c r="BC93" s="38"/>
      <c r="BD93" s="52"/>
      <c r="BE93" s="52"/>
      <c r="BF93" s="52"/>
      <c r="BG93" s="52"/>
      <c r="BJ93" s="52"/>
      <c r="BK93" s="52"/>
      <c r="BL93" s="35" t="e">
        <f t="shared" si="78"/>
        <v>#DIV/0!</v>
      </c>
      <c r="BM93" s="231"/>
      <c r="BN93" s="231"/>
      <c r="BO93" s="234"/>
      <c r="BP93" s="231"/>
      <c r="BQ93" s="231"/>
      <c r="BR93" s="236"/>
      <c r="BS93" s="236"/>
      <c r="BT93" s="236"/>
      <c r="BU93" s="236"/>
      <c r="BV93" s="236"/>
      <c r="BW93" s="236"/>
      <c r="BX93" s="236"/>
      <c r="BY93" s="231"/>
      <c r="BZ93" s="231"/>
      <c r="CA93" s="68"/>
      <c r="CB93" s="68"/>
      <c r="CC93" s="53"/>
      <c r="CD93" s="68"/>
      <c r="CE93" s="68"/>
      <c r="CF93" s="68"/>
      <c r="CG93" s="68"/>
      <c r="CH93" s="68"/>
      <c r="CI93" s="68"/>
      <c r="CJ93" s="68"/>
      <c r="CK93" s="68"/>
      <c r="CL93" s="180">
        <f t="shared" si="76"/>
        <v>0</v>
      </c>
      <c r="CM93" s="35"/>
      <c r="CN93" s="35"/>
      <c r="CO93" s="52"/>
      <c r="CP93" s="35"/>
      <c r="CQ93" s="52"/>
      <c r="CR93" s="35"/>
      <c r="CS93" s="52"/>
      <c r="CT93" s="35"/>
      <c r="CU93" s="52"/>
      <c r="CV93" s="52"/>
      <c r="CW93" s="53"/>
      <c r="CX93" s="53"/>
      <c r="CY93" s="130"/>
      <c r="CZ93" s="35" t="e">
        <f t="shared" si="75"/>
        <v>#DIV/0!</v>
      </c>
      <c r="DA93" s="35" t="e">
        <f t="shared" si="79"/>
        <v>#DIV/0!</v>
      </c>
      <c r="DB93" s="260"/>
      <c r="DC93" s="38"/>
      <c r="DD93" s="55"/>
      <c r="DE93" s="55"/>
      <c r="DF93" s="55"/>
      <c r="DG93" s="55"/>
      <c r="DH93" s="55"/>
      <c r="DI93" s="55"/>
      <c r="DJ93" s="30"/>
      <c r="DK93" s="207"/>
      <c r="DL93" s="68"/>
      <c r="DM93" s="68"/>
      <c r="DN93" s="68"/>
      <c r="DO93" s="68"/>
    </row>
    <row r="94" spans="1:119">
      <c r="A94" s="68"/>
      <c r="B94" s="21"/>
      <c r="C94" s="21">
        <v>2021</v>
      </c>
      <c r="D94" s="55"/>
      <c r="E94" s="21"/>
      <c r="F94" s="21"/>
      <c r="G94" s="21"/>
      <c r="H94" s="21"/>
      <c r="I94" s="21"/>
      <c r="J94" s="21"/>
      <c r="K94" s="21"/>
      <c r="L94" s="21"/>
      <c r="M94" s="55"/>
      <c r="N94" s="38"/>
      <c r="O94" s="53"/>
      <c r="P94" s="35"/>
      <c r="Q94" s="53"/>
      <c r="R94" s="35"/>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5"/>
      <c r="AT94" s="35"/>
      <c r="AU94" s="52"/>
      <c r="AV94" s="35"/>
      <c r="AW94" s="35"/>
      <c r="AX94" s="52"/>
      <c r="AY94" s="52"/>
      <c r="AZ94" s="52"/>
      <c r="BA94" s="52"/>
      <c r="BB94" s="38" t="e">
        <f t="shared" si="77"/>
        <v>#DIV/0!</v>
      </c>
      <c r="BC94" s="38"/>
      <c r="BD94" s="52"/>
      <c r="BE94" s="52"/>
      <c r="BF94" s="52"/>
      <c r="BG94" s="52"/>
      <c r="BJ94" s="52"/>
      <c r="BK94" s="52"/>
      <c r="BL94" s="35" t="e">
        <f t="shared" si="78"/>
        <v>#DIV/0!</v>
      </c>
      <c r="BM94" s="231"/>
      <c r="BN94" s="231"/>
      <c r="BO94" s="234"/>
      <c r="BP94" s="231"/>
      <c r="BQ94" s="231"/>
      <c r="BR94" s="236"/>
      <c r="BS94" s="236"/>
      <c r="BT94" s="236"/>
      <c r="BU94" s="236"/>
      <c r="BV94" s="236"/>
      <c r="BW94" s="236"/>
      <c r="BX94" s="236"/>
      <c r="BY94" s="231"/>
      <c r="BZ94" s="231"/>
      <c r="CA94" s="68"/>
      <c r="CB94" s="68"/>
      <c r="CC94" s="53"/>
      <c r="CD94" s="68"/>
      <c r="CE94" s="68"/>
      <c r="CF94" s="68"/>
      <c r="CG94" s="68"/>
      <c r="CH94" s="68"/>
      <c r="CI94" s="68"/>
      <c r="CJ94" s="68"/>
      <c r="CK94" s="68"/>
      <c r="CL94" s="180">
        <f t="shared" si="76"/>
        <v>0</v>
      </c>
      <c r="CM94" s="35"/>
      <c r="CN94" s="35"/>
      <c r="CO94" s="52"/>
      <c r="CP94" s="35"/>
      <c r="CQ94" s="52"/>
      <c r="CR94" s="35"/>
      <c r="CS94" s="52"/>
      <c r="CT94" s="35"/>
      <c r="CU94" s="52"/>
      <c r="CV94" s="52"/>
      <c r="CW94" s="53"/>
      <c r="CX94" s="53"/>
      <c r="CY94" s="130"/>
      <c r="CZ94" s="35" t="e">
        <f t="shared" si="75"/>
        <v>#DIV/0!</v>
      </c>
      <c r="DA94" s="35" t="e">
        <f t="shared" si="79"/>
        <v>#DIV/0!</v>
      </c>
      <c r="DB94" s="260"/>
      <c r="DC94" s="38"/>
      <c r="DD94" s="55"/>
      <c r="DE94" s="55"/>
      <c r="DF94" s="55"/>
      <c r="DG94" s="55"/>
      <c r="DH94" s="55"/>
      <c r="DI94" s="55"/>
      <c r="DJ94" s="30"/>
      <c r="DK94" s="207"/>
      <c r="DL94" s="68"/>
      <c r="DM94" s="68"/>
      <c r="DN94" s="68"/>
      <c r="DO94" s="68"/>
    </row>
    <row r="95" spans="1:119">
      <c r="A95" s="68"/>
      <c r="B95" s="21"/>
      <c r="C95" s="21">
        <v>2020</v>
      </c>
      <c r="D95" s="55"/>
      <c r="E95" s="21"/>
      <c r="F95" s="21"/>
      <c r="G95" s="21"/>
      <c r="H95" s="21"/>
      <c r="I95" s="21"/>
      <c r="J95" s="21"/>
      <c r="K95" s="21"/>
      <c r="L95" s="21"/>
      <c r="M95" s="55"/>
      <c r="N95" s="38"/>
      <c r="O95" s="53"/>
      <c r="P95" s="35"/>
      <c r="Q95" s="53"/>
      <c r="R95" s="35"/>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5"/>
      <c r="AT95" s="35"/>
      <c r="AU95" s="52"/>
      <c r="AV95" s="35"/>
      <c r="AW95" s="35"/>
      <c r="AX95" s="52"/>
      <c r="AY95" s="52"/>
      <c r="AZ95" s="52"/>
      <c r="BA95" s="52"/>
      <c r="BB95" s="38" t="e">
        <f t="shared" si="77"/>
        <v>#DIV/0!</v>
      </c>
      <c r="BC95" s="38"/>
      <c r="BD95" s="52"/>
      <c r="BE95" s="52"/>
      <c r="BF95" s="52"/>
      <c r="BG95" s="52"/>
      <c r="BJ95" s="52"/>
      <c r="BK95" s="52"/>
      <c r="BL95" s="35" t="e">
        <f t="shared" si="78"/>
        <v>#DIV/0!</v>
      </c>
      <c r="BM95" s="231"/>
      <c r="BN95" s="231"/>
      <c r="BO95" s="234"/>
      <c r="BP95" s="231"/>
      <c r="BQ95" s="231"/>
      <c r="BR95" s="236"/>
      <c r="BS95" s="236"/>
      <c r="BT95" s="236"/>
      <c r="BU95" s="236"/>
      <c r="BV95" s="236"/>
      <c r="BW95" s="236"/>
      <c r="BX95" s="236"/>
      <c r="BY95" s="231"/>
      <c r="BZ95" s="231"/>
      <c r="CA95" s="68"/>
      <c r="CB95" s="68"/>
      <c r="CC95" s="53"/>
      <c r="CD95" s="68"/>
      <c r="CE95" s="68"/>
      <c r="CF95" s="68"/>
      <c r="CG95" s="68"/>
      <c r="CH95" s="68"/>
      <c r="CI95" s="68"/>
      <c r="CJ95" s="68"/>
      <c r="CK95" s="68"/>
      <c r="CL95" s="180">
        <f t="shared" si="76"/>
        <v>0</v>
      </c>
      <c r="CM95" s="35"/>
      <c r="CN95" s="35"/>
      <c r="CO95" s="52"/>
      <c r="CP95" s="35"/>
      <c r="CQ95" s="52"/>
      <c r="CR95" s="35"/>
      <c r="CS95" s="52"/>
      <c r="CT95" s="35"/>
      <c r="CU95" s="52"/>
      <c r="CV95" s="52"/>
      <c r="CW95" s="53"/>
      <c r="CX95" s="53"/>
      <c r="CY95" s="130"/>
      <c r="CZ95" s="35" t="e">
        <f t="shared" si="75"/>
        <v>#DIV/0!</v>
      </c>
      <c r="DA95" s="35" t="e">
        <f t="shared" si="79"/>
        <v>#DIV/0!</v>
      </c>
      <c r="DB95" s="260"/>
      <c r="DC95" s="38"/>
      <c r="DD95" s="55"/>
      <c r="DE95" s="55"/>
      <c r="DF95" s="55"/>
      <c r="DG95" s="55"/>
      <c r="DH95" s="55"/>
      <c r="DI95" s="55"/>
      <c r="DJ95" s="30"/>
      <c r="DK95" s="207"/>
      <c r="DL95" s="68"/>
      <c r="DM95" s="68"/>
      <c r="DN95" s="68"/>
      <c r="DO95" s="68"/>
    </row>
    <row r="96" spans="1:119">
      <c r="A96" s="68"/>
      <c r="B96" s="21"/>
      <c r="C96" s="21">
        <v>2019</v>
      </c>
      <c r="D96" s="55"/>
      <c r="E96" s="21"/>
      <c r="F96" s="21"/>
      <c r="G96" s="21"/>
      <c r="H96" s="21"/>
      <c r="I96" s="21"/>
      <c r="J96" s="21"/>
      <c r="K96" s="21"/>
      <c r="L96" s="21"/>
      <c r="M96" s="55"/>
      <c r="N96" s="38"/>
      <c r="O96" s="53"/>
      <c r="P96" s="35"/>
      <c r="Q96" s="53"/>
      <c r="R96" s="35"/>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5"/>
      <c r="AT96" s="35"/>
      <c r="AU96" s="52"/>
      <c r="AV96" s="35"/>
      <c r="AW96" s="35"/>
      <c r="AX96" s="52"/>
      <c r="AY96" s="52"/>
      <c r="AZ96" s="52"/>
      <c r="BA96" s="52"/>
      <c r="BB96" s="38" t="e">
        <f t="shared" si="77"/>
        <v>#DIV/0!</v>
      </c>
      <c r="BC96" s="38"/>
      <c r="BD96" s="52"/>
      <c r="BE96" s="52"/>
      <c r="BF96" s="52"/>
      <c r="BG96" s="52"/>
      <c r="BJ96" s="52"/>
      <c r="BK96" s="52"/>
      <c r="BL96" s="35" t="e">
        <f t="shared" si="78"/>
        <v>#DIV/0!</v>
      </c>
      <c r="BM96" s="231"/>
      <c r="BN96" s="231"/>
      <c r="BO96" s="234"/>
      <c r="BP96" s="231"/>
      <c r="BQ96" s="231"/>
      <c r="BR96" s="236"/>
      <c r="BS96" s="236"/>
      <c r="BT96" s="236"/>
      <c r="BU96" s="236"/>
      <c r="BV96" s="236"/>
      <c r="BW96" s="236"/>
      <c r="BX96" s="236"/>
      <c r="BY96" s="231"/>
      <c r="BZ96" s="231"/>
      <c r="CA96" s="68"/>
      <c r="CB96" s="68"/>
      <c r="CC96" s="53"/>
      <c r="CD96" s="68"/>
      <c r="CE96" s="68"/>
      <c r="CF96" s="68"/>
      <c r="CG96" s="68"/>
      <c r="CH96" s="68"/>
      <c r="CI96" s="68"/>
      <c r="CJ96" s="68"/>
      <c r="CK96" s="68"/>
      <c r="CL96" s="180">
        <f t="shared" si="76"/>
        <v>0</v>
      </c>
      <c r="CM96" s="35"/>
      <c r="CN96" s="35"/>
      <c r="CO96" s="52"/>
      <c r="CP96" s="35"/>
      <c r="CQ96" s="52"/>
      <c r="CR96" s="35"/>
      <c r="CS96" s="52"/>
      <c r="CT96" s="35"/>
      <c r="CU96" s="52"/>
      <c r="CV96" s="52"/>
      <c r="CW96" s="53"/>
      <c r="CX96" s="53"/>
      <c r="CY96" s="130"/>
      <c r="CZ96" s="35" t="e">
        <f t="shared" si="75"/>
        <v>#DIV/0!</v>
      </c>
      <c r="DA96" s="35" t="e">
        <f t="shared" si="79"/>
        <v>#DIV/0!</v>
      </c>
      <c r="DB96" s="260"/>
      <c r="DC96" s="38"/>
      <c r="DD96" s="55"/>
      <c r="DE96" s="55"/>
      <c r="DF96" s="55"/>
      <c r="DG96" s="55"/>
      <c r="DH96" s="55"/>
      <c r="DI96" s="55"/>
      <c r="DJ96" s="30"/>
      <c r="DK96" s="207"/>
      <c r="DL96" s="68"/>
      <c r="DM96" s="68"/>
      <c r="DN96" s="68"/>
      <c r="DO96" s="68"/>
    </row>
    <row r="97" spans="1:119">
      <c r="A97" s="68"/>
      <c r="B97" s="21"/>
      <c r="C97" s="21">
        <v>2018</v>
      </c>
      <c r="D97" s="55"/>
      <c r="E97" s="21"/>
      <c r="F97" s="21"/>
      <c r="G97" s="21"/>
      <c r="H97" s="21"/>
      <c r="I97" s="21"/>
      <c r="J97" s="21"/>
      <c r="K97" s="21"/>
      <c r="L97" s="21"/>
      <c r="M97" s="55"/>
      <c r="N97" s="38"/>
      <c r="O97" s="53"/>
      <c r="P97" s="35"/>
      <c r="Q97" s="53"/>
      <c r="R97" s="35"/>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5"/>
      <c r="AT97" s="35"/>
      <c r="AU97" s="52"/>
      <c r="AV97" s="35"/>
      <c r="AW97" s="35"/>
      <c r="AX97" s="52"/>
      <c r="AY97" s="52"/>
      <c r="AZ97" s="52"/>
      <c r="BA97" s="52"/>
      <c r="BB97" s="38" t="e">
        <f t="shared" si="77"/>
        <v>#DIV/0!</v>
      </c>
      <c r="BC97" s="38"/>
      <c r="BD97" s="52"/>
      <c r="BE97" s="52"/>
      <c r="BF97" s="52"/>
      <c r="BG97" s="52"/>
      <c r="BJ97" s="52"/>
      <c r="BK97" s="52"/>
      <c r="BL97" s="35" t="e">
        <f t="shared" si="78"/>
        <v>#DIV/0!</v>
      </c>
      <c r="BM97" s="231"/>
      <c r="BN97" s="231"/>
      <c r="BO97" s="234"/>
      <c r="BP97" s="231"/>
      <c r="BQ97" s="231"/>
      <c r="BR97" s="236"/>
      <c r="BS97" s="236"/>
      <c r="BT97" s="236"/>
      <c r="BU97" s="236"/>
      <c r="BV97" s="236"/>
      <c r="BW97" s="236"/>
      <c r="BX97" s="236"/>
      <c r="BY97" s="231"/>
      <c r="BZ97" s="231"/>
      <c r="CA97" s="68"/>
      <c r="CB97" s="68"/>
      <c r="CC97" s="53"/>
      <c r="CD97" s="68"/>
      <c r="CE97" s="68"/>
      <c r="CF97" s="68"/>
      <c r="CG97" s="68"/>
      <c r="CH97" s="68"/>
      <c r="CI97" s="68"/>
      <c r="CJ97" s="68"/>
      <c r="CK97" s="68"/>
      <c r="CL97" s="180">
        <f t="shared" si="76"/>
        <v>0</v>
      </c>
      <c r="CM97" s="35"/>
      <c r="CN97" s="35"/>
      <c r="CO97" s="52"/>
      <c r="CP97" s="35"/>
      <c r="CQ97" s="52"/>
      <c r="CR97" s="35"/>
      <c r="CS97" s="52"/>
      <c r="CT97" s="35"/>
      <c r="CU97" s="52"/>
      <c r="CV97" s="52"/>
      <c r="CW97" s="53"/>
      <c r="CX97" s="53"/>
      <c r="CY97" s="130"/>
      <c r="CZ97" s="35" t="e">
        <f t="shared" si="75"/>
        <v>#DIV/0!</v>
      </c>
      <c r="DA97" s="35" t="e">
        <f t="shared" si="79"/>
        <v>#DIV/0!</v>
      </c>
      <c r="DB97" s="260"/>
      <c r="DC97" s="38"/>
      <c r="DD97" s="55"/>
      <c r="DE97" s="55"/>
      <c r="DF97" s="55"/>
      <c r="DG97" s="55"/>
      <c r="DH97" s="55"/>
      <c r="DI97" s="55"/>
      <c r="DJ97" s="30"/>
      <c r="DK97" s="207"/>
      <c r="DL97" s="68"/>
      <c r="DM97" s="68"/>
      <c r="DN97" s="68"/>
      <c r="DO97" s="68"/>
    </row>
    <row r="98" spans="1:119">
      <c r="A98" s="68"/>
      <c r="B98" s="21"/>
      <c r="C98" s="21">
        <v>2017</v>
      </c>
      <c r="D98" s="55"/>
      <c r="E98" s="21"/>
      <c r="F98" s="21"/>
      <c r="G98" s="21"/>
      <c r="H98" s="21"/>
      <c r="I98" s="21"/>
      <c r="J98" s="21"/>
      <c r="K98" s="21"/>
      <c r="L98" s="21"/>
      <c r="M98" s="55"/>
      <c r="N98" s="38"/>
      <c r="O98" s="53"/>
      <c r="P98" s="35"/>
      <c r="Q98" s="53"/>
      <c r="R98" s="35"/>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5"/>
      <c r="AT98" s="35"/>
      <c r="AU98" s="52"/>
      <c r="AV98" s="35"/>
      <c r="AW98" s="35"/>
      <c r="AX98" s="52"/>
      <c r="AY98" s="52"/>
      <c r="AZ98" s="52"/>
      <c r="BA98" s="52"/>
      <c r="BB98" s="38" t="e">
        <f t="shared" si="77"/>
        <v>#DIV/0!</v>
      </c>
      <c r="BC98" s="38"/>
      <c r="BD98" s="52"/>
      <c r="BE98" s="52"/>
      <c r="BF98" s="52"/>
      <c r="BG98" s="52"/>
      <c r="BJ98" s="52"/>
      <c r="BK98" s="52"/>
      <c r="BL98" s="35" t="e">
        <f t="shared" si="78"/>
        <v>#DIV/0!</v>
      </c>
      <c r="BM98" s="231"/>
      <c r="BN98" s="231"/>
      <c r="BO98" s="234"/>
      <c r="BP98" s="231"/>
      <c r="BQ98" s="231"/>
      <c r="BR98" s="236"/>
      <c r="BS98" s="236"/>
      <c r="BT98" s="236"/>
      <c r="BU98" s="236"/>
      <c r="BV98" s="236"/>
      <c r="BW98" s="236"/>
      <c r="BX98" s="236"/>
      <c r="BY98" s="231"/>
      <c r="BZ98" s="231"/>
      <c r="CA98" s="68"/>
      <c r="CB98" s="68"/>
      <c r="CC98" s="53"/>
      <c r="CD98" s="68"/>
      <c r="CE98" s="68"/>
      <c r="CF98" s="68"/>
      <c r="CG98" s="68"/>
      <c r="CH98" s="68"/>
      <c r="CI98" s="68"/>
      <c r="CJ98" s="68"/>
      <c r="CK98" s="68"/>
      <c r="CL98" s="180">
        <f t="shared" si="76"/>
        <v>0</v>
      </c>
      <c r="CM98" s="35"/>
      <c r="CN98" s="35"/>
      <c r="CO98" s="52"/>
      <c r="CP98" s="35"/>
      <c r="CQ98" s="52"/>
      <c r="CR98" s="35"/>
      <c r="CS98" s="52"/>
      <c r="CT98" s="35"/>
      <c r="CU98" s="52"/>
      <c r="CV98" s="52"/>
      <c r="CW98" s="53"/>
      <c r="CX98" s="53"/>
      <c r="CY98" s="130"/>
      <c r="CZ98" s="35" t="e">
        <f t="shared" si="75"/>
        <v>#DIV/0!</v>
      </c>
      <c r="DA98" s="35" t="e">
        <f t="shared" si="79"/>
        <v>#DIV/0!</v>
      </c>
      <c r="DB98" s="260"/>
      <c r="DC98" s="38"/>
      <c r="DD98" s="55"/>
      <c r="DE98" s="55"/>
      <c r="DF98" s="55"/>
      <c r="DG98" s="55"/>
      <c r="DH98" s="55"/>
      <c r="DI98" s="55"/>
      <c r="DJ98" s="30"/>
      <c r="DK98" s="207"/>
      <c r="DL98" s="68"/>
      <c r="DM98" s="68"/>
      <c r="DN98" s="68"/>
      <c r="DO98" s="68"/>
    </row>
    <row r="99" spans="1:119">
      <c r="A99" s="68"/>
      <c r="B99" s="21"/>
      <c r="C99" s="21">
        <v>2016</v>
      </c>
      <c r="D99" s="55"/>
      <c r="E99" s="21"/>
      <c r="F99" s="21"/>
      <c r="G99" s="21"/>
      <c r="H99" s="21"/>
      <c r="I99" s="21"/>
      <c r="J99" s="21"/>
      <c r="K99" s="21"/>
      <c r="L99" s="21"/>
      <c r="M99" s="55"/>
      <c r="N99" s="38"/>
      <c r="O99" s="53"/>
      <c r="P99" s="35"/>
      <c r="Q99" s="53"/>
      <c r="R99" s="35"/>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5"/>
      <c r="AT99" s="35"/>
      <c r="AU99" s="52"/>
      <c r="AV99" s="35"/>
      <c r="AW99" s="35"/>
      <c r="AX99" s="52"/>
      <c r="AY99" s="52"/>
      <c r="AZ99" s="52"/>
      <c r="BA99" s="52"/>
      <c r="BB99" s="38" t="e">
        <f t="shared" si="77"/>
        <v>#DIV/0!</v>
      </c>
      <c r="BC99" s="38"/>
      <c r="BD99" s="52"/>
      <c r="BE99" s="52"/>
      <c r="BF99" s="52"/>
      <c r="BG99" s="52"/>
      <c r="BJ99" s="52"/>
      <c r="BK99" s="52"/>
      <c r="BL99" s="35" t="e">
        <f t="shared" si="78"/>
        <v>#DIV/0!</v>
      </c>
      <c r="BM99" s="231"/>
      <c r="BN99" s="231"/>
      <c r="BO99" s="234"/>
      <c r="BP99" s="231"/>
      <c r="BQ99" s="231"/>
      <c r="BR99" s="236"/>
      <c r="BS99" s="236"/>
      <c r="BT99" s="236"/>
      <c r="BU99" s="236"/>
      <c r="BV99" s="236"/>
      <c r="BW99" s="236"/>
      <c r="BX99" s="236"/>
      <c r="BY99" s="231"/>
      <c r="BZ99" s="231"/>
      <c r="CA99" s="68"/>
      <c r="CB99" s="68"/>
      <c r="CC99" s="53"/>
      <c r="CD99" s="68"/>
      <c r="CE99" s="68"/>
      <c r="CF99" s="68"/>
      <c r="CG99" s="68"/>
      <c r="CH99" s="68"/>
      <c r="CI99" s="68"/>
      <c r="CJ99" s="68"/>
      <c r="CK99" s="68"/>
      <c r="CL99" s="180">
        <f t="shared" si="76"/>
        <v>0</v>
      </c>
      <c r="CM99" s="35"/>
      <c r="CN99" s="35"/>
      <c r="CO99" s="52"/>
      <c r="CP99" s="35"/>
      <c r="CQ99" s="52"/>
      <c r="CR99" s="35"/>
      <c r="CS99" s="52"/>
      <c r="CT99" s="35"/>
      <c r="CU99" s="52"/>
      <c r="CV99" s="52"/>
      <c r="CW99" s="53"/>
      <c r="CX99" s="53"/>
      <c r="CY99" s="130"/>
      <c r="CZ99" s="35" t="e">
        <f t="shared" si="75"/>
        <v>#DIV/0!</v>
      </c>
      <c r="DA99" s="35" t="e">
        <f t="shared" si="79"/>
        <v>#DIV/0!</v>
      </c>
      <c r="DB99" s="260"/>
      <c r="DC99" s="38"/>
      <c r="DD99" s="55"/>
      <c r="DE99" s="55"/>
      <c r="DF99" s="55"/>
      <c r="DG99" s="55"/>
      <c r="DH99" s="55"/>
      <c r="DI99" s="55"/>
      <c r="DJ99" s="30"/>
      <c r="DK99" s="207"/>
      <c r="DL99" s="68"/>
      <c r="DM99" s="68"/>
      <c r="DN99" s="68"/>
      <c r="DO99" s="68"/>
    </row>
    <row r="100" spans="1:119">
      <c r="A100" s="68"/>
      <c r="B100" s="21"/>
      <c r="C100" s="21">
        <v>2015</v>
      </c>
      <c r="D100" s="55"/>
      <c r="E100" s="21"/>
      <c r="F100" s="21"/>
      <c r="G100" s="21"/>
      <c r="H100" s="21"/>
      <c r="I100" s="21"/>
      <c r="J100" s="21"/>
      <c r="K100" s="21"/>
      <c r="L100" s="21"/>
      <c r="M100" s="55"/>
      <c r="N100" s="38"/>
      <c r="O100" s="53"/>
      <c r="P100" s="35"/>
      <c r="Q100" s="53"/>
      <c r="R100" s="35"/>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5"/>
      <c r="AT100" s="35"/>
      <c r="AU100" s="52"/>
      <c r="AV100" s="35"/>
      <c r="AW100" s="35"/>
      <c r="AX100" s="52"/>
      <c r="AY100" s="52"/>
      <c r="AZ100" s="52"/>
      <c r="BA100" s="52"/>
      <c r="BB100" s="38" t="e">
        <f t="shared" si="77"/>
        <v>#DIV/0!</v>
      </c>
      <c r="BC100" s="38"/>
      <c r="BD100" s="52"/>
      <c r="BE100" s="52"/>
      <c r="BF100" s="52"/>
      <c r="BG100" s="52"/>
      <c r="BJ100" s="52"/>
      <c r="BK100" s="52"/>
      <c r="BL100" s="35" t="e">
        <f t="shared" si="78"/>
        <v>#DIV/0!</v>
      </c>
      <c r="BM100" s="231"/>
      <c r="BN100" s="231"/>
      <c r="BO100" s="234"/>
      <c r="BP100" s="231"/>
      <c r="BQ100" s="231"/>
      <c r="BR100" s="236"/>
      <c r="BS100" s="236"/>
      <c r="BT100" s="236"/>
      <c r="BU100" s="236"/>
      <c r="BV100" s="236"/>
      <c r="BW100" s="236"/>
      <c r="BX100" s="236"/>
      <c r="BY100" s="231"/>
      <c r="BZ100" s="231"/>
      <c r="CA100" s="68"/>
      <c r="CB100" s="68"/>
      <c r="CC100" s="53"/>
      <c r="CD100" s="68"/>
      <c r="CE100" s="68"/>
      <c r="CF100" s="68"/>
      <c r="CG100" s="68"/>
      <c r="CH100" s="68"/>
      <c r="CI100" s="68"/>
      <c r="CJ100" s="68"/>
      <c r="CK100" s="68"/>
      <c r="CL100" s="180">
        <f t="shared" si="76"/>
        <v>0</v>
      </c>
      <c r="CM100" s="35"/>
      <c r="CN100" s="35"/>
      <c r="CO100" s="52"/>
      <c r="CP100" s="35"/>
      <c r="CQ100" s="52"/>
      <c r="CR100" s="35"/>
      <c r="CS100" s="52"/>
      <c r="CT100" s="35"/>
      <c r="CU100" s="52"/>
      <c r="CV100" s="52"/>
      <c r="CW100" s="53"/>
      <c r="CX100" s="53"/>
      <c r="CY100" s="130"/>
      <c r="CZ100" s="35" t="e">
        <f t="shared" si="75"/>
        <v>#DIV/0!</v>
      </c>
      <c r="DA100" s="35" t="e">
        <f t="shared" si="79"/>
        <v>#DIV/0!</v>
      </c>
      <c r="DB100" s="260"/>
      <c r="DC100" s="38"/>
      <c r="DD100" s="55"/>
      <c r="DE100" s="55"/>
      <c r="DF100" s="55"/>
      <c r="DG100" s="55"/>
      <c r="DH100" s="55"/>
      <c r="DI100" s="55"/>
      <c r="DJ100" s="30"/>
      <c r="DK100" s="207"/>
      <c r="DL100" s="68"/>
      <c r="DM100" s="68"/>
      <c r="DN100" s="68"/>
      <c r="DO100" s="68"/>
    </row>
    <row r="101" spans="1:119">
      <c r="A101" s="68"/>
      <c r="B101" s="21"/>
      <c r="C101" s="21">
        <v>2014</v>
      </c>
      <c r="D101" s="55"/>
      <c r="E101" s="21"/>
      <c r="F101" s="21"/>
      <c r="G101" s="21"/>
      <c r="H101" s="21"/>
      <c r="I101" s="21"/>
      <c r="J101" s="21"/>
      <c r="K101" s="21"/>
      <c r="L101" s="21"/>
      <c r="M101" s="55"/>
      <c r="N101" s="38"/>
      <c r="O101" s="53"/>
      <c r="P101" s="35"/>
      <c r="Q101" s="53"/>
      <c r="R101" s="35"/>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5"/>
      <c r="AT101" s="35"/>
      <c r="AU101" s="52"/>
      <c r="AV101" s="35"/>
      <c r="AW101" s="35"/>
      <c r="AX101" s="52"/>
      <c r="AY101" s="52"/>
      <c r="AZ101" s="52"/>
      <c r="BA101" s="52"/>
      <c r="BB101" s="38" t="e">
        <f t="shared" si="77"/>
        <v>#DIV/0!</v>
      </c>
      <c r="BC101" s="38"/>
      <c r="BD101" s="52"/>
      <c r="BE101" s="52"/>
      <c r="BF101" s="52"/>
      <c r="BG101" s="52"/>
      <c r="BJ101" s="52"/>
      <c r="BK101" s="52"/>
      <c r="BL101" s="35" t="e">
        <f t="shared" si="78"/>
        <v>#DIV/0!</v>
      </c>
      <c r="BM101" s="231"/>
      <c r="BN101" s="231"/>
      <c r="BO101" s="234"/>
      <c r="BP101" s="231"/>
      <c r="BQ101" s="231"/>
      <c r="BR101" s="236"/>
      <c r="BS101" s="236"/>
      <c r="BT101" s="236"/>
      <c r="BU101" s="236"/>
      <c r="BV101" s="236"/>
      <c r="BW101" s="236"/>
      <c r="BX101" s="236"/>
      <c r="BY101" s="231"/>
      <c r="BZ101" s="231"/>
      <c r="CA101" s="68"/>
      <c r="CB101" s="68"/>
      <c r="CC101" s="53"/>
      <c r="CD101" s="68"/>
      <c r="CE101" s="68"/>
      <c r="CF101" s="68"/>
      <c r="CG101" s="68"/>
      <c r="CH101" s="68"/>
      <c r="CI101" s="68"/>
      <c r="CJ101" s="68"/>
      <c r="CK101" s="68"/>
      <c r="CL101" s="180">
        <f t="shared" si="76"/>
        <v>0</v>
      </c>
      <c r="CM101" s="35"/>
      <c r="CN101" s="35"/>
      <c r="CO101" s="52"/>
      <c r="CP101" s="35"/>
      <c r="CQ101" s="52"/>
      <c r="CR101" s="35"/>
      <c r="CS101" s="52"/>
      <c r="CT101" s="35"/>
      <c r="CU101" s="52"/>
      <c r="CV101" s="52"/>
      <c r="CW101" s="53"/>
      <c r="CX101" s="53"/>
      <c r="CY101" s="130"/>
      <c r="CZ101" s="35" t="e">
        <f t="shared" si="75"/>
        <v>#DIV/0!</v>
      </c>
      <c r="DA101" s="35" t="e">
        <f t="shared" si="79"/>
        <v>#DIV/0!</v>
      </c>
      <c r="DB101" s="260"/>
      <c r="DC101" s="38"/>
      <c r="DD101" s="55"/>
      <c r="DE101" s="55"/>
      <c r="DF101" s="55"/>
      <c r="DG101" s="55"/>
      <c r="DH101" s="55"/>
      <c r="DI101" s="55"/>
      <c r="DJ101" s="30"/>
      <c r="DK101" s="207"/>
      <c r="DL101" s="68"/>
      <c r="DM101" s="68"/>
      <c r="DN101" s="68"/>
      <c r="DO101" s="68"/>
    </row>
    <row r="102" spans="1:119">
      <c r="A102" s="68"/>
      <c r="B102" s="21"/>
      <c r="C102" s="21">
        <v>2013</v>
      </c>
      <c r="D102" s="55"/>
      <c r="E102" s="21"/>
      <c r="F102" s="21"/>
      <c r="G102" s="21"/>
      <c r="H102" s="21"/>
      <c r="I102" s="21"/>
      <c r="J102" s="21"/>
      <c r="K102" s="21"/>
      <c r="L102" s="21"/>
      <c r="M102" s="55"/>
      <c r="N102" s="38"/>
      <c r="O102" s="53"/>
      <c r="P102" s="35"/>
      <c r="Q102" s="53"/>
      <c r="R102" s="35"/>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5"/>
      <c r="AT102" s="35"/>
      <c r="AU102" s="52"/>
      <c r="AV102" s="35"/>
      <c r="AW102" s="35"/>
      <c r="AX102" s="52"/>
      <c r="AY102" s="52"/>
      <c r="AZ102" s="52"/>
      <c r="BA102" s="52"/>
      <c r="BB102" s="38" t="e">
        <f t="shared" ref="BB102:BB133" si="81">(AZ102+BA102)/M102</f>
        <v>#DIV/0!</v>
      </c>
      <c r="BC102" s="38"/>
      <c r="BD102" s="52"/>
      <c r="BE102" s="52"/>
      <c r="BF102" s="52"/>
      <c r="BG102" s="52"/>
      <c r="BJ102" s="52"/>
      <c r="BK102" s="52"/>
      <c r="BL102" s="35" t="e">
        <f t="shared" ref="BL102:BL133" si="82">SUM(AZ102:BJ102)/M102</f>
        <v>#DIV/0!</v>
      </c>
      <c r="BM102" s="231"/>
      <c r="BN102" s="231"/>
      <c r="BO102" s="234"/>
      <c r="BP102" s="231"/>
      <c r="BQ102" s="231"/>
      <c r="BR102" s="236"/>
      <c r="BS102" s="236"/>
      <c r="BT102" s="236"/>
      <c r="BU102" s="236"/>
      <c r="BV102" s="236"/>
      <c r="BW102" s="236"/>
      <c r="BX102" s="236"/>
      <c r="BY102" s="231"/>
      <c r="BZ102" s="231"/>
      <c r="CA102" s="68"/>
      <c r="CB102" s="68"/>
      <c r="CC102" s="53"/>
      <c r="CD102" s="68"/>
      <c r="CE102" s="68"/>
      <c r="CF102" s="68"/>
      <c r="CG102" s="68"/>
      <c r="CH102" s="68"/>
      <c r="CI102" s="68"/>
      <c r="CJ102" s="68"/>
      <c r="CK102" s="68"/>
      <c r="CL102" s="180">
        <f t="shared" si="76"/>
        <v>0</v>
      </c>
      <c r="CM102" s="35"/>
      <c r="CN102" s="35"/>
      <c r="CO102" s="52"/>
      <c r="CP102" s="35"/>
      <c r="CQ102" s="52"/>
      <c r="CR102" s="35"/>
      <c r="CS102" s="52"/>
      <c r="CT102" s="35"/>
      <c r="CU102" s="52"/>
      <c r="CV102" s="52"/>
      <c r="CW102" s="53"/>
      <c r="CX102" s="53"/>
      <c r="CY102" s="130"/>
      <c r="CZ102" s="35" t="e">
        <f t="shared" si="75"/>
        <v>#DIV/0!</v>
      </c>
      <c r="DA102" s="35" t="e">
        <f t="shared" si="79"/>
        <v>#DIV/0!</v>
      </c>
      <c r="DB102" s="260"/>
      <c r="DC102" s="38"/>
      <c r="DD102" s="55"/>
      <c r="DE102" s="55"/>
      <c r="DF102" s="55"/>
      <c r="DG102" s="55"/>
      <c r="DH102" s="55"/>
      <c r="DI102" s="55"/>
      <c r="DJ102" s="30"/>
      <c r="DK102" s="207"/>
      <c r="DL102" s="68"/>
      <c r="DM102" s="68"/>
      <c r="DN102" s="68"/>
      <c r="DO102" s="68"/>
    </row>
    <row r="103" spans="1:119">
      <c r="A103" s="68"/>
      <c r="B103" s="21"/>
      <c r="C103" s="21">
        <v>2012</v>
      </c>
      <c r="D103" s="55"/>
      <c r="E103" s="21"/>
      <c r="F103" s="21"/>
      <c r="G103" s="21"/>
      <c r="H103" s="21"/>
      <c r="I103" s="21"/>
      <c r="J103" s="21"/>
      <c r="K103" s="21"/>
      <c r="L103" s="21"/>
      <c r="M103" s="55"/>
      <c r="N103" s="38"/>
      <c r="O103" s="53"/>
      <c r="P103" s="35"/>
      <c r="Q103" s="53"/>
      <c r="R103" s="35"/>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5"/>
      <c r="AT103" s="35"/>
      <c r="AU103" s="52"/>
      <c r="AV103" s="35"/>
      <c r="AW103" s="35"/>
      <c r="AX103" s="52"/>
      <c r="AY103" s="52"/>
      <c r="AZ103" s="52"/>
      <c r="BA103" s="52"/>
      <c r="BB103" s="38" t="e">
        <f t="shared" si="81"/>
        <v>#DIV/0!</v>
      </c>
      <c r="BC103" s="38"/>
      <c r="BD103" s="52"/>
      <c r="BE103" s="52"/>
      <c r="BF103" s="52"/>
      <c r="BG103" s="52"/>
      <c r="BJ103" s="52"/>
      <c r="BK103" s="52"/>
      <c r="BL103" s="35" t="e">
        <f t="shared" si="82"/>
        <v>#DIV/0!</v>
      </c>
      <c r="BM103" s="231"/>
      <c r="BN103" s="231"/>
      <c r="BO103" s="234"/>
      <c r="BP103" s="231"/>
      <c r="BQ103" s="231"/>
      <c r="BR103" s="236"/>
      <c r="BS103" s="236"/>
      <c r="BT103" s="236"/>
      <c r="BU103" s="236"/>
      <c r="BV103" s="236"/>
      <c r="BW103" s="236"/>
      <c r="BX103" s="236"/>
      <c r="BY103" s="231"/>
      <c r="BZ103" s="231"/>
      <c r="CA103" s="68"/>
      <c r="CB103" s="68"/>
      <c r="CC103" s="53"/>
      <c r="CD103" s="68"/>
      <c r="CE103" s="68"/>
      <c r="CF103" s="68"/>
      <c r="CG103" s="68"/>
      <c r="CH103" s="68"/>
      <c r="CI103" s="68"/>
      <c r="CJ103" s="68"/>
      <c r="CK103" s="68"/>
      <c r="CL103" s="180">
        <f t="shared" si="76"/>
        <v>0</v>
      </c>
      <c r="CM103" s="35"/>
      <c r="CN103" s="35"/>
      <c r="CO103" s="52"/>
      <c r="CP103" s="35"/>
      <c r="CQ103" s="52"/>
      <c r="CR103" s="35"/>
      <c r="CS103" s="52"/>
      <c r="CT103" s="35"/>
      <c r="CU103" s="52"/>
      <c r="CV103" s="52"/>
      <c r="CW103" s="53"/>
      <c r="CX103" s="53"/>
      <c r="CY103" s="130"/>
      <c r="CZ103" s="35" t="e">
        <f t="shared" si="75"/>
        <v>#DIV/0!</v>
      </c>
      <c r="DA103" s="35" t="e">
        <f t="shared" si="79"/>
        <v>#DIV/0!</v>
      </c>
      <c r="DB103" s="260"/>
      <c r="DC103" s="38"/>
      <c r="DD103" s="55"/>
      <c r="DE103" s="55"/>
      <c r="DF103" s="55"/>
      <c r="DG103" s="55"/>
      <c r="DH103" s="55"/>
      <c r="DI103" s="55"/>
      <c r="DJ103" s="30"/>
      <c r="DK103" s="207"/>
      <c r="DL103" s="68"/>
      <c r="DM103" s="68"/>
      <c r="DN103" s="68"/>
      <c r="DO103" s="68"/>
    </row>
    <row r="104" spans="1:119">
      <c r="A104" s="12" t="s">
        <v>137</v>
      </c>
      <c r="B104" s="16" t="s">
        <v>138</v>
      </c>
      <c r="C104" s="12">
        <v>2022</v>
      </c>
      <c r="D104" s="21"/>
      <c r="E104" s="21"/>
      <c r="F104" s="21"/>
      <c r="G104" s="21"/>
      <c r="H104" s="21"/>
      <c r="I104" s="21"/>
      <c r="J104" s="53"/>
      <c r="K104" s="53"/>
      <c r="L104" s="53"/>
      <c r="M104" s="53"/>
      <c r="N104" s="35"/>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5"/>
      <c r="AT104" s="35"/>
      <c r="AU104" s="52"/>
      <c r="AV104" s="35"/>
      <c r="AW104" s="35"/>
      <c r="AX104" s="52"/>
      <c r="AY104" s="52"/>
      <c r="AZ104" s="52"/>
      <c r="BA104" s="52"/>
      <c r="BB104" s="38" t="e">
        <f t="shared" si="81"/>
        <v>#DIV/0!</v>
      </c>
      <c r="BC104" s="38"/>
      <c r="BD104" s="52"/>
      <c r="BE104" s="52"/>
      <c r="BF104" s="52"/>
      <c r="BG104" s="52"/>
      <c r="BJ104" s="52"/>
      <c r="BK104" s="52"/>
      <c r="BL104" s="35" t="e">
        <f t="shared" si="82"/>
        <v>#DIV/0!</v>
      </c>
      <c r="BM104" s="231"/>
      <c r="BN104" s="231"/>
      <c r="BO104" s="234"/>
      <c r="BP104" s="231"/>
      <c r="BQ104" s="231"/>
      <c r="BR104" s="236"/>
      <c r="BS104" s="236"/>
      <c r="BT104" s="236"/>
      <c r="BU104" s="236"/>
      <c r="BV104" s="236"/>
      <c r="BW104" s="236"/>
      <c r="BX104" s="236"/>
      <c r="BY104" s="231"/>
      <c r="BZ104" s="231"/>
      <c r="CA104" s="68"/>
      <c r="CB104" s="68"/>
      <c r="CC104" s="53"/>
      <c r="CD104" s="68"/>
      <c r="CE104" s="68"/>
      <c r="CF104" s="68"/>
      <c r="CG104" s="68"/>
      <c r="CH104" s="68"/>
      <c r="CI104" s="68"/>
      <c r="CJ104" s="68"/>
      <c r="CK104" s="68"/>
      <c r="CL104" s="68"/>
      <c r="CM104" s="35"/>
      <c r="CN104" s="35"/>
      <c r="CO104" s="52"/>
      <c r="CP104" s="35"/>
      <c r="CQ104" s="52"/>
      <c r="CR104" s="35"/>
      <c r="CS104" s="52"/>
      <c r="CT104" s="35"/>
      <c r="CU104" s="52"/>
      <c r="CV104" s="52"/>
      <c r="CW104" s="53"/>
      <c r="CX104" s="53"/>
      <c r="CY104" s="130"/>
      <c r="CZ104" s="35"/>
      <c r="DA104" s="35" t="e">
        <f t="shared" si="79"/>
        <v>#DIV/0!</v>
      </c>
      <c r="DB104" s="250"/>
      <c r="DC104" s="35"/>
      <c r="DD104" s="53"/>
      <c r="DE104" s="53"/>
      <c r="DF104" s="53"/>
      <c r="DG104" s="53"/>
      <c r="DH104" s="53"/>
      <c r="DI104" s="53"/>
      <c r="DJ104" s="130"/>
      <c r="DK104" s="207"/>
      <c r="DL104" s="68"/>
      <c r="DM104" s="68"/>
      <c r="DN104" s="68"/>
      <c r="DO104" s="68"/>
    </row>
    <row r="105" spans="1:119">
      <c r="A105" s="12"/>
      <c r="B105" s="16"/>
      <c r="C105" s="12">
        <v>2021</v>
      </c>
      <c r="D105" s="21"/>
      <c r="E105" s="21"/>
      <c r="F105" s="21"/>
      <c r="G105" s="21"/>
      <c r="H105" s="21"/>
      <c r="I105" s="21"/>
      <c r="J105" s="53"/>
      <c r="K105" s="53"/>
      <c r="L105" s="53"/>
      <c r="M105" s="53"/>
      <c r="N105" s="35"/>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5"/>
      <c r="AT105" s="35"/>
      <c r="AU105" s="52"/>
      <c r="AV105" s="35"/>
      <c r="AW105" s="35"/>
      <c r="AX105" s="52"/>
      <c r="AY105" s="52"/>
      <c r="AZ105" s="52"/>
      <c r="BA105" s="52"/>
      <c r="BB105" s="38" t="e">
        <f t="shared" si="81"/>
        <v>#DIV/0!</v>
      </c>
      <c r="BC105" s="38"/>
      <c r="BD105" s="52"/>
      <c r="BE105" s="52"/>
      <c r="BF105" s="52"/>
      <c r="BG105" s="52"/>
      <c r="BJ105" s="52"/>
      <c r="BK105" s="52"/>
      <c r="BL105" s="35" t="e">
        <f t="shared" si="82"/>
        <v>#DIV/0!</v>
      </c>
      <c r="BM105" s="231"/>
      <c r="BN105" s="231"/>
      <c r="BO105" s="234"/>
      <c r="BP105" s="231"/>
      <c r="BQ105" s="231"/>
      <c r="BR105" s="236"/>
      <c r="BS105" s="236"/>
      <c r="BT105" s="236"/>
      <c r="BU105" s="236"/>
      <c r="BV105" s="236"/>
      <c r="BW105" s="236"/>
      <c r="BX105" s="236"/>
      <c r="BY105" s="231"/>
      <c r="BZ105" s="231"/>
      <c r="CA105" s="68"/>
      <c r="CB105" s="68"/>
      <c r="CC105" s="53"/>
      <c r="CD105" s="68"/>
      <c r="CE105" s="68"/>
      <c r="CF105" s="68"/>
      <c r="CG105" s="68"/>
      <c r="CH105" s="68"/>
      <c r="CI105" s="68"/>
      <c r="CJ105" s="68"/>
      <c r="CK105" s="68"/>
      <c r="CL105" s="68"/>
      <c r="CM105" s="35"/>
      <c r="CN105" s="35"/>
      <c r="CO105" s="52"/>
      <c r="CP105" s="35"/>
      <c r="CQ105" s="52"/>
      <c r="CR105" s="35"/>
      <c r="CS105" s="52"/>
      <c r="CT105" s="35"/>
      <c r="CU105" s="52"/>
      <c r="CV105" s="52"/>
      <c r="CW105" s="53"/>
      <c r="CX105" s="53"/>
      <c r="CY105" s="130"/>
      <c r="CZ105" s="35"/>
      <c r="DA105" s="35" t="e">
        <f t="shared" si="79"/>
        <v>#DIV/0!</v>
      </c>
      <c r="DB105" s="250"/>
      <c r="DC105" s="35"/>
      <c r="DD105" s="53"/>
      <c r="DE105" s="53"/>
      <c r="DF105" s="53"/>
      <c r="DG105" s="53"/>
      <c r="DH105" s="53"/>
      <c r="DI105" s="53"/>
      <c r="DJ105" s="130"/>
      <c r="DK105" s="207"/>
      <c r="DL105" s="68"/>
      <c r="DM105" s="68"/>
      <c r="DN105" s="68"/>
      <c r="DO105" s="68"/>
    </row>
    <row r="106" spans="1:119">
      <c r="A106" s="12"/>
      <c r="B106" s="16"/>
      <c r="C106" s="12">
        <v>2020</v>
      </c>
      <c r="D106" s="21"/>
      <c r="E106" s="21"/>
      <c r="F106" s="21"/>
      <c r="G106" s="21"/>
      <c r="H106" s="21"/>
      <c r="I106" s="21"/>
      <c r="J106" s="53"/>
      <c r="K106" s="53"/>
      <c r="L106" s="53"/>
      <c r="M106" s="53"/>
      <c r="N106" s="35"/>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5"/>
      <c r="AT106" s="35"/>
      <c r="AU106" s="52"/>
      <c r="AV106" s="35"/>
      <c r="AW106" s="35"/>
      <c r="AX106" s="52"/>
      <c r="AY106" s="52"/>
      <c r="AZ106" s="52"/>
      <c r="BA106" s="52"/>
      <c r="BB106" s="38" t="e">
        <f t="shared" si="81"/>
        <v>#DIV/0!</v>
      </c>
      <c r="BC106" s="38"/>
      <c r="BD106" s="52"/>
      <c r="BE106" s="52"/>
      <c r="BF106" s="52"/>
      <c r="BG106" s="52"/>
      <c r="BJ106" s="52"/>
      <c r="BK106" s="52"/>
      <c r="BL106" s="35" t="e">
        <f t="shared" si="82"/>
        <v>#DIV/0!</v>
      </c>
      <c r="BM106" s="231"/>
      <c r="BN106" s="231"/>
      <c r="BO106" s="234"/>
      <c r="BP106" s="231"/>
      <c r="BQ106" s="231"/>
      <c r="BR106" s="236"/>
      <c r="BS106" s="236"/>
      <c r="BT106" s="236"/>
      <c r="BU106" s="236"/>
      <c r="BV106" s="236"/>
      <c r="BW106" s="236"/>
      <c r="BX106" s="236"/>
      <c r="BY106" s="231"/>
      <c r="BZ106" s="231"/>
      <c r="CA106" s="68"/>
      <c r="CB106" s="68"/>
      <c r="CC106" s="53"/>
      <c r="CD106" s="68"/>
      <c r="CE106" s="68"/>
      <c r="CF106" s="68"/>
      <c r="CG106" s="68"/>
      <c r="CH106" s="68"/>
      <c r="CI106" s="68"/>
      <c r="CJ106" s="68"/>
      <c r="CK106" s="68"/>
      <c r="CL106" s="68"/>
      <c r="CM106" s="35"/>
      <c r="CN106" s="35"/>
      <c r="CO106" s="52"/>
      <c r="CP106" s="35"/>
      <c r="CQ106" s="52"/>
      <c r="CR106" s="35"/>
      <c r="CS106" s="52"/>
      <c r="CT106" s="35"/>
      <c r="CU106" s="52"/>
      <c r="CV106" s="52"/>
      <c r="CW106" s="53"/>
      <c r="CX106" s="53"/>
      <c r="CY106" s="130"/>
      <c r="CZ106" s="35"/>
      <c r="DA106" s="35" t="e">
        <f t="shared" si="79"/>
        <v>#DIV/0!</v>
      </c>
      <c r="DB106" s="250"/>
      <c r="DC106" s="35"/>
      <c r="DD106" s="53"/>
      <c r="DE106" s="53"/>
      <c r="DF106" s="53"/>
      <c r="DG106" s="53"/>
      <c r="DH106" s="53"/>
      <c r="DI106" s="53"/>
      <c r="DJ106" s="130"/>
      <c r="DK106" s="207"/>
      <c r="DL106" s="68"/>
      <c r="DM106" s="68"/>
      <c r="DN106" s="68"/>
      <c r="DO106" s="68"/>
    </row>
    <row r="107" spans="1:119">
      <c r="A107" s="12"/>
      <c r="B107" s="16"/>
      <c r="C107" s="12">
        <v>2019</v>
      </c>
      <c r="D107" s="21"/>
      <c r="E107" s="21"/>
      <c r="F107" s="21"/>
      <c r="G107" s="21"/>
      <c r="H107" s="21"/>
      <c r="I107" s="21"/>
      <c r="J107" s="53"/>
      <c r="K107" s="53"/>
      <c r="L107" s="53"/>
      <c r="M107" s="53"/>
      <c r="N107" s="35"/>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5"/>
      <c r="AT107" s="35"/>
      <c r="AU107" s="52"/>
      <c r="AV107" s="35"/>
      <c r="AW107" s="35"/>
      <c r="AX107" s="52"/>
      <c r="AY107" s="52"/>
      <c r="AZ107" s="52"/>
      <c r="BA107" s="52"/>
      <c r="BB107" s="38" t="e">
        <f t="shared" si="81"/>
        <v>#DIV/0!</v>
      </c>
      <c r="BC107" s="38"/>
      <c r="BD107" s="52"/>
      <c r="BE107" s="52"/>
      <c r="BF107" s="52"/>
      <c r="BG107" s="52"/>
      <c r="BJ107" s="52"/>
      <c r="BK107" s="52"/>
      <c r="BL107" s="35" t="e">
        <f t="shared" si="82"/>
        <v>#DIV/0!</v>
      </c>
      <c r="BM107" s="231"/>
      <c r="BN107" s="231"/>
      <c r="BO107" s="234"/>
      <c r="BP107" s="231"/>
      <c r="BQ107" s="231"/>
      <c r="BR107" s="236"/>
      <c r="BS107" s="236"/>
      <c r="BT107" s="236"/>
      <c r="BU107" s="236"/>
      <c r="BV107" s="236"/>
      <c r="BW107" s="236"/>
      <c r="BX107" s="236"/>
      <c r="BY107" s="231"/>
      <c r="BZ107" s="231"/>
      <c r="CA107" s="68"/>
      <c r="CB107" s="68"/>
      <c r="CC107" s="53"/>
      <c r="CD107" s="68"/>
      <c r="CE107" s="68"/>
      <c r="CF107" s="68"/>
      <c r="CG107" s="68"/>
      <c r="CH107" s="68"/>
      <c r="CI107" s="68"/>
      <c r="CJ107" s="68"/>
      <c r="CK107" s="68"/>
      <c r="CL107" s="68"/>
      <c r="CM107" s="35"/>
      <c r="CN107" s="35"/>
      <c r="CO107" s="52"/>
      <c r="CP107" s="35"/>
      <c r="CQ107" s="52"/>
      <c r="CR107" s="35"/>
      <c r="CS107" s="52"/>
      <c r="CT107" s="35"/>
      <c r="CU107" s="52"/>
      <c r="CV107" s="52"/>
      <c r="CW107" s="53"/>
      <c r="CX107" s="53"/>
      <c r="CY107" s="130"/>
      <c r="CZ107" s="35"/>
      <c r="DA107" s="35" t="e">
        <f t="shared" si="79"/>
        <v>#DIV/0!</v>
      </c>
      <c r="DB107" s="250"/>
      <c r="DC107" s="35"/>
      <c r="DD107" s="53"/>
      <c r="DE107" s="53"/>
      <c r="DF107" s="53"/>
      <c r="DG107" s="53"/>
      <c r="DH107" s="53"/>
      <c r="DI107" s="53"/>
      <c r="DJ107" s="130"/>
      <c r="DK107" s="207"/>
      <c r="DL107" s="68"/>
      <c r="DM107" s="68"/>
      <c r="DN107" s="68"/>
      <c r="DO107" s="68"/>
    </row>
    <row r="108" spans="1:119">
      <c r="A108" s="12"/>
      <c r="B108" s="16"/>
      <c r="C108" s="12">
        <v>2018</v>
      </c>
      <c r="D108" s="21"/>
      <c r="E108" s="21"/>
      <c r="F108" s="21"/>
      <c r="G108" s="21"/>
      <c r="H108" s="21"/>
      <c r="I108" s="21"/>
      <c r="J108" s="53"/>
      <c r="K108" s="53"/>
      <c r="L108" s="53"/>
      <c r="M108" s="53"/>
      <c r="N108" s="35"/>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5"/>
      <c r="AT108" s="35"/>
      <c r="AU108" s="52"/>
      <c r="AV108" s="35"/>
      <c r="AW108" s="35"/>
      <c r="AX108" s="52"/>
      <c r="AY108" s="52"/>
      <c r="AZ108" s="52"/>
      <c r="BA108" s="52"/>
      <c r="BB108" s="38" t="e">
        <f t="shared" si="81"/>
        <v>#DIV/0!</v>
      </c>
      <c r="BC108" s="38"/>
      <c r="BD108" s="52"/>
      <c r="BE108" s="52"/>
      <c r="BF108" s="52"/>
      <c r="BG108" s="52"/>
      <c r="BJ108" s="52"/>
      <c r="BK108" s="52"/>
      <c r="BL108" s="35" t="e">
        <f t="shared" si="82"/>
        <v>#DIV/0!</v>
      </c>
      <c r="BM108" s="231"/>
      <c r="BN108" s="231"/>
      <c r="BO108" s="234"/>
      <c r="BP108" s="231"/>
      <c r="BQ108" s="231"/>
      <c r="BR108" s="236"/>
      <c r="BS108" s="236"/>
      <c r="BT108" s="236"/>
      <c r="BU108" s="236"/>
      <c r="BV108" s="236"/>
      <c r="BW108" s="236"/>
      <c r="BX108" s="236"/>
      <c r="BY108" s="231"/>
      <c r="BZ108" s="231"/>
      <c r="CA108" s="68"/>
      <c r="CB108" s="68"/>
      <c r="CC108" s="53"/>
      <c r="CD108" s="68"/>
      <c r="CE108" s="68"/>
      <c r="CF108" s="68"/>
      <c r="CG108" s="68"/>
      <c r="CH108" s="68"/>
      <c r="CI108" s="68"/>
      <c r="CJ108" s="68"/>
      <c r="CK108" s="68"/>
      <c r="CL108" s="68"/>
      <c r="CM108" s="35"/>
      <c r="CN108" s="35"/>
      <c r="CO108" s="52"/>
      <c r="CP108" s="35"/>
      <c r="CQ108" s="52"/>
      <c r="CR108" s="35"/>
      <c r="CS108" s="52"/>
      <c r="CT108" s="35"/>
      <c r="CU108" s="52"/>
      <c r="CV108" s="52"/>
      <c r="CW108" s="53"/>
      <c r="CX108" s="53"/>
      <c r="CY108" s="130"/>
      <c r="CZ108" s="35"/>
      <c r="DA108" s="35" t="e">
        <f t="shared" si="79"/>
        <v>#DIV/0!</v>
      </c>
      <c r="DB108" s="250"/>
      <c r="DC108" s="35"/>
      <c r="DD108" s="53"/>
      <c r="DE108" s="53"/>
      <c r="DF108" s="53"/>
      <c r="DG108" s="53"/>
      <c r="DH108" s="53"/>
      <c r="DI108" s="53"/>
      <c r="DJ108" s="130"/>
      <c r="DK108" s="207"/>
      <c r="DL108" s="68"/>
      <c r="DM108" s="68"/>
      <c r="DN108" s="68"/>
      <c r="DO108" s="68"/>
    </row>
    <row r="109" spans="1:119">
      <c r="A109" s="12"/>
      <c r="B109" s="16"/>
      <c r="C109" s="12">
        <v>2017</v>
      </c>
      <c r="D109" s="21"/>
      <c r="E109" s="21"/>
      <c r="F109" s="21"/>
      <c r="G109" s="21"/>
      <c r="H109" s="21"/>
      <c r="I109" s="21"/>
      <c r="J109" s="53"/>
      <c r="K109" s="53"/>
      <c r="L109" s="53"/>
      <c r="M109" s="53"/>
      <c r="N109" s="35"/>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5"/>
      <c r="AT109" s="35"/>
      <c r="AU109" s="52"/>
      <c r="AV109" s="35"/>
      <c r="AW109" s="35"/>
      <c r="AX109" s="52"/>
      <c r="AY109" s="52"/>
      <c r="AZ109" s="52"/>
      <c r="BA109" s="52"/>
      <c r="BB109" s="38" t="e">
        <f t="shared" si="81"/>
        <v>#DIV/0!</v>
      </c>
      <c r="BC109" s="38"/>
      <c r="BD109" s="52"/>
      <c r="BE109" s="52"/>
      <c r="BF109" s="52"/>
      <c r="BG109" s="52"/>
      <c r="BJ109" s="52"/>
      <c r="BK109" s="52"/>
      <c r="BL109" s="35" t="e">
        <f t="shared" si="82"/>
        <v>#DIV/0!</v>
      </c>
      <c r="BM109" s="231"/>
      <c r="BN109" s="231"/>
      <c r="BO109" s="234"/>
      <c r="BP109" s="231"/>
      <c r="BQ109" s="231"/>
      <c r="BR109" s="236"/>
      <c r="BS109" s="236"/>
      <c r="BT109" s="236"/>
      <c r="BU109" s="236"/>
      <c r="BV109" s="236"/>
      <c r="BW109" s="236"/>
      <c r="BX109" s="236"/>
      <c r="BY109" s="231"/>
      <c r="BZ109" s="231"/>
      <c r="CA109" s="68"/>
      <c r="CB109" s="68"/>
      <c r="CC109" s="53"/>
      <c r="CD109" s="68"/>
      <c r="CE109" s="68"/>
      <c r="CF109" s="68"/>
      <c r="CG109" s="68"/>
      <c r="CH109" s="68"/>
      <c r="CI109" s="68"/>
      <c r="CJ109" s="68"/>
      <c r="CK109" s="68"/>
      <c r="CL109" s="68"/>
      <c r="CM109" s="35"/>
      <c r="CN109" s="35"/>
      <c r="CO109" s="52"/>
      <c r="CP109" s="35"/>
      <c r="CQ109" s="52"/>
      <c r="CR109" s="35"/>
      <c r="CS109" s="52"/>
      <c r="CT109" s="35"/>
      <c r="CU109" s="52"/>
      <c r="CV109" s="52"/>
      <c r="CW109" s="53"/>
      <c r="CX109" s="53"/>
      <c r="CY109" s="130"/>
      <c r="CZ109" s="35"/>
      <c r="DA109" s="35" t="e">
        <f t="shared" si="79"/>
        <v>#DIV/0!</v>
      </c>
      <c r="DB109" s="250"/>
      <c r="DC109" s="35"/>
      <c r="DD109" s="53"/>
      <c r="DE109" s="53"/>
      <c r="DF109" s="53"/>
      <c r="DG109" s="53"/>
      <c r="DH109" s="53"/>
      <c r="DI109" s="53"/>
      <c r="DJ109" s="130"/>
      <c r="DK109" s="207"/>
      <c r="DL109" s="68"/>
      <c r="DM109" s="68"/>
      <c r="DN109" s="68"/>
      <c r="DO109" s="68"/>
    </row>
    <row r="110" spans="1:119">
      <c r="A110" s="12"/>
      <c r="B110" s="16"/>
      <c r="C110" s="12">
        <v>2016</v>
      </c>
      <c r="D110" s="21"/>
      <c r="E110" s="21"/>
      <c r="F110" s="21"/>
      <c r="G110" s="21"/>
      <c r="H110" s="21"/>
      <c r="I110" s="21"/>
      <c r="J110" s="53"/>
      <c r="K110" s="53"/>
      <c r="L110" s="53"/>
      <c r="M110" s="53"/>
      <c r="N110" s="35"/>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5"/>
      <c r="AT110" s="35"/>
      <c r="AU110" s="52"/>
      <c r="AV110" s="35"/>
      <c r="AW110" s="35"/>
      <c r="AX110" s="52"/>
      <c r="AY110" s="52"/>
      <c r="AZ110" s="52"/>
      <c r="BA110" s="52"/>
      <c r="BB110" s="38" t="e">
        <f t="shared" si="81"/>
        <v>#DIV/0!</v>
      </c>
      <c r="BC110" s="38"/>
      <c r="BD110" s="52"/>
      <c r="BE110" s="52"/>
      <c r="BF110" s="52"/>
      <c r="BG110" s="52"/>
      <c r="BJ110" s="52"/>
      <c r="BK110" s="52"/>
      <c r="BL110" s="35" t="e">
        <f t="shared" si="82"/>
        <v>#DIV/0!</v>
      </c>
      <c r="BM110" s="231"/>
      <c r="BN110" s="231"/>
      <c r="BO110" s="234"/>
      <c r="BP110" s="231"/>
      <c r="BQ110" s="231"/>
      <c r="BR110" s="236"/>
      <c r="BS110" s="236"/>
      <c r="BT110" s="236"/>
      <c r="BU110" s="236"/>
      <c r="BV110" s="236"/>
      <c r="BW110" s="236"/>
      <c r="BX110" s="236"/>
      <c r="BY110" s="231"/>
      <c r="BZ110" s="231"/>
      <c r="CA110" s="68"/>
      <c r="CB110" s="68"/>
      <c r="CC110" s="53"/>
      <c r="CD110" s="68"/>
      <c r="CE110" s="68"/>
      <c r="CF110" s="68"/>
      <c r="CG110" s="68"/>
      <c r="CH110" s="68"/>
      <c r="CI110" s="68"/>
      <c r="CJ110" s="68"/>
      <c r="CK110" s="68"/>
      <c r="CL110" s="68"/>
      <c r="CM110" s="35"/>
      <c r="CN110" s="35"/>
      <c r="CO110" s="52"/>
      <c r="CP110" s="35"/>
      <c r="CQ110" s="52"/>
      <c r="CR110" s="35"/>
      <c r="CS110" s="52"/>
      <c r="CT110" s="35"/>
      <c r="CU110" s="52"/>
      <c r="CV110" s="52"/>
      <c r="CW110" s="53"/>
      <c r="CX110" s="53"/>
      <c r="CY110" s="130"/>
      <c r="CZ110" s="35"/>
      <c r="DA110" s="35" t="e">
        <f t="shared" si="79"/>
        <v>#DIV/0!</v>
      </c>
      <c r="DB110" s="250"/>
      <c r="DC110" s="35"/>
      <c r="DD110" s="53"/>
      <c r="DE110" s="53"/>
      <c r="DF110" s="53"/>
      <c r="DG110" s="53"/>
      <c r="DH110" s="53"/>
      <c r="DI110" s="53"/>
      <c r="DJ110" s="130"/>
      <c r="DK110" s="207"/>
      <c r="DL110" s="68"/>
      <c r="DM110" s="68"/>
      <c r="DN110" s="68"/>
      <c r="DO110" s="68"/>
    </row>
    <row r="111" spans="1:119">
      <c r="A111" s="12"/>
      <c r="B111" s="16"/>
      <c r="C111" s="12">
        <v>2015</v>
      </c>
      <c r="D111" s="21"/>
      <c r="E111" s="21"/>
      <c r="F111" s="21"/>
      <c r="G111" s="21"/>
      <c r="H111" s="21"/>
      <c r="I111" s="21"/>
      <c r="J111" s="53"/>
      <c r="K111" s="53"/>
      <c r="L111" s="53"/>
      <c r="M111" s="53"/>
      <c r="N111" s="35"/>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5"/>
      <c r="AT111" s="35"/>
      <c r="AU111" s="52"/>
      <c r="AV111" s="35"/>
      <c r="AW111" s="35"/>
      <c r="AX111" s="52"/>
      <c r="AY111" s="52"/>
      <c r="AZ111" s="52"/>
      <c r="BA111" s="52"/>
      <c r="BB111" s="38" t="e">
        <f t="shared" si="81"/>
        <v>#DIV/0!</v>
      </c>
      <c r="BC111" s="38"/>
      <c r="BD111" s="52"/>
      <c r="BE111" s="52"/>
      <c r="BF111" s="52"/>
      <c r="BG111" s="52"/>
      <c r="BJ111" s="52"/>
      <c r="BK111" s="52"/>
      <c r="BL111" s="35" t="e">
        <f t="shared" si="82"/>
        <v>#DIV/0!</v>
      </c>
      <c r="BM111" s="231"/>
      <c r="BN111" s="231"/>
      <c r="BO111" s="234"/>
      <c r="BP111" s="231"/>
      <c r="BQ111" s="231"/>
      <c r="BR111" s="236"/>
      <c r="BS111" s="236"/>
      <c r="BT111" s="236"/>
      <c r="BU111" s="236"/>
      <c r="BV111" s="236"/>
      <c r="BW111" s="236"/>
      <c r="BX111" s="236"/>
      <c r="BY111" s="231"/>
      <c r="BZ111" s="231"/>
      <c r="CA111" s="68"/>
      <c r="CB111" s="68"/>
      <c r="CC111" s="53"/>
      <c r="CD111" s="68"/>
      <c r="CE111" s="68"/>
      <c r="CF111" s="68"/>
      <c r="CG111" s="68"/>
      <c r="CH111" s="68"/>
      <c r="CI111" s="68"/>
      <c r="CJ111" s="68"/>
      <c r="CK111" s="68"/>
      <c r="CL111" s="68"/>
      <c r="CM111" s="35"/>
      <c r="CN111" s="35"/>
      <c r="CO111" s="52"/>
      <c r="CP111" s="35"/>
      <c r="CQ111" s="52"/>
      <c r="CR111" s="35"/>
      <c r="CS111" s="52"/>
      <c r="CT111" s="35"/>
      <c r="CU111" s="52"/>
      <c r="CV111" s="52"/>
      <c r="CW111" s="53"/>
      <c r="CX111" s="53"/>
      <c r="CY111" s="130"/>
      <c r="CZ111" s="35"/>
      <c r="DA111" s="35" t="e">
        <f t="shared" si="79"/>
        <v>#DIV/0!</v>
      </c>
      <c r="DB111" s="250"/>
      <c r="DC111" s="35"/>
      <c r="DD111" s="53"/>
      <c r="DE111" s="53"/>
      <c r="DF111" s="53"/>
      <c r="DG111" s="53"/>
      <c r="DH111" s="53"/>
      <c r="DI111" s="53"/>
      <c r="DJ111" s="130"/>
      <c r="DK111" s="207"/>
      <c r="DL111" s="68"/>
      <c r="DM111" s="68"/>
      <c r="DN111" s="68"/>
      <c r="DO111" s="68"/>
    </row>
    <row r="112" spans="1:119">
      <c r="A112" s="12"/>
      <c r="B112" s="16"/>
      <c r="C112" s="12">
        <v>2014</v>
      </c>
      <c r="D112" s="21"/>
      <c r="E112" s="21"/>
      <c r="F112" s="21"/>
      <c r="G112" s="21"/>
      <c r="H112" s="21"/>
      <c r="I112" s="21"/>
      <c r="J112" s="53"/>
      <c r="K112" s="53"/>
      <c r="L112" s="53"/>
      <c r="M112" s="53"/>
      <c r="N112" s="35"/>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5"/>
      <c r="AT112" s="35"/>
      <c r="AU112" s="52"/>
      <c r="AV112" s="35"/>
      <c r="AW112" s="35"/>
      <c r="AX112" s="52"/>
      <c r="AY112" s="52"/>
      <c r="AZ112" s="52"/>
      <c r="BA112" s="52"/>
      <c r="BB112" s="38" t="e">
        <f t="shared" si="81"/>
        <v>#DIV/0!</v>
      </c>
      <c r="BC112" s="38"/>
      <c r="BD112" s="52"/>
      <c r="BE112" s="52"/>
      <c r="BF112" s="52"/>
      <c r="BG112" s="52"/>
      <c r="BJ112" s="52"/>
      <c r="BK112" s="52"/>
      <c r="BL112" s="35" t="e">
        <f t="shared" si="82"/>
        <v>#DIV/0!</v>
      </c>
      <c r="BM112" s="231"/>
      <c r="BN112" s="231"/>
      <c r="BO112" s="234"/>
      <c r="BP112" s="231"/>
      <c r="BQ112" s="231"/>
      <c r="BR112" s="236"/>
      <c r="BS112" s="236"/>
      <c r="BT112" s="236"/>
      <c r="BU112" s="236"/>
      <c r="BV112" s="236"/>
      <c r="BW112" s="236"/>
      <c r="BX112" s="236"/>
      <c r="BY112" s="231"/>
      <c r="BZ112" s="231"/>
      <c r="CA112" s="68"/>
      <c r="CB112" s="68"/>
      <c r="CC112" s="53"/>
      <c r="CD112" s="68"/>
      <c r="CE112" s="68"/>
      <c r="CF112" s="68"/>
      <c r="CG112" s="68"/>
      <c r="CH112" s="68"/>
      <c r="CI112" s="68"/>
      <c r="CJ112" s="68"/>
      <c r="CK112" s="68"/>
      <c r="CL112" s="68"/>
      <c r="CM112" s="35"/>
      <c r="CN112" s="35"/>
      <c r="CO112" s="52"/>
      <c r="CP112" s="35"/>
      <c r="CQ112" s="52"/>
      <c r="CR112" s="35"/>
      <c r="CS112" s="52"/>
      <c r="CT112" s="35"/>
      <c r="CU112" s="52"/>
      <c r="CV112" s="52"/>
      <c r="CW112" s="53"/>
      <c r="CX112" s="53"/>
      <c r="CY112" s="130"/>
      <c r="CZ112" s="35"/>
      <c r="DA112" s="35" t="e">
        <f t="shared" ref="DA112:DA143" si="84">CX112/CL112</f>
        <v>#DIV/0!</v>
      </c>
      <c r="DB112" s="250"/>
      <c r="DC112" s="35"/>
      <c r="DD112" s="53"/>
      <c r="DE112" s="53"/>
      <c r="DF112" s="53"/>
      <c r="DG112" s="53"/>
      <c r="DH112" s="53"/>
      <c r="DI112" s="53"/>
      <c r="DJ112" s="130"/>
      <c r="DK112" s="207"/>
      <c r="DL112" s="68"/>
      <c r="DM112" s="68"/>
      <c r="DN112" s="68"/>
      <c r="DO112" s="68"/>
    </row>
    <row r="113" spans="1:119">
      <c r="A113" s="12"/>
      <c r="B113" s="16"/>
      <c r="C113" s="12">
        <v>2013</v>
      </c>
      <c r="D113" s="21"/>
      <c r="E113" s="21"/>
      <c r="F113" s="21"/>
      <c r="G113" s="21"/>
      <c r="H113" s="21"/>
      <c r="I113" s="21"/>
      <c r="J113" s="53"/>
      <c r="K113" s="53"/>
      <c r="L113" s="53"/>
      <c r="M113" s="53"/>
      <c r="N113" s="35"/>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5"/>
      <c r="AT113" s="35"/>
      <c r="AU113" s="52"/>
      <c r="AV113" s="35"/>
      <c r="AW113" s="35"/>
      <c r="AX113" s="52"/>
      <c r="AY113" s="52"/>
      <c r="AZ113" s="52"/>
      <c r="BA113" s="52"/>
      <c r="BB113" s="38" t="e">
        <f t="shared" si="81"/>
        <v>#DIV/0!</v>
      </c>
      <c r="BC113" s="38"/>
      <c r="BD113" s="52"/>
      <c r="BE113" s="52"/>
      <c r="BF113" s="52"/>
      <c r="BG113" s="52"/>
      <c r="BJ113" s="52"/>
      <c r="BK113" s="52"/>
      <c r="BL113" s="35" t="e">
        <f t="shared" si="82"/>
        <v>#DIV/0!</v>
      </c>
      <c r="BM113" s="231"/>
      <c r="BN113" s="231"/>
      <c r="BO113" s="234"/>
      <c r="BP113" s="231"/>
      <c r="BQ113" s="231"/>
      <c r="BR113" s="236"/>
      <c r="BS113" s="236"/>
      <c r="BT113" s="236"/>
      <c r="BU113" s="236"/>
      <c r="BV113" s="236"/>
      <c r="BW113" s="236"/>
      <c r="BX113" s="236"/>
      <c r="BY113" s="231"/>
      <c r="BZ113" s="231"/>
      <c r="CA113" s="68"/>
      <c r="CB113" s="68"/>
      <c r="CC113" s="53"/>
      <c r="CD113" s="68"/>
      <c r="CE113" s="68"/>
      <c r="CF113" s="68"/>
      <c r="CG113" s="68"/>
      <c r="CH113" s="68"/>
      <c r="CI113" s="68"/>
      <c r="CJ113" s="68"/>
      <c r="CK113" s="68"/>
      <c r="CL113" s="68"/>
      <c r="CM113" s="35"/>
      <c r="CN113" s="35"/>
      <c r="CO113" s="52"/>
      <c r="CP113" s="35"/>
      <c r="CQ113" s="52"/>
      <c r="CR113" s="35"/>
      <c r="CS113" s="52"/>
      <c r="CT113" s="35"/>
      <c r="CU113" s="52"/>
      <c r="CV113" s="52"/>
      <c r="CW113" s="53"/>
      <c r="CX113" s="53"/>
      <c r="CY113" s="130"/>
      <c r="CZ113" s="35"/>
      <c r="DA113" s="35" t="e">
        <f t="shared" si="84"/>
        <v>#DIV/0!</v>
      </c>
      <c r="DB113" s="250"/>
      <c r="DC113" s="35"/>
      <c r="DD113" s="53"/>
      <c r="DE113" s="53"/>
      <c r="DF113" s="53"/>
      <c r="DG113" s="53"/>
      <c r="DH113" s="53"/>
      <c r="DI113" s="53"/>
      <c r="DJ113" s="130"/>
      <c r="DK113" s="207"/>
      <c r="DL113" s="68"/>
      <c r="DM113" s="68"/>
      <c r="DN113" s="68"/>
      <c r="DO113" s="68"/>
    </row>
    <row r="114" spans="1:119">
      <c r="A114" s="12"/>
      <c r="B114" s="16"/>
      <c r="C114" s="12">
        <v>2012</v>
      </c>
      <c r="D114" s="21"/>
      <c r="E114" s="21"/>
      <c r="F114" s="21"/>
      <c r="G114" s="21"/>
      <c r="H114" s="21"/>
      <c r="I114" s="21"/>
      <c r="J114" s="53"/>
      <c r="K114" s="53"/>
      <c r="L114" s="53"/>
      <c r="M114" s="53"/>
      <c r="N114" s="35"/>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5"/>
      <c r="AT114" s="35"/>
      <c r="AU114" s="52"/>
      <c r="AV114" s="35"/>
      <c r="AW114" s="35"/>
      <c r="AX114" s="52"/>
      <c r="AY114" s="52"/>
      <c r="AZ114" s="52"/>
      <c r="BA114" s="52"/>
      <c r="BB114" s="38" t="e">
        <f t="shared" si="81"/>
        <v>#DIV/0!</v>
      </c>
      <c r="BC114" s="38"/>
      <c r="BD114" s="52"/>
      <c r="BE114" s="52"/>
      <c r="BF114" s="52"/>
      <c r="BG114" s="52"/>
      <c r="BJ114" s="52"/>
      <c r="BK114" s="52"/>
      <c r="BL114" s="35" t="e">
        <f t="shared" si="82"/>
        <v>#DIV/0!</v>
      </c>
      <c r="BM114" s="231"/>
      <c r="BN114" s="231"/>
      <c r="BO114" s="234"/>
      <c r="BP114" s="231"/>
      <c r="BQ114" s="231"/>
      <c r="BR114" s="236"/>
      <c r="BS114" s="236"/>
      <c r="BT114" s="236"/>
      <c r="BU114" s="236"/>
      <c r="BV114" s="236"/>
      <c r="BW114" s="236"/>
      <c r="BX114" s="236"/>
      <c r="BY114" s="231"/>
      <c r="BZ114" s="231"/>
      <c r="CA114" s="68"/>
      <c r="CB114" s="68"/>
      <c r="CC114" s="53"/>
      <c r="CD114" s="68"/>
      <c r="CE114" s="68"/>
      <c r="CF114" s="68"/>
      <c r="CG114" s="68"/>
      <c r="CH114" s="68"/>
      <c r="CI114" s="68"/>
      <c r="CJ114" s="68"/>
      <c r="CK114" s="68"/>
      <c r="CL114" s="68"/>
      <c r="CM114" s="35"/>
      <c r="CN114" s="35"/>
      <c r="CO114" s="52"/>
      <c r="CP114" s="35"/>
      <c r="CQ114" s="52"/>
      <c r="CR114" s="35"/>
      <c r="CS114" s="52"/>
      <c r="CT114" s="35"/>
      <c r="CU114" s="52"/>
      <c r="CV114" s="52"/>
      <c r="CW114" s="53"/>
      <c r="CX114" s="53"/>
      <c r="CY114" s="130"/>
      <c r="CZ114" s="35"/>
      <c r="DA114" s="35" t="e">
        <f t="shared" si="84"/>
        <v>#DIV/0!</v>
      </c>
      <c r="DB114" s="250"/>
      <c r="DC114" s="35"/>
      <c r="DD114" s="53"/>
      <c r="DE114" s="53"/>
      <c r="DF114" s="53"/>
      <c r="DG114" s="53"/>
      <c r="DH114" s="53"/>
      <c r="DI114" s="53"/>
      <c r="DJ114" s="130"/>
      <c r="DK114" s="207"/>
      <c r="DL114" s="68"/>
      <c r="DM114" s="68"/>
      <c r="DN114" s="68"/>
      <c r="DO114" s="68"/>
    </row>
    <row r="115" spans="1:119">
      <c r="A115" s="12"/>
      <c r="B115" s="16"/>
      <c r="C115" s="12">
        <v>2011</v>
      </c>
      <c r="D115" s="55"/>
      <c r="E115" s="21"/>
      <c r="F115" s="21"/>
      <c r="G115" s="21"/>
      <c r="H115" s="21"/>
      <c r="I115" s="21"/>
      <c r="J115" s="21"/>
      <c r="K115" s="21"/>
      <c r="L115" s="21"/>
      <c r="M115" s="55"/>
      <c r="N115" s="38"/>
      <c r="O115" s="53"/>
      <c r="P115" s="35"/>
      <c r="Q115" s="53"/>
      <c r="R115" s="35"/>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5"/>
      <c r="AT115" s="35"/>
      <c r="AU115" s="52"/>
      <c r="AV115" s="35"/>
      <c r="AW115" s="35"/>
      <c r="AX115" s="52"/>
      <c r="AY115" s="52"/>
      <c r="AZ115" s="52"/>
      <c r="BA115" s="52"/>
      <c r="BB115" s="38" t="e">
        <f t="shared" si="81"/>
        <v>#DIV/0!</v>
      </c>
      <c r="BC115" s="38"/>
      <c r="BD115" s="52"/>
      <c r="BE115" s="52"/>
      <c r="BF115" s="52"/>
      <c r="BG115" s="52"/>
      <c r="BJ115" s="52"/>
      <c r="BK115" s="52"/>
      <c r="BL115" s="35" t="e">
        <f t="shared" si="82"/>
        <v>#DIV/0!</v>
      </c>
      <c r="BM115" s="231"/>
      <c r="BN115" s="231"/>
      <c r="BO115" s="234"/>
      <c r="BP115" s="231"/>
      <c r="BQ115" s="231"/>
      <c r="BR115" s="236"/>
      <c r="BS115" s="236"/>
      <c r="BT115" s="236"/>
      <c r="BU115" s="236"/>
      <c r="BV115" s="236"/>
      <c r="BW115" s="236"/>
      <c r="BX115" s="236"/>
      <c r="BY115" s="231"/>
      <c r="BZ115" s="231"/>
      <c r="CA115" s="68"/>
      <c r="CB115" s="68"/>
      <c r="CC115" s="53"/>
      <c r="CD115" s="68"/>
      <c r="CE115" s="68"/>
      <c r="CF115" s="68"/>
      <c r="CG115" s="68"/>
      <c r="CH115" s="68"/>
      <c r="CI115" s="68"/>
      <c r="CJ115" s="68"/>
      <c r="CK115" s="68"/>
      <c r="CL115" s="68"/>
      <c r="CM115" s="35"/>
      <c r="CN115" s="35"/>
      <c r="CO115" s="52"/>
      <c r="CP115" s="35"/>
      <c r="CQ115" s="52"/>
      <c r="CR115" s="35"/>
      <c r="CS115" s="52"/>
      <c r="CT115" s="35"/>
      <c r="CU115" s="52"/>
      <c r="CV115" s="52"/>
      <c r="CW115" s="53"/>
      <c r="CX115" s="53"/>
      <c r="CY115" s="130"/>
      <c r="CZ115" s="35"/>
      <c r="DA115" s="35" t="e">
        <f t="shared" si="84"/>
        <v>#DIV/0!</v>
      </c>
      <c r="DB115" s="250"/>
      <c r="DC115" s="35"/>
      <c r="DD115" s="53"/>
      <c r="DE115" s="53"/>
      <c r="DF115" s="53"/>
      <c r="DG115" s="53"/>
      <c r="DH115" s="53"/>
      <c r="DI115" s="53"/>
      <c r="DJ115" s="130"/>
      <c r="DK115" s="207"/>
      <c r="DL115" s="68"/>
      <c r="DM115" s="68"/>
      <c r="DN115" s="68"/>
      <c r="DO115" s="68"/>
    </row>
    <row r="116" spans="1:119">
      <c r="A116" s="12"/>
      <c r="B116" s="16" t="s">
        <v>139</v>
      </c>
      <c r="C116" s="12">
        <v>2022</v>
      </c>
      <c r="D116" s="55"/>
      <c r="E116" s="21"/>
      <c r="F116" s="21"/>
      <c r="G116" s="21"/>
      <c r="H116" s="21"/>
      <c r="I116" s="21"/>
      <c r="J116" s="21"/>
      <c r="K116" s="21"/>
      <c r="L116" s="21"/>
      <c r="M116" s="55"/>
      <c r="N116" s="38"/>
      <c r="O116" s="53"/>
      <c r="P116" s="35"/>
      <c r="Q116" s="53"/>
      <c r="R116" s="35"/>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5"/>
      <c r="AT116" s="35"/>
      <c r="AU116" s="52"/>
      <c r="AV116" s="35"/>
      <c r="AW116" s="35"/>
      <c r="AX116" s="52"/>
      <c r="AY116" s="52"/>
      <c r="AZ116" s="52"/>
      <c r="BA116" s="52"/>
      <c r="BB116" s="38" t="e">
        <f t="shared" si="81"/>
        <v>#DIV/0!</v>
      </c>
      <c r="BC116" s="38"/>
      <c r="BD116" s="52"/>
      <c r="BE116" s="52"/>
      <c r="BF116" s="52"/>
      <c r="BG116" s="52"/>
      <c r="BJ116" s="52"/>
      <c r="BK116" s="52"/>
      <c r="BL116" s="35" t="e">
        <f t="shared" si="82"/>
        <v>#DIV/0!</v>
      </c>
      <c r="BM116" s="231"/>
      <c r="BN116" s="231"/>
      <c r="BO116" s="234"/>
      <c r="BP116" s="231"/>
      <c r="BQ116" s="231"/>
      <c r="BR116" s="236"/>
      <c r="BS116" s="236"/>
      <c r="BT116" s="236"/>
      <c r="BU116" s="236"/>
      <c r="BV116" s="236"/>
      <c r="BW116" s="236"/>
      <c r="BX116" s="236"/>
      <c r="BY116" s="231"/>
      <c r="BZ116" s="231"/>
      <c r="CA116" s="68"/>
      <c r="CB116" s="68"/>
      <c r="CC116" s="53"/>
      <c r="CD116" s="68"/>
      <c r="CE116" s="68"/>
      <c r="CF116" s="68"/>
      <c r="CG116" s="68"/>
      <c r="CH116" s="68"/>
      <c r="CI116" s="68"/>
      <c r="CJ116" s="68"/>
      <c r="CK116" s="68"/>
      <c r="CL116" s="68"/>
      <c r="CM116" s="35"/>
      <c r="CN116" s="35"/>
      <c r="CO116" s="52"/>
      <c r="CP116" s="35"/>
      <c r="CQ116" s="52"/>
      <c r="CR116" s="35"/>
      <c r="CS116" s="52"/>
      <c r="CT116" s="35"/>
      <c r="CU116" s="52"/>
      <c r="CV116" s="52"/>
      <c r="CW116" s="53"/>
      <c r="CX116" s="53"/>
      <c r="CY116" s="130"/>
      <c r="CZ116" s="35"/>
      <c r="DA116" s="35" t="e">
        <f t="shared" si="84"/>
        <v>#DIV/0!</v>
      </c>
      <c r="DB116" s="250"/>
      <c r="DC116" s="35"/>
      <c r="DD116" s="53"/>
      <c r="DE116" s="53"/>
      <c r="DF116" s="53"/>
      <c r="DG116" s="53"/>
      <c r="DH116" s="53"/>
      <c r="DI116" s="53"/>
      <c r="DJ116" s="130"/>
      <c r="DK116" s="207"/>
      <c r="DL116" s="68"/>
      <c r="DM116" s="68"/>
      <c r="DN116" s="68"/>
      <c r="DO116" s="68"/>
    </row>
    <row r="117" spans="1:119">
      <c r="A117" s="12"/>
      <c r="B117" s="16"/>
      <c r="C117" s="12">
        <v>2021</v>
      </c>
      <c r="D117" s="55"/>
      <c r="E117" s="21"/>
      <c r="F117" s="21"/>
      <c r="G117" s="21"/>
      <c r="H117" s="21"/>
      <c r="I117" s="21"/>
      <c r="J117" s="21"/>
      <c r="K117" s="21"/>
      <c r="L117" s="21"/>
      <c r="M117" s="55"/>
      <c r="N117" s="38"/>
      <c r="O117" s="53"/>
      <c r="P117" s="35"/>
      <c r="Q117" s="53"/>
      <c r="R117" s="35"/>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5"/>
      <c r="AT117" s="35"/>
      <c r="AU117" s="52"/>
      <c r="AV117" s="35"/>
      <c r="AW117" s="35"/>
      <c r="AX117" s="52"/>
      <c r="AY117" s="52"/>
      <c r="AZ117" s="52"/>
      <c r="BA117" s="52"/>
      <c r="BB117" s="38" t="e">
        <f t="shared" si="81"/>
        <v>#DIV/0!</v>
      </c>
      <c r="BC117" s="38"/>
      <c r="BD117" s="52"/>
      <c r="BE117" s="52"/>
      <c r="BF117" s="52"/>
      <c r="BG117" s="52"/>
      <c r="BJ117" s="52"/>
      <c r="BK117" s="52"/>
      <c r="BL117" s="35" t="e">
        <f t="shared" si="82"/>
        <v>#DIV/0!</v>
      </c>
      <c r="BM117" s="231"/>
      <c r="BN117" s="231"/>
      <c r="BO117" s="234"/>
      <c r="BP117" s="231"/>
      <c r="BQ117" s="231"/>
      <c r="BR117" s="236"/>
      <c r="BS117" s="236"/>
      <c r="BT117" s="236"/>
      <c r="BU117" s="236"/>
      <c r="BV117" s="236"/>
      <c r="BW117" s="236"/>
      <c r="BX117" s="236"/>
      <c r="BY117" s="231"/>
      <c r="BZ117" s="231"/>
      <c r="CA117" s="68"/>
      <c r="CB117" s="68"/>
      <c r="CC117" s="53"/>
      <c r="CD117" s="68"/>
      <c r="CE117" s="68"/>
      <c r="CF117" s="68"/>
      <c r="CG117" s="68"/>
      <c r="CH117" s="68"/>
      <c r="CI117" s="68"/>
      <c r="CJ117" s="68"/>
      <c r="CK117" s="68"/>
      <c r="CL117" s="68"/>
      <c r="CM117" s="35"/>
      <c r="CN117" s="35"/>
      <c r="CO117" s="52"/>
      <c r="CP117" s="35"/>
      <c r="CQ117" s="52"/>
      <c r="CR117" s="35"/>
      <c r="CS117" s="52"/>
      <c r="CT117" s="35"/>
      <c r="CU117" s="52"/>
      <c r="CV117" s="52"/>
      <c r="CW117" s="53"/>
      <c r="CX117" s="53"/>
      <c r="CY117" s="130"/>
      <c r="CZ117" s="35"/>
      <c r="DA117" s="35" t="e">
        <f t="shared" si="84"/>
        <v>#DIV/0!</v>
      </c>
      <c r="DB117" s="250"/>
      <c r="DC117" s="35"/>
      <c r="DD117" s="53"/>
      <c r="DE117" s="53"/>
      <c r="DF117" s="53"/>
      <c r="DG117" s="53"/>
      <c r="DH117" s="53"/>
      <c r="DI117" s="53"/>
      <c r="DJ117" s="130"/>
      <c r="DK117" s="207"/>
      <c r="DL117" s="68"/>
      <c r="DM117" s="68"/>
      <c r="DN117" s="68"/>
      <c r="DO117" s="68"/>
    </row>
    <row r="118" spans="1:119">
      <c r="A118" s="12"/>
      <c r="B118" s="16"/>
      <c r="C118" s="12">
        <v>2020</v>
      </c>
      <c r="D118" s="55"/>
      <c r="E118" s="21"/>
      <c r="F118" s="21"/>
      <c r="G118" s="21"/>
      <c r="H118" s="21"/>
      <c r="I118" s="21"/>
      <c r="J118" s="21"/>
      <c r="K118" s="21"/>
      <c r="L118" s="21"/>
      <c r="M118" s="55"/>
      <c r="N118" s="38"/>
      <c r="O118" s="53"/>
      <c r="P118" s="35"/>
      <c r="Q118" s="53"/>
      <c r="R118" s="35"/>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5"/>
      <c r="AT118" s="35"/>
      <c r="AU118" s="52"/>
      <c r="AV118" s="35"/>
      <c r="AW118" s="35"/>
      <c r="AX118" s="52"/>
      <c r="AY118" s="52"/>
      <c r="AZ118" s="52"/>
      <c r="BA118" s="52"/>
      <c r="BB118" s="38" t="e">
        <f t="shared" si="81"/>
        <v>#DIV/0!</v>
      </c>
      <c r="BC118" s="38"/>
      <c r="BD118" s="52"/>
      <c r="BE118" s="52"/>
      <c r="BF118" s="52"/>
      <c r="BG118" s="52"/>
      <c r="BJ118" s="52"/>
      <c r="BK118" s="52"/>
      <c r="BL118" s="35" t="e">
        <f t="shared" si="82"/>
        <v>#DIV/0!</v>
      </c>
      <c r="BM118" s="231"/>
      <c r="BN118" s="231"/>
      <c r="BO118" s="234"/>
      <c r="BP118" s="231"/>
      <c r="BQ118" s="231"/>
      <c r="BR118" s="236"/>
      <c r="BS118" s="236"/>
      <c r="BT118" s="236"/>
      <c r="BU118" s="236"/>
      <c r="BV118" s="236"/>
      <c r="BW118" s="236"/>
      <c r="BX118" s="236"/>
      <c r="BY118" s="231"/>
      <c r="BZ118" s="231"/>
      <c r="CA118" s="68"/>
      <c r="CB118" s="68"/>
      <c r="CC118" s="53"/>
      <c r="CD118" s="68"/>
      <c r="CE118" s="68"/>
      <c r="CF118" s="68"/>
      <c r="CG118" s="68"/>
      <c r="CH118" s="68"/>
      <c r="CI118" s="68"/>
      <c r="CJ118" s="68"/>
      <c r="CK118" s="68"/>
      <c r="CL118" s="68"/>
      <c r="CM118" s="35"/>
      <c r="CN118" s="35"/>
      <c r="CO118" s="52"/>
      <c r="CP118" s="35"/>
      <c r="CQ118" s="52"/>
      <c r="CR118" s="35"/>
      <c r="CS118" s="52"/>
      <c r="CT118" s="35"/>
      <c r="CU118" s="52"/>
      <c r="CV118" s="52"/>
      <c r="CW118" s="53"/>
      <c r="CX118" s="53"/>
      <c r="CY118" s="130"/>
      <c r="CZ118" s="35"/>
      <c r="DA118" s="35" t="e">
        <f t="shared" si="84"/>
        <v>#DIV/0!</v>
      </c>
      <c r="DB118" s="250"/>
      <c r="DC118" s="35"/>
      <c r="DD118" s="53"/>
      <c r="DE118" s="53"/>
      <c r="DF118" s="53"/>
      <c r="DG118" s="53"/>
      <c r="DH118" s="53"/>
      <c r="DI118" s="53"/>
      <c r="DJ118" s="130"/>
      <c r="DK118" s="207"/>
      <c r="DL118" s="68"/>
      <c r="DM118" s="68"/>
      <c r="DN118" s="68"/>
      <c r="DO118" s="68"/>
    </row>
    <row r="119" spans="1:119">
      <c r="A119" s="12"/>
      <c r="B119" s="16"/>
      <c r="C119" s="12">
        <v>2019</v>
      </c>
      <c r="D119" s="55"/>
      <c r="E119" s="21"/>
      <c r="F119" s="21"/>
      <c r="G119" s="21"/>
      <c r="H119" s="21"/>
      <c r="I119" s="21"/>
      <c r="J119" s="21"/>
      <c r="K119" s="21"/>
      <c r="L119" s="21"/>
      <c r="M119" s="55"/>
      <c r="N119" s="38"/>
      <c r="O119" s="53"/>
      <c r="P119" s="35"/>
      <c r="Q119" s="53"/>
      <c r="R119" s="35"/>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5"/>
      <c r="AT119" s="35"/>
      <c r="AU119" s="52"/>
      <c r="AV119" s="35"/>
      <c r="AW119" s="35"/>
      <c r="AX119" s="52"/>
      <c r="AY119" s="52"/>
      <c r="AZ119" s="52"/>
      <c r="BA119" s="52"/>
      <c r="BB119" s="38" t="e">
        <f t="shared" si="81"/>
        <v>#DIV/0!</v>
      </c>
      <c r="BC119" s="38"/>
      <c r="BD119" s="52"/>
      <c r="BE119" s="52"/>
      <c r="BF119" s="52"/>
      <c r="BG119" s="52"/>
      <c r="BJ119" s="52"/>
      <c r="BK119" s="52"/>
      <c r="BL119" s="35" t="e">
        <f t="shared" si="82"/>
        <v>#DIV/0!</v>
      </c>
      <c r="BM119" s="231"/>
      <c r="BN119" s="231"/>
      <c r="BO119" s="234"/>
      <c r="BP119" s="231"/>
      <c r="BQ119" s="231"/>
      <c r="BR119" s="236"/>
      <c r="BS119" s="236"/>
      <c r="BT119" s="236"/>
      <c r="BU119" s="236"/>
      <c r="BV119" s="236"/>
      <c r="BW119" s="236"/>
      <c r="BX119" s="236"/>
      <c r="BY119" s="231"/>
      <c r="BZ119" s="231"/>
      <c r="CA119" s="68"/>
      <c r="CB119" s="68"/>
      <c r="CC119" s="53"/>
      <c r="CD119" s="68"/>
      <c r="CE119" s="68"/>
      <c r="CF119" s="68"/>
      <c r="CG119" s="68"/>
      <c r="CH119" s="68"/>
      <c r="CI119" s="68"/>
      <c r="CJ119" s="68"/>
      <c r="CK119" s="68"/>
      <c r="CL119" s="68"/>
      <c r="CM119" s="35"/>
      <c r="CN119" s="35"/>
      <c r="CO119" s="52"/>
      <c r="CP119" s="35"/>
      <c r="CQ119" s="52"/>
      <c r="CR119" s="35"/>
      <c r="CS119" s="52"/>
      <c r="CT119" s="35"/>
      <c r="CU119" s="52"/>
      <c r="CV119" s="52"/>
      <c r="CW119" s="53"/>
      <c r="CX119" s="53"/>
      <c r="CY119" s="130"/>
      <c r="CZ119" s="35"/>
      <c r="DA119" s="35" t="e">
        <f t="shared" si="84"/>
        <v>#DIV/0!</v>
      </c>
      <c r="DB119" s="250"/>
      <c r="DC119" s="35"/>
      <c r="DD119" s="53"/>
      <c r="DE119" s="53"/>
      <c r="DF119" s="53"/>
      <c r="DG119" s="53"/>
      <c r="DH119" s="53"/>
      <c r="DI119" s="53"/>
      <c r="DJ119" s="130"/>
      <c r="DK119" s="207"/>
      <c r="DL119" s="68"/>
      <c r="DM119" s="68"/>
      <c r="DN119" s="68"/>
      <c r="DO119" s="68"/>
    </row>
    <row r="120" spans="1:119">
      <c r="A120" s="12"/>
      <c r="B120" s="16"/>
      <c r="C120" s="12">
        <v>2018</v>
      </c>
      <c r="D120" s="55"/>
      <c r="E120" s="21"/>
      <c r="F120" s="21"/>
      <c r="G120" s="21"/>
      <c r="H120" s="21"/>
      <c r="I120" s="21"/>
      <c r="J120" s="21"/>
      <c r="K120" s="21"/>
      <c r="L120" s="21"/>
      <c r="M120" s="55"/>
      <c r="N120" s="38"/>
      <c r="O120" s="53"/>
      <c r="P120" s="35"/>
      <c r="Q120" s="53"/>
      <c r="R120" s="35"/>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5"/>
      <c r="AT120" s="35"/>
      <c r="AU120" s="52"/>
      <c r="AV120" s="35"/>
      <c r="AW120" s="35"/>
      <c r="AX120" s="52"/>
      <c r="AY120" s="52"/>
      <c r="AZ120" s="52"/>
      <c r="BA120" s="52"/>
      <c r="BB120" s="38" t="e">
        <f t="shared" si="81"/>
        <v>#DIV/0!</v>
      </c>
      <c r="BC120" s="38"/>
      <c r="BD120" s="52"/>
      <c r="BE120" s="52"/>
      <c r="BF120" s="52"/>
      <c r="BG120" s="52"/>
      <c r="BJ120" s="52"/>
      <c r="BK120" s="52"/>
      <c r="BL120" s="35" t="e">
        <f t="shared" si="82"/>
        <v>#DIV/0!</v>
      </c>
      <c r="BM120" s="231"/>
      <c r="BN120" s="231"/>
      <c r="BO120" s="234"/>
      <c r="BP120" s="231"/>
      <c r="BQ120" s="231"/>
      <c r="BR120" s="236"/>
      <c r="BS120" s="236"/>
      <c r="BT120" s="236"/>
      <c r="BU120" s="236"/>
      <c r="BV120" s="236"/>
      <c r="BW120" s="236"/>
      <c r="BX120" s="236"/>
      <c r="BY120" s="231"/>
      <c r="BZ120" s="231"/>
      <c r="CA120" s="68"/>
      <c r="CB120" s="68"/>
      <c r="CC120" s="53"/>
      <c r="CD120" s="68"/>
      <c r="CE120" s="68"/>
      <c r="CF120" s="68"/>
      <c r="CG120" s="68"/>
      <c r="CH120" s="68"/>
      <c r="CI120" s="68"/>
      <c r="CJ120" s="68"/>
      <c r="CK120" s="68"/>
      <c r="CL120" s="68"/>
      <c r="CM120" s="35"/>
      <c r="CN120" s="35"/>
      <c r="CO120" s="52"/>
      <c r="CP120" s="35"/>
      <c r="CQ120" s="52"/>
      <c r="CR120" s="35"/>
      <c r="CS120" s="52"/>
      <c r="CT120" s="35"/>
      <c r="CU120" s="52"/>
      <c r="CV120" s="52"/>
      <c r="CW120" s="53"/>
      <c r="CX120" s="53"/>
      <c r="CY120" s="130"/>
      <c r="CZ120" s="35"/>
      <c r="DA120" s="35" t="e">
        <f t="shared" si="84"/>
        <v>#DIV/0!</v>
      </c>
      <c r="DB120" s="250"/>
      <c r="DC120" s="35"/>
      <c r="DD120" s="53"/>
      <c r="DE120" s="53"/>
      <c r="DF120" s="53"/>
      <c r="DG120" s="53"/>
      <c r="DH120" s="53"/>
      <c r="DI120" s="53"/>
      <c r="DJ120" s="130"/>
      <c r="DK120" s="207"/>
      <c r="DL120" s="68"/>
      <c r="DM120" s="68"/>
      <c r="DN120" s="68"/>
      <c r="DO120" s="68"/>
    </row>
    <row r="121" spans="1:119">
      <c r="A121" s="12"/>
      <c r="B121" s="16"/>
      <c r="C121" s="12">
        <v>2017</v>
      </c>
      <c r="D121" s="55"/>
      <c r="E121" s="21"/>
      <c r="F121" s="21"/>
      <c r="G121" s="21"/>
      <c r="H121" s="21"/>
      <c r="I121" s="21"/>
      <c r="J121" s="21"/>
      <c r="K121" s="21"/>
      <c r="L121" s="21"/>
      <c r="M121" s="55"/>
      <c r="N121" s="38"/>
      <c r="O121" s="53"/>
      <c r="P121" s="35"/>
      <c r="Q121" s="53"/>
      <c r="R121" s="35"/>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5"/>
      <c r="AT121" s="35"/>
      <c r="AU121" s="52"/>
      <c r="AV121" s="35"/>
      <c r="AW121" s="35"/>
      <c r="AX121" s="52"/>
      <c r="AY121" s="52"/>
      <c r="AZ121" s="52"/>
      <c r="BA121" s="52"/>
      <c r="BB121" s="38" t="e">
        <f t="shared" si="81"/>
        <v>#DIV/0!</v>
      </c>
      <c r="BC121" s="38"/>
      <c r="BD121" s="52"/>
      <c r="BE121" s="52"/>
      <c r="BF121" s="52"/>
      <c r="BG121" s="52"/>
      <c r="BJ121" s="52"/>
      <c r="BK121" s="52"/>
      <c r="BL121" s="35" t="e">
        <f t="shared" si="82"/>
        <v>#DIV/0!</v>
      </c>
      <c r="BM121" s="231"/>
      <c r="BN121" s="231"/>
      <c r="BO121" s="234"/>
      <c r="BP121" s="231"/>
      <c r="BQ121" s="231"/>
      <c r="BR121" s="236"/>
      <c r="BS121" s="236"/>
      <c r="BT121" s="236"/>
      <c r="BU121" s="236"/>
      <c r="BV121" s="236"/>
      <c r="BW121" s="236"/>
      <c r="BX121" s="236"/>
      <c r="BY121" s="231"/>
      <c r="BZ121" s="231"/>
      <c r="CA121" s="68"/>
      <c r="CB121" s="68"/>
      <c r="CC121" s="53"/>
      <c r="CD121" s="68"/>
      <c r="CE121" s="68"/>
      <c r="CF121" s="68"/>
      <c r="CG121" s="68"/>
      <c r="CH121" s="68"/>
      <c r="CI121" s="68"/>
      <c r="CJ121" s="68"/>
      <c r="CK121" s="68"/>
      <c r="CL121" s="68"/>
      <c r="CM121" s="35"/>
      <c r="CN121" s="35"/>
      <c r="CO121" s="52"/>
      <c r="CP121" s="35"/>
      <c r="CQ121" s="52"/>
      <c r="CR121" s="35"/>
      <c r="CS121" s="52"/>
      <c r="CT121" s="35"/>
      <c r="CU121" s="52"/>
      <c r="CV121" s="52"/>
      <c r="CW121" s="53"/>
      <c r="CX121" s="53"/>
      <c r="CY121" s="130"/>
      <c r="CZ121" s="35"/>
      <c r="DA121" s="35" t="e">
        <f t="shared" si="84"/>
        <v>#DIV/0!</v>
      </c>
      <c r="DB121" s="250"/>
      <c r="DC121" s="35"/>
      <c r="DD121" s="53"/>
      <c r="DE121" s="53"/>
      <c r="DF121" s="53"/>
      <c r="DG121" s="53"/>
      <c r="DH121" s="53"/>
      <c r="DI121" s="53"/>
      <c r="DJ121" s="130"/>
      <c r="DK121" s="207"/>
      <c r="DL121" s="68"/>
      <c r="DM121" s="68"/>
      <c r="DN121" s="68"/>
      <c r="DO121" s="68"/>
    </row>
    <row r="122" spans="1:119">
      <c r="A122" s="12"/>
      <c r="B122" s="16"/>
      <c r="C122" s="12">
        <v>2016</v>
      </c>
      <c r="D122" s="55"/>
      <c r="E122" s="21"/>
      <c r="F122" s="21"/>
      <c r="G122" s="21"/>
      <c r="H122" s="21"/>
      <c r="I122" s="21"/>
      <c r="J122" s="21"/>
      <c r="K122" s="21"/>
      <c r="L122" s="21"/>
      <c r="M122" s="55"/>
      <c r="N122" s="38"/>
      <c r="O122" s="53"/>
      <c r="P122" s="35"/>
      <c r="Q122" s="53"/>
      <c r="R122" s="35"/>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5"/>
      <c r="AT122" s="35"/>
      <c r="AU122" s="52"/>
      <c r="AV122" s="35"/>
      <c r="AW122" s="35"/>
      <c r="AX122" s="52"/>
      <c r="AY122" s="52"/>
      <c r="AZ122" s="52"/>
      <c r="BA122" s="52"/>
      <c r="BB122" s="38" t="e">
        <f t="shared" si="81"/>
        <v>#DIV/0!</v>
      </c>
      <c r="BC122" s="38"/>
      <c r="BD122" s="52"/>
      <c r="BE122" s="52"/>
      <c r="BF122" s="52"/>
      <c r="BG122" s="52"/>
      <c r="BJ122" s="52"/>
      <c r="BK122" s="52"/>
      <c r="BL122" s="35" t="e">
        <f t="shared" si="82"/>
        <v>#DIV/0!</v>
      </c>
      <c r="BM122" s="231"/>
      <c r="BN122" s="231"/>
      <c r="BO122" s="234"/>
      <c r="BP122" s="231"/>
      <c r="BQ122" s="231"/>
      <c r="BR122" s="236"/>
      <c r="BS122" s="236"/>
      <c r="BT122" s="236"/>
      <c r="BU122" s="236"/>
      <c r="BV122" s="236"/>
      <c r="BW122" s="236"/>
      <c r="BX122" s="236"/>
      <c r="BY122" s="231"/>
      <c r="BZ122" s="231"/>
      <c r="CA122" s="68"/>
      <c r="CB122" s="68"/>
      <c r="CC122" s="53"/>
      <c r="CD122" s="68"/>
      <c r="CE122" s="68"/>
      <c r="CF122" s="68"/>
      <c r="CG122" s="68"/>
      <c r="CH122" s="68"/>
      <c r="CI122" s="68"/>
      <c r="CJ122" s="68"/>
      <c r="CK122" s="68"/>
      <c r="CL122" s="68"/>
      <c r="CM122" s="35"/>
      <c r="CN122" s="35"/>
      <c r="CO122" s="52"/>
      <c r="CP122" s="35"/>
      <c r="CQ122" s="52"/>
      <c r="CR122" s="35"/>
      <c r="CS122" s="52"/>
      <c r="CT122" s="35"/>
      <c r="CU122" s="52"/>
      <c r="CV122" s="52"/>
      <c r="CW122" s="53"/>
      <c r="CX122" s="53"/>
      <c r="CY122" s="130"/>
      <c r="CZ122" s="35"/>
      <c r="DA122" s="35" t="e">
        <f t="shared" si="84"/>
        <v>#DIV/0!</v>
      </c>
      <c r="DB122" s="250"/>
      <c r="DC122" s="35"/>
      <c r="DD122" s="53"/>
      <c r="DE122" s="53"/>
      <c r="DF122" s="53"/>
      <c r="DG122" s="53"/>
      <c r="DH122" s="53"/>
      <c r="DI122" s="53"/>
      <c r="DJ122" s="130"/>
      <c r="DK122" s="207"/>
      <c r="DL122" s="68"/>
      <c r="DM122" s="68"/>
      <c r="DN122" s="68"/>
      <c r="DO122" s="68"/>
    </row>
    <row r="123" spans="1:119">
      <c r="A123" s="12"/>
      <c r="B123" s="16"/>
      <c r="C123" s="12">
        <v>2015</v>
      </c>
      <c r="D123" s="55"/>
      <c r="E123" s="21"/>
      <c r="F123" s="21"/>
      <c r="G123" s="21"/>
      <c r="H123" s="21"/>
      <c r="I123" s="21"/>
      <c r="J123" s="21"/>
      <c r="K123" s="21"/>
      <c r="L123" s="21"/>
      <c r="M123" s="55"/>
      <c r="N123" s="38"/>
      <c r="O123" s="53"/>
      <c r="P123" s="35"/>
      <c r="Q123" s="53"/>
      <c r="R123" s="35"/>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5"/>
      <c r="AT123" s="35"/>
      <c r="AU123" s="52"/>
      <c r="AV123" s="35"/>
      <c r="AW123" s="35"/>
      <c r="AX123" s="52"/>
      <c r="AY123" s="52"/>
      <c r="AZ123" s="52"/>
      <c r="BA123" s="52"/>
      <c r="BB123" s="38" t="e">
        <f t="shared" si="81"/>
        <v>#DIV/0!</v>
      </c>
      <c r="BC123" s="38"/>
      <c r="BD123" s="52"/>
      <c r="BE123" s="52"/>
      <c r="BF123" s="52"/>
      <c r="BG123" s="52"/>
      <c r="BJ123" s="52"/>
      <c r="BK123" s="52"/>
      <c r="BL123" s="35" t="e">
        <f t="shared" si="82"/>
        <v>#DIV/0!</v>
      </c>
      <c r="BM123" s="231"/>
      <c r="BN123" s="231"/>
      <c r="BO123" s="234"/>
      <c r="BP123" s="231"/>
      <c r="BQ123" s="231"/>
      <c r="BR123" s="236"/>
      <c r="BS123" s="236"/>
      <c r="BT123" s="236"/>
      <c r="BU123" s="236"/>
      <c r="BV123" s="236"/>
      <c r="BW123" s="236"/>
      <c r="BX123" s="236"/>
      <c r="BY123" s="231"/>
      <c r="BZ123" s="231"/>
      <c r="CA123" s="68"/>
      <c r="CB123" s="68"/>
      <c r="CC123" s="53"/>
      <c r="CD123" s="68"/>
      <c r="CE123" s="68"/>
      <c r="CF123" s="68"/>
      <c r="CG123" s="68"/>
      <c r="CH123" s="68"/>
      <c r="CI123" s="68"/>
      <c r="CJ123" s="68"/>
      <c r="CK123" s="68"/>
      <c r="CL123" s="68"/>
      <c r="CM123" s="35"/>
      <c r="CN123" s="35"/>
      <c r="CO123" s="52"/>
      <c r="CP123" s="35"/>
      <c r="CQ123" s="52"/>
      <c r="CR123" s="35"/>
      <c r="CS123" s="52"/>
      <c r="CT123" s="35"/>
      <c r="CU123" s="52"/>
      <c r="CV123" s="52"/>
      <c r="CW123" s="53"/>
      <c r="CX123" s="53"/>
      <c r="CY123" s="130"/>
      <c r="CZ123" s="35"/>
      <c r="DA123" s="35" t="e">
        <f t="shared" si="84"/>
        <v>#DIV/0!</v>
      </c>
      <c r="DB123" s="250"/>
      <c r="DC123" s="35"/>
      <c r="DD123" s="53"/>
      <c r="DE123" s="53"/>
      <c r="DF123" s="53"/>
      <c r="DG123" s="53"/>
      <c r="DH123" s="53"/>
      <c r="DI123" s="53"/>
      <c r="DJ123" s="130"/>
      <c r="DK123" s="207"/>
      <c r="DL123" s="68"/>
      <c r="DM123" s="68"/>
      <c r="DN123" s="68"/>
      <c r="DO123" s="68"/>
    </row>
    <row r="124" spans="1:119">
      <c r="A124" s="12"/>
      <c r="B124" s="16"/>
      <c r="C124" s="12">
        <v>2014</v>
      </c>
      <c r="D124" s="55"/>
      <c r="E124" s="21"/>
      <c r="F124" s="21"/>
      <c r="G124" s="21"/>
      <c r="H124" s="21"/>
      <c r="I124" s="21"/>
      <c r="J124" s="21"/>
      <c r="K124" s="21"/>
      <c r="L124" s="21"/>
      <c r="M124" s="55"/>
      <c r="N124" s="38"/>
      <c r="O124" s="53"/>
      <c r="P124" s="35"/>
      <c r="Q124" s="53"/>
      <c r="R124" s="35"/>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5"/>
      <c r="AT124" s="35"/>
      <c r="AU124" s="52"/>
      <c r="AV124" s="35"/>
      <c r="AW124" s="35"/>
      <c r="AX124" s="52"/>
      <c r="AY124" s="52"/>
      <c r="AZ124" s="52"/>
      <c r="BA124" s="52"/>
      <c r="BB124" s="38" t="e">
        <f t="shared" si="81"/>
        <v>#DIV/0!</v>
      </c>
      <c r="BC124" s="38"/>
      <c r="BD124" s="52"/>
      <c r="BE124" s="52"/>
      <c r="BF124" s="52"/>
      <c r="BG124" s="52"/>
      <c r="BJ124" s="52"/>
      <c r="BK124" s="52"/>
      <c r="BL124" s="35" t="e">
        <f t="shared" si="82"/>
        <v>#DIV/0!</v>
      </c>
      <c r="BM124" s="231"/>
      <c r="BN124" s="231"/>
      <c r="BO124" s="234"/>
      <c r="BP124" s="231"/>
      <c r="BQ124" s="231"/>
      <c r="BR124" s="236"/>
      <c r="BS124" s="236"/>
      <c r="BT124" s="236"/>
      <c r="BU124" s="236"/>
      <c r="BV124" s="236"/>
      <c r="BW124" s="236"/>
      <c r="BX124" s="236"/>
      <c r="BY124" s="231"/>
      <c r="BZ124" s="231"/>
      <c r="CA124" s="68"/>
      <c r="CB124" s="68"/>
      <c r="CC124" s="53"/>
      <c r="CD124" s="68"/>
      <c r="CE124" s="68"/>
      <c r="CF124" s="68"/>
      <c r="CG124" s="68"/>
      <c r="CH124" s="68"/>
      <c r="CI124" s="68"/>
      <c r="CJ124" s="68"/>
      <c r="CK124" s="68"/>
      <c r="CL124" s="68"/>
      <c r="CM124" s="35"/>
      <c r="CN124" s="35"/>
      <c r="CO124" s="52"/>
      <c r="CP124" s="35"/>
      <c r="CQ124" s="52"/>
      <c r="CR124" s="35"/>
      <c r="CS124" s="52"/>
      <c r="CT124" s="35"/>
      <c r="CU124" s="52"/>
      <c r="CV124" s="52"/>
      <c r="CW124" s="53"/>
      <c r="CX124" s="53"/>
      <c r="CY124" s="130"/>
      <c r="CZ124" s="35"/>
      <c r="DA124" s="35" t="e">
        <f t="shared" si="84"/>
        <v>#DIV/0!</v>
      </c>
      <c r="DB124" s="250"/>
      <c r="DC124" s="35"/>
      <c r="DD124" s="53"/>
      <c r="DE124" s="53"/>
      <c r="DF124" s="53"/>
      <c r="DG124" s="53"/>
      <c r="DH124" s="53"/>
      <c r="DI124" s="53"/>
      <c r="DJ124" s="130"/>
      <c r="DK124" s="207"/>
      <c r="DL124" s="68"/>
      <c r="DM124" s="68"/>
      <c r="DN124" s="68"/>
      <c r="DO124" s="68"/>
    </row>
    <row r="125" spans="1:119">
      <c r="A125" s="12"/>
      <c r="B125" s="16"/>
      <c r="C125" s="12">
        <v>2013</v>
      </c>
      <c r="D125" s="55"/>
      <c r="E125" s="21"/>
      <c r="F125" s="21"/>
      <c r="G125" s="21"/>
      <c r="H125" s="21"/>
      <c r="I125" s="21"/>
      <c r="J125" s="21"/>
      <c r="K125" s="21"/>
      <c r="L125" s="21"/>
      <c r="M125" s="55"/>
      <c r="N125" s="38"/>
      <c r="O125" s="53"/>
      <c r="P125" s="35"/>
      <c r="Q125" s="53"/>
      <c r="R125" s="35"/>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5"/>
      <c r="AT125" s="35"/>
      <c r="AU125" s="52"/>
      <c r="AV125" s="35"/>
      <c r="AW125" s="35"/>
      <c r="AX125" s="52"/>
      <c r="AY125" s="52"/>
      <c r="AZ125" s="52"/>
      <c r="BA125" s="52"/>
      <c r="BB125" s="38" t="e">
        <f t="shared" si="81"/>
        <v>#DIV/0!</v>
      </c>
      <c r="BC125" s="38"/>
      <c r="BD125" s="52"/>
      <c r="BE125" s="52"/>
      <c r="BF125" s="52"/>
      <c r="BG125" s="52"/>
      <c r="BJ125" s="52"/>
      <c r="BK125" s="52"/>
      <c r="BL125" s="35" t="e">
        <f t="shared" si="82"/>
        <v>#DIV/0!</v>
      </c>
      <c r="BM125" s="231"/>
      <c r="BN125" s="231"/>
      <c r="BO125" s="234"/>
      <c r="BP125" s="231"/>
      <c r="BQ125" s="231"/>
      <c r="BR125" s="236"/>
      <c r="BS125" s="236"/>
      <c r="BT125" s="236"/>
      <c r="BU125" s="236"/>
      <c r="BV125" s="236"/>
      <c r="BW125" s="236"/>
      <c r="BX125" s="236"/>
      <c r="BY125" s="231"/>
      <c r="BZ125" s="231"/>
      <c r="CA125" s="68"/>
      <c r="CB125" s="68"/>
      <c r="CC125" s="53"/>
      <c r="CD125" s="68"/>
      <c r="CE125" s="68"/>
      <c r="CF125" s="68"/>
      <c r="CG125" s="68"/>
      <c r="CH125" s="68"/>
      <c r="CI125" s="68"/>
      <c r="CJ125" s="68"/>
      <c r="CK125" s="68"/>
      <c r="CL125" s="68"/>
      <c r="CM125" s="35"/>
      <c r="CN125" s="35"/>
      <c r="CO125" s="52"/>
      <c r="CP125" s="35"/>
      <c r="CQ125" s="52"/>
      <c r="CR125" s="35"/>
      <c r="CS125" s="52"/>
      <c r="CT125" s="35"/>
      <c r="CU125" s="52"/>
      <c r="CV125" s="52"/>
      <c r="CW125" s="53"/>
      <c r="CX125" s="53"/>
      <c r="CY125" s="130"/>
      <c r="CZ125" s="35"/>
      <c r="DA125" s="35" t="e">
        <f t="shared" si="84"/>
        <v>#DIV/0!</v>
      </c>
      <c r="DB125" s="250"/>
      <c r="DC125" s="35"/>
      <c r="DD125" s="53"/>
      <c r="DE125" s="53"/>
      <c r="DF125" s="53"/>
      <c r="DG125" s="53"/>
      <c r="DH125" s="53"/>
      <c r="DI125" s="53"/>
      <c r="DJ125" s="130"/>
      <c r="DK125" s="207"/>
      <c r="DL125" s="68"/>
      <c r="DM125" s="68"/>
      <c r="DN125" s="68"/>
      <c r="DO125" s="68"/>
    </row>
    <row r="126" spans="1:119">
      <c r="A126" s="12"/>
      <c r="B126" s="16"/>
      <c r="C126" s="12">
        <v>2012</v>
      </c>
      <c r="D126" s="55"/>
      <c r="E126" s="21"/>
      <c r="F126" s="21"/>
      <c r="G126" s="21"/>
      <c r="H126" s="21"/>
      <c r="I126" s="21"/>
      <c r="J126" s="21"/>
      <c r="K126" s="21"/>
      <c r="L126" s="21"/>
      <c r="M126" s="55"/>
      <c r="N126" s="38"/>
      <c r="O126" s="53"/>
      <c r="P126" s="35"/>
      <c r="Q126" s="53"/>
      <c r="R126" s="35"/>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5"/>
      <c r="AT126" s="35"/>
      <c r="AU126" s="52"/>
      <c r="AV126" s="35"/>
      <c r="AW126" s="35"/>
      <c r="AX126" s="52"/>
      <c r="AY126" s="52"/>
      <c r="AZ126" s="52"/>
      <c r="BA126" s="52"/>
      <c r="BB126" s="38" t="e">
        <f t="shared" si="81"/>
        <v>#DIV/0!</v>
      </c>
      <c r="BC126" s="38"/>
      <c r="BD126" s="52"/>
      <c r="BE126" s="52"/>
      <c r="BF126" s="52"/>
      <c r="BG126" s="52"/>
      <c r="BJ126" s="52"/>
      <c r="BK126" s="52"/>
      <c r="BL126" s="35" t="e">
        <f t="shared" si="82"/>
        <v>#DIV/0!</v>
      </c>
      <c r="BM126" s="231"/>
      <c r="BN126" s="231"/>
      <c r="BO126" s="234"/>
      <c r="BP126" s="231"/>
      <c r="BQ126" s="231"/>
      <c r="BR126" s="236"/>
      <c r="BS126" s="236"/>
      <c r="BT126" s="236"/>
      <c r="BU126" s="236"/>
      <c r="BV126" s="236"/>
      <c r="BW126" s="236"/>
      <c r="BX126" s="236"/>
      <c r="BY126" s="231"/>
      <c r="BZ126" s="231"/>
      <c r="CA126" s="68"/>
      <c r="CB126" s="68"/>
      <c r="CC126" s="53"/>
      <c r="CD126" s="68"/>
      <c r="CE126" s="68"/>
      <c r="CF126" s="68"/>
      <c r="CG126" s="68"/>
      <c r="CH126" s="68"/>
      <c r="CI126" s="68"/>
      <c r="CJ126" s="68"/>
      <c r="CK126" s="68"/>
      <c r="CL126" s="68"/>
      <c r="CM126" s="35"/>
      <c r="CN126" s="35"/>
      <c r="CO126" s="52"/>
      <c r="CP126" s="35"/>
      <c r="CQ126" s="52"/>
      <c r="CR126" s="35"/>
      <c r="CS126" s="52"/>
      <c r="CT126" s="35"/>
      <c r="CU126" s="52"/>
      <c r="CV126" s="52"/>
      <c r="CW126" s="53"/>
      <c r="CX126" s="53"/>
      <c r="CY126" s="130"/>
      <c r="CZ126" s="35"/>
      <c r="DA126" s="35" t="e">
        <f t="shared" si="84"/>
        <v>#DIV/0!</v>
      </c>
      <c r="DB126" s="250"/>
      <c r="DC126" s="35"/>
      <c r="DD126" s="53"/>
      <c r="DE126" s="53"/>
      <c r="DF126" s="53"/>
      <c r="DG126" s="53"/>
      <c r="DH126" s="53"/>
      <c r="DI126" s="53"/>
      <c r="DJ126" s="130"/>
      <c r="DK126" s="207"/>
      <c r="DL126" s="68"/>
      <c r="DM126" s="68"/>
      <c r="DN126" s="68"/>
      <c r="DO126" s="68"/>
    </row>
    <row r="127" spans="1:119">
      <c r="A127" s="68"/>
      <c r="B127" s="12" t="s">
        <v>140</v>
      </c>
      <c r="C127" s="12">
        <v>2022</v>
      </c>
      <c r="D127" s="55"/>
      <c r="E127" s="21"/>
      <c r="F127" s="21"/>
      <c r="G127" s="21"/>
      <c r="H127" s="21"/>
      <c r="I127" s="21"/>
      <c r="J127" s="21"/>
      <c r="K127" s="21"/>
      <c r="L127" s="21"/>
      <c r="M127" s="55"/>
      <c r="N127" s="38"/>
      <c r="O127" s="53"/>
      <c r="P127" s="35"/>
      <c r="Q127" s="53"/>
      <c r="R127" s="35"/>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5"/>
      <c r="AT127" s="35"/>
      <c r="AU127" s="52"/>
      <c r="AV127" s="35"/>
      <c r="AW127" s="35"/>
      <c r="AX127" s="52"/>
      <c r="AY127" s="52"/>
      <c r="AZ127" s="52"/>
      <c r="BA127" s="52"/>
      <c r="BB127" s="38" t="e">
        <f t="shared" si="81"/>
        <v>#DIV/0!</v>
      </c>
      <c r="BC127" s="38"/>
      <c r="BD127" s="52"/>
      <c r="BE127" s="52"/>
      <c r="BF127" s="52"/>
      <c r="BG127" s="52"/>
      <c r="BJ127" s="52"/>
      <c r="BK127" s="52"/>
      <c r="BL127" s="35" t="e">
        <f t="shared" si="82"/>
        <v>#DIV/0!</v>
      </c>
      <c r="BM127" s="231"/>
      <c r="BN127" s="231"/>
      <c r="BO127" s="234"/>
      <c r="BP127" s="231"/>
      <c r="BQ127" s="231"/>
      <c r="BR127" s="236"/>
      <c r="BS127" s="236"/>
      <c r="BT127" s="236"/>
      <c r="BU127" s="236"/>
      <c r="BV127" s="236"/>
      <c r="BW127" s="236"/>
      <c r="BX127" s="236"/>
      <c r="BY127" s="231"/>
      <c r="BZ127" s="231"/>
      <c r="CA127" s="68"/>
      <c r="CB127" s="68"/>
      <c r="CC127" s="53"/>
      <c r="CD127" s="68"/>
      <c r="CE127" s="68"/>
      <c r="CF127" s="68"/>
      <c r="CG127" s="68"/>
      <c r="CH127" s="68"/>
      <c r="CI127" s="68"/>
      <c r="CJ127" s="68"/>
      <c r="CK127" s="68"/>
      <c r="CL127" s="68"/>
      <c r="CM127" s="35"/>
      <c r="CN127" s="35"/>
      <c r="CO127" s="52"/>
      <c r="CP127" s="35"/>
      <c r="CQ127" s="52"/>
      <c r="CR127" s="35"/>
      <c r="CS127" s="52"/>
      <c r="CT127" s="35"/>
      <c r="CU127" s="52"/>
      <c r="CV127" s="52"/>
      <c r="CW127" s="53"/>
      <c r="CX127" s="53"/>
      <c r="CY127" s="130"/>
      <c r="CZ127" s="35"/>
      <c r="DA127" s="35" t="e">
        <f t="shared" si="84"/>
        <v>#DIV/0!</v>
      </c>
      <c r="DB127" s="250"/>
      <c r="DC127" s="35"/>
      <c r="DD127" s="53"/>
      <c r="DE127" s="53"/>
      <c r="DF127" s="53"/>
      <c r="DG127" s="53"/>
      <c r="DH127" s="53"/>
      <c r="DI127" s="53"/>
      <c r="DJ127" s="130"/>
      <c r="DK127" s="207"/>
      <c r="DL127" s="68"/>
      <c r="DM127" s="68"/>
      <c r="DN127" s="68"/>
      <c r="DO127" s="68"/>
    </row>
    <row r="128" spans="1:119">
      <c r="A128" s="68"/>
      <c r="B128" s="12"/>
      <c r="C128" s="12">
        <v>2021</v>
      </c>
      <c r="D128" s="55"/>
      <c r="E128" s="21"/>
      <c r="F128" s="21"/>
      <c r="G128" s="21"/>
      <c r="H128" s="21"/>
      <c r="I128" s="21"/>
      <c r="J128" s="21"/>
      <c r="K128" s="21"/>
      <c r="L128" s="21"/>
      <c r="M128" s="55"/>
      <c r="N128" s="38"/>
      <c r="O128" s="53"/>
      <c r="P128" s="35"/>
      <c r="Q128" s="53"/>
      <c r="R128" s="35"/>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5"/>
      <c r="AT128" s="35"/>
      <c r="AU128" s="52"/>
      <c r="AV128" s="35"/>
      <c r="AW128" s="35"/>
      <c r="AX128" s="52"/>
      <c r="AY128" s="52"/>
      <c r="AZ128" s="52"/>
      <c r="BA128" s="52"/>
      <c r="BB128" s="38" t="e">
        <f t="shared" si="81"/>
        <v>#DIV/0!</v>
      </c>
      <c r="BC128" s="38"/>
      <c r="BD128" s="52"/>
      <c r="BE128" s="52"/>
      <c r="BF128" s="52"/>
      <c r="BG128" s="52"/>
      <c r="BJ128" s="52"/>
      <c r="BK128" s="52"/>
      <c r="BL128" s="35" t="e">
        <f t="shared" si="82"/>
        <v>#DIV/0!</v>
      </c>
      <c r="BM128" s="231"/>
      <c r="BN128" s="231"/>
      <c r="BO128" s="234"/>
      <c r="BP128" s="231"/>
      <c r="BQ128" s="231"/>
      <c r="BR128" s="236"/>
      <c r="BS128" s="236"/>
      <c r="BT128" s="236"/>
      <c r="BU128" s="236"/>
      <c r="BV128" s="236"/>
      <c r="BW128" s="236"/>
      <c r="BX128" s="236"/>
      <c r="BY128" s="231"/>
      <c r="BZ128" s="231"/>
      <c r="CA128" s="68"/>
      <c r="CB128" s="68"/>
      <c r="CC128" s="53"/>
      <c r="CD128" s="68"/>
      <c r="CE128" s="68"/>
      <c r="CF128" s="68"/>
      <c r="CG128" s="68"/>
      <c r="CH128" s="68"/>
      <c r="CI128" s="68"/>
      <c r="CJ128" s="68"/>
      <c r="CK128" s="68"/>
      <c r="CL128" s="68"/>
      <c r="CM128" s="35"/>
      <c r="CN128" s="35"/>
      <c r="CO128" s="52"/>
      <c r="CP128" s="35"/>
      <c r="CQ128" s="52"/>
      <c r="CR128" s="35"/>
      <c r="CS128" s="52"/>
      <c r="CT128" s="35"/>
      <c r="CU128" s="52"/>
      <c r="CV128" s="52"/>
      <c r="CW128" s="53"/>
      <c r="CX128" s="53"/>
      <c r="CY128" s="130"/>
      <c r="CZ128" s="35"/>
      <c r="DA128" s="35" t="e">
        <f t="shared" si="84"/>
        <v>#DIV/0!</v>
      </c>
      <c r="DB128" s="250"/>
      <c r="DC128" s="35"/>
      <c r="DD128" s="53"/>
      <c r="DE128" s="53"/>
      <c r="DF128" s="53"/>
      <c r="DG128" s="53"/>
      <c r="DH128" s="53"/>
      <c r="DI128" s="53"/>
      <c r="DJ128" s="130"/>
      <c r="DK128" s="207"/>
      <c r="DL128" s="68"/>
      <c r="DM128" s="68"/>
      <c r="DN128" s="68"/>
      <c r="DO128" s="68"/>
    </row>
    <row r="129" spans="1:119">
      <c r="A129" s="68"/>
      <c r="B129" s="12"/>
      <c r="C129" s="12">
        <v>2020</v>
      </c>
      <c r="D129" s="55"/>
      <c r="E129" s="21"/>
      <c r="F129" s="21"/>
      <c r="G129" s="21"/>
      <c r="H129" s="21"/>
      <c r="I129" s="21"/>
      <c r="J129" s="21"/>
      <c r="K129" s="21"/>
      <c r="L129" s="21"/>
      <c r="M129" s="55"/>
      <c r="N129" s="38"/>
      <c r="O129" s="53"/>
      <c r="P129" s="35"/>
      <c r="Q129" s="53"/>
      <c r="R129" s="35"/>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5"/>
      <c r="AT129" s="35"/>
      <c r="AU129" s="52"/>
      <c r="AV129" s="35"/>
      <c r="AW129" s="35"/>
      <c r="AX129" s="52"/>
      <c r="AY129" s="52"/>
      <c r="AZ129" s="52"/>
      <c r="BA129" s="52"/>
      <c r="BB129" s="38" t="e">
        <f t="shared" si="81"/>
        <v>#DIV/0!</v>
      </c>
      <c r="BC129" s="38"/>
      <c r="BD129" s="52"/>
      <c r="BE129" s="52"/>
      <c r="BF129" s="52"/>
      <c r="BG129" s="52"/>
      <c r="BJ129" s="52"/>
      <c r="BK129" s="52"/>
      <c r="BL129" s="35" t="e">
        <f t="shared" si="82"/>
        <v>#DIV/0!</v>
      </c>
      <c r="BM129" s="231"/>
      <c r="BN129" s="231"/>
      <c r="BO129" s="234"/>
      <c r="BP129" s="231"/>
      <c r="BQ129" s="231"/>
      <c r="BR129" s="236"/>
      <c r="BS129" s="236"/>
      <c r="BT129" s="236"/>
      <c r="BU129" s="236"/>
      <c r="BV129" s="236"/>
      <c r="BW129" s="236"/>
      <c r="BX129" s="236"/>
      <c r="BY129" s="231"/>
      <c r="BZ129" s="231"/>
      <c r="CA129" s="68"/>
      <c r="CB129" s="68"/>
      <c r="CC129" s="53"/>
      <c r="CD129" s="68"/>
      <c r="CE129" s="68"/>
      <c r="CF129" s="68"/>
      <c r="CG129" s="68"/>
      <c r="CH129" s="68"/>
      <c r="CI129" s="68"/>
      <c r="CJ129" s="68"/>
      <c r="CK129" s="68"/>
      <c r="CL129" s="68"/>
      <c r="CM129" s="35"/>
      <c r="CN129" s="35"/>
      <c r="CO129" s="52"/>
      <c r="CP129" s="35"/>
      <c r="CQ129" s="52"/>
      <c r="CR129" s="35"/>
      <c r="CS129" s="52"/>
      <c r="CT129" s="35"/>
      <c r="CU129" s="52"/>
      <c r="CV129" s="52"/>
      <c r="CW129" s="53"/>
      <c r="CX129" s="53"/>
      <c r="CY129" s="130"/>
      <c r="CZ129" s="35"/>
      <c r="DA129" s="35" t="e">
        <f t="shared" si="84"/>
        <v>#DIV/0!</v>
      </c>
      <c r="DB129" s="250"/>
      <c r="DC129" s="35"/>
      <c r="DD129" s="53"/>
      <c r="DE129" s="53"/>
      <c r="DF129" s="53"/>
      <c r="DG129" s="53"/>
      <c r="DH129" s="53"/>
      <c r="DI129" s="53"/>
      <c r="DJ129" s="130"/>
      <c r="DK129" s="207"/>
      <c r="DL129" s="68"/>
      <c r="DM129" s="68"/>
      <c r="DN129" s="68"/>
      <c r="DO129" s="68"/>
    </row>
    <row r="130" spans="1:119">
      <c r="A130" s="68"/>
      <c r="B130" s="12"/>
      <c r="C130" s="12">
        <v>2019</v>
      </c>
      <c r="D130" s="55"/>
      <c r="E130" s="21"/>
      <c r="F130" s="21"/>
      <c r="G130" s="21"/>
      <c r="H130" s="21"/>
      <c r="I130" s="21"/>
      <c r="J130" s="21"/>
      <c r="K130" s="21"/>
      <c r="L130" s="21"/>
      <c r="M130" s="55"/>
      <c r="N130" s="38"/>
      <c r="O130" s="53"/>
      <c r="P130" s="35"/>
      <c r="Q130" s="53"/>
      <c r="R130" s="35"/>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5"/>
      <c r="AT130" s="35"/>
      <c r="AU130" s="52"/>
      <c r="AV130" s="35"/>
      <c r="AW130" s="35"/>
      <c r="AX130" s="52"/>
      <c r="AY130" s="52"/>
      <c r="AZ130" s="52"/>
      <c r="BA130" s="52"/>
      <c r="BB130" s="38" t="e">
        <f t="shared" si="81"/>
        <v>#DIV/0!</v>
      </c>
      <c r="BC130" s="38"/>
      <c r="BD130" s="52"/>
      <c r="BE130" s="52"/>
      <c r="BF130" s="52"/>
      <c r="BG130" s="52"/>
      <c r="BJ130" s="52"/>
      <c r="BK130" s="52"/>
      <c r="BL130" s="35" t="e">
        <f t="shared" si="82"/>
        <v>#DIV/0!</v>
      </c>
      <c r="BM130" s="231"/>
      <c r="BN130" s="231"/>
      <c r="BO130" s="234"/>
      <c r="BP130" s="231"/>
      <c r="BQ130" s="231"/>
      <c r="BR130" s="236"/>
      <c r="BS130" s="236"/>
      <c r="BT130" s="236"/>
      <c r="BU130" s="236"/>
      <c r="BV130" s="236"/>
      <c r="BW130" s="236"/>
      <c r="BX130" s="236"/>
      <c r="BY130" s="231"/>
      <c r="BZ130" s="231"/>
      <c r="CA130" s="68"/>
      <c r="CB130" s="68"/>
      <c r="CC130" s="53"/>
      <c r="CD130" s="68"/>
      <c r="CE130" s="68"/>
      <c r="CF130" s="68"/>
      <c r="CG130" s="68"/>
      <c r="CH130" s="68"/>
      <c r="CI130" s="68"/>
      <c r="CJ130" s="68"/>
      <c r="CK130" s="68"/>
      <c r="CL130" s="68"/>
      <c r="CM130" s="35"/>
      <c r="CN130" s="35"/>
      <c r="CO130" s="52"/>
      <c r="CP130" s="35"/>
      <c r="CQ130" s="52"/>
      <c r="CR130" s="35"/>
      <c r="CS130" s="52"/>
      <c r="CT130" s="35"/>
      <c r="CU130" s="52"/>
      <c r="CV130" s="52"/>
      <c r="CW130" s="53"/>
      <c r="CX130" s="53"/>
      <c r="CY130" s="130"/>
      <c r="CZ130" s="35"/>
      <c r="DA130" s="35" t="e">
        <f t="shared" si="84"/>
        <v>#DIV/0!</v>
      </c>
      <c r="DB130" s="250"/>
      <c r="DC130" s="35"/>
      <c r="DD130" s="53"/>
      <c r="DE130" s="53"/>
      <c r="DF130" s="53"/>
      <c r="DG130" s="53"/>
      <c r="DH130" s="53"/>
      <c r="DI130" s="53"/>
      <c r="DJ130" s="130"/>
      <c r="DK130" s="207"/>
      <c r="DL130" s="68"/>
      <c r="DM130" s="68"/>
      <c r="DN130" s="68"/>
      <c r="DO130" s="68"/>
    </row>
    <row r="131" spans="1:119">
      <c r="A131" s="68"/>
      <c r="B131" s="12"/>
      <c r="C131" s="12">
        <v>2018</v>
      </c>
      <c r="D131" s="55"/>
      <c r="E131" s="21"/>
      <c r="F131" s="21"/>
      <c r="G131" s="21"/>
      <c r="H131" s="21"/>
      <c r="I131" s="21"/>
      <c r="J131" s="21"/>
      <c r="K131" s="21"/>
      <c r="L131" s="21"/>
      <c r="M131" s="55"/>
      <c r="N131" s="38"/>
      <c r="O131" s="53"/>
      <c r="P131" s="35"/>
      <c r="Q131" s="53"/>
      <c r="R131" s="35"/>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5"/>
      <c r="AT131" s="35"/>
      <c r="AU131" s="52"/>
      <c r="AV131" s="35"/>
      <c r="AW131" s="35"/>
      <c r="AX131" s="52"/>
      <c r="AY131" s="52"/>
      <c r="AZ131" s="52"/>
      <c r="BA131" s="52"/>
      <c r="BB131" s="38" t="e">
        <f t="shared" si="81"/>
        <v>#DIV/0!</v>
      </c>
      <c r="BC131" s="38"/>
      <c r="BD131" s="52"/>
      <c r="BE131" s="52"/>
      <c r="BF131" s="52"/>
      <c r="BG131" s="52"/>
      <c r="BJ131" s="52"/>
      <c r="BK131" s="52"/>
      <c r="BL131" s="35" t="e">
        <f t="shared" si="82"/>
        <v>#DIV/0!</v>
      </c>
      <c r="BM131" s="231"/>
      <c r="BN131" s="231"/>
      <c r="BO131" s="234"/>
      <c r="BP131" s="231"/>
      <c r="BQ131" s="231"/>
      <c r="BR131" s="236"/>
      <c r="BS131" s="236"/>
      <c r="BT131" s="236"/>
      <c r="BU131" s="236"/>
      <c r="BV131" s="236"/>
      <c r="BW131" s="236"/>
      <c r="BX131" s="236"/>
      <c r="BY131" s="231"/>
      <c r="BZ131" s="231"/>
      <c r="CA131" s="68"/>
      <c r="CB131" s="68"/>
      <c r="CC131" s="53"/>
      <c r="CD131" s="68"/>
      <c r="CE131" s="68"/>
      <c r="CF131" s="68"/>
      <c r="CG131" s="68"/>
      <c r="CH131" s="68"/>
      <c r="CI131" s="68"/>
      <c r="CJ131" s="68"/>
      <c r="CK131" s="68"/>
      <c r="CL131" s="68"/>
      <c r="CM131" s="35"/>
      <c r="CN131" s="35"/>
      <c r="CO131" s="52"/>
      <c r="CP131" s="35"/>
      <c r="CQ131" s="52"/>
      <c r="CR131" s="35"/>
      <c r="CS131" s="52"/>
      <c r="CT131" s="35"/>
      <c r="CU131" s="52"/>
      <c r="CV131" s="52"/>
      <c r="CW131" s="53"/>
      <c r="CX131" s="53"/>
      <c r="CY131" s="130"/>
      <c r="CZ131" s="35"/>
      <c r="DA131" s="35" t="e">
        <f t="shared" si="84"/>
        <v>#DIV/0!</v>
      </c>
      <c r="DB131" s="250"/>
      <c r="DC131" s="35"/>
      <c r="DD131" s="53"/>
      <c r="DE131" s="53"/>
      <c r="DF131" s="53"/>
      <c r="DG131" s="53"/>
      <c r="DH131" s="53"/>
      <c r="DI131" s="53"/>
      <c r="DJ131" s="130"/>
      <c r="DK131" s="207"/>
      <c r="DL131" s="68"/>
      <c r="DM131" s="68"/>
      <c r="DN131" s="68"/>
      <c r="DO131" s="68"/>
    </row>
    <row r="132" spans="1:119">
      <c r="A132" s="68"/>
      <c r="B132" s="12"/>
      <c r="C132" s="12">
        <v>2017</v>
      </c>
      <c r="D132" s="55"/>
      <c r="E132" s="21"/>
      <c r="F132" s="21"/>
      <c r="G132" s="21"/>
      <c r="H132" s="21"/>
      <c r="I132" s="21"/>
      <c r="J132" s="21"/>
      <c r="K132" s="21"/>
      <c r="L132" s="21"/>
      <c r="M132" s="55"/>
      <c r="N132" s="38"/>
      <c r="O132" s="53"/>
      <c r="P132" s="35"/>
      <c r="Q132" s="53"/>
      <c r="R132" s="35"/>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5"/>
      <c r="AT132" s="35"/>
      <c r="AU132" s="52"/>
      <c r="AV132" s="35"/>
      <c r="AW132" s="35"/>
      <c r="AX132" s="52"/>
      <c r="AY132" s="52"/>
      <c r="AZ132" s="52"/>
      <c r="BA132" s="52"/>
      <c r="BB132" s="38" t="e">
        <f t="shared" si="81"/>
        <v>#DIV/0!</v>
      </c>
      <c r="BC132" s="38"/>
      <c r="BD132" s="52"/>
      <c r="BE132" s="52"/>
      <c r="BF132" s="52"/>
      <c r="BG132" s="52"/>
      <c r="BJ132" s="52"/>
      <c r="BK132" s="52"/>
      <c r="BL132" s="35" t="e">
        <f t="shared" si="82"/>
        <v>#DIV/0!</v>
      </c>
      <c r="BM132" s="231"/>
      <c r="BN132" s="231"/>
      <c r="BO132" s="234"/>
      <c r="BP132" s="231"/>
      <c r="BQ132" s="231"/>
      <c r="BR132" s="236"/>
      <c r="BS132" s="236"/>
      <c r="BT132" s="236"/>
      <c r="BU132" s="236"/>
      <c r="BV132" s="236"/>
      <c r="BW132" s="236"/>
      <c r="BX132" s="236"/>
      <c r="BY132" s="231"/>
      <c r="BZ132" s="231"/>
      <c r="CA132" s="68"/>
      <c r="CB132" s="68"/>
      <c r="CC132" s="53"/>
      <c r="CD132" s="68"/>
      <c r="CE132" s="68"/>
      <c r="CF132" s="68"/>
      <c r="CG132" s="68"/>
      <c r="CH132" s="68"/>
      <c r="CI132" s="68"/>
      <c r="CJ132" s="68"/>
      <c r="CK132" s="68"/>
      <c r="CL132" s="68"/>
      <c r="CM132" s="35"/>
      <c r="CN132" s="35"/>
      <c r="CO132" s="52"/>
      <c r="CP132" s="35"/>
      <c r="CQ132" s="52"/>
      <c r="CR132" s="35"/>
      <c r="CS132" s="52"/>
      <c r="CT132" s="35"/>
      <c r="CU132" s="52"/>
      <c r="CV132" s="52"/>
      <c r="CW132" s="53"/>
      <c r="CX132" s="53"/>
      <c r="CY132" s="130"/>
      <c r="CZ132" s="35"/>
      <c r="DA132" s="35" t="e">
        <f t="shared" si="84"/>
        <v>#DIV/0!</v>
      </c>
      <c r="DB132" s="250"/>
      <c r="DC132" s="35"/>
      <c r="DD132" s="53"/>
      <c r="DE132" s="53"/>
      <c r="DF132" s="53"/>
      <c r="DG132" s="53"/>
      <c r="DH132" s="53"/>
      <c r="DI132" s="53"/>
      <c r="DJ132" s="130"/>
      <c r="DK132" s="207"/>
      <c r="DL132" s="68"/>
      <c r="DM132" s="68"/>
      <c r="DN132" s="68"/>
      <c r="DO132" s="68"/>
    </row>
    <row r="133" spans="1:119">
      <c r="A133" s="68"/>
      <c r="B133" s="12"/>
      <c r="C133" s="12">
        <v>2016</v>
      </c>
      <c r="D133" s="55"/>
      <c r="E133" s="21"/>
      <c r="F133" s="21"/>
      <c r="G133" s="21"/>
      <c r="H133" s="21"/>
      <c r="I133" s="21"/>
      <c r="J133" s="21"/>
      <c r="K133" s="21"/>
      <c r="L133" s="21"/>
      <c r="M133" s="55"/>
      <c r="N133" s="38"/>
      <c r="O133" s="53"/>
      <c r="P133" s="35"/>
      <c r="Q133" s="53"/>
      <c r="R133" s="35"/>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5"/>
      <c r="AT133" s="35"/>
      <c r="AU133" s="52"/>
      <c r="AV133" s="35"/>
      <c r="AW133" s="35"/>
      <c r="AX133" s="52"/>
      <c r="AY133" s="52"/>
      <c r="AZ133" s="52"/>
      <c r="BA133" s="52"/>
      <c r="BB133" s="38" t="e">
        <f t="shared" si="81"/>
        <v>#DIV/0!</v>
      </c>
      <c r="BC133" s="38"/>
      <c r="BD133" s="52"/>
      <c r="BE133" s="52"/>
      <c r="BF133" s="52"/>
      <c r="BG133" s="52"/>
      <c r="BJ133" s="52"/>
      <c r="BK133" s="52"/>
      <c r="BL133" s="35" t="e">
        <f t="shared" si="82"/>
        <v>#DIV/0!</v>
      </c>
      <c r="BM133" s="231"/>
      <c r="BN133" s="231"/>
      <c r="BO133" s="234"/>
      <c r="BP133" s="231"/>
      <c r="BQ133" s="231"/>
      <c r="BR133" s="236"/>
      <c r="BS133" s="236"/>
      <c r="BT133" s="236"/>
      <c r="BU133" s="236"/>
      <c r="BV133" s="236"/>
      <c r="BW133" s="236"/>
      <c r="BX133" s="236"/>
      <c r="BY133" s="231"/>
      <c r="BZ133" s="231"/>
      <c r="CA133" s="68"/>
      <c r="CB133" s="68"/>
      <c r="CC133" s="53"/>
      <c r="CD133" s="68"/>
      <c r="CE133" s="68"/>
      <c r="CF133" s="68"/>
      <c r="CG133" s="68"/>
      <c r="CH133" s="68"/>
      <c r="CI133" s="68"/>
      <c r="CJ133" s="68"/>
      <c r="CK133" s="68"/>
      <c r="CL133" s="68"/>
      <c r="CM133" s="35"/>
      <c r="CN133" s="35"/>
      <c r="CO133" s="52"/>
      <c r="CP133" s="35"/>
      <c r="CQ133" s="52"/>
      <c r="CR133" s="35"/>
      <c r="CS133" s="52"/>
      <c r="CT133" s="35"/>
      <c r="CU133" s="52"/>
      <c r="CV133" s="52"/>
      <c r="CW133" s="53"/>
      <c r="CX133" s="53"/>
      <c r="CY133" s="130"/>
      <c r="CZ133" s="35"/>
      <c r="DA133" s="35" t="e">
        <f t="shared" si="84"/>
        <v>#DIV/0!</v>
      </c>
      <c r="DB133" s="250"/>
      <c r="DC133" s="35"/>
      <c r="DD133" s="53"/>
      <c r="DE133" s="53"/>
      <c r="DF133" s="53"/>
      <c r="DG133" s="53"/>
      <c r="DH133" s="53"/>
      <c r="DI133" s="53"/>
      <c r="DJ133" s="130"/>
      <c r="DK133" s="207"/>
      <c r="DL133" s="68"/>
      <c r="DM133" s="68"/>
      <c r="DN133" s="68"/>
      <c r="DO133" s="68"/>
    </row>
    <row r="134" spans="1:119">
      <c r="A134" s="68"/>
      <c r="B134" s="12"/>
      <c r="C134" s="12">
        <v>2015</v>
      </c>
      <c r="D134" s="55"/>
      <c r="E134" s="21"/>
      <c r="F134" s="21"/>
      <c r="G134" s="21"/>
      <c r="H134" s="21"/>
      <c r="I134" s="21"/>
      <c r="J134" s="21"/>
      <c r="K134" s="21"/>
      <c r="L134" s="21"/>
      <c r="M134" s="55"/>
      <c r="N134" s="38"/>
      <c r="O134" s="53"/>
      <c r="P134" s="35"/>
      <c r="Q134" s="53"/>
      <c r="R134" s="35"/>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5"/>
      <c r="AT134" s="35"/>
      <c r="AU134" s="52"/>
      <c r="AV134" s="35"/>
      <c r="AW134" s="35"/>
      <c r="AX134" s="52"/>
      <c r="AY134" s="52"/>
      <c r="AZ134" s="52"/>
      <c r="BA134" s="52"/>
      <c r="BB134" s="38" t="e">
        <f t="shared" ref="BB134:BB160" si="86">(AZ134+BA134)/M134</f>
        <v>#DIV/0!</v>
      </c>
      <c r="BC134" s="38"/>
      <c r="BD134" s="52"/>
      <c r="BE134" s="52"/>
      <c r="BF134" s="52"/>
      <c r="BG134" s="52"/>
      <c r="BJ134" s="52"/>
      <c r="BK134" s="52"/>
      <c r="BL134" s="35" t="e">
        <f t="shared" ref="BL134:BL160" si="87">SUM(AZ134:BJ134)/M134</f>
        <v>#DIV/0!</v>
      </c>
      <c r="BM134" s="231"/>
      <c r="BN134" s="231"/>
      <c r="BO134" s="234"/>
      <c r="BP134" s="231"/>
      <c r="BQ134" s="231"/>
      <c r="BR134" s="236"/>
      <c r="BS134" s="236"/>
      <c r="BT134" s="236"/>
      <c r="BU134" s="236"/>
      <c r="BV134" s="236"/>
      <c r="BW134" s="236"/>
      <c r="BX134" s="236"/>
      <c r="BY134" s="231"/>
      <c r="BZ134" s="231"/>
      <c r="CA134" s="68"/>
      <c r="CB134" s="68"/>
      <c r="CC134" s="53"/>
      <c r="CD134" s="68"/>
      <c r="CE134" s="68"/>
      <c r="CF134" s="68"/>
      <c r="CG134" s="68"/>
      <c r="CH134" s="68"/>
      <c r="CI134" s="68"/>
      <c r="CJ134" s="68"/>
      <c r="CK134" s="68"/>
      <c r="CL134" s="68"/>
      <c r="CM134" s="35"/>
      <c r="CN134" s="35"/>
      <c r="CO134" s="52"/>
      <c r="CP134" s="35"/>
      <c r="CQ134" s="52"/>
      <c r="CR134" s="35"/>
      <c r="CS134" s="52"/>
      <c r="CT134" s="35"/>
      <c r="CU134" s="52"/>
      <c r="CV134" s="52"/>
      <c r="CW134" s="53"/>
      <c r="CX134" s="53"/>
      <c r="CY134" s="130"/>
      <c r="CZ134" s="35"/>
      <c r="DA134" s="35" t="e">
        <f t="shared" si="84"/>
        <v>#DIV/0!</v>
      </c>
      <c r="DB134" s="250"/>
      <c r="DC134" s="35"/>
      <c r="DD134" s="53"/>
      <c r="DE134" s="53"/>
      <c r="DF134" s="53"/>
      <c r="DG134" s="53"/>
      <c r="DH134" s="53"/>
      <c r="DI134" s="53"/>
      <c r="DJ134" s="130"/>
      <c r="DK134" s="207"/>
      <c r="DL134" s="68"/>
      <c r="DM134" s="68"/>
      <c r="DN134" s="68"/>
      <c r="DO134" s="68"/>
    </row>
    <row r="135" spans="1:119">
      <c r="A135" s="68"/>
      <c r="B135" s="12"/>
      <c r="C135" s="12">
        <v>2014</v>
      </c>
      <c r="D135" s="55"/>
      <c r="E135" s="21"/>
      <c r="F135" s="21"/>
      <c r="G135" s="21"/>
      <c r="H135" s="21"/>
      <c r="I135" s="21"/>
      <c r="J135" s="21"/>
      <c r="K135" s="21"/>
      <c r="L135" s="21"/>
      <c r="M135" s="55"/>
      <c r="N135" s="38"/>
      <c r="O135" s="53"/>
      <c r="P135" s="35"/>
      <c r="Q135" s="53"/>
      <c r="R135" s="35"/>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5"/>
      <c r="AT135" s="35"/>
      <c r="AU135" s="52"/>
      <c r="AV135" s="35"/>
      <c r="AW135" s="35"/>
      <c r="AX135" s="52"/>
      <c r="AY135" s="52"/>
      <c r="AZ135" s="52"/>
      <c r="BA135" s="52"/>
      <c r="BB135" s="38" t="e">
        <f t="shared" si="86"/>
        <v>#DIV/0!</v>
      </c>
      <c r="BC135" s="38"/>
      <c r="BD135" s="52"/>
      <c r="BE135" s="52"/>
      <c r="BF135" s="52"/>
      <c r="BG135" s="52"/>
      <c r="BJ135" s="52"/>
      <c r="BK135" s="52"/>
      <c r="BL135" s="35" t="e">
        <f t="shared" si="87"/>
        <v>#DIV/0!</v>
      </c>
      <c r="BM135" s="231"/>
      <c r="BN135" s="231"/>
      <c r="BO135" s="234"/>
      <c r="BP135" s="231"/>
      <c r="BQ135" s="231"/>
      <c r="BR135" s="236"/>
      <c r="BS135" s="236"/>
      <c r="BT135" s="236"/>
      <c r="BU135" s="236"/>
      <c r="BV135" s="236"/>
      <c r="BW135" s="236"/>
      <c r="BX135" s="236"/>
      <c r="BY135" s="231"/>
      <c r="BZ135" s="231"/>
      <c r="CA135" s="68"/>
      <c r="CB135" s="68"/>
      <c r="CC135" s="53"/>
      <c r="CD135" s="68"/>
      <c r="CE135" s="68"/>
      <c r="CF135" s="68"/>
      <c r="CG135" s="68"/>
      <c r="CH135" s="68"/>
      <c r="CI135" s="68"/>
      <c r="CJ135" s="68"/>
      <c r="CK135" s="68"/>
      <c r="CL135" s="68"/>
      <c r="CM135" s="35"/>
      <c r="CN135" s="35"/>
      <c r="CO135" s="52"/>
      <c r="CP135" s="35"/>
      <c r="CQ135" s="52"/>
      <c r="CR135" s="35"/>
      <c r="CS135" s="52"/>
      <c r="CT135" s="35"/>
      <c r="CU135" s="52"/>
      <c r="CV135" s="52"/>
      <c r="CW135" s="53"/>
      <c r="CX135" s="53"/>
      <c r="CY135" s="130"/>
      <c r="CZ135" s="35"/>
      <c r="DA135" s="35" t="e">
        <f t="shared" si="84"/>
        <v>#DIV/0!</v>
      </c>
      <c r="DB135" s="250"/>
      <c r="DC135" s="35"/>
      <c r="DD135" s="53"/>
      <c r="DE135" s="53"/>
      <c r="DF135" s="53"/>
      <c r="DG135" s="53"/>
      <c r="DH135" s="53"/>
      <c r="DI135" s="53"/>
      <c r="DJ135" s="130"/>
      <c r="DK135" s="207"/>
      <c r="DL135" s="68"/>
      <c r="DM135" s="68"/>
      <c r="DN135" s="68"/>
      <c r="DO135" s="68"/>
    </row>
    <row r="136" spans="1:119">
      <c r="A136" s="68"/>
      <c r="B136" s="12"/>
      <c r="C136" s="12">
        <v>2013</v>
      </c>
      <c r="D136" s="55"/>
      <c r="E136" s="21"/>
      <c r="F136" s="21"/>
      <c r="G136" s="21"/>
      <c r="H136" s="21"/>
      <c r="I136" s="21"/>
      <c r="J136" s="21"/>
      <c r="K136" s="21"/>
      <c r="L136" s="21"/>
      <c r="M136" s="55"/>
      <c r="N136" s="38"/>
      <c r="O136" s="53"/>
      <c r="P136" s="35"/>
      <c r="Q136" s="53"/>
      <c r="R136" s="35"/>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5"/>
      <c r="AT136" s="35"/>
      <c r="AU136" s="52"/>
      <c r="AV136" s="35"/>
      <c r="AW136" s="35"/>
      <c r="AX136" s="52"/>
      <c r="AY136" s="52"/>
      <c r="AZ136" s="52"/>
      <c r="BA136" s="52"/>
      <c r="BB136" s="38" t="e">
        <f t="shared" si="86"/>
        <v>#DIV/0!</v>
      </c>
      <c r="BC136" s="38"/>
      <c r="BD136" s="52"/>
      <c r="BE136" s="52"/>
      <c r="BF136" s="52"/>
      <c r="BG136" s="52"/>
      <c r="BJ136" s="52"/>
      <c r="BK136" s="52"/>
      <c r="BL136" s="35" t="e">
        <f t="shared" si="87"/>
        <v>#DIV/0!</v>
      </c>
      <c r="BM136" s="231"/>
      <c r="BN136" s="231"/>
      <c r="BO136" s="234"/>
      <c r="BP136" s="231"/>
      <c r="BQ136" s="231"/>
      <c r="BR136" s="236"/>
      <c r="BS136" s="236"/>
      <c r="BT136" s="236"/>
      <c r="BU136" s="236"/>
      <c r="BV136" s="236"/>
      <c r="BW136" s="236"/>
      <c r="BX136" s="236"/>
      <c r="BY136" s="231"/>
      <c r="BZ136" s="231"/>
      <c r="CA136" s="68"/>
      <c r="CB136" s="68"/>
      <c r="CC136" s="53"/>
      <c r="CD136" s="68"/>
      <c r="CE136" s="68"/>
      <c r="CF136" s="68"/>
      <c r="CG136" s="68"/>
      <c r="CH136" s="68"/>
      <c r="CI136" s="68"/>
      <c r="CJ136" s="68"/>
      <c r="CK136" s="68"/>
      <c r="CL136" s="68"/>
      <c r="CM136" s="35"/>
      <c r="CN136" s="35"/>
      <c r="CO136" s="52"/>
      <c r="CP136" s="35"/>
      <c r="CQ136" s="52"/>
      <c r="CR136" s="35"/>
      <c r="CS136" s="52"/>
      <c r="CT136" s="35"/>
      <c r="CU136" s="52"/>
      <c r="CV136" s="52"/>
      <c r="CW136" s="53"/>
      <c r="CX136" s="53"/>
      <c r="CY136" s="130"/>
      <c r="CZ136" s="35"/>
      <c r="DA136" s="35" t="e">
        <f t="shared" si="84"/>
        <v>#DIV/0!</v>
      </c>
      <c r="DB136" s="250"/>
      <c r="DC136" s="35"/>
      <c r="DD136" s="53"/>
      <c r="DE136" s="53"/>
      <c r="DF136" s="53"/>
      <c r="DG136" s="53"/>
      <c r="DH136" s="53"/>
      <c r="DI136" s="53"/>
      <c r="DJ136" s="130"/>
      <c r="DK136" s="207"/>
      <c r="DL136" s="68"/>
      <c r="DM136" s="68"/>
      <c r="DN136" s="68"/>
      <c r="DO136" s="68"/>
    </row>
    <row r="137" spans="1:119">
      <c r="A137" s="68"/>
      <c r="B137" s="12"/>
      <c r="C137" s="12">
        <v>2012</v>
      </c>
      <c r="D137" s="55"/>
      <c r="E137" s="21"/>
      <c r="F137" s="21"/>
      <c r="G137" s="21"/>
      <c r="H137" s="21"/>
      <c r="I137" s="21"/>
      <c r="J137" s="21"/>
      <c r="K137" s="21"/>
      <c r="L137" s="21"/>
      <c r="M137" s="55"/>
      <c r="N137" s="38"/>
      <c r="O137" s="53"/>
      <c r="P137" s="35"/>
      <c r="Q137" s="53"/>
      <c r="R137" s="35"/>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5"/>
      <c r="AT137" s="35"/>
      <c r="AU137" s="52"/>
      <c r="AV137" s="35"/>
      <c r="AW137" s="35"/>
      <c r="AX137" s="52"/>
      <c r="AY137" s="52"/>
      <c r="AZ137" s="52"/>
      <c r="BA137" s="52"/>
      <c r="BB137" s="38" t="e">
        <f t="shared" si="86"/>
        <v>#DIV/0!</v>
      </c>
      <c r="BC137" s="38"/>
      <c r="BD137" s="52"/>
      <c r="BE137" s="52"/>
      <c r="BF137" s="52"/>
      <c r="BG137" s="52"/>
      <c r="BJ137" s="52"/>
      <c r="BK137" s="52"/>
      <c r="BL137" s="35" t="e">
        <f t="shared" si="87"/>
        <v>#DIV/0!</v>
      </c>
      <c r="BM137" s="231"/>
      <c r="BN137" s="231"/>
      <c r="BO137" s="234"/>
      <c r="BP137" s="231"/>
      <c r="BQ137" s="231"/>
      <c r="BR137" s="236"/>
      <c r="BS137" s="236"/>
      <c r="BT137" s="236"/>
      <c r="BU137" s="236"/>
      <c r="BV137" s="236"/>
      <c r="BW137" s="236"/>
      <c r="BX137" s="236"/>
      <c r="BY137" s="231"/>
      <c r="BZ137" s="231"/>
      <c r="CA137" s="68"/>
      <c r="CB137" s="68"/>
      <c r="CC137" s="53"/>
      <c r="CD137" s="68"/>
      <c r="CE137" s="68"/>
      <c r="CF137" s="68"/>
      <c r="CG137" s="68"/>
      <c r="CH137" s="68"/>
      <c r="CI137" s="68"/>
      <c r="CJ137" s="68"/>
      <c r="CK137" s="68"/>
      <c r="CL137" s="68"/>
      <c r="CM137" s="35"/>
      <c r="CN137" s="35"/>
      <c r="CO137" s="52"/>
      <c r="CP137" s="35"/>
      <c r="CQ137" s="52"/>
      <c r="CR137" s="35"/>
      <c r="CS137" s="52"/>
      <c r="CT137" s="35"/>
      <c r="CU137" s="52"/>
      <c r="CV137" s="52"/>
      <c r="CW137" s="53"/>
      <c r="CX137" s="53"/>
      <c r="CY137" s="130"/>
      <c r="CZ137" s="35"/>
      <c r="DA137" s="35" t="e">
        <f t="shared" si="84"/>
        <v>#DIV/0!</v>
      </c>
      <c r="DB137" s="250"/>
      <c r="DC137" s="35"/>
      <c r="DD137" s="53"/>
      <c r="DE137" s="53"/>
      <c r="DF137" s="53"/>
      <c r="DG137" s="53"/>
      <c r="DH137" s="53"/>
      <c r="DI137" s="53"/>
      <c r="DJ137" s="130"/>
      <c r="DK137" s="207"/>
      <c r="DL137" s="68"/>
      <c r="DM137" s="68"/>
      <c r="DN137" s="68"/>
      <c r="DO137" s="68"/>
    </row>
    <row r="138" spans="1:119">
      <c r="A138" s="68"/>
      <c r="B138" s="12"/>
      <c r="C138" s="12">
        <v>2011</v>
      </c>
      <c r="D138" s="55"/>
      <c r="E138" s="21"/>
      <c r="F138" s="21"/>
      <c r="G138" s="21"/>
      <c r="H138" s="21"/>
      <c r="I138" s="21"/>
      <c r="J138" s="21"/>
      <c r="K138" s="21"/>
      <c r="L138" s="21"/>
      <c r="M138" s="55"/>
      <c r="N138" s="38"/>
      <c r="O138" s="53"/>
      <c r="P138" s="35"/>
      <c r="Q138" s="53"/>
      <c r="R138" s="35"/>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5"/>
      <c r="AT138" s="35"/>
      <c r="AU138" s="52"/>
      <c r="AV138" s="35"/>
      <c r="AW138" s="35"/>
      <c r="AX138" s="52"/>
      <c r="AY138" s="52"/>
      <c r="AZ138" s="52"/>
      <c r="BA138" s="52"/>
      <c r="BB138" s="38" t="e">
        <f t="shared" si="86"/>
        <v>#DIV/0!</v>
      </c>
      <c r="BC138" s="38"/>
      <c r="BD138" s="52"/>
      <c r="BE138" s="52"/>
      <c r="BF138" s="52"/>
      <c r="BG138" s="52"/>
      <c r="BJ138" s="52"/>
      <c r="BK138" s="52"/>
      <c r="BL138" s="35" t="e">
        <f t="shared" si="87"/>
        <v>#DIV/0!</v>
      </c>
      <c r="BM138" s="231"/>
      <c r="BN138" s="231"/>
      <c r="BO138" s="234"/>
      <c r="BP138" s="231"/>
      <c r="BQ138" s="231"/>
      <c r="BR138" s="236"/>
      <c r="BS138" s="236"/>
      <c r="BT138" s="236"/>
      <c r="BU138" s="236"/>
      <c r="BV138" s="236"/>
      <c r="BW138" s="236"/>
      <c r="BX138" s="236"/>
      <c r="BY138" s="231"/>
      <c r="BZ138" s="231"/>
      <c r="CA138" s="68"/>
      <c r="CB138" s="68"/>
      <c r="CC138" s="53"/>
      <c r="CD138" s="68"/>
      <c r="CE138" s="68"/>
      <c r="CF138" s="68"/>
      <c r="CG138" s="68"/>
      <c r="CH138" s="68"/>
      <c r="CI138" s="68"/>
      <c r="CJ138" s="68"/>
      <c r="CK138" s="68"/>
      <c r="CL138" s="68"/>
      <c r="CM138" s="35"/>
      <c r="CN138" s="35"/>
      <c r="CO138" s="52"/>
      <c r="CP138" s="35"/>
      <c r="CQ138" s="52"/>
      <c r="CR138" s="35"/>
      <c r="CS138" s="52"/>
      <c r="CT138" s="35"/>
      <c r="CU138" s="52"/>
      <c r="CV138" s="52"/>
      <c r="CW138" s="53"/>
      <c r="CX138" s="53"/>
      <c r="CY138" s="130"/>
      <c r="CZ138" s="35"/>
      <c r="DA138" s="35" t="e">
        <f t="shared" si="84"/>
        <v>#DIV/0!</v>
      </c>
      <c r="DB138" s="250"/>
      <c r="DC138" s="35"/>
      <c r="DD138" s="53"/>
      <c r="DE138" s="53"/>
      <c r="DF138" s="53"/>
      <c r="DG138" s="53"/>
      <c r="DH138" s="53"/>
      <c r="DI138" s="53"/>
      <c r="DJ138" s="130"/>
      <c r="DK138" s="207"/>
      <c r="DL138" s="68"/>
      <c r="DM138" s="68"/>
      <c r="DN138" s="68"/>
      <c r="DO138" s="68"/>
    </row>
    <row r="139" spans="1:119">
      <c r="A139" s="12" t="s">
        <v>141</v>
      </c>
      <c r="B139" s="12" t="s">
        <v>142</v>
      </c>
      <c r="C139" s="12">
        <v>2022</v>
      </c>
      <c r="D139" s="55"/>
      <c r="E139" s="21"/>
      <c r="F139" s="21"/>
      <c r="G139" s="21"/>
      <c r="H139" s="21"/>
      <c r="I139" s="21"/>
      <c r="J139" s="21"/>
      <c r="K139" s="21"/>
      <c r="L139" s="21"/>
      <c r="M139" s="55"/>
      <c r="N139" s="38"/>
      <c r="O139" s="53"/>
      <c r="P139" s="35"/>
      <c r="Q139" s="53"/>
      <c r="R139" s="35"/>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5"/>
      <c r="AT139" s="35"/>
      <c r="AU139" s="52"/>
      <c r="AV139" s="35"/>
      <c r="AW139" s="35"/>
      <c r="AX139" s="52"/>
      <c r="AY139" s="52"/>
      <c r="AZ139" s="52"/>
      <c r="BA139" s="52"/>
      <c r="BB139" s="38" t="e">
        <f t="shared" si="86"/>
        <v>#DIV/0!</v>
      </c>
      <c r="BC139" s="38"/>
      <c r="BD139" s="52"/>
      <c r="BE139" s="52"/>
      <c r="BF139" s="52"/>
      <c r="BG139" s="52"/>
      <c r="BJ139" s="52"/>
      <c r="BK139" s="52"/>
      <c r="BL139" s="35" t="e">
        <f t="shared" si="87"/>
        <v>#DIV/0!</v>
      </c>
      <c r="BM139" s="231"/>
      <c r="BN139" s="231"/>
      <c r="BO139" s="234"/>
      <c r="BP139" s="231"/>
      <c r="BQ139" s="231"/>
      <c r="BR139" s="236"/>
      <c r="BS139" s="236"/>
      <c r="BT139" s="236"/>
      <c r="BU139" s="236"/>
      <c r="BV139" s="236"/>
      <c r="BW139" s="236"/>
      <c r="BX139" s="236"/>
      <c r="BY139" s="231"/>
      <c r="BZ139" s="231"/>
      <c r="CA139" s="68"/>
      <c r="CB139" s="68"/>
      <c r="CC139" s="53"/>
      <c r="CD139" s="68"/>
      <c r="CE139" s="68"/>
      <c r="CF139" s="68"/>
      <c r="CG139" s="68"/>
      <c r="CH139" s="68"/>
      <c r="CI139" s="68"/>
      <c r="CJ139" s="68"/>
      <c r="CK139" s="68"/>
      <c r="CL139" s="68"/>
      <c r="CM139" s="35"/>
      <c r="CN139" s="35"/>
      <c r="CO139" s="52"/>
      <c r="CP139" s="35"/>
      <c r="CQ139" s="52"/>
      <c r="CR139" s="35"/>
      <c r="CS139" s="52"/>
      <c r="CT139" s="35"/>
      <c r="CU139" s="52"/>
      <c r="CV139" s="52"/>
      <c r="CW139" s="53"/>
      <c r="CX139" s="53"/>
      <c r="CY139" s="130"/>
      <c r="CZ139" s="35"/>
      <c r="DA139" s="35" t="e">
        <f t="shared" si="84"/>
        <v>#DIV/0!</v>
      </c>
      <c r="DB139" s="250"/>
      <c r="DC139" s="35"/>
      <c r="DD139" s="53"/>
      <c r="DE139" s="53"/>
      <c r="DF139" s="53"/>
      <c r="DG139" s="53"/>
      <c r="DH139" s="53"/>
      <c r="DI139" s="53"/>
      <c r="DJ139" s="130"/>
      <c r="DK139" s="207"/>
      <c r="DL139" s="68"/>
      <c r="DM139" s="68"/>
      <c r="DN139" s="68"/>
      <c r="DO139" s="68"/>
    </row>
    <row r="140" spans="1:119">
      <c r="A140" s="12"/>
      <c r="B140" s="12"/>
      <c r="C140" s="12">
        <v>2021</v>
      </c>
      <c r="D140" s="55"/>
      <c r="E140" s="21"/>
      <c r="F140" s="21"/>
      <c r="G140" s="21"/>
      <c r="H140" s="21"/>
      <c r="I140" s="21"/>
      <c r="J140" s="21"/>
      <c r="K140" s="21"/>
      <c r="L140" s="21"/>
      <c r="M140" s="55"/>
      <c r="N140" s="38"/>
      <c r="O140" s="53"/>
      <c r="P140" s="35"/>
      <c r="Q140" s="53"/>
      <c r="R140" s="35"/>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5"/>
      <c r="AT140" s="35"/>
      <c r="AU140" s="52"/>
      <c r="AV140" s="35"/>
      <c r="AW140" s="35"/>
      <c r="AX140" s="52"/>
      <c r="AY140" s="52"/>
      <c r="AZ140" s="52"/>
      <c r="BA140" s="52"/>
      <c r="BB140" s="38" t="e">
        <f t="shared" si="86"/>
        <v>#DIV/0!</v>
      </c>
      <c r="BC140" s="38"/>
      <c r="BD140" s="52"/>
      <c r="BE140" s="52"/>
      <c r="BF140" s="52"/>
      <c r="BG140" s="52"/>
      <c r="BJ140" s="52"/>
      <c r="BK140" s="52"/>
      <c r="BL140" s="35" t="e">
        <f t="shared" si="87"/>
        <v>#DIV/0!</v>
      </c>
      <c r="BM140" s="231"/>
      <c r="BN140" s="231"/>
      <c r="BO140" s="234"/>
      <c r="BP140" s="231"/>
      <c r="BQ140" s="231"/>
      <c r="BR140" s="236"/>
      <c r="BS140" s="236"/>
      <c r="BT140" s="236"/>
      <c r="BU140" s="236"/>
      <c r="BV140" s="236"/>
      <c r="BW140" s="236"/>
      <c r="BX140" s="236"/>
      <c r="BY140" s="231"/>
      <c r="BZ140" s="231"/>
      <c r="CA140" s="68"/>
      <c r="CB140" s="68"/>
      <c r="CC140" s="53"/>
      <c r="CD140" s="68"/>
      <c r="CE140" s="68"/>
      <c r="CF140" s="68"/>
      <c r="CG140" s="68"/>
      <c r="CH140" s="68"/>
      <c r="CI140" s="68"/>
      <c r="CJ140" s="68"/>
      <c r="CK140" s="68"/>
      <c r="CL140" s="68"/>
      <c r="CM140" s="35"/>
      <c r="CN140" s="35"/>
      <c r="CO140" s="52"/>
      <c r="CP140" s="35"/>
      <c r="CQ140" s="52"/>
      <c r="CR140" s="35"/>
      <c r="CS140" s="52"/>
      <c r="CT140" s="35"/>
      <c r="CU140" s="52"/>
      <c r="CV140" s="52"/>
      <c r="CW140" s="53"/>
      <c r="CX140" s="53"/>
      <c r="CY140" s="130"/>
      <c r="CZ140" s="35"/>
      <c r="DA140" s="35" t="e">
        <f t="shared" si="84"/>
        <v>#DIV/0!</v>
      </c>
      <c r="DB140" s="250"/>
      <c r="DC140" s="35"/>
      <c r="DD140" s="53"/>
      <c r="DE140" s="53"/>
      <c r="DF140" s="53"/>
      <c r="DG140" s="53"/>
      <c r="DH140" s="53"/>
      <c r="DI140" s="53"/>
      <c r="DJ140" s="130"/>
      <c r="DK140" s="207"/>
      <c r="DL140" s="68"/>
      <c r="DM140" s="68"/>
      <c r="DN140" s="68"/>
      <c r="DO140" s="68"/>
    </row>
    <row r="141" spans="1:119">
      <c r="A141" s="12"/>
      <c r="B141" s="12"/>
      <c r="C141" s="12">
        <v>2020</v>
      </c>
      <c r="D141" s="55"/>
      <c r="E141" s="21"/>
      <c r="F141" s="21"/>
      <c r="G141" s="21"/>
      <c r="H141" s="21"/>
      <c r="I141" s="21"/>
      <c r="J141" s="21"/>
      <c r="K141" s="21"/>
      <c r="L141" s="21"/>
      <c r="M141" s="55"/>
      <c r="N141" s="38"/>
      <c r="O141" s="53"/>
      <c r="P141" s="35"/>
      <c r="Q141" s="53"/>
      <c r="R141" s="35"/>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5"/>
      <c r="AT141" s="35"/>
      <c r="AU141" s="52"/>
      <c r="AV141" s="35"/>
      <c r="AW141" s="35"/>
      <c r="AX141" s="52"/>
      <c r="AY141" s="52"/>
      <c r="AZ141" s="52"/>
      <c r="BA141" s="52"/>
      <c r="BB141" s="38" t="e">
        <f t="shared" si="86"/>
        <v>#DIV/0!</v>
      </c>
      <c r="BC141" s="38"/>
      <c r="BD141" s="52"/>
      <c r="BE141" s="52"/>
      <c r="BF141" s="52"/>
      <c r="BG141" s="52"/>
      <c r="BJ141" s="52"/>
      <c r="BK141" s="52"/>
      <c r="BL141" s="35" t="e">
        <f t="shared" si="87"/>
        <v>#DIV/0!</v>
      </c>
      <c r="BM141" s="231"/>
      <c r="BN141" s="231"/>
      <c r="BO141" s="234"/>
      <c r="BP141" s="231"/>
      <c r="BQ141" s="231"/>
      <c r="BR141" s="236"/>
      <c r="BS141" s="236"/>
      <c r="BT141" s="236"/>
      <c r="BU141" s="236"/>
      <c r="BV141" s="236"/>
      <c r="BW141" s="236"/>
      <c r="BX141" s="236"/>
      <c r="BY141" s="231"/>
      <c r="BZ141" s="231"/>
      <c r="CA141" s="68"/>
      <c r="CB141" s="68"/>
      <c r="CC141" s="53"/>
      <c r="CD141" s="68"/>
      <c r="CE141" s="68"/>
      <c r="CF141" s="68"/>
      <c r="CG141" s="68"/>
      <c r="CH141" s="68"/>
      <c r="CI141" s="68"/>
      <c r="CJ141" s="68"/>
      <c r="CK141" s="68"/>
      <c r="CL141" s="68"/>
      <c r="CM141" s="35"/>
      <c r="CN141" s="35"/>
      <c r="CO141" s="52"/>
      <c r="CP141" s="35"/>
      <c r="CQ141" s="52"/>
      <c r="CR141" s="35"/>
      <c r="CS141" s="52"/>
      <c r="CT141" s="35"/>
      <c r="CU141" s="52"/>
      <c r="CV141" s="52"/>
      <c r="CW141" s="53"/>
      <c r="CX141" s="53"/>
      <c r="CY141" s="130"/>
      <c r="CZ141" s="35"/>
      <c r="DA141" s="35" t="e">
        <f t="shared" si="84"/>
        <v>#DIV/0!</v>
      </c>
      <c r="DB141" s="250"/>
      <c r="DC141" s="35"/>
      <c r="DD141" s="53"/>
      <c r="DE141" s="53"/>
      <c r="DF141" s="53"/>
      <c r="DG141" s="53"/>
      <c r="DH141" s="53"/>
      <c r="DI141" s="53"/>
      <c r="DJ141" s="130"/>
      <c r="DK141" s="207"/>
      <c r="DL141" s="68"/>
      <c r="DM141" s="68"/>
      <c r="DN141" s="68"/>
      <c r="DO141" s="68"/>
    </row>
    <row r="142" spans="1:119">
      <c r="A142" s="12"/>
      <c r="B142" s="12"/>
      <c r="C142" s="12">
        <v>2019</v>
      </c>
      <c r="D142" s="55"/>
      <c r="E142" s="21"/>
      <c r="F142" s="21"/>
      <c r="G142" s="21"/>
      <c r="H142" s="21"/>
      <c r="I142" s="21"/>
      <c r="J142" s="21"/>
      <c r="K142" s="21"/>
      <c r="L142" s="21"/>
      <c r="M142" s="55"/>
      <c r="N142" s="38"/>
      <c r="O142" s="53"/>
      <c r="P142" s="35"/>
      <c r="Q142" s="53"/>
      <c r="R142" s="35"/>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5"/>
      <c r="AT142" s="35"/>
      <c r="AU142" s="52"/>
      <c r="AV142" s="35"/>
      <c r="AW142" s="35"/>
      <c r="AX142" s="52"/>
      <c r="AY142" s="52"/>
      <c r="AZ142" s="52"/>
      <c r="BA142" s="52"/>
      <c r="BB142" s="38" t="e">
        <f t="shared" si="86"/>
        <v>#DIV/0!</v>
      </c>
      <c r="BC142" s="38"/>
      <c r="BD142" s="52"/>
      <c r="BE142" s="52"/>
      <c r="BF142" s="52"/>
      <c r="BG142" s="52"/>
      <c r="BJ142" s="52"/>
      <c r="BK142" s="52"/>
      <c r="BL142" s="35" t="e">
        <f t="shared" si="87"/>
        <v>#DIV/0!</v>
      </c>
      <c r="BM142" s="231"/>
      <c r="BN142" s="231"/>
      <c r="BO142" s="234"/>
      <c r="BP142" s="231"/>
      <c r="BQ142" s="231"/>
      <c r="BR142" s="236"/>
      <c r="BS142" s="236"/>
      <c r="BT142" s="236"/>
      <c r="BU142" s="236"/>
      <c r="BV142" s="236"/>
      <c r="BW142" s="236"/>
      <c r="BX142" s="236"/>
      <c r="BY142" s="231"/>
      <c r="BZ142" s="231"/>
      <c r="CA142" s="68"/>
      <c r="CB142" s="68"/>
      <c r="CC142" s="53"/>
      <c r="CD142" s="68"/>
      <c r="CE142" s="68"/>
      <c r="CF142" s="68"/>
      <c r="CG142" s="68"/>
      <c r="CH142" s="68"/>
      <c r="CI142" s="68"/>
      <c r="CJ142" s="68"/>
      <c r="CK142" s="68"/>
      <c r="CL142" s="68"/>
      <c r="CM142" s="35"/>
      <c r="CN142" s="35"/>
      <c r="CO142" s="52"/>
      <c r="CP142" s="35"/>
      <c r="CQ142" s="52"/>
      <c r="CR142" s="35"/>
      <c r="CS142" s="52"/>
      <c r="CT142" s="35"/>
      <c r="CU142" s="52"/>
      <c r="CV142" s="52"/>
      <c r="CW142" s="53"/>
      <c r="CX142" s="53"/>
      <c r="CY142" s="130"/>
      <c r="CZ142" s="35"/>
      <c r="DA142" s="35" t="e">
        <f t="shared" si="84"/>
        <v>#DIV/0!</v>
      </c>
      <c r="DB142" s="250"/>
      <c r="DC142" s="35"/>
      <c r="DD142" s="53"/>
      <c r="DE142" s="53"/>
      <c r="DF142" s="53"/>
      <c r="DG142" s="53"/>
      <c r="DH142" s="53"/>
      <c r="DI142" s="53"/>
      <c r="DJ142" s="130"/>
      <c r="DK142" s="207"/>
      <c r="DL142" s="68"/>
      <c r="DM142" s="68"/>
      <c r="DN142" s="68"/>
      <c r="DO142" s="68"/>
    </row>
    <row r="143" spans="1:119">
      <c r="A143" s="12"/>
      <c r="B143" s="12"/>
      <c r="C143" s="12">
        <v>2018</v>
      </c>
      <c r="D143" s="55"/>
      <c r="E143" s="21"/>
      <c r="F143" s="21"/>
      <c r="G143" s="21"/>
      <c r="H143" s="21"/>
      <c r="I143" s="21"/>
      <c r="J143" s="21"/>
      <c r="K143" s="21"/>
      <c r="L143" s="21"/>
      <c r="M143" s="55"/>
      <c r="N143" s="38"/>
      <c r="O143" s="53"/>
      <c r="P143" s="35"/>
      <c r="Q143" s="53"/>
      <c r="R143" s="35"/>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5"/>
      <c r="AT143" s="35"/>
      <c r="AU143" s="52"/>
      <c r="AV143" s="35"/>
      <c r="AW143" s="35"/>
      <c r="AX143" s="52"/>
      <c r="AY143" s="52"/>
      <c r="AZ143" s="52"/>
      <c r="BA143" s="52"/>
      <c r="BB143" s="38" t="e">
        <f t="shared" si="86"/>
        <v>#DIV/0!</v>
      </c>
      <c r="BC143" s="38"/>
      <c r="BD143" s="52"/>
      <c r="BE143" s="52"/>
      <c r="BF143" s="52"/>
      <c r="BG143" s="52"/>
      <c r="BJ143" s="52"/>
      <c r="BK143" s="52"/>
      <c r="BL143" s="35" t="e">
        <f t="shared" si="87"/>
        <v>#DIV/0!</v>
      </c>
      <c r="BM143" s="231"/>
      <c r="BN143" s="231"/>
      <c r="BO143" s="234"/>
      <c r="BP143" s="231"/>
      <c r="BQ143" s="231"/>
      <c r="BR143" s="236"/>
      <c r="BS143" s="236"/>
      <c r="BT143" s="236"/>
      <c r="BU143" s="236"/>
      <c r="BV143" s="236"/>
      <c r="BW143" s="236"/>
      <c r="BX143" s="236"/>
      <c r="BY143" s="231"/>
      <c r="BZ143" s="231"/>
      <c r="CA143" s="68"/>
      <c r="CB143" s="68"/>
      <c r="CC143" s="53"/>
      <c r="CD143" s="68"/>
      <c r="CE143" s="68"/>
      <c r="CF143" s="68"/>
      <c r="CG143" s="68"/>
      <c r="CH143" s="68"/>
      <c r="CI143" s="68"/>
      <c r="CJ143" s="68"/>
      <c r="CK143" s="68"/>
      <c r="CL143" s="68"/>
      <c r="CM143" s="35"/>
      <c r="CN143" s="35"/>
      <c r="CO143" s="52"/>
      <c r="CP143" s="35"/>
      <c r="CQ143" s="52"/>
      <c r="CR143" s="35"/>
      <c r="CS143" s="52"/>
      <c r="CT143" s="35"/>
      <c r="CU143" s="52"/>
      <c r="CV143" s="52"/>
      <c r="CW143" s="53"/>
      <c r="CX143" s="53"/>
      <c r="CY143" s="130"/>
      <c r="CZ143" s="35"/>
      <c r="DA143" s="35" t="e">
        <f t="shared" si="84"/>
        <v>#DIV/0!</v>
      </c>
      <c r="DB143" s="250"/>
      <c r="DC143" s="35"/>
      <c r="DD143" s="53"/>
      <c r="DE143" s="53"/>
      <c r="DF143" s="53"/>
      <c r="DG143" s="53"/>
      <c r="DH143" s="53"/>
      <c r="DI143" s="53"/>
      <c r="DJ143" s="130"/>
      <c r="DK143" s="207"/>
      <c r="DL143" s="68"/>
      <c r="DM143" s="68"/>
      <c r="DN143" s="68"/>
      <c r="DO143" s="68"/>
    </row>
    <row r="144" spans="1:119">
      <c r="A144" s="12"/>
      <c r="B144" s="12"/>
      <c r="C144" s="12">
        <v>2017</v>
      </c>
      <c r="D144" s="55"/>
      <c r="E144" s="21"/>
      <c r="F144" s="21"/>
      <c r="G144" s="21"/>
      <c r="H144" s="21"/>
      <c r="I144" s="21"/>
      <c r="J144" s="21"/>
      <c r="K144" s="21"/>
      <c r="L144" s="21"/>
      <c r="M144" s="55"/>
      <c r="N144" s="38"/>
      <c r="O144" s="53"/>
      <c r="P144" s="35"/>
      <c r="Q144" s="53"/>
      <c r="R144" s="35"/>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5"/>
      <c r="AT144" s="35"/>
      <c r="AU144" s="52"/>
      <c r="AV144" s="35"/>
      <c r="AW144" s="35"/>
      <c r="AX144" s="52"/>
      <c r="AY144" s="52"/>
      <c r="AZ144" s="52"/>
      <c r="BA144" s="52"/>
      <c r="BB144" s="38" t="e">
        <f t="shared" si="86"/>
        <v>#DIV/0!</v>
      </c>
      <c r="BC144" s="38"/>
      <c r="BD144" s="52"/>
      <c r="BE144" s="52"/>
      <c r="BF144" s="52"/>
      <c r="BG144" s="52"/>
      <c r="BJ144" s="52"/>
      <c r="BK144" s="52"/>
      <c r="BL144" s="35" t="e">
        <f t="shared" si="87"/>
        <v>#DIV/0!</v>
      </c>
      <c r="BM144" s="231"/>
      <c r="BN144" s="231"/>
      <c r="BO144" s="234"/>
      <c r="BP144" s="231"/>
      <c r="BQ144" s="231"/>
      <c r="BR144" s="236"/>
      <c r="BS144" s="236"/>
      <c r="BT144" s="236"/>
      <c r="BU144" s="236"/>
      <c r="BV144" s="236"/>
      <c r="BW144" s="236"/>
      <c r="BX144" s="236"/>
      <c r="BY144" s="231"/>
      <c r="BZ144" s="231"/>
      <c r="CA144" s="68"/>
      <c r="CB144" s="68"/>
      <c r="CC144" s="53"/>
      <c r="CD144" s="68"/>
      <c r="CE144" s="68"/>
      <c r="CF144" s="68"/>
      <c r="CG144" s="68"/>
      <c r="CH144" s="68"/>
      <c r="CI144" s="68"/>
      <c r="CJ144" s="68"/>
      <c r="CK144" s="68"/>
      <c r="CL144" s="68"/>
      <c r="CM144" s="35"/>
      <c r="CN144" s="35"/>
      <c r="CO144" s="52"/>
      <c r="CP144" s="35"/>
      <c r="CQ144" s="52"/>
      <c r="CR144" s="35"/>
      <c r="CS144" s="52"/>
      <c r="CT144" s="35"/>
      <c r="CU144" s="52"/>
      <c r="CV144" s="52"/>
      <c r="CW144" s="53"/>
      <c r="CX144" s="53"/>
      <c r="CY144" s="130"/>
      <c r="CZ144" s="35"/>
      <c r="DA144" s="35" t="e">
        <f t="shared" ref="DA144:DA182" si="88">CX144/CL144</f>
        <v>#DIV/0!</v>
      </c>
      <c r="DB144" s="250"/>
      <c r="DC144" s="35"/>
      <c r="DD144" s="53"/>
      <c r="DE144" s="53"/>
      <c r="DF144" s="53"/>
      <c r="DG144" s="53"/>
      <c r="DH144" s="53"/>
      <c r="DI144" s="53"/>
      <c r="DJ144" s="130"/>
      <c r="DK144" s="207"/>
      <c r="DL144" s="68"/>
      <c r="DM144" s="68"/>
      <c r="DN144" s="68"/>
      <c r="DO144" s="68"/>
    </row>
    <row r="145" spans="1:119">
      <c r="A145" s="12"/>
      <c r="B145" s="12"/>
      <c r="C145" s="12">
        <v>2016</v>
      </c>
      <c r="D145" s="55"/>
      <c r="E145" s="21"/>
      <c r="F145" s="21"/>
      <c r="G145" s="21"/>
      <c r="H145" s="21"/>
      <c r="I145" s="21"/>
      <c r="J145" s="21"/>
      <c r="K145" s="21"/>
      <c r="L145" s="21"/>
      <c r="M145" s="55"/>
      <c r="N145" s="38"/>
      <c r="O145" s="53"/>
      <c r="P145" s="35"/>
      <c r="Q145" s="53"/>
      <c r="R145" s="35"/>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5"/>
      <c r="AT145" s="35"/>
      <c r="AU145" s="52"/>
      <c r="AV145" s="35"/>
      <c r="AW145" s="35"/>
      <c r="AX145" s="52"/>
      <c r="AY145" s="52"/>
      <c r="AZ145" s="52"/>
      <c r="BA145" s="52"/>
      <c r="BB145" s="38" t="e">
        <f t="shared" si="86"/>
        <v>#DIV/0!</v>
      </c>
      <c r="BC145" s="38"/>
      <c r="BD145" s="52"/>
      <c r="BE145" s="52"/>
      <c r="BF145" s="52"/>
      <c r="BG145" s="52"/>
      <c r="BJ145" s="52"/>
      <c r="BK145" s="52"/>
      <c r="BL145" s="35" t="e">
        <f t="shared" si="87"/>
        <v>#DIV/0!</v>
      </c>
      <c r="BM145" s="231"/>
      <c r="BN145" s="231"/>
      <c r="BO145" s="234"/>
      <c r="BP145" s="231"/>
      <c r="BQ145" s="231"/>
      <c r="BR145" s="236"/>
      <c r="BS145" s="236"/>
      <c r="BT145" s="236"/>
      <c r="BU145" s="236"/>
      <c r="BV145" s="236"/>
      <c r="BW145" s="236"/>
      <c r="BX145" s="236"/>
      <c r="BY145" s="231"/>
      <c r="BZ145" s="231"/>
      <c r="CA145" s="68"/>
      <c r="CB145" s="68"/>
      <c r="CC145" s="53"/>
      <c r="CD145" s="68"/>
      <c r="CE145" s="68"/>
      <c r="CF145" s="68"/>
      <c r="CG145" s="68"/>
      <c r="CH145" s="68"/>
      <c r="CI145" s="68"/>
      <c r="CJ145" s="68"/>
      <c r="CK145" s="68"/>
      <c r="CL145" s="68"/>
      <c r="CM145" s="35"/>
      <c r="CN145" s="35"/>
      <c r="CO145" s="52"/>
      <c r="CP145" s="35"/>
      <c r="CQ145" s="52"/>
      <c r="CR145" s="35"/>
      <c r="CS145" s="52"/>
      <c r="CT145" s="35"/>
      <c r="CU145" s="52"/>
      <c r="CV145" s="52"/>
      <c r="CW145" s="53"/>
      <c r="CX145" s="53"/>
      <c r="CY145" s="130"/>
      <c r="CZ145" s="35"/>
      <c r="DA145" s="35" t="e">
        <f t="shared" si="88"/>
        <v>#DIV/0!</v>
      </c>
      <c r="DB145" s="250"/>
      <c r="DC145" s="35"/>
      <c r="DD145" s="53"/>
      <c r="DE145" s="53"/>
      <c r="DF145" s="53"/>
      <c r="DG145" s="53"/>
      <c r="DH145" s="53"/>
      <c r="DI145" s="53"/>
      <c r="DJ145" s="130"/>
      <c r="DK145" s="207"/>
      <c r="DL145" s="68"/>
      <c r="DM145" s="68"/>
      <c r="DN145" s="68"/>
      <c r="DO145" s="68"/>
    </row>
    <row r="146" spans="1:119">
      <c r="A146" s="12"/>
      <c r="B146" s="12"/>
      <c r="C146" s="12">
        <v>2015</v>
      </c>
      <c r="D146" s="55"/>
      <c r="E146" s="21"/>
      <c r="F146" s="21"/>
      <c r="G146" s="21"/>
      <c r="H146" s="21"/>
      <c r="I146" s="21"/>
      <c r="J146" s="21"/>
      <c r="K146" s="21"/>
      <c r="L146" s="21"/>
      <c r="M146" s="55"/>
      <c r="N146" s="38"/>
      <c r="O146" s="53"/>
      <c r="P146" s="35"/>
      <c r="Q146" s="53"/>
      <c r="R146" s="35"/>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5"/>
      <c r="AT146" s="35"/>
      <c r="AU146" s="52"/>
      <c r="AV146" s="35"/>
      <c r="AW146" s="35"/>
      <c r="AX146" s="52"/>
      <c r="AY146" s="52"/>
      <c r="AZ146" s="52"/>
      <c r="BA146" s="52"/>
      <c r="BB146" s="38" t="e">
        <f t="shared" si="86"/>
        <v>#DIV/0!</v>
      </c>
      <c r="BC146" s="38"/>
      <c r="BD146" s="52"/>
      <c r="BE146" s="52"/>
      <c r="BF146" s="52"/>
      <c r="BG146" s="52"/>
      <c r="BJ146" s="52"/>
      <c r="BK146" s="52"/>
      <c r="BL146" s="35" t="e">
        <f t="shared" si="87"/>
        <v>#DIV/0!</v>
      </c>
      <c r="BM146" s="231"/>
      <c r="BN146" s="231"/>
      <c r="BO146" s="234"/>
      <c r="BP146" s="231"/>
      <c r="BQ146" s="231"/>
      <c r="BR146" s="236"/>
      <c r="BS146" s="236"/>
      <c r="BT146" s="236"/>
      <c r="BU146" s="236"/>
      <c r="BV146" s="236"/>
      <c r="BW146" s="236"/>
      <c r="BX146" s="236"/>
      <c r="BY146" s="231"/>
      <c r="BZ146" s="231"/>
      <c r="CA146" s="68"/>
      <c r="CB146" s="68"/>
      <c r="CC146" s="53"/>
      <c r="CD146" s="68"/>
      <c r="CE146" s="68"/>
      <c r="CF146" s="68"/>
      <c r="CG146" s="68"/>
      <c r="CH146" s="68"/>
      <c r="CI146" s="68"/>
      <c r="CJ146" s="68"/>
      <c r="CK146" s="68"/>
      <c r="CL146" s="68"/>
      <c r="CM146" s="35"/>
      <c r="CN146" s="35"/>
      <c r="CO146" s="52"/>
      <c r="CP146" s="35"/>
      <c r="CQ146" s="52"/>
      <c r="CR146" s="35"/>
      <c r="CS146" s="52"/>
      <c r="CT146" s="35"/>
      <c r="CU146" s="52"/>
      <c r="CV146" s="52"/>
      <c r="CW146" s="53"/>
      <c r="CX146" s="53"/>
      <c r="CY146" s="130"/>
      <c r="CZ146" s="35"/>
      <c r="DA146" s="35" t="e">
        <f t="shared" si="88"/>
        <v>#DIV/0!</v>
      </c>
      <c r="DB146" s="250"/>
      <c r="DC146" s="35"/>
      <c r="DD146" s="53"/>
      <c r="DE146" s="53"/>
      <c r="DF146" s="53"/>
      <c r="DG146" s="53"/>
      <c r="DH146" s="53"/>
      <c r="DI146" s="53"/>
      <c r="DJ146" s="130"/>
      <c r="DK146" s="207"/>
      <c r="DL146" s="68"/>
      <c r="DM146" s="68"/>
      <c r="DN146" s="68"/>
      <c r="DO146" s="68"/>
    </row>
    <row r="147" spans="1:119">
      <c r="A147" s="12"/>
      <c r="B147" s="12"/>
      <c r="C147" s="12">
        <v>2014</v>
      </c>
      <c r="D147" s="55"/>
      <c r="E147" s="21"/>
      <c r="F147" s="21"/>
      <c r="G147" s="21"/>
      <c r="H147" s="21"/>
      <c r="I147" s="21"/>
      <c r="J147" s="21"/>
      <c r="K147" s="21"/>
      <c r="L147" s="21"/>
      <c r="M147" s="55"/>
      <c r="N147" s="38"/>
      <c r="O147" s="53"/>
      <c r="P147" s="35"/>
      <c r="Q147" s="53"/>
      <c r="R147" s="35"/>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5"/>
      <c r="AT147" s="35"/>
      <c r="AU147" s="52"/>
      <c r="AV147" s="35"/>
      <c r="AW147" s="35"/>
      <c r="AX147" s="52"/>
      <c r="AY147" s="52"/>
      <c r="AZ147" s="52"/>
      <c r="BA147" s="52"/>
      <c r="BB147" s="38" t="e">
        <f t="shared" si="86"/>
        <v>#DIV/0!</v>
      </c>
      <c r="BC147" s="38"/>
      <c r="BD147" s="52"/>
      <c r="BE147" s="52"/>
      <c r="BF147" s="52"/>
      <c r="BG147" s="52"/>
      <c r="BJ147" s="52"/>
      <c r="BK147" s="52"/>
      <c r="BL147" s="35" t="e">
        <f t="shared" si="87"/>
        <v>#DIV/0!</v>
      </c>
      <c r="BM147" s="231"/>
      <c r="BN147" s="231"/>
      <c r="BO147" s="234"/>
      <c r="BP147" s="231"/>
      <c r="BQ147" s="231"/>
      <c r="BR147" s="236"/>
      <c r="BS147" s="236"/>
      <c r="BT147" s="236"/>
      <c r="BU147" s="236"/>
      <c r="BV147" s="236"/>
      <c r="BW147" s="236"/>
      <c r="BX147" s="236"/>
      <c r="BY147" s="231"/>
      <c r="BZ147" s="231"/>
      <c r="CA147" s="68"/>
      <c r="CB147" s="68"/>
      <c r="CC147" s="53"/>
      <c r="CD147" s="68"/>
      <c r="CE147" s="68"/>
      <c r="CF147" s="68"/>
      <c r="CG147" s="68"/>
      <c r="CH147" s="68"/>
      <c r="CI147" s="68"/>
      <c r="CJ147" s="68"/>
      <c r="CK147" s="68"/>
      <c r="CL147" s="68"/>
      <c r="CM147" s="35"/>
      <c r="CN147" s="35"/>
      <c r="CO147" s="52"/>
      <c r="CP147" s="35"/>
      <c r="CQ147" s="52"/>
      <c r="CR147" s="35"/>
      <c r="CS147" s="52"/>
      <c r="CT147" s="35"/>
      <c r="CU147" s="52"/>
      <c r="CV147" s="52"/>
      <c r="CW147" s="53"/>
      <c r="CX147" s="53"/>
      <c r="CY147" s="130"/>
      <c r="CZ147" s="35"/>
      <c r="DA147" s="35" t="e">
        <f t="shared" si="88"/>
        <v>#DIV/0!</v>
      </c>
      <c r="DB147" s="250"/>
      <c r="DC147" s="35"/>
      <c r="DD147" s="53"/>
      <c r="DE147" s="53"/>
      <c r="DF147" s="53"/>
      <c r="DG147" s="53"/>
      <c r="DH147" s="53"/>
      <c r="DI147" s="53"/>
      <c r="DJ147" s="130"/>
      <c r="DK147" s="207"/>
      <c r="DL147" s="68"/>
      <c r="DM147" s="68"/>
      <c r="DN147" s="68"/>
      <c r="DO147" s="68"/>
    </row>
    <row r="148" spans="1:119">
      <c r="A148" s="12"/>
      <c r="B148" s="12"/>
      <c r="C148" s="12">
        <v>2013</v>
      </c>
      <c r="D148" s="55"/>
      <c r="E148" s="21"/>
      <c r="F148" s="21"/>
      <c r="G148" s="21"/>
      <c r="H148" s="21"/>
      <c r="I148" s="21"/>
      <c r="J148" s="21"/>
      <c r="K148" s="21"/>
      <c r="L148" s="21"/>
      <c r="M148" s="55"/>
      <c r="N148" s="38"/>
      <c r="O148" s="53"/>
      <c r="P148" s="35"/>
      <c r="Q148" s="53"/>
      <c r="R148" s="35"/>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5"/>
      <c r="AT148" s="35"/>
      <c r="AU148" s="52"/>
      <c r="AV148" s="35"/>
      <c r="AW148" s="35"/>
      <c r="AX148" s="52"/>
      <c r="AY148" s="52"/>
      <c r="AZ148" s="52"/>
      <c r="BA148" s="52"/>
      <c r="BB148" s="38" t="e">
        <f t="shared" si="86"/>
        <v>#DIV/0!</v>
      </c>
      <c r="BC148" s="38"/>
      <c r="BD148" s="52"/>
      <c r="BE148" s="52"/>
      <c r="BF148" s="52"/>
      <c r="BG148" s="52"/>
      <c r="BJ148" s="52"/>
      <c r="BK148" s="52"/>
      <c r="BL148" s="35" t="e">
        <f t="shared" si="87"/>
        <v>#DIV/0!</v>
      </c>
      <c r="BM148" s="231"/>
      <c r="BN148" s="231"/>
      <c r="BO148" s="234"/>
      <c r="BP148" s="231"/>
      <c r="BQ148" s="231"/>
      <c r="BR148" s="236"/>
      <c r="BS148" s="236"/>
      <c r="BT148" s="236"/>
      <c r="BU148" s="236"/>
      <c r="BV148" s="236"/>
      <c r="BW148" s="236"/>
      <c r="BX148" s="236"/>
      <c r="BY148" s="231"/>
      <c r="BZ148" s="231"/>
      <c r="CA148" s="68"/>
      <c r="CB148" s="68"/>
      <c r="CC148" s="53"/>
      <c r="CD148" s="68"/>
      <c r="CE148" s="68"/>
      <c r="CF148" s="68"/>
      <c r="CG148" s="68"/>
      <c r="CH148" s="68"/>
      <c r="CI148" s="68"/>
      <c r="CJ148" s="68"/>
      <c r="CK148" s="68"/>
      <c r="CL148" s="68"/>
      <c r="CM148" s="35"/>
      <c r="CN148" s="35"/>
      <c r="CO148" s="52"/>
      <c r="CP148" s="35"/>
      <c r="CQ148" s="52"/>
      <c r="CR148" s="35"/>
      <c r="CS148" s="52"/>
      <c r="CT148" s="35"/>
      <c r="CU148" s="52"/>
      <c r="CV148" s="52"/>
      <c r="CW148" s="53"/>
      <c r="CX148" s="53"/>
      <c r="CY148" s="130"/>
      <c r="CZ148" s="35"/>
      <c r="DA148" s="35" t="e">
        <f t="shared" si="88"/>
        <v>#DIV/0!</v>
      </c>
      <c r="DB148" s="250"/>
      <c r="DC148" s="35"/>
      <c r="DD148" s="53"/>
      <c r="DE148" s="53"/>
      <c r="DF148" s="53"/>
      <c r="DG148" s="53"/>
      <c r="DH148" s="53"/>
      <c r="DI148" s="53"/>
      <c r="DJ148" s="130"/>
      <c r="DK148" s="207"/>
      <c r="DL148" s="68"/>
      <c r="DM148" s="68"/>
      <c r="DN148" s="68"/>
      <c r="DO148" s="68"/>
    </row>
    <row r="149" spans="1:119">
      <c r="A149" s="12"/>
      <c r="B149" s="12"/>
      <c r="C149" s="12">
        <v>2012</v>
      </c>
      <c r="D149" s="55"/>
      <c r="E149" s="21"/>
      <c r="F149" s="21"/>
      <c r="G149" s="21"/>
      <c r="H149" s="21"/>
      <c r="I149" s="21"/>
      <c r="J149" s="21"/>
      <c r="K149" s="21"/>
      <c r="L149" s="21"/>
      <c r="M149" s="55"/>
      <c r="N149" s="38"/>
      <c r="O149" s="53"/>
      <c r="P149" s="35"/>
      <c r="Q149" s="53"/>
      <c r="R149" s="35"/>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5"/>
      <c r="AT149" s="35"/>
      <c r="AU149" s="52"/>
      <c r="AV149" s="35"/>
      <c r="AW149" s="35"/>
      <c r="AX149" s="52"/>
      <c r="AY149" s="52"/>
      <c r="AZ149" s="52"/>
      <c r="BA149" s="52"/>
      <c r="BB149" s="38" t="e">
        <f t="shared" si="86"/>
        <v>#DIV/0!</v>
      </c>
      <c r="BC149" s="38"/>
      <c r="BD149" s="52"/>
      <c r="BE149" s="52"/>
      <c r="BF149" s="52"/>
      <c r="BG149" s="52"/>
      <c r="BJ149" s="52"/>
      <c r="BK149" s="52"/>
      <c r="BL149" s="35" t="e">
        <f t="shared" si="87"/>
        <v>#DIV/0!</v>
      </c>
      <c r="BM149" s="231"/>
      <c r="BN149" s="231"/>
      <c r="BO149" s="234"/>
      <c r="BP149" s="231"/>
      <c r="BQ149" s="231"/>
      <c r="BR149" s="236"/>
      <c r="BS149" s="236"/>
      <c r="BT149" s="236"/>
      <c r="BU149" s="236"/>
      <c r="BV149" s="236"/>
      <c r="BW149" s="236"/>
      <c r="BX149" s="236"/>
      <c r="BY149" s="231"/>
      <c r="BZ149" s="231"/>
      <c r="CA149" s="68"/>
      <c r="CB149" s="68"/>
      <c r="CC149" s="53"/>
      <c r="CD149" s="68"/>
      <c r="CE149" s="68"/>
      <c r="CF149" s="68"/>
      <c r="CG149" s="68"/>
      <c r="CH149" s="68"/>
      <c r="CI149" s="68"/>
      <c r="CJ149" s="68"/>
      <c r="CK149" s="68"/>
      <c r="CL149" s="68"/>
      <c r="CM149" s="35"/>
      <c r="CN149" s="35"/>
      <c r="CO149" s="52"/>
      <c r="CP149" s="35"/>
      <c r="CQ149" s="52"/>
      <c r="CR149" s="35"/>
      <c r="CS149" s="52"/>
      <c r="CT149" s="35"/>
      <c r="CU149" s="52"/>
      <c r="CV149" s="52"/>
      <c r="CW149" s="53"/>
      <c r="CX149" s="53"/>
      <c r="CY149" s="130"/>
      <c r="CZ149" s="35"/>
      <c r="DA149" s="35" t="e">
        <f t="shared" si="88"/>
        <v>#DIV/0!</v>
      </c>
      <c r="DB149" s="250"/>
      <c r="DC149" s="35"/>
      <c r="DD149" s="53"/>
      <c r="DE149" s="53"/>
      <c r="DF149" s="53"/>
      <c r="DG149" s="53"/>
      <c r="DH149" s="53"/>
      <c r="DI149" s="53"/>
      <c r="DJ149" s="130"/>
      <c r="DK149" s="207"/>
      <c r="DL149" s="68"/>
      <c r="DM149" s="68"/>
      <c r="DN149" s="68"/>
      <c r="DO149" s="68"/>
    </row>
    <row r="150" spans="1:119">
      <c r="A150" s="12"/>
      <c r="B150" s="16" t="s">
        <v>143</v>
      </c>
      <c r="C150" s="12">
        <v>2022</v>
      </c>
      <c r="D150" s="55"/>
      <c r="E150" s="21"/>
      <c r="F150" s="21"/>
      <c r="G150" s="21"/>
      <c r="H150" s="21"/>
      <c r="I150" s="21"/>
      <c r="J150" s="21"/>
      <c r="K150" s="21"/>
      <c r="L150" s="21"/>
      <c r="M150" s="55">
        <v>2744255769.83</v>
      </c>
      <c r="N150" s="38"/>
      <c r="O150" s="53">
        <v>2016554505.7</v>
      </c>
      <c r="P150" s="35"/>
      <c r="Q150" s="53"/>
      <c r="R150" s="35"/>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5"/>
      <c r="AT150" s="35"/>
      <c r="AU150" s="52"/>
      <c r="AV150" s="35"/>
      <c r="AW150" s="35"/>
      <c r="AX150" s="52"/>
      <c r="AY150" s="52"/>
      <c r="AZ150" s="52"/>
      <c r="BA150" s="52"/>
      <c r="BB150" s="38">
        <f t="shared" si="86"/>
        <v>0</v>
      </c>
      <c r="BC150" s="38"/>
      <c r="BD150" s="52"/>
      <c r="BE150" s="52"/>
      <c r="BF150" s="52"/>
      <c r="BG150" s="52"/>
      <c r="BJ150" s="52"/>
      <c r="BK150" s="52"/>
      <c r="BL150" s="35">
        <f t="shared" si="87"/>
        <v>0</v>
      </c>
      <c r="BM150" s="231"/>
      <c r="BN150" s="231"/>
      <c r="BO150" s="234"/>
      <c r="BP150" s="231"/>
      <c r="BQ150" s="231"/>
      <c r="BR150" s="236"/>
      <c r="BS150" s="236"/>
      <c r="BT150" s="236"/>
      <c r="BU150" s="236"/>
      <c r="BV150" s="236"/>
      <c r="BW150" s="236"/>
      <c r="BX150" s="236"/>
      <c r="BY150" s="231"/>
      <c r="BZ150" s="231"/>
      <c r="CA150" s="68"/>
      <c r="CB150" s="68"/>
      <c r="CC150" s="53"/>
      <c r="CD150" s="68"/>
      <c r="CE150" s="68"/>
      <c r="CF150" s="68"/>
      <c r="CG150" s="68"/>
      <c r="CH150" s="68"/>
      <c r="CI150" s="68"/>
      <c r="CJ150" s="68"/>
      <c r="CK150" s="68"/>
      <c r="CL150" s="180">
        <f>O150+AC150</f>
        <v>2016554505.7</v>
      </c>
      <c r="CM150" s="35">
        <f>(CL150-CL151)/CL151</f>
        <v>0.667411646963394</v>
      </c>
      <c r="CN150" s="35"/>
      <c r="CO150" s="52">
        <f>O150+AC150-AQ150</f>
        <v>953213063.4</v>
      </c>
      <c r="CP150" s="36">
        <f>(CO150-CO151)/CO151</f>
        <v>0.0142445814121069</v>
      </c>
      <c r="CQ150" s="52">
        <v>281418111.61</v>
      </c>
      <c r="CR150" s="35"/>
      <c r="CS150" s="52">
        <v>283163568.75</v>
      </c>
      <c r="CT150" s="35"/>
      <c r="CU150" s="52"/>
      <c r="CV150" s="52">
        <v>-1739524.36</v>
      </c>
      <c r="CW150" s="53">
        <f>CS150+CV150</f>
        <v>281424044.39</v>
      </c>
      <c r="CX150" s="53">
        <f>CQ150+CV150</f>
        <v>279678587.25</v>
      </c>
      <c r="CY150" s="130"/>
      <c r="CZ150" s="35">
        <f>CS150/CL150</f>
        <v>0.140419496695779</v>
      </c>
      <c r="DA150" s="35">
        <f t="shared" si="88"/>
        <v>0.138691310579238</v>
      </c>
      <c r="DB150" s="250">
        <f>CX150/CO150</f>
        <v>0.293406162786333</v>
      </c>
      <c r="DC150" s="35"/>
      <c r="DD150" s="53"/>
      <c r="DE150" s="53"/>
      <c r="DF150" s="53"/>
      <c r="DG150" s="53"/>
      <c r="DH150" s="53"/>
      <c r="DI150" s="53"/>
      <c r="DJ150" s="130"/>
      <c r="DK150" s="207"/>
      <c r="DL150" s="68"/>
      <c r="DM150" s="68"/>
      <c r="DN150" s="68"/>
      <c r="DO150" s="68"/>
    </row>
    <row r="151" spans="1:119">
      <c r="A151" s="12"/>
      <c r="B151" s="16"/>
      <c r="C151" s="12">
        <v>2021</v>
      </c>
      <c r="D151" s="55"/>
      <c r="E151" s="21"/>
      <c r="F151" s="21"/>
      <c r="G151" s="21"/>
      <c r="H151" s="21"/>
      <c r="I151" s="21"/>
      <c r="J151" s="21"/>
      <c r="K151" s="21"/>
      <c r="L151" s="21"/>
      <c r="M151" s="55">
        <v>2009619586.6</v>
      </c>
      <c r="N151" s="38"/>
      <c r="O151" s="53">
        <v>1209392119.44</v>
      </c>
      <c r="P151" s="35"/>
      <c r="Q151" s="53"/>
      <c r="R151" s="35"/>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5"/>
      <c r="AT151" s="35"/>
      <c r="AU151" s="52"/>
      <c r="AV151" s="35"/>
      <c r="AW151" s="35"/>
      <c r="AX151" s="52"/>
      <c r="AY151" s="52"/>
      <c r="AZ151" s="52"/>
      <c r="BA151" s="52"/>
      <c r="BB151" s="38">
        <f t="shared" si="86"/>
        <v>0</v>
      </c>
      <c r="BC151" s="38"/>
      <c r="BD151" s="52"/>
      <c r="BE151" s="52"/>
      <c r="BF151" s="52"/>
      <c r="BG151" s="52"/>
      <c r="BJ151" s="52"/>
      <c r="BK151" s="52"/>
      <c r="BL151" s="35">
        <f t="shared" si="87"/>
        <v>0</v>
      </c>
      <c r="BM151" s="231"/>
      <c r="BN151" s="231"/>
      <c r="BO151" s="234"/>
      <c r="BP151" s="231"/>
      <c r="BQ151" s="231"/>
      <c r="BR151" s="236"/>
      <c r="BS151" s="236"/>
      <c r="BT151" s="236"/>
      <c r="BU151" s="236"/>
      <c r="BV151" s="236"/>
      <c r="BW151" s="236"/>
      <c r="BX151" s="236"/>
      <c r="BY151" s="231"/>
      <c r="BZ151" s="231"/>
      <c r="CA151" s="68"/>
      <c r="CB151" s="68"/>
      <c r="CC151" s="53"/>
      <c r="CD151" s="68"/>
      <c r="CE151" s="68"/>
      <c r="CF151" s="68"/>
      <c r="CG151" s="68"/>
      <c r="CH151" s="68"/>
      <c r="CI151" s="68"/>
      <c r="CJ151" s="68"/>
      <c r="CK151" s="68"/>
      <c r="CL151" s="180">
        <f>O151+AC151</f>
        <v>1209392119.44</v>
      </c>
      <c r="CM151" s="35">
        <f>(CL151-CL152)/CL152</f>
        <v>0.0694317594647774</v>
      </c>
      <c r="CN151" s="35"/>
      <c r="CO151" s="52">
        <f>O151+AC151-AQ151</f>
        <v>939825640.55</v>
      </c>
      <c r="CP151" s="36">
        <f>(CO151-CO152)/CO152</f>
        <v>0.28970495210454</v>
      </c>
      <c r="CQ151" s="52">
        <v>429007313.51</v>
      </c>
      <c r="CR151" s="35"/>
      <c r="CS151" s="52">
        <v>428777658.62</v>
      </c>
      <c r="CT151" s="35"/>
      <c r="CU151" s="52"/>
      <c r="CV151" s="52">
        <v>475217.79</v>
      </c>
      <c r="CW151" s="53">
        <f>CS151+CV151</f>
        <v>429252876.41</v>
      </c>
      <c r="CX151" s="53">
        <f>CQ151+CV151</f>
        <v>429482531.3</v>
      </c>
      <c r="CY151" s="130"/>
      <c r="CZ151" s="35">
        <f>CS151/CL151</f>
        <v>0.354539815273926</v>
      </c>
      <c r="DA151" s="35">
        <f t="shared" si="88"/>
        <v>0.355122647482496</v>
      </c>
      <c r="DB151" s="250">
        <f>CX151/CO151</f>
        <v>0.456981074754101</v>
      </c>
      <c r="DC151" s="35"/>
      <c r="DD151" s="53"/>
      <c r="DE151" s="53"/>
      <c r="DF151" s="53"/>
      <c r="DG151" s="53"/>
      <c r="DH151" s="53"/>
      <c r="DI151" s="53"/>
      <c r="DJ151" s="130"/>
      <c r="DK151" s="207"/>
      <c r="DL151" s="68"/>
      <c r="DM151" s="68"/>
      <c r="DN151" s="68"/>
      <c r="DO151" s="68"/>
    </row>
    <row r="152" spans="1:119">
      <c r="A152" s="12"/>
      <c r="B152" s="16"/>
      <c r="C152" s="12">
        <v>2020</v>
      </c>
      <c r="D152" s="55"/>
      <c r="E152" s="21"/>
      <c r="F152" s="21"/>
      <c r="G152" s="21"/>
      <c r="H152" s="21"/>
      <c r="I152" s="21"/>
      <c r="J152" s="21"/>
      <c r="K152" s="21"/>
      <c r="L152" s="21"/>
      <c r="M152" s="55">
        <v>1967675851.1</v>
      </c>
      <c r="N152" s="38"/>
      <c r="O152" s="53">
        <v>1130873577.24</v>
      </c>
      <c r="P152" s="35"/>
      <c r="Q152" s="53"/>
      <c r="R152" s="35"/>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5"/>
      <c r="AT152" s="35"/>
      <c r="AU152" s="52"/>
      <c r="AV152" s="35"/>
      <c r="AW152" s="35"/>
      <c r="AX152" s="52"/>
      <c r="AY152" s="52"/>
      <c r="AZ152" s="52"/>
      <c r="BA152" s="52"/>
      <c r="BB152" s="38">
        <f t="shared" si="86"/>
        <v>0</v>
      </c>
      <c r="BC152" s="38"/>
      <c r="BD152" s="52"/>
      <c r="BE152" s="52"/>
      <c r="BF152" s="52"/>
      <c r="BG152" s="52"/>
      <c r="BJ152" s="52"/>
      <c r="BK152" s="52"/>
      <c r="BL152" s="35">
        <f t="shared" si="87"/>
        <v>0</v>
      </c>
      <c r="BM152" s="231"/>
      <c r="BN152" s="231"/>
      <c r="BO152" s="234"/>
      <c r="BP152" s="231"/>
      <c r="BQ152" s="231"/>
      <c r="BR152" s="236"/>
      <c r="BS152" s="236"/>
      <c r="BT152" s="236"/>
      <c r="BU152" s="236"/>
      <c r="BV152" s="236"/>
      <c r="BW152" s="236"/>
      <c r="BX152" s="236"/>
      <c r="BY152" s="231"/>
      <c r="BZ152" s="231"/>
      <c r="CA152" s="68"/>
      <c r="CB152" s="68"/>
      <c r="CC152" s="53"/>
      <c r="CD152" s="68"/>
      <c r="CE152" s="68"/>
      <c r="CF152" s="68"/>
      <c r="CG152" s="68"/>
      <c r="CH152" s="68"/>
      <c r="CI152" s="68"/>
      <c r="CJ152" s="68"/>
      <c r="CK152" s="68"/>
      <c r="CL152" s="180">
        <f>O152+AC152</f>
        <v>1130873577.24</v>
      </c>
      <c r="CM152" s="35">
        <f>(CL152-CL153)/CL153</f>
        <v>0.408384652545661</v>
      </c>
      <c r="CN152" s="35"/>
      <c r="CO152" s="52">
        <f>O152+AC152-AQ152</f>
        <v>728713679.06</v>
      </c>
      <c r="CP152" s="36">
        <f>(CO152-CO153)/CO153</f>
        <v>0.457273391007401</v>
      </c>
      <c r="CQ152" s="52">
        <v>486956777.07</v>
      </c>
      <c r="CR152" s="35"/>
      <c r="CS152" s="52">
        <v>479333732.84</v>
      </c>
      <c r="CT152" s="35"/>
      <c r="CU152" s="52"/>
      <c r="CV152" s="52">
        <v>4663717.1</v>
      </c>
      <c r="CW152" s="53">
        <f>CS152+CV152</f>
        <v>483997449.94</v>
      </c>
      <c r="CX152" s="53">
        <f>CQ152+CV152</f>
        <v>491620494.17</v>
      </c>
      <c r="CY152" s="130"/>
      <c r="CZ152" s="35">
        <f>CS152/CL152</f>
        <v>0.423861466469009</v>
      </c>
      <c r="DA152" s="35">
        <f t="shared" si="88"/>
        <v>0.434726307223346</v>
      </c>
      <c r="DB152" s="250">
        <f>CX152/CO152</f>
        <v>0.674641506392693</v>
      </c>
      <c r="DC152" s="35"/>
      <c r="DD152" s="53"/>
      <c r="DE152" s="53"/>
      <c r="DF152" s="53"/>
      <c r="DG152" s="53"/>
      <c r="DH152" s="53"/>
      <c r="DI152" s="53"/>
      <c r="DJ152" s="130"/>
      <c r="DK152" s="207"/>
      <c r="DL152" s="68"/>
      <c r="DM152" s="68"/>
      <c r="DN152" s="68"/>
      <c r="DO152" s="68"/>
    </row>
    <row r="153" spans="1:119">
      <c r="A153" s="12"/>
      <c r="B153" s="16"/>
      <c r="C153" s="12">
        <v>2019</v>
      </c>
      <c r="D153" s="55"/>
      <c r="E153" s="21"/>
      <c r="F153" s="21"/>
      <c r="G153" s="21"/>
      <c r="H153" s="21"/>
      <c r="I153" s="21"/>
      <c r="J153" s="21"/>
      <c r="K153" s="21"/>
      <c r="L153" s="21"/>
      <c r="M153" s="55">
        <v>1716326457.04</v>
      </c>
      <c r="N153" s="38"/>
      <c r="O153" s="53">
        <v>802957895.91</v>
      </c>
      <c r="P153" s="35"/>
      <c r="Q153" s="53"/>
      <c r="R153" s="35"/>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5"/>
      <c r="AT153" s="35"/>
      <c r="AU153" s="52"/>
      <c r="AV153" s="35"/>
      <c r="AW153" s="35"/>
      <c r="AX153" s="52"/>
      <c r="AY153" s="52"/>
      <c r="AZ153" s="52"/>
      <c r="BA153" s="52"/>
      <c r="BB153" s="38">
        <f t="shared" si="86"/>
        <v>0</v>
      </c>
      <c r="BC153" s="38"/>
      <c r="BD153" s="52"/>
      <c r="BE153" s="52"/>
      <c r="BF153" s="52"/>
      <c r="BG153" s="52"/>
      <c r="BJ153" s="52"/>
      <c r="BK153" s="52"/>
      <c r="BL153" s="35">
        <f t="shared" si="87"/>
        <v>0</v>
      </c>
      <c r="BM153" s="231"/>
      <c r="BN153" s="231"/>
      <c r="BO153" s="234"/>
      <c r="BP153" s="231"/>
      <c r="BQ153" s="231"/>
      <c r="BR153" s="236"/>
      <c r="BS153" s="236"/>
      <c r="BT153" s="236"/>
      <c r="BU153" s="236"/>
      <c r="BV153" s="236"/>
      <c r="BW153" s="236"/>
      <c r="BX153" s="236"/>
      <c r="BY153" s="231"/>
      <c r="BZ153" s="231"/>
      <c r="CA153" s="68"/>
      <c r="CB153" s="68"/>
      <c r="CC153" s="53"/>
      <c r="CD153" s="68"/>
      <c r="CE153" s="68"/>
      <c r="CF153" s="68"/>
      <c r="CG153" s="68"/>
      <c r="CH153" s="68"/>
      <c r="CI153" s="68"/>
      <c r="CJ153" s="68"/>
      <c r="CK153" s="68"/>
      <c r="CL153" s="180">
        <f>O153+AC153</f>
        <v>802957895.91</v>
      </c>
      <c r="CM153" s="35" t="e">
        <f>(CL153-CL154)/CL154</f>
        <v>#DIV/0!</v>
      </c>
      <c r="CN153" s="35"/>
      <c r="CO153" s="52">
        <f>O153+AC153-AQ153</f>
        <v>500052827.12</v>
      </c>
      <c r="CP153" s="36" t="e">
        <f>(CO153-CO154)/CO154</f>
        <v>#DIV/0!</v>
      </c>
      <c r="CQ153" s="52">
        <v>329869420.79</v>
      </c>
      <c r="CR153" s="35"/>
      <c r="CS153" s="52">
        <v>327730633.23</v>
      </c>
      <c r="CT153" s="35"/>
      <c r="CU153" s="52"/>
      <c r="CV153" s="52">
        <v>7989464.51</v>
      </c>
      <c r="CW153" s="53">
        <f>CS153+CV153</f>
        <v>335720097.74</v>
      </c>
      <c r="CX153" s="53">
        <f>CQ153+CV153</f>
        <v>337858885.3</v>
      </c>
      <c r="CY153" s="130"/>
      <c r="CZ153" s="35">
        <f>CS153/CL153</f>
        <v>0.408154194509265</v>
      </c>
      <c r="DA153" s="35">
        <f t="shared" si="88"/>
        <v>0.42076787216483</v>
      </c>
      <c r="DB153" s="250">
        <f>CX153/CO153</f>
        <v>0.675646385694611</v>
      </c>
      <c r="DC153" s="35"/>
      <c r="DD153" s="53"/>
      <c r="DE153" s="53"/>
      <c r="DF153" s="53"/>
      <c r="DG153" s="53"/>
      <c r="DH153" s="53"/>
      <c r="DI153" s="53"/>
      <c r="DJ153" s="130"/>
      <c r="DK153" s="207"/>
      <c r="DL153" s="68"/>
      <c r="DM153" s="68"/>
      <c r="DN153" s="68"/>
      <c r="DO153" s="68"/>
    </row>
    <row r="154" spans="1:119">
      <c r="A154" s="12"/>
      <c r="B154" s="16"/>
      <c r="C154" s="12">
        <v>2018</v>
      </c>
      <c r="D154" s="55"/>
      <c r="E154" s="21"/>
      <c r="F154" s="21"/>
      <c r="G154" s="21"/>
      <c r="H154" s="21"/>
      <c r="I154" s="21"/>
      <c r="J154" s="21"/>
      <c r="K154" s="21"/>
      <c r="L154" s="21"/>
      <c r="M154" s="55"/>
      <c r="N154" s="38"/>
      <c r="O154" s="53"/>
      <c r="P154" s="35"/>
      <c r="Q154" s="53"/>
      <c r="R154" s="35"/>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5"/>
      <c r="AT154" s="35"/>
      <c r="AU154" s="52"/>
      <c r="AV154" s="35"/>
      <c r="AW154" s="35"/>
      <c r="AX154" s="52"/>
      <c r="AY154" s="52"/>
      <c r="AZ154" s="52"/>
      <c r="BA154" s="52"/>
      <c r="BB154" s="38" t="e">
        <f t="shared" si="86"/>
        <v>#DIV/0!</v>
      </c>
      <c r="BC154" s="38"/>
      <c r="BD154" s="52"/>
      <c r="BE154" s="52"/>
      <c r="BF154" s="52"/>
      <c r="BG154" s="52"/>
      <c r="BJ154" s="52"/>
      <c r="BK154" s="52"/>
      <c r="BL154" s="35" t="e">
        <f t="shared" si="87"/>
        <v>#DIV/0!</v>
      </c>
      <c r="BM154" s="231"/>
      <c r="BN154" s="231"/>
      <c r="BO154" s="234"/>
      <c r="BP154" s="231"/>
      <c r="BQ154" s="231"/>
      <c r="BR154" s="236"/>
      <c r="BS154" s="236"/>
      <c r="BT154" s="236"/>
      <c r="BU154" s="236"/>
      <c r="BV154" s="236"/>
      <c r="BW154" s="236"/>
      <c r="BX154" s="236"/>
      <c r="BY154" s="231"/>
      <c r="BZ154" s="231"/>
      <c r="CA154" s="68"/>
      <c r="CB154" s="68"/>
      <c r="CC154" s="53"/>
      <c r="CD154" s="68"/>
      <c r="CE154" s="68"/>
      <c r="CF154" s="68"/>
      <c r="CG154" s="68"/>
      <c r="CH154" s="68"/>
      <c r="CI154" s="68"/>
      <c r="CJ154" s="68"/>
      <c r="CK154" s="68"/>
      <c r="CL154" s="68"/>
      <c r="CM154" s="35"/>
      <c r="CN154" s="35"/>
      <c r="CO154" s="52"/>
      <c r="CP154" s="35"/>
      <c r="CQ154" s="52"/>
      <c r="CR154" s="35"/>
      <c r="CS154" s="52"/>
      <c r="CT154" s="35"/>
      <c r="CU154" s="52"/>
      <c r="CV154" s="52"/>
      <c r="CW154" s="53"/>
      <c r="CX154" s="53"/>
      <c r="CY154" s="130"/>
      <c r="CZ154" s="35"/>
      <c r="DA154" s="35" t="e">
        <f t="shared" si="88"/>
        <v>#DIV/0!</v>
      </c>
      <c r="DB154" s="250"/>
      <c r="DC154" s="35"/>
      <c r="DD154" s="53"/>
      <c r="DE154" s="53"/>
      <c r="DF154" s="53"/>
      <c r="DG154" s="53"/>
      <c r="DH154" s="53"/>
      <c r="DI154" s="53"/>
      <c r="DJ154" s="130"/>
      <c r="DK154" s="207"/>
      <c r="DL154" s="68"/>
      <c r="DM154" s="68"/>
      <c r="DN154" s="68"/>
      <c r="DO154" s="68"/>
    </row>
    <row r="155" spans="1:119">
      <c r="A155" s="12"/>
      <c r="B155" s="16"/>
      <c r="C155" s="12">
        <v>2017</v>
      </c>
      <c r="D155" s="55"/>
      <c r="E155" s="21"/>
      <c r="F155" s="21"/>
      <c r="G155" s="21"/>
      <c r="H155" s="21"/>
      <c r="I155" s="21"/>
      <c r="J155" s="21"/>
      <c r="K155" s="21"/>
      <c r="L155" s="21"/>
      <c r="M155" s="55"/>
      <c r="N155" s="38"/>
      <c r="O155" s="53"/>
      <c r="P155" s="35"/>
      <c r="Q155" s="53"/>
      <c r="R155" s="35"/>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5"/>
      <c r="AT155" s="35"/>
      <c r="AU155" s="52"/>
      <c r="AV155" s="35"/>
      <c r="AW155" s="35"/>
      <c r="AX155" s="52"/>
      <c r="AY155" s="52"/>
      <c r="AZ155" s="52"/>
      <c r="BA155" s="52"/>
      <c r="BB155" s="38" t="e">
        <f t="shared" si="86"/>
        <v>#DIV/0!</v>
      </c>
      <c r="BC155" s="38"/>
      <c r="BD155" s="52"/>
      <c r="BE155" s="52"/>
      <c r="BF155" s="52"/>
      <c r="BG155" s="52"/>
      <c r="BJ155" s="52"/>
      <c r="BK155" s="52"/>
      <c r="BL155" s="35" t="e">
        <f t="shared" si="87"/>
        <v>#DIV/0!</v>
      </c>
      <c r="BM155" s="231"/>
      <c r="BN155" s="231"/>
      <c r="BO155" s="234"/>
      <c r="BP155" s="231"/>
      <c r="BQ155" s="231"/>
      <c r="BR155" s="236"/>
      <c r="BS155" s="236"/>
      <c r="BT155" s="236"/>
      <c r="BU155" s="236"/>
      <c r="BV155" s="236"/>
      <c r="BW155" s="236"/>
      <c r="BX155" s="236"/>
      <c r="BY155" s="231"/>
      <c r="BZ155" s="231"/>
      <c r="CA155" s="68"/>
      <c r="CB155" s="68"/>
      <c r="CC155" s="53"/>
      <c r="CD155" s="68"/>
      <c r="CE155" s="68"/>
      <c r="CF155" s="68"/>
      <c r="CG155" s="68"/>
      <c r="CH155" s="68"/>
      <c r="CI155" s="68"/>
      <c r="CJ155" s="68"/>
      <c r="CK155" s="68"/>
      <c r="CL155" s="68"/>
      <c r="CM155" s="35"/>
      <c r="CN155" s="35"/>
      <c r="CO155" s="52"/>
      <c r="CP155" s="35"/>
      <c r="CQ155" s="52"/>
      <c r="CR155" s="35"/>
      <c r="CS155" s="52"/>
      <c r="CT155" s="35"/>
      <c r="CU155" s="52"/>
      <c r="CV155" s="52"/>
      <c r="CW155" s="53"/>
      <c r="CX155" s="53"/>
      <c r="CY155" s="130"/>
      <c r="CZ155" s="35"/>
      <c r="DA155" s="35" t="e">
        <f t="shared" si="88"/>
        <v>#DIV/0!</v>
      </c>
      <c r="DB155" s="250"/>
      <c r="DC155" s="35"/>
      <c r="DD155" s="53"/>
      <c r="DE155" s="53"/>
      <c r="DF155" s="53"/>
      <c r="DG155" s="53"/>
      <c r="DH155" s="53"/>
      <c r="DI155" s="53"/>
      <c r="DJ155" s="130"/>
      <c r="DK155" s="207"/>
      <c r="DL155" s="68"/>
      <c r="DM155" s="68"/>
      <c r="DN155" s="68"/>
      <c r="DO155" s="68"/>
    </row>
    <row r="156" spans="1:119">
      <c r="A156" s="12"/>
      <c r="B156" s="16"/>
      <c r="C156" s="12">
        <v>2016</v>
      </c>
      <c r="D156" s="55"/>
      <c r="E156" s="21"/>
      <c r="F156" s="21"/>
      <c r="G156" s="21"/>
      <c r="H156" s="21"/>
      <c r="I156" s="21"/>
      <c r="J156" s="21"/>
      <c r="K156" s="21"/>
      <c r="L156" s="21"/>
      <c r="M156" s="55"/>
      <c r="N156" s="38"/>
      <c r="O156" s="53"/>
      <c r="P156" s="35"/>
      <c r="Q156" s="53"/>
      <c r="R156" s="35"/>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5"/>
      <c r="AT156" s="35"/>
      <c r="AU156" s="52"/>
      <c r="AV156" s="35"/>
      <c r="AW156" s="35"/>
      <c r="AX156" s="52"/>
      <c r="AY156" s="52"/>
      <c r="AZ156" s="52"/>
      <c r="BA156" s="52"/>
      <c r="BB156" s="38" t="e">
        <f t="shared" si="86"/>
        <v>#DIV/0!</v>
      </c>
      <c r="BC156" s="38"/>
      <c r="BD156" s="52"/>
      <c r="BE156" s="52"/>
      <c r="BF156" s="52"/>
      <c r="BG156" s="52"/>
      <c r="BJ156" s="52"/>
      <c r="BK156" s="52"/>
      <c r="BL156" s="35" t="e">
        <f t="shared" si="87"/>
        <v>#DIV/0!</v>
      </c>
      <c r="BM156" s="231"/>
      <c r="BN156" s="231"/>
      <c r="BO156" s="234"/>
      <c r="BP156" s="231"/>
      <c r="BQ156" s="231"/>
      <c r="BR156" s="236"/>
      <c r="BS156" s="236"/>
      <c r="BT156" s="236"/>
      <c r="BU156" s="236"/>
      <c r="BV156" s="236"/>
      <c r="BW156" s="236"/>
      <c r="BX156" s="236"/>
      <c r="BY156" s="231"/>
      <c r="BZ156" s="231"/>
      <c r="CA156" s="68"/>
      <c r="CB156" s="68"/>
      <c r="CC156" s="53"/>
      <c r="CD156" s="68"/>
      <c r="CE156" s="68"/>
      <c r="CF156" s="68"/>
      <c r="CG156" s="68"/>
      <c r="CH156" s="68"/>
      <c r="CI156" s="68"/>
      <c r="CJ156" s="68"/>
      <c r="CK156" s="68"/>
      <c r="CL156" s="68"/>
      <c r="CM156" s="35"/>
      <c r="CN156" s="35"/>
      <c r="CO156" s="52"/>
      <c r="CP156" s="35"/>
      <c r="CQ156" s="52"/>
      <c r="CR156" s="35"/>
      <c r="CS156" s="52"/>
      <c r="CT156" s="35"/>
      <c r="CU156" s="52"/>
      <c r="CV156" s="52"/>
      <c r="CW156" s="53"/>
      <c r="CX156" s="53"/>
      <c r="CY156" s="130"/>
      <c r="CZ156" s="35"/>
      <c r="DA156" s="35" t="e">
        <f t="shared" si="88"/>
        <v>#DIV/0!</v>
      </c>
      <c r="DB156" s="250"/>
      <c r="DC156" s="35"/>
      <c r="DD156" s="53"/>
      <c r="DE156" s="53"/>
      <c r="DF156" s="53"/>
      <c r="DG156" s="53"/>
      <c r="DH156" s="53"/>
      <c r="DI156" s="53"/>
      <c r="DJ156" s="130"/>
      <c r="DK156" s="207"/>
      <c r="DL156" s="68"/>
      <c r="DM156" s="68"/>
      <c r="DN156" s="68"/>
      <c r="DO156" s="68"/>
    </row>
    <row r="157" spans="1:119">
      <c r="A157" s="12"/>
      <c r="B157" s="16"/>
      <c r="C157" s="12">
        <v>2015</v>
      </c>
      <c r="D157" s="55"/>
      <c r="E157" s="21"/>
      <c r="F157" s="21"/>
      <c r="G157" s="21"/>
      <c r="H157" s="21"/>
      <c r="I157" s="21"/>
      <c r="J157" s="21"/>
      <c r="K157" s="21"/>
      <c r="L157" s="21"/>
      <c r="M157" s="55"/>
      <c r="N157" s="38"/>
      <c r="O157" s="53"/>
      <c r="P157" s="35"/>
      <c r="Q157" s="53"/>
      <c r="R157" s="35"/>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5"/>
      <c r="AT157" s="35"/>
      <c r="AU157" s="52"/>
      <c r="AV157" s="35"/>
      <c r="AW157" s="35"/>
      <c r="AX157" s="52"/>
      <c r="AY157" s="52"/>
      <c r="AZ157" s="52"/>
      <c r="BA157" s="52"/>
      <c r="BB157" s="38" t="e">
        <f t="shared" si="86"/>
        <v>#DIV/0!</v>
      </c>
      <c r="BC157" s="38"/>
      <c r="BD157" s="52"/>
      <c r="BE157" s="52"/>
      <c r="BF157" s="52"/>
      <c r="BG157" s="52"/>
      <c r="BJ157" s="52"/>
      <c r="BK157" s="52"/>
      <c r="BL157" s="35" t="e">
        <f t="shared" si="87"/>
        <v>#DIV/0!</v>
      </c>
      <c r="BM157" s="231"/>
      <c r="BN157" s="231"/>
      <c r="BO157" s="234"/>
      <c r="BP157" s="231"/>
      <c r="BQ157" s="231"/>
      <c r="BR157" s="236"/>
      <c r="BS157" s="236"/>
      <c r="BT157" s="236"/>
      <c r="BU157" s="236"/>
      <c r="BV157" s="236"/>
      <c r="BW157" s="236"/>
      <c r="BX157" s="236"/>
      <c r="BY157" s="231"/>
      <c r="BZ157" s="231"/>
      <c r="CA157" s="68"/>
      <c r="CB157" s="68"/>
      <c r="CC157" s="53"/>
      <c r="CD157" s="68"/>
      <c r="CE157" s="68"/>
      <c r="CF157" s="68"/>
      <c r="CG157" s="68"/>
      <c r="CH157" s="68"/>
      <c r="CI157" s="68"/>
      <c r="CJ157" s="68"/>
      <c r="CK157" s="68"/>
      <c r="CL157" s="68"/>
      <c r="CM157" s="35"/>
      <c r="CN157" s="35"/>
      <c r="CO157" s="52"/>
      <c r="CP157" s="35"/>
      <c r="CQ157" s="52"/>
      <c r="CR157" s="35"/>
      <c r="CS157" s="52"/>
      <c r="CT157" s="35"/>
      <c r="CU157" s="52"/>
      <c r="CV157" s="52"/>
      <c r="CW157" s="53"/>
      <c r="CX157" s="53"/>
      <c r="CY157" s="130"/>
      <c r="CZ157" s="35"/>
      <c r="DA157" s="35" t="e">
        <f t="shared" si="88"/>
        <v>#DIV/0!</v>
      </c>
      <c r="DB157" s="250"/>
      <c r="DC157" s="35"/>
      <c r="DD157" s="53"/>
      <c r="DE157" s="53"/>
      <c r="DF157" s="53"/>
      <c r="DG157" s="53"/>
      <c r="DH157" s="53"/>
      <c r="DI157" s="53"/>
      <c r="DJ157" s="130"/>
      <c r="DK157" s="207"/>
      <c r="DL157" s="68"/>
      <c r="DM157" s="68"/>
      <c r="DN157" s="68"/>
      <c r="DO157" s="68"/>
    </row>
    <row r="158" spans="1:119">
      <c r="A158" s="12"/>
      <c r="B158" s="16"/>
      <c r="C158" s="12">
        <v>2014</v>
      </c>
      <c r="D158" s="55"/>
      <c r="E158" s="21"/>
      <c r="F158" s="21"/>
      <c r="G158" s="21"/>
      <c r="H158" s="21"/>
      <c r="I158" s="21"/>
      <c r="J158" s="21"/>
      <c r="K158" s="21"/>
      <c r="L158" s="21"/>
      <c r="M158" s="55"/>
      <c r="N158" s="38"/>
      <c r="O158" s="53"/>
      <c r="P158" s="35"/>
      <c r="Q158" s="53"/>
      <c r="R158" s="35"/>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5"/>
      <c r="AT158" s="35"/>
      <c r="AU158" s="52"/>
      <c r="AV158" s="35"/>
      <c r="AW158" s="35"/>
      <c r="AX158" s="52"/>
      <c r="AY158" s="52"/>
      <c r="AZ158" s="52"/>
      <c r="BA158" s="52"/>
      <c r="BB158" s="38" t="e">
        <f t="shared" si="86"/>
        <v>#DIV/0!</v>
      </c>
      <c r="BC158" s="38"/>
      <c r="BD158" s="52"/>
      <c r="BE158" s="52"/>
      <c r="BF158" s="52"/>
      <c r="BG158" s="52"/>
      <c r="BJ158" s="52"/>
      <c r="BK158" s="52"/>
      <c r="BL158" s="35" t="e">
        <f t="shared" si="87"/>
        <v>#DIV/0!</v>
      </c>
      <c r="BM158" s="231"/>
      <c r="BN158" s="231"/>
      <c r="BO158" s="234"/>
      <c r="BP158" s="231"/>
      <c r="BQ158" s="231"/>
      <c r="BR158" s="236"/>
      <c r="BS158" s="236"/>
      <c r="BT158" s="236"/>
      <c r="BU158" s="236"/>
      <c r="BV158" s="236"/>
      <c r="BW158" s="236"/>
      <c r="BX158" s="236"/>
      <c r="BY158" s="231"/>
      <c r="BZ158" s="231"/>
      <c r="CA158" s="68"/>
      <c r="CB158" s="68"/>
      <c r="CC158" s="53"/>
      <c r="CD158" s="68"/>
      <c r="CE158" s="68"/>
      <c r="CF158" s="68"/>
      <c r="CG158" s="68"/>
      <c r="CH158" s="68"/>
      <c r="CI158" s="68"/>
      <c r="CJ158" s="68"/>
      <c r="CK158" s="68"/>
      <c r="CL158" s="68"/>
      <c r="CM158" s="35"/>
      <c r="CN158" s="35"/>
      <c r="CO158" s="52"/>
      <c r="CP158" s="35"/>
      <c r="CQ158" s="52"/>
      <c r="CR158" s="35"/>
      <c r="CS158" s="52"/>
      <c r="CT158" s="35"/>
      <c r="CU158" s="52"/>
      <c r="CV158" s="52"/>
      <c r="CW158" s="53"/>
      <c r="CX158" s="53"/>
      <c r="CY158" s="130"/>
      <c r="CZ158" s="35"/>
      <c r="DA158" s="35" t="e">
        <f t="shared" si="88"/>
        <v>#DIV/0!</v>
      </c>
      <c r="DB158" s="250"/>
      <c r="DC158" s="35"/>
      <c r="DD158" s="53"/>
      <c r="DE158" s="53"/>
      <c r="DF158" s="53"/>
      <c r="DG158" s="53"/>
      <c r="DH158" s="53"/>
      <c r="DI158" s="53"/>
      <c r="DJ158" s="130"/>
      <c r="DK158" s="207"/>
      <c r="DL158" s="68"/>
      <c r="DM158" s="68"/>
      <c r="DN158" s="68"/>
      <c r="DO158" s="68"/>
    </row>
    <row r="159" spans="1:119">
      <c r="A159" s="12"/>
      <c r="B159" s="16"/>
      <c r="C159" s="12">
        <v>2013</v>
      </c>
      <c r="D159" s="55"/>
      <c r="E159" s="21"/>
      <c r="F159" s="21"/>
      <c r="G159" s="21"/>
      <c r="H159" s="21"/>
      <c r="I159" s="21"/>
      <c r="J159" s="21"/>
      <c r="K159" s="21"/>
      <c r="L159" s="21"/>
      <c r="M159" s="55"/>
      <c r="N159" s="38"/>
      <c r="O159" s="53"/>
      <c r="P159" s="35"/>
      <c r="Q159" s="53"/>
      <c r="R159" s="35"/>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5"/>
      <c r="AT159" s="35"/>
      <c r="AU159" s="52"/>
      <c r="AV159" s="35"/>
      <c r="AW159" s="35"/>
      <c r="AX159" s="52"/>
      <c r="AY159" s="52"/>
      <c r="AZ159" s="52"/>
      <c r="BA159" s="52"/>
      <c r="BB159" s="38" t="e">
        <f t="shared" si="86"/>
        <v>#DIV/0!</v>
      </c>
      <c r="BC159" s="38"/>
      <c r="BD159" s="52"/>
      <c r="BE159" s="52"/>
      <c r="BF159" s="52"/>
      <c r="BG159" s="52"/>
      <c r="BJ159" s="52"/>
      <c r="BK159" s="52"/>
      <c r="BL159" s="35" t="e">
        <f t="shared" si="87"/>
        <v>#DIV/0!</v>
      </c>
      <c r="BM159" s="231"/>
      <c r="BN159" s="231"/>
      <c r="BO159" s="234"/>
      <c r="BP159" s="231"/>
      <c r="BQ159" s="231"/>
      <c r="BR159" s="236"/>
      <c r="BS159" s="236"/>
      <c r="BT159" s="236"/>
      <c r="BU159" s="236"/>
      <c r="BV159" s="236"/>
      <c r="BW159" s="236"/>
      <c r="BX159" s="236"/>
      <c r="BY159" s="231"/>
      <c r="BZ159" s="231"/>
      <c r="CA159" s="68"/>
      <c r="CB159" s="68"/>
      <c r="CC159" s="53"/>
      <c r="CD159" s="68"/>
      <c r="CE159" s="68"/>
      <c r="CF159" s="68"/>
      <c r="CG159" s="68"/>
      <c r="CH159" s="68"/>
      <c r="CI159" s="68"/>
      <c r="CJ159" s="68"/>
      <c r="CK159" s="68"/>
      <c r="CL159" s="68"/>
      <c r="CM159" s="35"/>
      <c r="CN159" s="35"/>
      <c r="CO159" s="52"/>
      <c r="CP159" s="35"/>
      <c r="CQ159" s="52"/>
      <c r="CR159" s="35"/>
      <c r="CS159" s="52"/>
      <c r="CT159" s="35"/>
      <c r="CU159" s="52"/>
      <c r="CV159" s="52"/>
      <c r="CW159" s="53"/>
      <c r="CX159" s="53"/>
      <c r="CY159" s="130"/>
      <c r="CZ159" s="35"/>
      <c r="DA159" s="35" t="e">
        <f t="shared" si="88"/>
        <v>#DIV/0!</v>
      </c>
      <c r="DB159" s="250"/>
      <c r="DC159" s="35"/>
      <c r="DD159" s="53"/>
      <c r="DE159" s="53"/>
      <c r="DF159" s="53"/>
      <c r="DG159" s="53"/>
      <c r="DH159" s="53"/>
      <c r="DI159" s="53"/>
      <c r="DJ159" s="130"/>
      <c r="DK159" s="207"/>
      <c r="DL159" s="68"/>
      <c r="DM159" s="68"/>
      <c r="DN159" s="68"/>
      <c r="DO159" s="68"/>
    </row>
    <row r="160" spans="1:119">
      <c r="A160" s="12"/>
      <c r="B160" s="16"/>
      <c r="C160" s="12">
        <v>2012</v>
      </c>
      <c r="D160" s="55"/>
      <c r="E160" s="21"/>
      <c r="F160" s="21"/>
      <c r="G160" s="21"/>
      <c r="H160" s="21"/>
      <c r="I160" s="21"/>
      <c r="J160" s="21"/>
      <c r="K160" s="21"/>
      <c r="L160" s="21"/>
      <c r="M160" s="55"/>
      <c r="N160" s="38"/>
      <c r="O160" s="53"/>
      <c r="P160" s="35"/>
      <c r="Q160" s="53"/>
      <c r="R160" s="35"/>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5"/>
      <c r="AT160" s="35"/>
      <c r="AU160" s="52"/>
      <c r="AV160" s="35"/>
      <c r="AW160" s="35"/>
      <c r="AX160" s="52"/>
      <c r="AY160" s="52"/>
      <c r="AZ160" s="52"/>
      <c r="BA160" s="52"/>
      <c r="BB160" s="38" t="e">
        <f t="shared" si="86"/>
        <v>#DIV/0!</v>
      </c>
      <c r="BC160" s="38"/>
      <c r="BD160" s="52"/>
      <c r="BE160" s="52"/>
      <c r="BF160" s="52"/>
      <c r="BG160" s="52"/>
      <c r="BJ160" s="52"/>
      <c r="BK160" s="52"/>
      <c r="BL160" s="35" t="e">
        <f t="shared" si="87"/>
        <v>#DIV/0!</v>
      </c>
      <c r="BM160" s="231"/>
      <c r="BN160" s="231"/>
      <c r="BO160" s="234"/>
      <c r="BP160" s="231"/>
      <c r="BQ160" s="231"/>
      <c r="BR160" s="236"/>
      <c r="BS160" s="236"/>
      <c r="BT160" s="236"/>
      <c r="BU160" s="236"/>
      <c r="BV160" s="236"/>
      <c r="BW160" s="236"/>
      <c r="BX160" s="236"/>
      <c r="BY160" s="231"/>
      <c r="BZ160" s="231"/>
      <c r="CA160" s="68"/>
      <c r="CB160" s="68"/>
      <c r="CC160" s="53"/>
      <c r="CD160" s="68"/>
      <c r="CE160" s="68"/>
      <c r="CF160" s="68"/>
      <c r="CG160" s="68"/>
      <c r="CH160" s="68"/>
      <c r="CI160" s="68"/>
      <c r="CJ160" s="68"/>
      <c r="CK160" s="68"/>
      <c r="CL160" s="68"/>
      <c r="CM160" s="35"/>
      <c r="CN160" s="35"/>
      <c r="CO160" s="52"/>
      <c r="CP160" s="35"/>
      <c r="CQ160" s="52"/>
      <c r="CR160" s="35"/>
      <c r="CS160" s="52"/>
      <c r="CT160" s="35"/>
      <c r="CU160" s="52"/>
      <c r="CV160" s="52"/>
      <c r="CW160" s="53"/>
      <c r="CX160" s="53"/>
      <c r="CY160" s="130"/>
      <c r="CZ160" s="35"/>
      <c r="DA160" s="35" t="e">
        <f t="shared" si="88"/>
        <v>#DIV/0!</v>
      </c>
      <c r="DB160" s="250"/>
      <c r="DC160" s="35"/>
      <c r="DD160" s="53"/>
      <c r="DE160" s="53"/>
      <c r="DF160" s="53"/>
      <c r="DG160" s="53"/>
      <c r="DH160" s="53"/>
      <c r="DI160" s="53"/>
      <c r="DJ160" s="130"/>
      <c r="DK160" s="207"/>
      <c r="DL160" s="68"/>
      <c r="DM160" s="68"/>
      <c r="DN160" s="68"/>
      <c r="DO160" s="68"/>
    </row>
    <row r="161" spans="1:105">
      <c r="A161" s="12"/>
      <c r="B161" s="12" t="s">
        <v>144</v>
      </c>
      <c r="C161" s="12">
        <v>2022</v>
      </c>
      <c r="D161" s="55"/>
      <c r="E161" s="21"/>
      <c r="F161" s="21"/>
      <c r="G161" s="21"/>
      <c r="H161" s="21"/>
      <c r="I161" s="21"/>
      <c r="J161" s="21"/>
      <c r="K161" s="21"/>
      <c r="L161" s="21"/>
      <c r="M161" s="55"/>
      <c r="N161" s="38"/>
      <c r="O161" s="53"/>
      <c r="P161" s="35"/>
      <c r="Q161" s="53"/>
      <c r="R161" s="35"/>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5"/>
      <c r="AT161" s="35"/>
      <c r="AU161" s="52"/>
      <c r="AV161" s="35"/>
      <c r="AW161" s="35"/>
      <c r="AX161" s="52"/>
      <c r="AY161" s="52"/>
      <c r="AZ161" s="52"/>
      <c r="BA161" s="52"/>
      <c r="BB161" s="231"/>
      <c r="BC161" s="231"/>
      <c r="BD161" s="52"/>
      <c r="BE161" s="52"/>
      <c r="BF161" s="52"/>
      <c r="BG161" s="52"/>
      <c r="BJ161" s="52"/>
      <c r="BK161" s="52"/>
      <c r="BL161" s="231"/>
      <c r="BM161" s="231"/>
      <c r="BN161" s="231"/>
      <c r="BO161" s="234"/>
      <c r="BP161" s="231"/>
      <c r="BQ161" s="231"/>
      <c r="BR161" s="236"/>
      <c r="BS161" s="236"/>
      <c r="BT161" s="236"/>
      <c r="BU161" s="236"/>
      <c r="BV161" s="236"/>
      <c r="BW161" s="236"/>
      <c r="BX161" s="236"/>
      <c r="BY161" s="231"/>
      <c r="BZ161" s="231"/>
      <c r="CA161" s="68"/>
      <c r="CB161" s="68"/>
      <c r="CC161" s="53"/>
      <c r="CD161" s="68"/>
      <c r="CE161" s="68"/>
      <c r="CF161" s="68"/>
      <c r="CG161" s="68"/>
      <c r="CH161" s="68"/>
      <c r="CI161" s="68"/>
      <c r="CJ161" s="68"/>
      <c r="CK161" s="68"/>
      <c r="CL161" s="68"/>
      <c r="CM161" s="35"/>
      <c r="CN161" s="35"/>
      <c r="CO161" s="52"/>
      <c r="CP161" s="35"/>
      <c r="CQ161" s="52"/>
      <c r="CR161" s="35"/>
      <c r="CS161" s="52"/>
      <c r="CT161" s="35"/>
      <c r="CU161" s="52"/>
      <c r="CV161" s="52"/>
      <c r="CW161" s="53"/>
      <c r="CX161" s="53"/>
      <c r="CY161" s="130"/>
      <c r="CZ161" s="35"/>
      <c r="DA161" s="35" t="e">
        <f t="shared" si="88"/>
        <v>#DIV/0!</v>
      </c>
    </row>
    <row r="162" spans="1:105">
      <c r="A162" s="12"/>
      <c r="B162" s="12"/>
      <c r="C162" s="12">
        <v>2021</v>
      </c>
      <c r="D162" s="55"/>
      <c r="E162" s="21"/>
      <c r="F162" s="21"/>
      <c r="G162" s="21"/>
      <c r="H162" s="21"/>
      <c r="I162" s="21"/>
      <c r="J162" s="21"/>
      <c r="K162" s="21"/>
      <c r="L162" s="21"/>
      <c r="M162" s="55"/>
      <c r="N162" s="38"/>
      <c r="O162" s="53"/>
      <c r="P162" s="35"/>
      <c r="Q162" s="53"/>
      <c r="R162" s="35"/>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5"/>
      <c r="AT162" s="35"/>
      <c r="AU162" s="52"/>
      <c r="AV162" s="35"/>
      <c r="AW162" s="35"/>
      <c r="AX162" s="52"/>
      <c r="AY162" s="52"/>
      <c r="AZ162" s="52"/>
      <c r="BA162" s="52"/>
      <c r="BB162" s="231"/>
      <c r="BC162" s="231"/>
      <c r="BD162" s="52"/>
      <c r="BE162" s="52"/>
      <c r="BF162" s="52"/>
      <c r="BG162" s="52"/>
      <c r="BJ162" s="52"/>
      <c r="BK162" s="52"/>
      <c r="BL162" s="231"/>
      <c r="BM162" s="231"/>
      <c r="BN162" s="231"/>
      <c r="BO162" s="234"/>
      <c r="BP162" s="231"/>
      <c r="BQ162" s="231"/>
      <c r="BR162" s="236"/>
      <c r="BS162" s="236"/>
      <c r="BT162" s="236"/>
      <c r="BU162" s="236"/>
      <c r="BV162" s="236"/>
      <c r="BW162" s="236"/>
      <c r="BX162" s="236"/>
      <c r="BY162" s="231"/>
      <c r="BZ162" s="231"/>
      <c r="CA162" s="68"/>
      <c r="CB162" s="68"/>
      <c r="CC162" s="53"/>
      <c r="CD162" s="68"/>
      <c r="CE162" s="68"/>
      <c r="CF162" s="68"/>
      <c r="CG162" s="68"/>
      <c r="CH162" s="68"/>
      <c r="CI162" s="68"/>
      <c r="CJ162" s="68"/>
      <c r="CK162" s="68"/>
      <c r="CL162" s="68"/>
      <c r="CM162" s="35"/>
      <c r="CN162" s="35"/>
      <c r="CO162" s="52"/>
      <c r="CP162" s="35"/>
      <c r="CQ162" s="52"/>
      <c r="CR162" s="35"/>
      <c r="CS162" s="52"/>
      <c r="CT162" s="35"/>
      <c r="CU162" s="52"/>
      <c r="CV162" s="52"/>
      <c r="CW162" s="53"/>
      <c r="CX162" s="53"/>
      <c r="CY162" s="130"/>
      <c r="CZ162" s="35"/>
      <c r="DA162" s="35" t="e">
        <f t="shared" si="88"/>
        <v>#DIV/0!</v>
      </c>
    </row>
    <row r="163" spans="1:105">
      <c r="A163" s="12"/>
      <c r="B163" s="12"/>
      <c r="C163" s="12">
        <v>2020</v>
      </c>
      <c r="D163" s="55"/>
      <c r="E163" s="21"/>
      <c r="F163" s="21"/>
      <c r="G163" s="21"/>
      <c r="H163" s="21"/>
      <c r="I163" s="21"/>
      <c r="J163" s="21"/>
      <c r="K163" s="21"/>
      <c r="L163" s="21"/>
      <c r="M163" s="55"/>
      <c r="N163" s="38"/>
      <c r="O163" s="53"/>
      <c r="P163" s="35"/>
      <c r="Q163" s="53"/>
      <c r="R163" s="35"/>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5"/>
      <c r="AT163" s="35"/>
      <c r="AU163" s="52"/>
      <c r="AV163" s="35"/>
      <c r="AW163" s="35"/>
      <c r="AX163" s="52"/>
      <c r="AY163" s="52"/>
      <c r="AZ163" s="52"/>
      <c r="BA163" s="52"/>
      <c r="BB163" s="231"/>
      <c r="BC163" s="231"/>
      <c r="BD163" s="52"/>
      <c r="BE163" s="52"/>
      <c r="BF163" s="52"/>
      <c r="BG163" s="52"/>
      <c r="BJ163" s="52"/>
      <c r="BK163" s="52"/>
      <c r="BL163" s="231"/>
      <c r="BM163" s="231"/>
      <c r="BN163" s="231"/>
      <c r="BO163" s="234"/>
      <c r="BP163" s="231"/>
      <c r="BQ163" s="231"/>
      <c r="BR163" s="236"/>
      <c r="BS163" s="236"/>
      <c r="BT163" s="236"/>
      <c r="BU163" s="236"/>
      <c r="BV163" s="236"/>
      <c r="BW163" s="236"/>
      <c r="BX163" s="236"/>
      <c r="BY163" s="231"/>
      <c r="BZ163" s="231"/>
      <c r="CA163" s="68"/>
      <c r="CB163" s="68"/>
      <c r="CC163" s="53"/>
      <c r="CD163" s="68"/>
      <c r="CE163" s="68"/>
      <c r="CF163" s="68"/>
      <c r="CG163" s="68"/>
      <c r="CH163" s="68"/>
      <c r="CI163" s="68"/>
      <c r="CJ163" s="68"/>
      <c r="CK163" s="68"/>
      <c r="CL163" s="68"/>
      <c r="CM163" s="35"/>
      <c r="CN163" s="35"/>
      <c r="CO163" s="52"/>
      <c r="CP163" s="35"/>
      <c r="CQ163" s="52"/>
      <c r="CR163" s="35"/>
      <c r="CS163" s="52"/>
      <c r="CT163" s="35"/>
      <c r="CU163" s="52"/>
      <c r="CV163" s="52"/>
      <c r="CW163" s="53"/>
      <c r="CX163" s="53"/>
      <c r="CY163" s="130"/>
      <c r="CZ163" s="35"/>
      <c r="DA163" s="35" t="e">
        <f t="shared" si="88"/>
        <v>#DIV/0!</v>
      </c>
    </row>
    <row r="164" spans="1:105">
      <c r="A164" s="12"/>
      <c r="B164" s="12"/>
      <c r="C164" s="12">
        <v>2019</v>
      </c>
      <c r="D164" s="55"/>
      <c r="E164" s="21"/>
      <c r="F164" s="21"/>
      <c r="G164" s="21"/>
      <c r="H164" s="21"/>
      <c r="I164" s="21"/>
      <c r="J164" s="21"/>
      <c r="K164" s="21"/>
      <c r="L164" s="21"/>
      <c r="M164" s="55"/>
      <c r="N164" s="38"/>
      <c r="O164" s="53"/>
      <c r="P164" s="35"/>
      <c r="Q164" s="53"/>
      <c r="R164" s="35"/>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5"/>
      <c r="AT164" s="35"/>
      <c r="AU164" s="52"/>
      <c r="AV164" s="35"/>
      <c r="AW164" s="35"/>
      <c r="AX164" s="52"/>
      <c r="AY164" s="52"/>
      <c r="AZ164" s="52"/>
      <c r="BA164" s="52"/>
      <c r="BB164" s="231"/>
      <c r="BC164" s="231"/>
      <c r="BD164" s="52"/>
      <c r="BE164" s="52"/>
      <c r="BF164" s="52"/>
      <c r="BG164" s="52"/>
      <c r="BJ164" s="52"/>
      <c r="BK164" s="52"/>
      <c r="BL164" s="231"/>
      <c r="BM164" s="231"/>
      <c r="BN164" s="231"/>
      <c r="BO164" s="234"/>
      <c r="BP164" s="231"/>
      <c r="BQ164" s="231"/>
      <c r="BR164" s="236"/>
      <c r="BS164" s="236"/>
      <c r="BT164" s="236"/>
      <c r="BU164" s="236"/>
      <c r="BV164" s="236"/>
      <c r="BW164" s="236"/>
      <c r="BX164" s="236"/>
      <c r="BY164" s="231"/>
      <c r="BZ164" s="231"/>
      <c r="CA164" s="68"/>
      <c r="CB164" s="68"/>
      <c r="CC164" s="53"/>
      <c r="CD164" s="68"/>
      <c r="CE164" s="68"/>
      <c r="CF164" s="68"/>
      <c r="CG164" s="68"/>
      <c r="CH164" s="68"/>
      <c r="CI164" s="68"/>
      <c r="CJ164" s="68"/>
      <c r="CK164" s="68"/>
      <c r="CL164" s="68"/>
      <c r="CM164" s="35"/>
      <c r="CN164" s="35"/>
      <c r="CO164" s="52"/>
      <c r="CP164" s="35"/>
      <c r="CQ164" s="52"/>
      <c r="CR164" s="35"/>
      <c r="CS164" s="52"/>
      <c r="CT164" s="35"/>
      <c r="CU164" s="52"/>
      <c r="CV164" s="52"/>
      <c r="CW164" s="53"/>
      <c r="CX164" s="53"/>
      <c r="CY164" s="130"/>
      <c r="CZ164" s="35"/>
      <c r="DA164" s="35" t="e">
        <f t="shared" si="88"/>
        <v>#DIV/0!</v>
      </c>
    </row>
    <row r="165" spans="1:105">
      <c r="A165" s="12"/>
      <c r="B165" s="12"/>
      <c r="C165" s="12">
        <v>2018</v>
      </c>
      <c r="D165" s="55"/>
      <c r="E165" s="21"/>
      <c r="F165" s="21"/>
      <c r="G165" s="21"/>
      <c r="H165" s="21"/>
      <c r="I165" s="21"/>
      <c r="J165" s="21"/>
      <c r="K165" s="21"/>
      <c r="L165" s="21"/>
      <c r="M165" s="55"/>
      <c r="N165" s="38"/>
      <c r="O165" s="53"/>
      <c r="P165" s="35"/>
      <c r="Q165" s="53"/>
      <c r="R165" s="35"/>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5"/>
      <c r="AT165" s="35"/>
      <c r="AU165" s="52"/>
      <c r="AV165" s="35"/>
      <c r="AW165" s="35"/>
      <c r="AX165" s="52"/>
      <c r="AY165" s="52"/>
      <c r="AZ165" s="52"/>
      <c r="BA165" s="52"/>
      <c r="BB165" s="231"/>
      <c r="BC165" s="231"/>
      <c r="BD165" s="52"/>
      <c r="BE165" s="52"/>
      <c r="BF165" s="52"/>
      <c r="BG165" s="52"/>
      <c r="BJ165" s="52"/>
      <c r="BK165" s="52"/>
      <c r="BL165" s="231"/>
      <c r="BM165" s="231"/>
      <c r="BN165" s="231"/>
      <c r="BO165" s="234"/>
      <c r="BP165" s="231"/>
      <c r="BQ165" s="231"/>
      <c r="BR165" s="236"/>
      <c r="BS165" s="236"/>
      <c r="BT165" s="236"/>
      <c r="BU165" s="236"/>
      <c r="BV165" s="236"/>
      <c r="BW165" s="236"/>
      <c r="BX165" s="236"/>
      <c r="BY165" s="231"/>
      <c r="BZ165" s="231"/>
      <c r="CA165" s="68"/>
      <c r="CB165" s="68"/>
      <c r="CC165" s="53"/>
      <c r="CD165" s="68"/>
      <c r="CE165" s="68"/>
      <c r="CF165" s="68"/>
      <c r="CG165" s="68"/>
      <c r="CH165" s="68"/>
      <c r="CI165" s="68"/>
      <c r="CJ165" s="68"/>
      <c r="CK165" s="68"/>
      <c r="CL165" s="68"/>
      <c r="CM165" s="35"/>
      <c r="CN165" s="35"/>
      <c r="CO165" s="52"/>
      <c r="CP165" s="35"/>
      <c r="CQ165" s="52"/>
      <c r="CR165" s="35"/>
      <c r="CS165" s="52"/>
      <c r="CT165" s="35"/>
      <c r="CU165" s="52"/>
      <c r="CV165" s="52"/>
      <c r="CW165" s="53"/>
      <c r="CX165" s="53"/>
      <c r="CY165" s="130"/>
      <c r="CZ165" s="35"/>
      <c r="DA165" s="35" t="e">
        <f t="shared" si="88"/>
        <v>#DIV/0!</v>
      </c>
    </row>
    <row r="166" spans="1:105">
      <c r="A166" s="12"/>
      <c r="B166" s="12"/>
      <c r="C166" s="12">
        <v>2017</v>
      </c>
      <c r="D166" s="55"/>
      <c r="E166" s="21"/>
      <c r="F166" s="21"/>
      <c r="G166" s="21"/>
      <c r="H166" s="21"/>
      <c r="I166" s="21"/>
      <c r="J166" s="21"/>
      <c r="K166" s="21"/>
      <c r="L166" s="21"/>
      <c r="M166" s="55"/>
      <c r="N166" s="38"/>
      <c r="O166" s="53"/>
      <c r="P166" s="35"/>
      <c r="Q166" s="53"/>
      <c r="R166" s="35"/>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5"/>
      <c r="AT166" s="35"/>
      <c r="AU166" s="52"/>
      <c r="AV166" s="35"/>
      <c r="AW166" s="35"/>
      <c r="AX166" s="52"/>
      <c r="AY166" s="52"/>
      <c r="AZ166" s="52"/>
      <c r="BA166" s="52"/>
      <c r="BB166" s="231"/>
      <c r="BC166" s="231"/>
      <c r="BD166" s="52"/>
      <c r="BE166" s="52"/>
      <c r="BF166" s="52"/>
      <c r="BG166" s="52"/>
      <c r="BJ166" s="52"/>
      <c r="BK166" s="52"/>
      <c r="BL166" s="231"/>
      <c r="BM166" s="231"/>
      <c r="BN166" s="231"/>
      <c r="BO166" s="234"/>
      <c r="BP166" s="231"/>
      <c r="BQ166" s="231"/>
      <c r="BR166" s="236"/>
      <c r="BS166" s="236"/>
      <c r="BT166" s="236"/>
      <c r="BU166" s="236"/>
      <c r="BV166" s="236"/>
      <c r="BW166" s="236"/>
      <c r="BX166" s="236"/>
      <c r="BY166" s="231"/>
      <c r="BZ166" s="231"/>
      <c r="CA166" s="68"/>
      <c r="CB166" s="68"/>
      <c r="CC166" s="53"/>
      <c r="CD166" s="68"/>
      <c r="CE166" s="68"/>
      <c r="CF166" s="68"/>
      <c r="CG166" s="68"/>
      <c r="CH166" s="68"/>
      <c r="CI166" s="68"/>
      <c r="CJ166" s="68"/>
      <c r="CK166" s="68"/>
      <c r="CL166" s="68"/>
      <c r="CM166" s="35"/>
      <c r="CN166" s="35"/>
      <c r="CO166" s="52"/>
      <c r="CP166" s="35"/>
      <c r="CQ166" s="52"/>
      <c r="CR166" s="35"/>
      <c r="CS166" s="52"/>
      <c r="CT166" s="35"/>
      <c r="CU166" s="52"/>
      <c r="CV166" s="52"/>
      <c r="CW166" s="53"/>
      <c r="CX166" s="53"/>
      <c r="CY166" s="130"/>
      <c r="CZ166" s="35"/>
      <c r="DA166" s="35" t="e">
        <f t="shared" si="88"/>
        <v>#DIV/0!</v>
      </c>
    </row>
    <row r="167" spans="1:105">
      <c r="A167" s="12"/>
      <c r="B167" s="12"/>
      <c r="C167" s="12">
        <v>2016</v>
      </c>
      <c r="D167" s="55"/>
      <c r="E167" s="21"/>
      <c r="F167" s="21"/>
      <c r="G167" s="21"/>
      <c r="H167" s="21"/>
      <c r="I167" s="21"/>
      <c r="J167" s="21"/>
      <c r="K167" s="21"/>
      <c r="L167" s="21"/>
      <c r="M167" s="55"/>
      <c r="N167" s="38"/>
      <c r="O167" s="53"/>
      <c r="P167" s="35"/>
      <c r="Q167" s="53"/>
      <c r="R167" s="35"/>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5"/>
      <c r="AT167" s="35"/>
      <c r="AU167" s="52"/>
      <c r="AV167" s="35"/>
      <c r="AW167" s="35"/>
      <c r="AX167" s="52"/>
      <c r="AY167" s="52"/>
      <c r="AZ167" s="52"/>
      <c r="BA167" s="52"/>
      <c r="BB167" s="231"/>
      <c r="BC167" s="231"/>
      <c r="BD167" s="52"/>
      <c r="BE167" s="52"/>
      <c r="BF167" s="52"/>
      <c r="BG167" s="52"/>
      <c r="BJ167" s="52"/>
      <c r="BK167" s="52"/>
      <c r="BL167" s="231"/>
      <c r="BM167" s="231"/>
      <c r="BN167" s="231"/>
      <c r="BO167" s="234"/>
      <c r="BP167" s="231"/>
      <c r="BQ167" s="231"/>
      <c r="BR167" s="236"/>
      <c r="BS167" s="236"/>
      <c r="BT167" s="236"/>
      <c r="BU167" s="236"/>
      <c r="BV167" s="236"/>
      <c r="BW167" s="236"/>
      <c r="BX167" s="236"/>
      <c r="BY167" s="231"/>
      <c r="BZ167" s="231"/>
      <c r="CA167" s="68"/>
      <c r="CB167" s="68"/>
      <c r="CC167" s="53"/>
      <c r="CD167" s="68"/>
      <c r="CE167" s="68"/>
      <c r="CF167" s="68"/>
      <c r="CG167" s="68"/>
      <c r="CH167" s="68"/>
      <c r="CI167" s="68"/>
      <c r="CJ167" s="68"/>
      <c r="CK167" s="68"/>
      <c r="CL167" s="68"/>
      <c r="CM167" s="35"/>
      <c r="CN167" s="35"/>
      <c r="CO167" s="52"/>
      <c r="CP167" s="35"/>
      <c r="CQ167" s="52"/>
      <c r="CR167" s="35"/>
      <c r="CS167" s="52"/>
      <c r="CT167" s="35"/>
      <c r="CU167" s="52"/>
      <c r="CV167" s="52"/>
      <c r="CW167" s="53"/>
      <c r="CX167" s="53"/>
      <c r="CY167" s="130"/>
      <c r="CZ167" s="35"/>
      <c r="DA167" s="35" t="e">
        <f t="shared" si="88"/>
        <v>#DIV/0!</v>
      </c>
    </row>
    <row r="168" spans="1:105">
      <c r="A168" s="12"/>
      <c r="B168" s="12"/>
      <c r="C168" s="12">
        <v>2015</v>
      </c>
      <c r="D168" s="55"/>
      <c r="E168" s="21"/>
      <c r="F168" s="21"/>
      <c r="G168" s="21"/>
      <c r="H168" s="21"/>
      <c r="I168" s="21"/>
      <c r="J168" s="21"/>
      <c r="K168" s="21"/>
      <c r="L168" s="21"/>
      <c r="M168" s="55"/>
      <c r="N168" s="38"/>
      <c r="O168" s="53"/>
      <c r="P168" s="35"/>
      <c r="Q168" s="53"/>
      <c r="R168" s="35"/>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5"/>
      <c r="AT168" s="35"/>
      <c r="AU168" s="52"/>
      <c r="AV168" s="35"/>
      <c r="AW168" s="35"/>
      <c r="AX168" s="52"/>
      <c r="AY168" s="52"/>
      <c r="AZ168" s="52"/>
      <c r="BA168" s="52"/>
      <c r="BB168" s="231"/>
      <c r="BC168" s="231"/>
      <c r="BD168" s="52"/>
      <c r="BE168" s="52"/>
      <c r="BF168" s="52"/>
      <c r="BG168" s="52"/>
      <c r="BJ168" s="52"/>
      <c r="BK168" s="52"/>
      <c r="BL168" s="231"/>
      <c r="BM168" s="231"/>
      <c r="BN168" s="231"/>
      <c r="BO168" s="234"/>
      <c r="BP168" s="231"/>
      <c r="BQ168" s="231"/>
      <c r="BR168" s="236"/>
      <c r="BS168" s="236"/>
      <c r="BT168" s="236"/>
      <c r="BU168" s="236"/>
      <c r="BV168" s="236"/>
      <c r="BW168" s="236"/>
      <c r="BX168" s="236"/>
      <c r="BY168" s="231"/>
      <c r="BZ168" s="231"/>
      <c r="CA168" s="68"/>
      <c r="CB168" s="68"/>
      <c r="CC168" s="53"/>
      <c r="CD168" s="68"/>
      <c r="CE168" s="68"/>
      <c r="CF168" s="68"/>
      <c r="CG168" s="68"/>
      <c r="CH168" s="68"/>
      <c r="CI168" s="68"/>
      <c r="CJ168" s="68"/>
      <c r="CK168" s="68"/>
      <c r="CL168" s="68"/>
      <c r="CM168" s="35"/>
      <c r="CN168" s="35"/>
      <c r="CO168" s="52"/>
      <c r="CP168" s="35"/>
      <c r="CQ168" s="52"/>
      <c r="CR168" s="35"/>
      <c r="CS168" s="52"/>
      <c r="CT168" s="35"/>
      <c r="CU168" s="52"/>
      <c r="CV168" s="52"/>
      <c r="CW168" s="53"/>
      <c r="CX168" s="53"/>
      <c r="CY168" s="130"/>
      <c r="CZ168" s="35"/>
      <c r="DA168" s="35" t="e">
        <f t="shared" si="88"/>
        <v>#DIV/0!</v>
      </c>
    </row>
    <row r="169" spans="1:105">
      <c r="A169" s="12"/>
      <c r="B169" s="12"/>
      <c r="C169" s="12">
        <v>2014</v>
      </c>
      <c r="D169" s="55"/>
      <c r="E169" s="21"/>
      <c r="F169" s="21"/>
      <c r="G169" s="21"/>
      <c r="H169" s="21"/>
      <c r="I169" s="21"/>
      <c r="J169" s="21"/>
      <c r="K169" s="21"/>
      <c r="L169" s="21"/>
      <c r="M169" s="55"/>
      <c r="N169" s="38"/>
      <c r="O169" s="53"/>
      <c r="P169" s="35"/>
      <c r="Q169" s="53"/>
      <c r="R169" s="35"/>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5"/>
      <c r="AT169" s="35"/>
      <c r="AU169" s="52"/>
      <c r="AV169" s="35"/>
      <c r="AW169" s="35"/>
      <c r="AX169" s="52"/>
      <c r="AY169" s="52"/>
      <c r="AZ169" s="52"/>
      <c r="BA169" s="52"/>
      <c r="BB169" s="231"/>
      <c r="BC169" s="231"/>
      <c r="BD169" s="52"/>
      <c r="BE169" s="52"/>
      <c r="BF169" s="52"/>
      <c r="BG169" s="52"/>
      <c r="BJ169" s="52"/>
      <c r="BK169" s="52"/>
      <c r="BL169" s="231"/>
      <c r="BM169" s="231"/>
      <c r="BN169" s="231"/>
      <c r="BO169" s="234"/>
      <c r="BP169" s="231"/>
      <c r="BQ169" s="231"/>
      <c r="BR169" s="236"/>
      <c r="BS169" s="236"/>
      <c r="BT169" s="236"/>
      <c r="BU169" s="236"/>
      <c r="BV169" s="236"/>
      <c r="BW169" s="236"/>
      <c r="BX169" s="236"/>
      <c r="BY169" s="231"/>
      <c r="BZ169" s="231"/>
      <c r="CA169" s="68"/>
      <c r="CB169" s="68"/>
      <c r="CC169" s="53"/>
      <c r="CD169" s="68"/>
      <c r="CE169" s="68"/>
      <c r="CF169" s="68"/>
      <c r="CG169" s="68"/>
      <c r="CH169" s="68"/>
      <c r="CI169" s="68"/>
      <c r="CJ169" s="68"/>
      <c r="CK169" s="68"/>
      <c r="CL169" s="68"/>
      <c r="CM169" s="35"/>
      <c r="CN169" s="35"/>
      <c r="CO169" s="52"/>
      <c r="CP169" s="35"/>
      <c r="CQ169" s="52"/>
      <c r="CR169" s="35"/>
      <c r="CS169" s="52"/>
      <c r="CT169" s="35"/>
      <c r="CU169" s="52"/>
      <c r="CV169" s="52"/>
      <c r="CW169" s="53"/>
      <c r="CX169" s="53"/>
      <c r="CY169" s="130"/>
      <c r="CZ169" s="35"/>
      <c r="DA169" s="35" t="e">
        <f t="shared" si="88"/>
        <v>#DIV/0!</v>
      </c>
    </row>
    <row r="170" spans="1:105">
      <c r="A170" s="12"/>
      <c r="B170" s="12"/>
      <c r="C170" s="12">
        <v>2013</v>
      </c>
      <c r="D170" s="55"/>
      <c r="E170" s="21"/>
      <c r="F170" s="21"/>
      <c r="G170" s="21"/>
      <c r="H170" s="21"/>
      <c r="I170" s="21"/>
      <c r="J170" s="21"/>
      <c r="K170" s="21"/>
      <c r="L170" s="21"/>
      <c r="M170" s="55"/>
      <c r="N170" s="38"/>
      <c r="O170" s="53"/>
      <c r="P170" s="35"/>
      <c r="Q170" s="53"/>
      <c r="R170" s="35"/>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5"/>
      <c r="AT170" s="35"/>
      <c r="AU170" s="52"/>
      <c r="AV170" s="35"/>
      <c r="AW170" s="35"/>
      <c r="AX170" s="52"/>
      <c r="AY170" s="52"/>
      <c r="AZ170" s="52"/>
      <c r="BA170" s="52"/>
      <c r="BB170" s="231"/>
      <c r="BC170" s="231"/>
      <c r="BD170" s="52"/>
      <c r="BE170" s="52"/>
      <c r="BF170" s="52"/>
      <c r="BG170" s="52"/>
      <c r="BJ170" s="52"/>
      <c r="BK170" s="52"/>
      <c r="BL170" s="231"/>
      <c r="BM170" s="231"/>
      <c r="BN170" s="231"/>
      <c r="BO170" s="234"/>
      <c r="BP170" s="231"/>
      <c r="BQ170" s="231"/>
      <c r="BR170" s="236"/>
      <c r="BS170" s="236"/>
      <c r="BT170" s="236"/>
      <c r="BU170" s="236"/>
      <c r="BV170" s="236"/>
      <c r="BW170" s="236"/>
      <c r="BX170" s="236"/>
      <c r="BY170" s="231"/>
      <c r="BZ170" s="231"/>
      <c r="CA170" s="68"/>
      <c r="CB170" s="68"/>
      <c r="CC170" s="53"/>
      <c r="CD170" s="68"/>
      <c r="CE170" s="68"/>
      <c r="CF170" s="68"/>
      <c r="CG170" s="68"/>
      <c r="CH170" s="68"/>
      <c r="CI170" s="68"/>
      <c r="CJ170" s="68"/>
      <c r="CK170" s="68"/>
      <c r="CL170" s="68"/>
      <c r="CM170" s="35"/>
      <c r="CN170" s="35"/>
      <c r="CO170" s="52"/>
      <c r="CP170" s="35"/>
      <c r="CQ170" s="52"/>
      <c r="CR170" s="35"/>
      <c r="CS170" s="52"/>
      <c r="CT170" s="35"/>
      <c r="CU170" s="52"/>
      <c r="CV170" s="52"/>
      <c r="CW170" s="53"/>
      <c r="CX170" s="53"/>
      <c r="CY170" s="130"/>
      <c r="CZ170" s="35"/>
      <c r="DA170" s="35" t="e">
        <f t="shared" si="88"/>
        <v>#DIV/0!</v>
      </c>
    </row>
    <row r="171" spans="1:105">
      <c r="A171" s="12"/>
      <c r="B171" s="12"/>
      <c r="C171" s="12">
        <v>2012</v>
      </c>
      <c r="D171" s="55"/>
      <c r="E171" s="21"/>
      <c r="F171" s="21"/>
      <c r="G171" s="21"/>
      <c r="H171" s="21"/>
      <c r="I171" s="21"/>
      <c r="J171" s="21"/>
      <c r="K171" s="21"/>
      <c r="L171" s="21"/>
      <c r="M171" s="55"/>
      <c r="N171" s="38"/>
      <c r="O171" s="53"/>
      <c r="P171" s="35"/>
      <c r="Q171" s="53"/>
      <c r="R171" s="35"/>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5"/>
      <c r="AT171" s="35"/>
      <c r="AU171" s="52"/>
      <c r="AV171" s="35"/>
      <c r="AW171" s="35"/>
      <c r="AX171" s="52"/>
      <c r="AY171" s="52"/>
      <c r="AZ171" s="52"/>
      <c r="BA171" s="52"/>
      <c r="BB171" s="231"/>
      <c r="BC171" s="231"/>
      <c r="BD171" s="52"/>
      <c r="BE171" s="52"/>
      <c r="BF171" s="52"/>
      <c r="BG171" s="52"/>
      <c r="BJ171" s="52"/>
      <c r="BK171" s="52"/>
      <c r="BL171" s="231"/>
      <c r="BM171" s="231"/>
      <c r="BN171" s="231"/>
      <c r="BO171" s="234"/>
      <c r="BP171" s="231"/>
      <c r="BQ171" s="231"/>
      <c r="BR171" s="236"/>
      <c r="BS171" s="236"/>
      <c r="BT171" s="236"/>
      <c r="BU171" s="236"/>
      <c r="BV171" s="236"/>
      <c r="BW171" s="236"/>
      <c r="BX171" s="236"/>
      <c r="BY171" s="231"/>
      <c r="BZ171" s="231"/>
      <c r="CA171" s="68"/>
      <c r="CB171" s="68"/>
      <c r="CC171" s="53"/>
      <c r="CD171" s="68"/>
      <c r="CE171" s="68"/>
      <c r="CF171" s="68"/>
      <c r="CG171" s="68"/>
      <c r="CH171" s="68"/>
      <c r="CI171" s="68"/>
      <c r="CJ171" s="68"/>
      <c r="CK171" s="68"/>
      <c r="CL171" s="68"/>
      <c r="CM171" s="35"/>
      <c r="CN171" s="35"/>
      <c r="CO171" s="52"/>
      <c r="CP171" s="35"/>
      <c r="CQ171" s="52"/>
      <c r="CR171" s="35"/>
      <c r="CS171" s="52"/>
      <c r="CT171" s="35"/>
      <c r="CU171" s="52"/>
      <c r="CV171" s="52"/>
      <c r="CW171" s="53"/>
      <c r="CX171" s="53"/>
      <c r="CY171" s="130"/>
      <c r="CZ171" s="35"/>
      <c r="DA171" s="35" t="e">
        <f t="shared" si="88"/>
        <v>#DIV/0!</v>
      </c>
    </row>
    <row r="172" spans="1:105">
      <c r="A172" s="12"/>
      <c r="B172" s="12" t="s">
        <v>145</v>
      </c>
      <c r="C172" s="12">
        <v>2022</v>
      </c>
      <c r="D172" s="55"/>
      <c r="E172" s="21"/>
      <c r="F172" s="21"/>
      <c r="G172" s="21"/>
      <c r="H172" s="21"/>
      <c r="I172" s="21"/>
      <c r="J172" s="21"/>
      <c r="K172" s="21"/>
      <c r="L172" s="21"/>
      <c r="M172" s="55"/>
      <c r="N172" s="38"/>
      <c r="O172" s="53"/>
      <c r="P172" s="35"/>
      <c r="Q172" s="53"/>
      <c r="R172" s="35"/>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5"/>
      <c r="AT172" s="35"/>
      <c r="AU172" s="52"/>
      <c r="AV172" s="35"/>
      <c r="AW172" s="35"/>
      <c r="AX172" s="52"/>
      <c r="AY172" s="52"/>
      <c r="AZ172" s="52"/>
      <c r="BA172" s="52"/>
      <c r="BB172" s="231"/>
      <c r="BC172" s="231"/>
      <c r="BD172" s="52"/>
      <c r="BE172" s="52"/>
      <c r="BF172" s="52"/>
      <c r="BG172" s="52"/>
      <c r="BJ172" s="52"/>
      <c r="BK172" s="52"/>
      <c r="BL172" s="231"/>
      <c r="BM172" s="231"/>
      <c r="BN172" s="231"/>
      <c r="BO172" s="234"/>
      <c r="BP172" s="231"/>
      <c r="BQ172" s="231"/>
      <c r="BR172" s="236"/>
      <c r="BS172" s="236"/>
      <c r="BT172" s="236"/>
      <c r="BU172" s="236"/>
      <c r="BV172" s="236"/>
      <c r="BW172" s="236"/>
      <c r="BX172" s="236"/>
      <c r="BY172" s="231"/>
      <c r="BZ172" s="231"/>
      <c r="CA172" s="68"/>
      <c r="CB172" s="68"/>
      <c r="CC172" s="53"/>
      <c r="CD172" s="68"/>
      <c r="CE172" s="68"/>
      <c r="CF172" s="68"/>
      <c r="CG172" s="68"/>
      <c r="CH172" s="68"/>
      <c r="CI172" s="68"/>
      <c r="CJ172" s="68"/>
      <c r="CK172" s="68"/>
      <c r="CL172" s="68"/>
      <c r="CM172" s="35"/>
      <c r="CN172" s="35"/>
      <c r="CO172" s="52"/>
      <c r="CP172" s="35"/>
      <c r="CQ172" s="52"/>
      <c r="CR172" s="35"/>
      <c r="CS172" s="52"/>
      <c r="CT172" s="35"/>
      <c r="CU172" s="52"/>
      <c r="CV172" s="52"/>
      <c r="CW172" s="53"/>
      <c r="CX172" s="53"/>
      <c r="CY172" s="130"/>
      <c r="CZ172" s="35"/>
      <c r="DA172" s="35" t="e">
        <f t="shared" si="88"/>
        <v>#DIV/0!</v>
      </c>
    </row>
    <row r="173" spans="1:105">
      <c r="A173" s="12"/>
      <c r="B173" s="12"/>
      <c r="C173" s="12">
        <v>2021</v>
      </c>
      <c r="D173" s="55"/>
      <c r="E173" s="21"/>
      <c r="F173" s="21"/>
      <c r="G173" s="21"/>
      <c r="H173" s="21"/>
      <c r="I173" s="21"/>
      <c r="J173" s="21"/>
      <c r="K173" s="21"/>
      <c r="L173" s="21"/>
      <c r="M173" s="55"/>
      <c r="N173" s="38"/>
      <c r="O173" s="53"/>
      <c r="P173" s="35"/>
      <c r="Q173" s="53"/>
      <c r="R173" s="35"/>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5"/>
      <c r="AT173" s="35"/>
      <c r="AU173" s="52"/>
      <c r="AV173" s="35"/>
      <c r="AW173" s="35"/>
      <c r="AX173" s="52"/>
      <c r="AY173" s="52"/>
      <c r="AZ173" s="52"/>
      <c r="BA173" s="52"/>
      <c r="BB173" s="231"/>
      <c r="BC173" s="231"/>
      <c r="BD173" s="52"/>
      <c r="BE173" s="52"/>
      <c r="BF173" s="52"/>
      <c r="BG173" s="52"/>
      <c r="BJ173" s="52"/>
      <c r="BK173" s="52"/>
      <c r="BL173" s="231"/>
      <c r="BM173" s="231"/>
      <c r="BN173" s="231"/>
      <c r="BO173" s="234"/>
      <c r="BP173" s="231"/>
      <c r="BQ173" s="231"/>
      <c r="BR173" s="236"/>
      <c r="BS173" s="236"/>
      <c r="BT173" s="236"/>
      <c r="BU173" s="236"/>
      <c r="BV173" s="236"/>
      <c r="BW173" s="236"/>
      <c r="BX173" s="236"/>
      <c r="BY173" s="231"/>
      <c r="BZ173" s="231"/>
      <c r="CA173" s="68"/>
      <c r="CB173" s="68"/>
      <c r="CC173" s="53"/>
      <c r="CD173" s="68"/>
      <c r="CE173" s="68"/>
      <c r="CF173" s="68"/>
      <c r="CG173" s="68"/>
      <c r="CH173" s="68"/>
      <c r="CI173" s="68"/>
      <c r="CJ173" s="68"/>
      <c r="CK173" s="68"/>
      <c r="CL173" s="68"/>
      <c r="CM173" s="35"/>
      <c r="CN173" s="35"/>
      <c r="CO173" s="52"/>
      <c r="CP173" s="35"/>
      <c r="CQ173" s="52"/>
      <c r="CR173" s="35"/>
      <c r="CS173" s="52"/>
      <c r="CT173" s="35"/>
      <c r="CU173" s="52"/>
      <c r="CV173" s="52"/>
      <c r="CW173" s="53"/>
      <c r="CX173" s="53"/>
      <c r="CY173" s="130"/>
      <c r="CZ173" s="35"/>
      <c r="DA173" s="35" t="e">
        <f t="shared" si="88"/>
        <v>#DIV/0!</v>
      </c>
    </row>
    <row r="174" spans="1:105">
      <c r="A174" s="12"/>
      <c r="B174" s="12"/>
      <c r="C174" s="12">
        <v>2020</v>
      </c>
      <c r="D174" s="55"/>
      <c r="E174" s="21"/>
      <c r="F174" s="21"/>
      <c r="G174" s="21"/>
      <c r="H174" s="21"/>
      <c r="I174" s="21"/>
      <c r="J174" s="21"/>
      <c r="K174" s="21"/>
      <c r="L174" s="21"/>
      <c r="M174" s="55"/>
      <c r="N174" s="38"/>
      <c r="O174" s="53"/>
      <c r="P174" s="35"/>
      <c r="Q174" s="53"/>
      <c r="R174" s="35"/>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5"/>
      <c r="AT174" s="35"/>
      <c r="AU174" s="52"/>
      <c r="AV174" s="35"/>
      <c r="AW174" s="35"/>
      <c r="AX174" s="52"/>
      <c r="AY174" s="52"/>
      <c r="AZ174" s="52"/>
      <c r="BA174" s="52"/>
      <c r="BB174" s="231"/>
      <c r="BC174" s="231"/>
      <c r="BD174" s="52"/>
      <c r="BE174" s="52"/>
      <c r="BF174" s="52"/>
      <c r="BG174" s="52"/>
      <c r="BJ174" s="52"/>
      <c r="BK174" s="52"/>
      <c r="BL174" s="231"/>
      <c r="BM174" s="231"/>
      <c r="BN174" s="231"/>
      <c r="BO174" s="234"/>
      <c r="BP174" s="231"/>
      <c r="BQ174" s="231"/>
      <c r="BR174" s="236"/>
      <c r="BS174" s="236"/>
      <c r="BT174" s="236"/>
      <c r="BU174" s="236"/>
      <c r="BV174" s="236"/>
      <c r="BW174" s="236"/>
      <c r="BX174" s="236"/>
      <c r="BY174" s="231"/>
      <c r="BZ174" s="231"/>
      <c r="CA174" s="68"/>
      <c r="CB174" s="68"/>
      <c r="CC174" s="53"/>
      <c r="CD174" s="68"/>
      <c r="CE174" s="68"/>
      <c r="CF174" s="68"/>
      <c r="CG174" s="68"/>
      <c r="CH174" s="68"/>
      <c r="CI174" s="68"/>
      <c r="CJ174" s="68"/>
      <c r="CK174" s="68"/>
      <c r="CL174" s="68"/>
      <c r="CM174" s="35"/>
      <c r="CN174" s="35"/>
      <c r="CO174" s="52"/>
      <c r="CP174" s="35"/>
      <c r="CQ174" s="52"/>
      <c r="CR174" s="35"/>
      <c r="CS174" s="52"/>
      <c r="CT174" s="35"/>
      <c r="CU174" s="52"/>
      <c r="CV174" s="52"/>
      <c r="CW174" s="53"/>
      <c r="CX174" s="53"/>
      <c r="CY174" s="130"/>
      <c r="CZ174" s="35"/>
      <c r="DA174" s="35" t="e">
        <f t="shared" si="88"/>
        <v>#DIV/0!</v>
      </c>
    </row>
    <row r="175" spans="1:105">
      <c r="A175" s="12"/>
      <c r="B175" s="12"/>
      <c r="C175" s="12">
        <v>2019</v>
      </c>
      <c r="D175" s="55"/>
      <c r="E175" s="21"/>
      <c r="F175" s="21"/>
      <c r="G175" s="21"/>
      <c r="H175" s="21"/>
      <c r="I175" s="21"/>
      <c r="J175" s="21"/>
      <c r="K175" s="21"/>
      <c r="L175" s="21"/>
      <c r="M175" s="55"/>
      <c r="N175" s="38"/>
      <c r="O175" s="53"/>
      <c r="P175" s="35"/>
      <c r="Q175" s="53"/>
      <c r="R175" s="35"/>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5"/>
      <c r="AT175" s="35"/>
      <c r="AU175" s="52"/>
      <c r="AV175" s="35"/>
      <c r="AW175" s="35"/>
      <c r="AX175" s="52"/>
      <c r="AY175" s="52"/>
      <c r="AZ175" s="52"/>
      <c r="BA175" s="52"/>
      <c r="BB175" s="231"/>
      <c r="BC175" s="231"/>
      <c r="BD175" s="52"/>
      <c r="BE175" s="52"/>
      <c r="BF175" s="52"/>
      <c r="BG175" s="52"/>
      <c r="BJ175" s="52"/>
      <c r="BK175" s="52"/>
      <c r="BL175" s="231"/>
      <c r="BM175" s="231"/>
      <c r="BN175" s="231"/>
      <c r="BO175" s="234"/>
      <c r="BP175" s="231"/>
      <c r="BQ175" s="231"/>
      <c r="BR175" s="236"/>
      <c r="BS175" s="236"/>
      <c r="BT175" s="236"/>
      <c r="BU175" s="236"/>
      <c r="BV175" s="236"/>
      <c r="BW175" s="236"/>
      <c r="BX175" s="236"/>
      <c r="BY175" s="231"/>
      <c r="BZ175" s="231"/>
      <c r="CA175" s="68"/>
      <c r="CB175" s="68"/>
      <c r="CC175" s="53"/>
      <c r="CD175" s="68"/>
      <c r="CE175" s="68"/>
      <c r="CF175" s="68"/>
      <c r="CG175" s="68"/>
      <c r="CH175" s="68"/>
      <c r="CI175" s="68"/>
      <c r="CJ175" s="68"/>
      <c r="CK175" s="68"/>
      <c r="CL175" s="68"/>
      <c r="CM175" s="35"/>
      <c r="CN175" s="35"/>
      <c r="CO175" s="52"/>
      <c r="CP175" s="35"/>
      <c r="CQ175" s="52"/>
      <c r="CR175" s="35"/>
      <c r="CS175" s="52"/>
      <c r="CT175" s="35"/>
      <c r="CU175" s="52"/>
      <c r="CV175" s="52"/>
      <c r="CW175" s="53"/>
      <c r="CX175" s="53"/>
      <c r="CY175" s="130"/>
      <c r="CZ175" s="35"/>
      <c r="DA175" s="35" t="e">
        <f t="shared" si="88"/>
        <v>#DIV/0!</v>
      </c>
    </row>
    <row r="176" spans="1:105">
      <c r="A176" s="12"/>
      <c r="B176" s="12"/>
      <c r="C176" s="12">
        <v>2018</v>
      </c>
      <c r="D176" s="55"/>
      <c r="E176" s="21"/>
      <c r="F176" s="21"/>
      <c r="G176" s="21"/>
      <c r="H176" s="21"/>
      <c r="I176" s="21"/>
      <c r="J176" s="21"/>
      <c r="K176" s="21"/>
      <c r="L176" s="21"/>
      <c r="M176" s="55"/>
      <c r="N176" s="38"/>
      <c r="O176" s="53"/>
      <c r="P176" s="35"/>
      <c r="Q176" s="53"/>
      <c r="R176" s="35"/>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5"/>
      <c r="AT176" s="35"/>
      <c r="AU176" s="52"/>
      <c r="AV176" s="35"/>
      <c r="AW176" s="35"/>
      <c r="AX176" s="52"/>
      <c r="AY176" s="52"/>
      <c r="AZ176" s="52"/>
      <c r="BA176" s="52"/>
      <c r="BB176" s="231"/>
      <c r="BC176" s="231"/>
      <c r="BD176" s="52"/>
      <c r="BE176" s="52"/>
      <c r="BF176" s="52"/>
      <c r="BG176" s="52"/>
      <c r="BJ176" s="52"/>
      <c r="BK176" s="52"/>
      <c r="BL176" s="231"/>
      <c r="BM176" s="231"/>
      <c r="BN176" s="231"/>
      <c r="BO176" s="234"/>
      <c r="BP176" s="231"/>
      <c r="BQ176" s="231"/>
      <c r="BR176" s="236"/>
      <c r="BS176" s="236"/>
      <c r="BT176" s="236"/>
      <c r="BU176" s="236"/>
      <c r="BV176" s="236"/>
      <c r="BW176" s="236"/>
      <c r="BX176" s="236"/>
      <c r="BY176" s="231"/>
      <c r="BZ176" s="231"/>
      <c r="CA176" s="68"/>
      <c r="CB176" s="68"/>
      <c r="CC176" s="53"/>
      <c r="CD176" s="68"/>
      <c r="CE176" s="68"/>
      <c r="CF176" s="68"/>
      <c r="CG176" s="68"/>
      <c r="CH176" s="68"/>
      <c r="CI176" s="68"/>
      <c r="CJ176" s="68"/>
      <c r="CK176" s="68"/>
      <c r="CL176" s="68"/>
      <c r="CM176" s="35"/>
      <c r="CN176" s="35"/>
      <c r="CO176" s="52"/>
      <c r="CP176" s="35"/>
      <c r="CQ176" s="52"/>
      <c r="CR176" s="35"/>
      <c r="CS176" s="52"/>
      <c r="CT176" s="35"/>
      <c r="CU176" s="52"/>
      <c r="CV176" s="52"/>
      <c r="CW176" s="53"/>
      <c r="CX176" s="53"/>
      <c r="CY176" s="130"/>
      <c r="CZ176" s="35"/>
      <c r="DA176" s="35" t="e">
        <f t="shared" si="88"/>
        <v>#DIV/0!</v>
      </c>
    </row>
    <row r="177" spans="1:105">
      <c r="A177" s="12"/>
      <c r="B177" s="12"/>
      <c r="C177" s="12">
        <v>2017</v>
      </c>
      <c r="D177" s="55"/>
      <c r="E177" s="21"/>
      <c r="F177" s="21"/>
      <c r="G177" s="21"/>
      <c r="H177" s="21"/>
      <c r="I177" s="21"/>
      <c r="J177" s="21"/>
      <c r="K177" s="21"/>
      <c r="L177" s="21"/>
      <c r="M177" s="55"/>
      <c r="N177" s="38"/>
      <c r="O177" s="53"/>
      <c r="P177" s="35"/>
      <c r="Q177" s="53"/>
      <c r="R177" s="35"/>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5"/>
      <c r="AT177" s="35"/>
      <c r="AU177" s="52"/>
      <c r="AV177" s="35"/>
      <c r="AW177" s="35"/>
      <c r="AX177" s="52"/>
      <c r="AY177" s="52"/>
      <c r="AZ177" s="52"/>
      <c r="BA177" s="52"/>
      <c r="BB177" s="231"/>
      <c r="BC177" s="231"/>
      <c r="BD177" s="52"/>
      <c r="BE177" s="52"/>
      <c r="BF177" s="52"/>
      <c r="BG177" s="52"/>
      <c r="BJ177" s="52"/>
      <c r="BK177" s="52"/>
      <c r="BL177" s="231"/>
      <c r="BM177" s="231"/>
      <c r="BN177" s="231"/>
      <c r="BO177" s="234"/>
      <c r="BP177" s="231"/>
      <c r="BQ177" s="231"/>
      <c r="BR177" s="236"/>
      <c r="BS177" s="236"/>
      <c r="BT177" s="236"/>
      <c r="BU177" s="236"/>
      <c r="BV177" s="236"/>
      <c r="BW177" s="236"/>
      <c r="BX177" s="236"/>
      <c r="BY177" s="231"/>
      <c r="BZ177" s="231"/>
      <c r="CA177" s="68"/>
      <c r="CB177" s="68"/>
      <c r="CC177" s="53"/>
      <c r="CD177" s="68"/>
      <c r="CE177" s="68"/>
      <c r="CF177" s="68"/>
      <c r="CG177" s="68"/>
      <c r="CH177" s="68"/>
      <c r="CI177" s="68"/>
      <c r="CJ177" s="68"/>
      <c r="CK177" s="68"/>
      <c r="CL177" s="68"/>
      <c r="CM177" s="35"/>
      <c r="CN177" s="35"/>
      <c r="CO177" s="52"/>
      <c r="CP177" s="35"/>
      <c r="CQ177" s="52"/>
      <c r="CR177" s="35"/>
      <c r="CS177" s="52"/>
      <c r="CT177" s="35"/>
      <c r="CU177" s="52"/>
      <c r="CV177" s="52"/>
      <c r="CW177" s="53"/>
      <c r="CX177" s="53"/>
      <c r="CY177" s="130"/>
      <c r="CZ177" s="35"/>
      <c r="DA177" s="35" t="e">
        <f t="shared" si="88"/>
        <v>#DIV/0!</v>
      </c>
    </row>
    <row r="178" spans="1:105">
      <c r="A178" s="12"/>
      <c r="B178" s="12"/>
      <c r="C178" s="12">
        <v>2016</v>
      </c>
      <c r="D178" s="55"/>
      <c r="E178" s="21"/>
      <c r="F178" s="21"/>
      <c r="G178" s="21"/>
      <c r="H178" s="21"/>
      <c r="I178" s="21"/>
      <c r="J178" s="21"/>
      <c r="K178" s="21"/>
      <c r="L178" s="21"/>
      <c r="M178" s="55"/>
      <c r="N178" s="38"/>
      <c r="O178" s="53"/>
      <c r="P178" s="35"/>
      <c r="Q178" s="53"/>
      <c r="R178" s="35"/>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5"/>
      <c r="AT178" s="35"/>
      <c r="AU178" s="52"/>
      <c r="AV178" s="35"/>
      <c r="AW178" s="35"/>
      <c r="AX178" s="52"/>
      <c r="AY178" s="52"/>
      <c r="AZ178" s="52"/>
      <c r="BA178" s="52"/>
      <c r="BB178" s="231"/>
      <c r="BC178" s="231"/>
      <c r="BD178" s="52"/>
      <c r="BE178" s="52"/>
      <c r="BF178" s="52"/>
      <c r="BG178" s="52"/>
      <c r="BJ178" s="52"/>
      <c r="BK178" s="52"/>
      <c r="BL178" s="231"/>
      <c r="BM178" s="231"/>
      <c r="BN178" s="231"/>
      <c r="BO178" s="234"/>
      <c r="BP178" s="231"/>
      <c r="BQ178" s="231"/>
      <c r="BR178" s="236"/>
      <c r="BS178" s="236"/>
      <c r="BT178" s="236"/>
      <c r="BU178" s="236"/>
      <c r="BV178" s="236"/>
      <c r="BW178" s="236"/>
      <c r="BX178" s="236"/>
      <c r="BY178" s="231"/>
      <c r="BZ178" s="231"/>
      <c r="CA178" s="68"/>
      <c r="CB178" s="68"/>
      <c r="CC178" s="53"/>
      <c r="CD178" s="68"/>
      <c r="CE178" s="68"/>
      <c r="CF178" s="68"/>
      <c r="CG178" s="68"/>
      <c r="CH178" s="68"/>
      <c r="CI178" s="68"/>
      <c r="CJ178" s="68"/>
      <c r="CK178" s="68"/>
      <c r="CL178" s="68"/>
      <c r="CM178" s="35"/>
      <c r="CN178" s="35"/>
      <c r="CO178" s="52"/>
      <c r="CP178" s="35"/>
      <c r="CQ178" s="52"/>
      <c r="CR178" s="35"/>
      <c r="CS178" s="52"/>
      <c r="CT178" s="35"/>
      <c r="CU178" s="52"/>
      <c r="CV178" s="52"/>
      <c r="CW178" s="53"/>
      <c r="CX178" s="53"/>
      <c r="CY178" s="130"/>
      <c r="CZ178" s="35"/>
      <c r="DA178" s="35" t="e">
        <f t="shared" si="88"/>
        <v>#DIV/0!</v>
      </c>
    </row>
    <row r="179" spans="1:105">
      <c r="A179" s="12"/>
      <c r="B179" s="12"/>
      <c r="C179" s="12">
        <v>2015</v>
      </c>
      <c r="D179" s="55"/>
      <c r="E179" s="21"/>
      <c r="F179" s="21"/>
      <c r="G179" s="21"/>
      <c r="H179" s="21"/>
      <c r="I179" s="21"/>
      <c r="J179" s="21"/>
      <c r="K179" s="21"/>
      <c r="L179" s="21"/>
      <c r="M179" s="55"/>
      <c r="N179" s="38"/>
      <c r="O179" s="53"/>
      <c r="P179" s="35"/>
      <c r="Q179" s="53"/>
      <c r="R179" s="35"/>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5"/>
      <c r="AT179" s="35"/>
      <c r="AU179" s="52"/>
      <c r="AV179" s="35"/>
      <c r="AW179" s="35"/>
      <c r="AX179" s="52"/>
      <c r="AY179" s="52"/>
      <c r="AZ179" s="52"/>
      <c r="BA179" s="52"/>
      <c r="BB179" s="231"/>
      <c r="BC179" s="231"/>
      <c r="BD179" s="52"/>
      <c r="BE179" s="52"/>
      <c r="BF179" s="52"/>
      <c r="BG179" s="52"/>
      <c r="BJ179" s="52"/>
      <c r="BK179" s="52"/>
      <c r="BL179" s="231"/>
      <c r="BM179" s="231"/>
      <c r="BN179" s="231"/>
      <c r="BO179" s="234"/>
      <c r="BP179" s="231"/>
      <c r="BQ179" s="231"/>
      <c r="BR179" s="236"/>
      <c r="BS179" s="236"/>
      <c r="BT179" s="236"/>
      <c r="BU179" s="236"/>
      <c r="BV179" s="236"/>
      <c r="BW179" s="236"/>
      <c r="BX179" s="236"/>
      <c r="BY179" s="231"/>
      <c r="BZ179" s="231"/>
      <c r="CA179" s="68"/>
      <c r="CB179" s="68"/>
      <c r="CC179" s="53"/>
      <c r="CD179" s="68"/>
      <c r="CE179" s="68"/>
      <c r="CF179" s="68"/>
      <c r="CG179" s="68"/>
      <c r="CH179" s="68"/>
      <c r="CI179" s="68"/>
      <c r="CJ179" s="68"/>
      <c r="CK179" s="68"/>
      <c r="CL179" s="68"/>
      <c r="CM179" s="35"/>
      <c r="CN179" s="35"/>
      <c r="CO179" s="52"/>
      <c r="CP179" s="35"/>
      <c r="CQ179" s="52"/>
      <c r="CR179" s="35"/>
      <c r="CS179" s="52"/>
      <c r="CT179" s="35"/>
      <c r="CU179" s="52"/>
      <c r="CV179" s="52"/>
      <c r="CW179" s="53"/>
      <c r="CX179" s="53"/>
      <c r="CY179" s="130"/>
      <c r="CZ179" s="35"/>
      <c r="DA179" s="35" t="e">
        <f t="shared" si="88"/>
        <v>#DIV/0!</v>
      </c>
    </row>
    <row r="180" spans="1:105">
      <c r="A180" s="12"/>
      <c r="B180" s="12"/>
      <c r="C180" s="12">
        <v>2014</v>
      </c>
      <c r="D180" s="55"/>
      <c r="E180" s="21"/>
      <c r="F180" s="21"/>
      <c r="G180" s="21"/>
      <c r="H180" s="21"/>
      <c r="I180" s="21"/>
      <c r="J180" s="21"/>
      <c r="K180" s="21"/>
      <c r="L180" s="21"/>
      <c r="M180" s="55"/>
      <c r="N180" s="38"/>
      <c r="O180" s="53"/>
      <c r="P180" s="35"/>
      <c r="Q180" s="53"/>
      <c r="R180" s="35"/>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5"/>
      <c r="AT180" s="35"/>
      <c r="AU180" s="52"/>
      <c r="AV180" s="35"/>
      <c r="AW180" s="35"/>
      <c r="AX180" s="52"/>
      <c r="AY180" s="52"/>
      <c r="AZ180" s="52"/>
      <c r="BA180" s="52"/>
      <c r="BB180" s="231"/>
      <c r="BC180" s="231"/>
      <c r="BD180" s="52"/>
      <c r="BE180" s="52"/>
      <c r="BF180" s="52"/>
      <c r="BG180" s="52"/>
      <c r="BJ180" s="52"/>
      <c r="BK180" s="52"/>
      <c r="BL180" s="231"/>
      <c r="BM180" s="231"/>
      <c r="BN180" s="231"/>
      <c r="BO180" s="234"/>
      <c r="BP180" s="231"/>
      <c r="BQ180" s="231"/>
      <c r="BR180" s="236"/>
      <c r="BS180" s="236"/>
      <c r="BT180" s="236"/>
      <c r="BU180" s="236"/>
      <c r="BV180" s="236"/>
      <c r="BW180" s="236"/>
      <c r="BX180" s="236"/>
      <c r="BY180" s="231"/>
      <c r="BZ180" s="231"/>
      <c r="CA180" s="68"/>
      <c r="CB180" s="68"/>
      <c r="CC180" s="53"/>
      <c r="CD180" s="68"/>
      <c r="CE180" s="68"/>
      <c r="CF180" s="68"/>
      <c r="CG180" s="68"/>
      <c r="CH180" s="68"/>
      <c r="CI180" s="68"/>
      <c r="CJ180" s="68"/>
      <c r="CK180" s="68"/>
      <c r="CL180" s="68"/>
      <c r="CM180" s="35"/>
      <c r="CN180" s="35"/>
      <c r="CO180" s="52"/>
      <c r="CP180" s="35"/>
      <c r="CQ180" s="52"/>
      <c r="CR180" s="35"/>
      <c r="CS180" s="52"/>
      <c r="CT180" s="35"/>
      <c r="CU180" s="52"/>
      <c r="CV180" s="52"/>
      <c r="CW180" s="53"/>
      <c r="CX180" s="53"/>
      <c r="CY180" s="130"/>
      <c r="CZ180" s="35"/>
      <c r="DA180" s="35" t="e">
        <f t="shared" si="88"/>
        <v>#DIV/0!</v>
      </c>
    </row>
    <row r="181" spans="1:105">
      <c r="A181" s="12"/>
      <c r="B181" s="12"/>
      <c r="C181" s="12">
        <v>2013</v>
      </c>
      <c r="D181" s="55"/>
      <c r="E181" s="21"/>
      <c r="F181" s="21"/>
      <c r="G181" s="21"/>
      <c r="H181" s="21"/>
      <c r="I181" s="21"/>
      <c r="J181" s="21"/>
      <c r="K181" s="21"/>
      <c r="L181" s="21"/>
      <c r="M181" s="55"/>
      <c r="N181" s="38"/>
      <c r="O181" s="53"/>
      <c r="P181" s="35"/>
      <c r="Q181" s="53"/>
      <c r="R181" s="35"/>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5"/>
      <c r="AT181" s="35"/>
      <c r="AU181" s="52"/>
      <c r="AV181" s="35"/>
      <c r="AW181" s="35"/>
      <c r="AX181" s="52"/>
      <c r="AY181" s="52"/>
      <c r="AZ181" s="52"/>
      <c r="BA181" s="52"/>
      <c r="BB181" s="231"/>
      <c r="BC181" s="231"/>
      <c r="BD181" s="52"/>
      <c r="BE181" s="52"/>
      <c r="BF181" s="52"/>
      <c r="BG181" s="52"/>
      <c r="BJ181" s="52"/>
      <c r="BK181" s="52"/>
      <c r="BL181" s="231"/>
      <c r="BM181" s="231"/>
      <c r="BN181" s="231"/>
      <c r="BO181" s="234"/>
      <c r="BP181" s="231"/>
      <c r="BQ181" s="231"/>
      <c r="BR181" s="236"/>
      <c r="BS181" s="236"/>
      <c r="BT181" s="236"/>
      <c r="BU181" s="236"/>
      <c r="BV181" s="236"/>
      <c r="BW181" s="236"/>
      <c r="BX181" s="236"/>
      <c r="BY181" s="231"/>
      <c r="BZ181" s="231"/>
      <c r="CA181" s="68"/>
      <c r="CB181" s="68"/>
      <c r="CC181" s="53"/>
      <c r="CD181" s="68"/>
      <c r="CE181" s="68"/>
      <c r="CF181" s="68"/>
      <c r="CG181" s="68"/>
      <c r="CH181" s="68"/>
      <c r="CI181" s="68"/>
      <c r="CJ181" s="68"/>
      <c r="CK181" s="68"/>
      <c r="CL181" s="68"/>
      <c r="CM181" s="35"/>
      <c r="CN181" s="35"/>
      <c r="CO181" s="52"/>
      <c r="CP181" s="35"/>
      <c r="CQ181" s="52"/>
      <c r="CR181" s="35"/>
      <c r="CS181" s="52"/>
      <c r="CT181" s="35"/>
      <c r="CU181" s="52"/>
      <c r="CV181" s="52"/>
      <c r="CW181" s="53"/>
      <c r="CX181" s="53"/>
      <c r="CY181" s="130"/>
      <c r="CZ181" s="35"/>
      <c r="DA181" s="35" t="e">
        <f t="shared" si="88"/>
        <v>#DIV/0!</v>
      </c>
    </row>
    <row r="182" spans="1:105">
      <c r="A182" s="12"/>
      <c r="B182" s="12"/>
      <c r="C182" s="12">
        <v>2012</v>
      </c>
      <c r="D182" s="55"/>
      <c r="E182" s="21"/>
      <c r="F182" s="21"/>
      <c r="G182" s="21"/>
      <c r="H182" s="21"/>
      <c r="I182" s="21"/>
      <c r="J182" s="21"/>
      <c r="K182" s="21"/>
      <c r="L182" s="21"/>
      <c r="M182" s="55"/>
      <c r="N182" s="38"/>
      <c r="O182" s="53"/>
      <c r="P182" s="35"/>
      <c r="Q182" s="53"/>
      <c r="R182" s="35"/>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5"/>
      <c r="AT182" s="35"/>
      <c r="AU182" s="52"/>
      <c r="AV182" s="35"/>
      <c r="AW182" s="35"/>
      <c r="AX182" s="52"/>
      <c r="AY182" s="52"/>
      <c r="AZ182" s="52"/>
      <c r="BA182" s="52"/>
      <c r="BB182" s="231"/>
      <c r="BC182" s="231"/>
      <c r="BD182" s="52"/>
      <c r="BE182" s="52"/>
      <c r="BF182" s="52"/>
      <c r="BG182" s="52"/>
      <c r="BJ182" s="52"/>
      <c r="BK182" s="52"/>
      <c r="BL182" s="231"/>
      <c r="BM182" s="231"/>
      <c r="BN182" s="231"/>
      <c r="BO182" s="234"/>
      <c r="BP182" s="231"/>
      <c r="BQ182" s="231"/>
      <c r="BR182" s="236"/>
      <c r="BS182" s="236"/>
      <c r="BT182" s="236"/>
      <c r="BU182" s="236"/>
      <c r="BV182" s="236"/>
      <c r="BW182" s="236"/>
      <c r="BX182" s="236"/>
      <c r="BY182" s="231"/>
      <c r="BZ182" s="231"/>
      <c r="CA182" s="68"/>
      <c r="CB182" s="68"/>
      <c r="CC182" s="53"/>
      <c r="CD182" s="68"/>
      <c r="CE182" s="68"/>
      <c r="CF182" s="68"/>
      <c r="CG182" s="68"/>
      <c r="CH182" s="68"/>
      <c r="CI182" s="68"/>
      <c r="CJ182" s="68"/>
      <c r="CK182" s="68"/>
      <c r="CL182" s="68"/>
      <c r="CM182" s="35"/>
      <c r="CN182" s="35"/>
      <c r="CO182" s="52"/>
      <c r="CP182" s="35"/>
      <c r="CQ182" s="52"/>
      <c r="CR182" s="35"/>
      <c r="CS182" s="52"/>
      <c r="CT182" s="35"/>
      <c r="CU182" s="52"/>
      <c r="CV182" s="52"/>
      <c r="CW182" s="53"/>
      <c r="CX182" s="53"/>
      <c r="CY182" s="130"/>
      <c r="CZ182" s="35"/>
      <c r="DA182" s="35" t="e">
        <f t="shared" si="88"/>
        <v>#DIV/0!</v>
      </c>
    </row>
    <row r="183" spans="1:105">
      <c r="A183" s="68"/>
      <c r="B183" s="12" t="s">
        <v>146</v>
      </c>
      <c r="C183" s="12"/>
      <c r="D183" s="55"/>
      <c r="E183" s="21"/>
      <c r="F183" s="21"/>
      <c r="G183" s="21"/>
      <c r="H183" s="21"/>
      <c r="I183" s="21"/>
      <c r="J183" s="21"/>
      <c r="K183" s="21"/>
      <c r="L183" s="21"/>
      <c r="M183" s="55"/>
      <c r="N183" s="38"/>
      <c r="O183" s="53"/>
      <c r="P183" s="35"/>
      <c r="Q183" s="53"/>
      <c r="R183" s="35"/>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5"/>
      <c r="AT183" s="35"/>
      <c r="AU183" s="52"/>
      <c r="AV183" s="35"/>
      <c r="AW183" s="35"/>
      <c r="AX183" s="52"/>
      <c r="AY183" s="52"/>
      <c r="AZ183" s="52"/>
      <c r="BA183" s="52"/>
      <c r="BB183" s="231"/>
      <c r="BC183" s="231"/>
      <c r="BD183" s="52"/>
      <c r="BE183" s="52"/>
      <c r="BF183" s="52"/>
      <c r="BG183" s="52"/>
      <c r="BJ183" s="52"/>
      <c r="BK183" s="52"/>
      <c r="BL183" s="231"/>
      <c r="BM183" s="231"/>
      <c r="BN183" s="231"/>
      <c r="BO183" s="234"/>
      <c r="BP183" s="231"/>
      <c r="BQ183" s="231"/>
      <c r="BR183" s="236"/>
      <c r="BS183" s="236"/>
      <c r="BT183" s="236"/>
      <c r="BU183" s="236"/>
      <c r="BV183" s="236"/>
      <c r="BW183" s="236"/>
      <c r="BX183" s="236"/>
      <c r="BY183" s="231"/>
      <c r="BZ183" s="231"/>
      <c r="CA183" s="68"/>
      <c r="CB183" s="68"/>
      <c r="CC183" s="53"/>
      <c r="CD183" s="68"/>
      <c r="CE183" s="68"/>
      <c r="CF183" s="68"/>
      <c r="CG183" s="68"/>
      <c r="CH183" s="68"/>
      <c r="CI183" s="68"/>
      <c r="CJ183" s="68"/>
      <c r="CK183" s="68"/>
      <c r="CL183" s="68"/>
      <c r="CM183" s="35"/>
      <c r="CN183" s="35"/>
      <c r="CO183" s="52"/>
      <c r="CP183" s="35"/>
      <c r="CQ183" s="52"/>
      <c r="CR183" s="35"/>
      <c r="CS183" s="52"/>
      <c r="CT183" s="35"/>
      <c r="CU183" s="52"/>
      <c r="CV183" s="52"/>
      <c r="CW183" s="53"/>
      <c r="CX183" s="53"/>
      <c r="CY183" s="130"/>
      <c r="CZ183" s="35"/>
      <c r="DA183" s="35"/>
    </row>
    <row r="184" spans="1:105">
      <c r="A184" s="68"/>
      <c r="B184" s="12" t="s">
        <v>147</v>
      </c>
      <c r="C184" s="12"/>
      <c r="D184" s="55"/>
      <c r="E184" s="21"/>
      <c r="F184" s="21"/>
      <c r="G184" s="21"/>
      <c r="H184" s="21"/>
      <c r="I184" s="21"/>
      <c r="J184" s="21"/>
      <c r="K184" s="21"/>
      <c r="L184" s="21"/>
      <c r="M184" s="55"/>
      <c r="N184" s="38"/>
      <c r="O184" s="53"/>
      <c r="P184" s="35"/>
      <c r="Q184" s="53"/>
      <c r="R184" s="35"/>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5"/>
      <c r="AT184" s="35"/>
      <c r="AU184" s="52"/>
      <c r="AV184" s="35"/>
      <c r="AW184" s="35"/>
      <c r="AX184" s="52"/>
      <c r="AY184" s="52"/>
      <c r="AZ184" s="52"/>
      <c r="BA184" s="52"/>
      <c r="BB184" s="231"/>
      <c r="BC184" s="231"/>
      <c r="BD184" s="52"/>
      <c r="BE184" s="52"/>
      <c r="BF184" s="52"/>
      <c r="BG184" s="52"/>
      <c r="BJ184" s="52"/>
      <c r="BK184" s="52"/>
      <c r="BL184" s="231"/>
      <c r="BM184" s="231"/>
      <c r="BN184" s="231"/>
      <c r="BO184" s="234"/>
      <c r="BP184" s="231"/>
      <c r="BQ184" s="231"/>
      <c r="BR184" s="236"/>
      <c r="BS184" s="236"/>
      <c r="BT184" s="236"/>
      <c r="BU184" s="236"/>
      <c r="BV184" s="236"/>
      <c r="BW184" s="236"/>
      <c r="BX184" s="236"/>
      <c r="BY184" s="231"/>
      <c r="BZ184" s="231"/>
      <c r="CA184" s="68"/>
      <c r="CB184" s="68"/>
      <c r="CC184" s="53"/>
      <c r="CD184" s="68"/>
      <c r="CE184" s="68"/>
      <c r="CF184" s="68"/>
      <c r="CG184" s="68"/>
      <c r="CH184" s="68"/>
      <c r="CI184" s="68"/>
      <c r="CJ184" s="68"/>
      <c r="CK184" s="68"/>
      <c r="CL184" s="68"/>
      <c r="CM184" s="35"/>
      <c r="CN184" s="35"/>
      <c r="CO184" s="52"/>
      <c r="CP184" s="35"/>
      <c r="CQ184" s="52"/>
      <c r="CR184" s="35"/>
      <c r="CS184" s="52"/>
      <c r="CT184" s="35"/>
      <c r="CU184" s="52"/>
      <c r="CV184" s="52"/>
      <c r="CW184" s="53"/>
      <c r="CX184" s="53"/>
      <c r="CY184" s="130"/>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390</v>
      </c>
      <c r="C1" s="12" t="s">
        <v>391</v>
      </c>
      <c r="D1" s="12" t="s">
        <v>392</v>
      </c>
      <c r="E1" s="12" t="s">
        <v>393</v>
      </c>
      <c r="F1" s="12" t="s">
        <v>394</v>
      </c>
      <c r="G1" s="25" t="s">
        <v>395</v>
      </c>
    </row>
    <row r="2" spans="1:7">
      <c r="A2" s="12">
        <v>2022</v>
      </c>
      <c r="B2" s="12" t="s">
        <v>396</v>
      </c>
      <c r="C2" s="14" t="s">
        <v>397</v>
      </c>
      <c r="D2" s="68"/>
      <c r="E2" s="68"/>
      <c r="F2" s="68"/>
      <c r="G2" s="68"/>
    </row>
    <row r="3" ht="17" spans="1:7">
      <c r="A3" s="12"/>
      <c r="B3" s="12" t="s">
        <v>398</v>
      </c>
      <c r="C3" s="102" t="s">
        <v>399</v>
      </c>
      <c r="D3" s="68"/>
      <c r="E3" s="68"/>
      <c r="F3" s="68"/>
      <c r="G3" s="68"/>
    </row>
    <row r="4" spans="1:7">
      <c r="A4" s="12"/>
      <c r="B4" s="12" t="s">
        <v>400</v>
      </c>
      <c r="C4" s="57" t="s">
        <v>401</v>
      </c>
      <c r="D4" s="68"/>
      <c r="E4" s="68"/>
      <c r="F4" s="68"/>
      <c r="G4" s="68"/>
    </row>
    <row r="5" spans="1:7">
      <c r="A5" s="12"/>
      <c r="B5" s="57" t="s">
        <v>402</v>
      </c>
      <c r="C5" s="57" t="s">
        <v>401</v>
      </c>
      <c r="D5" s="68"/>
      <c r="E5" s="68"/>
      <c r="F5" s="68"/>
      <c r="G5" s="68"/>
    </row>
    <row r="6" spans="1:7">
      <c r="A6" s="12"/>
      <c r="B6" s="20" t="s">
        <v>403</v>
      </c>
      <c r="C6" s="57" t="s">
        <v>401</v>
      </c>
      <c r="D6" s="68"/>
      <c r="E6" s="68"/>
      <c r="F6" s="68"/>
      <c r="G6" s="68"/>
    </row>
    <row r="7" spans="1:7">
      <c r="A7" s="12"/>
      <c r="B7" s="21" t="s">
        <v>404</v>
      </c>
      <c r="C7" s="57" t="s">
        <v>401</v>
      </c>
      <c r="D7" s="68"/>
      <c r="E7" s="68"/>
      <c r="F7" s="68"/>
      <c r="G7" s="68"/>
    </row>
    <row r="8" spans="1:7">
      <c r="A8" s="12"/>
      <c r="B8" s="12" t="s">
        <v>405</v>
      </c>
      <c r="C8" s="94" t="s">
        <v>406</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396</v>
      </c>
      <c r="C13" s="14" t="s">
        <v>397</v>
      </c>
      <c r="D13" s="68"/>
      <c r="E13" s="68"/>
      <c r="F13" s="68"/>
      <c r="G13" s="68"/>
    </row>
    <row r="14" ht="17" spans="1:7">
      <c r="A14" s="12"/>
      <c r="B14" s="12" t="s">
        <v>398</v>
      </c>
      <c r="C14" s="102" t="s">
        <v>407</v>
      </c>
      <c r="D14" s="68"/>
      <c r="E14" s="68"/>
      <c r="F14" s="68"/>
      <c r="G14" s="68"/>
    </row>
    <row r="15" spans="1:7">
      <c r="A15" s="12"/>
      <c r="B15" s="12" t="s">
        <v>400</v>
      </c>
      <c r="C15" s="57" t="s">
        <v>401</v>
      </c>
      <c r="D15" s="68"/>
      <c r="E15" s="68"/>
      <c r="F15" s="68"/>
      <c r="G15" s="68"/>
    </row>
    <row r="16" spans="1:7">
      <c r="A16" s="12"/>
      <c r="B16" s="21" t="s">
        <v>403</v>
      </c>
      <c r="C16" s="57" t="s">
        <v>401</v>
      </c>
      <c r="D16" s="68"/>
      <c r="E16" s="68"/>
      <c r="F16" s="68"/>
      <c r="G16" s="68"/>
    </row>
    <row r="17" spans="1:7">
      <c r="A17" s="12"/>
      <c r="B17" s="21" t="s">
        <v>404</v>
      </c>
      <c r="C17" s="57" t="s">
        <v>408</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396</v>
      </c>
      <c r="C23" s="14" t="s">
        <v>397</v>
      </c>
      <c r="D23" s="68"/>
      <c r="E23" s="68"/>
      <c r="F23" s="68"/>
      <c r="G23" s="68"/>
    </row>
    <row r="24" ht="17" spans="1:7">
      <c r="A24" s="12"/>
      <c r="B24" s="12" t="s">
        <v>398</v>
      </c>
      <c r="C24" s="102" t="s">
        <v>407</v>
      </c>
      <c r="D24" s="68"/>
      <c r="E24" s="68"/>
      <c r="F24" s="68"/>
      <c r="G24" s="68"/>
    </row>
    <row r="25" spans="1:7">
      <c r="A25" s="12"/>
      <c r="B25" s="12" t="s">
        <v>400</v>
      </c>
      <c r="C25" s="57" t="s">
        <v>401</v>
      </c>
      <c r="D25" s="68"/>
      <c r="E25" s="68"/>
      <c r="F25" s="68"/>
      <c r="G25" s="68"/>
    </row>
    <row r="26" spans="1:7">
      <c r="A26" s="12"/>
      <c r="B26" s="21" t="s">
        <v>403</v>
      </c>
      <c r="C26" s="57" t="s">
        <v>401</v>
      </c>
      <c r="D26" s="68"/>
      <c r="E26" s="68"/>
      <c r="F26" s="68"/>
      <c r="G26" s="68"/>
    </row>
    <row r="27" spans="1:7">
      <c r="A27" s="12"/>
      <c r="B27" s="21" t="s">
        <v>404</v>
      </c>
      <c r="C27" s="57" t="s">
        <v>408</v>
      </c>
      <c r="D27" s="68"/>
      <c r="E27" s="68"/>
      <c r="F27" s="68"/>
      <c r="G27" s="68"/>
    </row>
    <row r="28" spans="1:7">
      <c r="A28" s="12"/>
      <c r="B28" s="68"/>
      <c r="C28" s="103"/>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396</v>
      </c>
      <c r="C32" s="12" t="s">
        <v>397</v>
      </c>
      <c r="D32" s="68"/>
      <c r="E32" s="68"/>
      <c r="F32" s="68"/>
      <c r="G32" s="68"/>
    </row>
    <row r="33" ht="17" spans="1:7">
      <c r="A33" s="12"/>
      <c r="B33" s="12" t="s">
        <v>398</v>
      </c>
      <c r="C33" s="25" t="s">
        <v>407</v>
      </c>
      <c r="D33" s="68"/>
      <c r="E33" s="68"/>
      <c r="F33" s="68"/>
      <c r="G33" s="68"/>
    </row>
    <row r="34" spans="1:7">
      <c r="A34" s="12"/>
      <c r="B34" s="12" t="s">
        <v>400</v>
      </c>
      <c r="C34" s="12" t="s">
        <v>401</v>
      </c>
      <c r="D34" s="68"/>
      <c r="E34" s="68"/>
      <c r="F34" s="68"/>
      <c r="G34" s="68"/>
    </row>
    <row r="35" spans="1:7">
      <c r="A35" s="12"/>
      <c r="B35" s="21" t="s">
        <v>403</v>
      </c>
      <c r="C35" s="12" t="s">
        <v>401</v>
      </c>
      <c r="D35" s="68"/>
      <c r="E35" s="68"/>
      <c r="F35" s="68"/>
      <c r="G35" s="68"/>
    </row>
    <row r="36" spans="1:7">
      <c r="A36" s="12"/>
      <c r="B36" s="21" t="s">
        <v>404</v>
      </c>
      <c r="C36" s="12" t="s">
        <v>401</v>
      </c>
      <c r="D36" s="68"/>
      <c r="E36" s="68"/>
      <c r="F36" s="68"/>
      <c r="G36" s="68"/>
    </row>
    <row r="37" spans="1:7">
      <c r="A37" s="12"/>
      <c r="B37" s="21" t="s">
        <v>409</v>
      </c>
      <c r="C37" s="12" t="s">
        <v>410</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396</v>
      </c>
      <c r="C42" s="12" t="s">
        <v>397</v>
      </c>
      <c r="D42" s="68"/>
      <c r="E42" s="68"/>
      <c r="F42" s="68"/>
      <c r="G42" s="68"/>
    </row>
    <row r="43" ht="17" spans="1:7">
      <c r="A43" s="12"/>
      <c r="B43" s="12" t="s">
        <v>398</v>
      </c>
      <c r="C43" s="25" t="s">
        <v>407</v>
      </c>
      <c r="D43" s="68"/>
      <c r="E43" s="68"/>
      <c r="F43" s="68"/>
      <c r="G43" s="68"/>
    </row>
    <row r="44" spans="1:7">
      <c r="A44" s="12"/>
      <c r="B44" s="12" t="s">
        <v>400</v>
      </c>
      <c r="C44" s="12" t="s">
        <v>401</v>
      </c>
      <c r="D44" s="68"/>
      <c r="E44" s="68"/>
      <c r="F44" s="68"/>
      <c r="G44" s="68"/>
    </row>
    <row r="45" spans="1:7">
      <c r="A45" s="12"/>
      <c r="B45" s="21" t="s">
        <v>403</v>
      </c>
      <c r="C45" s="12" t="s">
        <v>401</v>
      </c>
      <c r="D45" s="68"/>
      <c r="E45" s="68"/>
      <c r="F45" s="68"/>
      <c r="G45" s="68"/>
    </row>
    <row r="46" spans="1:7">
      <c r="A46" s="12"/>
      <c r="B46" s="21" t="s">
        <v>404</v>
      </c>
      <c r="C46" s="12" t="s">
        <v>401</v>
      </c>
      <c r="D46" s="68"/>
      <c r="E46" s="68"/>
      <c r="F46" s="68"/>
      <c r="G46" s="68"/>
    </row>
    <row r="47" spans="1:7">
      <c r="A47" s="12"/>
      <c r="B47" s="21" t="s">
        <v>409</v>
      </c>
      <c r="C47" s="12" t="s">
        <v>410</v>
      </c>
      <c r="D47" s="68"/>
      <c r="E47" s="68"/>
      <c r="F47" s="68"/>
      <c r="G47" s="68"/>
    </row>
    <row r="48" spans="1:7">
      <c r="A48" s="12"/>
      <c r="B48" s="104"/>
      <c r="C48" s="68"/>
      <c r="D48" s="68"/>
      <c r="E48" s="68"/>
      <c r="F48" s="68"/>
      <c r="G48" s="68"/>
    </row>
    <row r="49" spans="1:7">
      <c r="A49" s="12"/>
      <c r="B49" s="104"/>
      <c r="C49" s="68"/>
      <c r="D49" s="68"/>
      <c r="E49" s="68"/>
      <c r="F49" s="68"/>
      <c r="G49" s="68"/>
    </row>
    <row r="50" spans="1:7">
      <c r="A50" s="12"/>
      <c r="B50" s="104"/>
      <c r="C50" s="68"/>
      <c r="D50" s="68"/>
      <c r="E50" s="68"/>
      <c r="F50" s="68"/>
      <c r="G50" s="68"/>
    </row>
    <row r="51" spans="1:7">
      <c r="A51" s="12"/>
      <c r="B51" s="104"/>
      <c r="C51" s="68"/>
      <c r="D51" s="68"/>
      <c r="E51" s="68"/>
      <c r="F51" s="68"/>
      <c r="G51" s="68"/>
    </row>
    <row r="52" spans="1:7">
      <c r="A52" s="27">
        <v>2017</v>
      </c>
      <c r="B52" s="21" t="s">
        <v>396</v>
      </c>
      <c r="C52" s="12" t="s">
        <v>397</v>
      </c>
      <c r="D52" s="68"/>
      <c r="E52" s="68"/>
      <c r="F52" s="68"/>
      <c r="G52" s="68"/>
    </row>
    <row r="53" ht="17" spans="1:7">
      <c r="A53" s="28"/>
      <c r="B53" s="21" t="s">
        <v>398</v>
      </c>
      <c r="C53" s="25" t="s">
        <v>407</v>
      </c>
      <c r="D53" s="68"/>
      <c r="E53" s="68"/>
      <c r="F53" s="68"/>
      <c r="G53" s="68"/>
    </row>
    <row r="54" spans="1:7">
      <c r="A54" s="28"/>
      <c r="B54" s="21" t="s">
        <v>400</v>
      </c>
      <c r="C54" s="12" t="s">
        <v>401</v>
      </c>
      <c r="D54" s="68"/>
      <c r="E54" s="68"/>
      <c r="F54" s="68"/>
      <c r="G54" s="68"/>
    </row>
    <row r="55" spans="1:7">
      <c r="A55" s="28"/>
      <c r="B55" s="21" t="s">
        <v>403</v>
      </c>
      <c r="C55" s="12" t="s">
        <v>401</v>
      </c>
      <c r="D55" s="68"/>
      <c r="E55" s="68"/>
      <c r="F55" s="68"/>
      <c r="G55" s="68"/>
    </row>
    <row r="56" spans="1:7">
      <c r="A56" s="28"/>
      <c r="B56" s="21" t="s">
        <v>404</v>
      </c>
      <c r="C56" s="12" t="s">
        <v>401</v>
      </c>
      <c r="D56" s="68"/>
      <c r="E56" s="68"/>
      <c r="F56" s="68"/>
      <c r="G56" s="68"/>
    </row>
    <row r="57" spans="1:7">
      <c r="A57" s="28"/>
      <c r="B57" s="12" t="s">
        <v>409</v>
      </c>
      <c r="C57" s="12" t="s">
        <v>410</v>
      </c>
      <c r="D57" s="68"/>
      <c r="E57" s="68"/>
      <c r="F57" s="68"/>
      <c r="G57" s="68"/>
    </row>
    <row r="58" spans="1:7">
      <c r="A58" s="27">
        <v>2016</v>
      </c>
      <c r="B58" s="12" t="s">
        <v>396</v>
      </c>
      <c r="C58" s="12" t="s">
        <v>397</v>
      </c>
      <c r="D58" s="68"/>
      <c r="E58" s="68"/>
      <c r="F58" s="68"/>
      <c r="G58" s="68"/>
    </row>
    <row r="59" ht="17" spans="1:7">
      <c r="A59" s="28"/>
      <c r="B59" s="12" t="s">
        <v>398</v>
      </c>
      <c r="C59" s="25" t="s">
        <v>407</v>
      </c>
      <c r="D59" s="68"/>
      <c r="E59" s="68"/>
      <c r="F59" s="68"/>
      <c r="G59" s="68"/>
    </row>
    <row r="60" spans="1:7">
      <c r="A60" s="28"/>
      <c r="B60" s="20" t="s">
        <v>411</v>
      </c>
      <c r="C60" s="12" t="s">
        <v>401</v>
      </c>
      <c r="D60" s="68"/>
      <c r="E60" s="68"/>
      <c r="F60" s="68"/>
      <c r="G60" s="68"/>
    </row>
    <row r="61" spans="1:7">
      <c r="A61" s="28"/>
      <c r="B61" s="12" t="s">
        <v>400</v>
      </c>
      <c r="C61" s="12" t="s">
        <v>401</v>
      </c>
      <c r="D61" s="68"/>
      <c r="E61" s="68"/>
      <c r="F61" s="68"/>
      <c r="G61" s="68"/>
    </row>
    <row r="62" spans="1:7">
      <c r="A62" s="28"/>
      <c r="B62" s="21" t="s">
        <v>403</v>
      </c>
      <c r="C62" s="12" t="s">
        <v>401</v>
      </c>
      <c r="D62" s="68"/>
      <c r="E62" s="68"/>
      <c r="F62" s="68"/>
      <c r="G62" s="68"/>
    </row>
    <row r="63" spans="1:7">
      <c r="A63" s="28"/>
      <c r="B63" s="57" t="s">
        <v>404</v>
      </c>
      <c r="C63" s="12" t="s">
        <v>401</v>
      </c>
      <c r="D63" s="68"/>
      <c r="E63" s="68"/>
      <c r="F63" s="68"/>
      <c r="G63" s="68"/>
    </row>
    <row r="64" ht="17" spans="1:7">
      <c r="A64" s="28"/>
      <c r="B64" s="20" t="s">
        <v>412</v>
      </c>
      <c r="C64" s="25" t="s">
        <v>413</v>
      </c>
      <c r="D64" s="68"/>
      <c r="E64" s="68"/>
      <c r="F64" s="68"/>
      <c r="G64" s="68"/>
    </row>
    <row r="65" ht="17" spans="1:7">
      <c r="A65" s="28"/>
      <c r="B65" s="20" t="s">
        <v>414</v>
      </c>
      <c r="C65" s="25" t="s">
        <v>413</v>
      </c>
      <c r="D65" s="68"/>
      <c r="E65" s="68"/>
      <c r="F65" s="68"/>
      <c r="G65" s="68"/>
    </row>
    <row r="66" ht="17" spans="1:7">
      <c r="A66" s="28"/>
      <c r="B66" s="20" t="s">
        <v>415</v>
      </c>
      <c r="C66" s="25" t="s">
        <v>413</v>
      </c>
      <c r="D66" s="68"/>
      <c r="E66" s="68"/>
      <c r="F66" s="68"/>
      <c r="G66" s="68"/>
    </row>
    <row r="67" ht="17" spans="1:7">
      <c r="A67" s="28"/>
      <c r="B67" s="20" t="s">
        <v>416</v>
      </c>
      <c r="C67" s="25" t="s">
        <v>413</v>
      </c>
      <c r="D67" s="68"/>
      <c r="E67" s="68"/>
      <c r="F67" s="68"/>
      <c r="G67" s="68"/>
    </row>
    <row r="68" ht="17" spans="1:7">
      <c r="A68" s="28"/>
      <c r="B68" s="20" t="s">
        <v>417</v>
      </c>
      <c r="C68" s="25" t="s">
        <v>418</v>
      </c>
      <c r="D68" s="68"/>
      <c r="E68" s="68"/>
      <c r="F68" s="68"/>
      <c r="G68" s="68"/>
    </row>
    <row r="69" spans="1:7">
      <c r="A69" s="42"/>
      <c r="B69" s="12" t="s">
        <v>409</v>
      </c>
      <c r="C69" s="12" t="s">
        <v>410</v>
      </c>
      <c r="D69" s="68"/>
      <c r="E69" s="68"/>
      <c r="F69" s="68"/>
      <c r="G69" s="68"/>
    </row>
    <row r="70" spans="1:7">
      <c r="A70" s="12">
        <v>2015</v>
      </c>
      <c r="B70" s="12" t="s">
        <v>396</v>
      </c>
      <c r="C70" s="12" t="s">
        <v>397</v>
      </c>
      <c r="D70" s="68"/>
      <c r="E70" s="68"/>
      <c r="F70" s="68"/>
      <c r="G70" s="68"/>
    </row>
    <row r="71" ht="17" spans="1:7">
      <c r="A71" s="12"/>
      <c r="B71" s="12" t="s">
        <v>398</v>
      </c>
      <c r="C71" s="25" t="s">
        <v>407</v>
      </c>
      <c r="D71" s="68"/>
      <c r="E71" s="68"/>
      <c r="F71" s="68"/>
      <c r="G71" s="68"/>
    </row>
    <row r="72" spans="1:7">
      <c r="A72" s="12"/>
      <c r="B72" s="12" t="s">
        <v>411</v>
      </c>
      <c r="C72" s="12" t="s">
        <v>401</v>
      </c>
      <c r="D72" s="68"/>
      <c r="E72" s="68"/>
      <c r="F72" s="68"/>
      <c r="G72" s="68"/>
    </row>
    <row r="73" spans="1:7">
      <c r="A73" s="12"/>
      <c r="B73" s="12" t="s">
        <v>400</v>
      </c>
      <c r="C73" s="12" t="s">
        <v>401</v>
      </c>
      <c r="D73" s="68"/>
      <c r="E73" s="68"/>
      <c r="F73" s="68"/>
      <c r="G73" s="68"/>
    </row>
    <row r="74" spans="1:7">
      <c r="A74" s="12"/>
      <c r="B74" s="57" t="s">
        <v>403</v>
      </c>
      <c r="C74" s="12" t="s">
        <v>401</v>
      </c>
      <c r="D74" s="68"/>
      <c r="E74" s="68"/>
      <c r="F74" s="68"/>
      <c r="G74" s="68"/>
    </row>
    <row r="75" ht="17" spans="1:7">
      <c r="A75" s="12"/>
      <c r="B75" s="94" t="s">
        <v>412</v>
      </c>
      <c r="C75" s="25" t="s">
        <v>413</v>
      </c>
      <c r="D75" s="68"/>
      <c r="E75" s="68"/>
      <c r="F75" s="68"/>
      <c r="G75" s="68"/>
    </row>
    <row r="76" ht="17" spans="1:7">
      <c r="A76" s="12"/>
      <c r="B76" s="94" t="s">
        <v>414</v>
      </c>
      <c r="C76" s="25" t="s">
        <v>413</v>
      </c>
      <c r="D76" s="68"/>
      <c r="E76" s="68"/>
      <c r="F76" s="68"/>
      <c r="G76" s="68"/>
    </row>
    <row r="77" ht="17" spans="1:7">
      <c r="A77" s="12"/>
      <c r="B77" s="94" t="s">
        <v>415</v>
      </c>
      <c r="C77" s="25" t="s">
        <v>413</v>
      </c>
      <c r="D77" s="68"/>
      <c r="E77" s="68"/>
      <c r="F77" s="68"/>
      <c r="G77" s="68"/>
    </row>
    <row r="78" ht="17" spans="1:7">
      <c r="A78" s="12"/>
      <c r="B78" s="94" t="s">
        <v>416</v>
      </c>
      <c r="C78" s="25" t="s">
        <v>413</v>
      </c>
      <c r="D78" s="68"/>
      <c r="E78" s="68"/>
      <c r="F78" s="68"/>
      <c r="G78" s="68"/>
    </row>
    <row r="79" ht="17" spans="1:7">
      <c r="A79" s="12"/>
      <c r="B79" s="57" t="s">
        <v>417</v>
      </c>
      <c r="C79" s="25" t="s">
        <v>418</v>
      </c>
      <c r="D79" s="68"/>
      <c r="E79" s="68"/>
      <c r="F79" s="68"/>
      <c r="G79" s="68"/>
    </row>
    <row r="80" spans="1:7">
      <c r="A80" s="12"/>
      <c r="B80" s="12" t="s">
        <v>409</v>
      </c>
      <c r="C80" s="12" t="s">
        <v>406</v>
      </c>
      <c r="D80" s="68"/>
      <c r="E80" s="68"/>
      <c r="F80" s="68"/>
      <c r="G80" s="68"/>
    </row>
    <row r="81" spans="1:7">
      <c r="A81" s="12">
        <v>2014</v>
      </c>
      <c r="B81" s="12" t="s">
        <v>396</v>
      </c>
      <c r="C81" s="12" t="s">
        <v>397</v>
      </c>
      <c r="D81" s="68"/>
      <c r="E81" s="68"/>
      <c r="F81" s="68"/>
      <c r="G81" s="68"/>
    </row>
    <row r="82" ht="17" spans="1:7">
      <c r="A82" s="12"/>
      <c r="B82" s="12" t="s">
        <v>398</v>
      </c>
      <c r="C82" s="25" t="s">
        <v>407</v>
      </c>
      <c r="D82" s="68"/>
      <c r="E82" s="68"/>
      <c r="F82" s="68"/>
      <c r="G82" s="68"/>
    </row>
    <row r="83" spans="1:7">
      <c r="A83" s="12"/>
      <c r="B83" s="12" t="s">
        <v>411</v>
      </c>
      <c r="C83" s="12" t="s">
        <v>401</v>
      </c>
      <c r="D83" s="68"/>
      <c r="E83" s="68"/>
      <c r="F83" s="68"/>
      <c r="G83" s="68"/>
    </row>
    <row r="84" spans="1:7">
      <c r="A84" s="12"/>
      <c r="B84" s="12" t="s">
        <v>400</v>
      </c>
      <c r="C84" s="12" t="s">
        <v>401</v>
      </c>
      <c r="D84" s="68"/>
      <c r="E84" s="68"/>
      <c r="F84" s="68"/>
      <c r="G84" s="68"/>
    </row>
    <row r="85" ht="17" spans="1:7">
      <c r="A85" s="12"/>
      <c r="B85" s="12" t="s">
        <v>412</v>
      </c>
      <c r="C85" s="25" t="s">
        <v>419</v>
      </c>
      <c r="D85" s="68"/>
      <c r="E85" s="68"/>
      <c r="F85" s="68"/>
      <c r="G85" s="68"/>
    </row>
    <row r="86" spans="1:7">
      <c r="A86" s="12"/>
      <c r="B86" s="12" t="s">
        <v>414</v>
      </c>
      <c r="C86" s="12" t="s">
        <v>420</v>
      </c>
      <c r="D86" s="68"/>
      <c r="E86" s="68"/>
      <c r="F86" s="68"/>
      <c r="G86" s="68"/>
    </row>
    <row r="87" spans="1:7">
      <c r="A87" s="12"/>
      <c r="B87" s="12" t="s">
        <v>409</v>
      </c>
      <c r="C87" s="12" t="s">
        <v>406</v>
      </c>
      <c r="D87" s="105">
        <v>875772</v>
      </c>
      <c r="E87" s="68"/>
      <c r="F87" s="68"/>
      <c r="G87" s="68">
        <v>39.87</v>
      </c>
    </row>
    <row r="88" spans="1:7">
      <c r="A88" s="12"/>
      <c r="B88" s="20" t="s">
        <v>421</v>
      </c>
      <c r="C88" s="12" t="s">
        <v>422</v>
      </c>
      <c r="D88" s="68"/>
      <c r="E88" s="68"/>
      <c r="F88" s="68"/>
      <c r="G88" s="68"/>
    </row>
    <row r="89" spans="1:7">
      <c r="A89" s="12"/>
      <c r="B89" s="20" t="s">
        <v>423</v>
      </c>
      <c r="C89" s="12" t="s">
        <v>424</v>
      </c>
      <c r="D89" s="68"/>
      <c r="E89" s="68"/>
      <c r="F89" s="68"/>
      <c r="G89" s="68"/>
    </row>
    <row r="90" spans="1:7">
      <c r="A90" s="12"/>
      <c r="B90" s="20" t="s">
        <v>425</v>
      </c>
      <c r="C90" s="12" t="s">
        <v>426</v>
      </c>
      <c r="D90" s="68"/>
      <c r="E90" s="68"/>
      <c r="F90" s="68"/>
      <c r="G90" s="68"/>
    </row>
    <row r="91" spans="1:7">
      <c r="A91" s="12">
        <v>2013</v>
      </c>
      <c r="B91" s="12" t="s">
        <v>396</v>
      </c>
      <c r="C91" s="12" t="s">
        <v>397</v>
      </c>
      <c r="D91" s="12"/>
      <c r="E91" s="12"/>
      <c r="F91" s="12"/>
      <c r="G91" s="12"/>
    </row>
    <row r="92" ht="17" spans="1:7">
      <c r="A92" s="12"/>
      <c r="B92" s="12" t="s">
        <v>398</v>
      </c>
      <c r="C92" s="25" t="s">
        <v>407</v>
      </c>
      <c r="D92" s="12"/>
      <c r="E92" s="12"/>
      <c r="F92" s="12"/>
      <c r="G92" s="12"/>
    </row>
    <row r="93" spans="1:7">
      <c r="A93" s="12"/>
      <c r="B93" s="12" t="s">
        <v>411</v>
      </c>
      <c r="C93" s="12" t="s">
        <v>401</v>
      </c>
      <c r="D93" s="12"/>
      <c r="E93" s="12"/>
      <c r="F93" s="12"/>
      <c r="G93" s="12"/>
    </row>
    <row r="94" spans="1:7">
      <c r="A94" s="12"/>
      <c r="B94" s="12" t="s">
        <v>400</v>
      </c>
      <c r="C94" s="12" t="s">
        <v>401</v>
      </c>
      <c r="D94" s="12"/>
      <c r="E94" s="12"/>
      <c r="F94" s="12"/>
      <c r="G94" s="12"/>
    </row>
    <row r="95" ht="17" spans="1:7">
      <c r="A95" s="12"/>
      <c r="B95" s="12" t="s">
        <v>412</v>
      </c>
      <c r="C95" s="25" t="s">
        <v>419</v>
      </c>
      <c r="D95" s="12"/>
      <c r="E95" s="12"/>
      <c r="F95" s="12"/>
      <c r="G95" s="12"/>
    </row>
    <row r="96" spans="1:7">
      <c r="A96" s="12"/>
      <c r="B96" s="12" t="s">
        <v>414</v>
      </c>
      <c r="C96" s="12" t="s">
        <v>420</v>
      </c>
      <c r="D96" s="12"/>
      <c r="E96" s="12"/>
      <c r="F96" s="12"/>
      <c r="G96" s="12"/>
    </row>
    <row r="97" spans="1:7">
      <c r="A97" s="12"/>
      <c r="B97" s="12" t="s">
        <v>409</v>
      </c>
      <c r="C97" s="12" t="s">
        <v>406</v>
      </c>
      <c r="D97" s="88">
        <v>462164</v>
      </c>
      <c r="E97" s="12"/>
      <c r="F97" s="12"/>
      <c r="G97" s="12">
        <v>35.34</v>
      </c>
    </row>
    <row r="98" spans="1:7">
      <c r="A98" s="12"/>
      <c r="B98" s="12" t="s">
        <v>421</v>
      </c>
      <c r="C98" s="12" t="s">
        <v>422</v>
      </c>
      <c r="D98" s="88">
        <v>2701775</v>
      </c>
      <c r="E98" s="12"/>
      <c r="F98" s="12"/>
      <c r="G98" s="12">
        <v>45.48</v>
      </c>
    </row>
    <row r="99" spans="1:7">
      <c r="A99" s="12"/>
      <c r="B99" s="12" t="s">
        <v>423</v>
      </c>
      <c r="C99" s="12" t="s">
        <v>424</v>
      </c>
      <c r="D99" s="88">
        <v>1201627</v>
      </c>
      <c r="E99" s="12"/>
      <c r="F99" s="12"/>
      <c r="G99" s="12">
        <v>30.84</v>
      </c>
    </row>
    <row r="100" spans="1:7">
      <c r="A100" s="12"/>
      <c r="B100" s="12" t="s">
        <v>425</v>
      </c>
      <c r="C100" s="12" t="s">
        <v>426</v>
      </c>
      <c r="D100" s="88">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2" t="s">
        <v>1</v>
      </c>
      <c r="B1" s="12" t="s">
        <v>427</v>
      </c>
      <c r="C1" s="12" t="s">
        <v>391</v>
      </c>
      <c r="D1" s="12" t="s">
        <v>392</v>
      </c>
      <c r="E1" s="12" t="s">
        <v>393</v>
      </c>
      <c r="F1" s="12" t="s">
        <v>394</v>
      </c>
      <c r="G1" s="25" t="s">
        <v>395</v>
      </c>
      <c r="H1" s="12" t="s">
        <v>428</v>
      </c>
    </row>
    <row r="2" spans="1:8">
      <c r="A2" s="12">
        <v>2022</v>
      </c>
      <c r="B2" s="16" t="s">
        <v>396</v>
      </c>
      <c r="C2" s="16" t="s">
        <v>429</v>
      </c>
      <c r="D2" s="93">
        <v>443429314</v>
      </c>
      <c r="E2" s="93"/>
      <c r="F2" s="93"/>
      <c r="G2" s="16">
        <v>700.81</v>
      </c>
      <c r="H2" s="68"/>
    </row>
    <row r="3" spans="1:8">
      <c r="A3" s="12"/>
      <c r="B3" s="16" t="s">
        <v>398</v>
      </c>
      <c r="C3" s="16" t="s">
        <v>430</v>
      </c>
      <c r="D3" s="93">
        <v>146971232</v>
      </c>
      <c r="E3" s="93"/>
      <c r="F3" s="93"/>
      <c r="G3" s="16">
        <v>705.77</v>
      </c>
      <c r="H3" s="68" t="s">
        <v>431</v>
      </c>
    </row>
    <row r="4" spans="1:8">
      <c r="A4" s="12"/>
      <c r="B4" s="94" t="s">
        <v>414</v>
      </c>
      <c r="C4" s="94" t="s">
        <v>432</v>
      </c>
      <c r="D4" s="95">
        <v>9801987</v>
      </c>
      <c r="E4" s="95"/>
      <c r="F4" s="95"/>
      <c r="G4" s="94">
        <v>210.54</v>
      </c>
      <c r="H4" s="68" t="s">
        <v>433</v>
      </c>
    </row>
    <row r="5" spans="1:8">
      <c r="A5" s="12"/>
      <c r="B5" s="94" t="s">
        <v>415</v>
      </c>
      <c r="C5" s="94" t="s">
        <v>432</v>
      </c>
      <c r="D5" s="95">
        <v>9738306</v>
      </c>
      <c r="E5" s="95"/>
      <c r="F5" s="95"/>
      <c r="G5" s="94">
        <v>259.22</v>
      </c>
      <c r="H5" s="68" t="s">
        <v>434</v>
      </c>
    </row>
    <row r="6" spans="1:8">
      <c r="A6" s="12"/>
      <c r="B6" s="94" t="s">
        <v>435</v>
      </c>
      <c r="C6" s="94" t="s">
        <v>432</v>
      </c>
      <c r="D6" s="95">
        <v>1281936</v>
      </c>
      <c r="E6" s="95"/>
      <c r="F6" s="95"/>
      <c r="G6" s="94">
        <v>8.3</v>
      </c>
      <c r="H6" s="68" t="s">
        <v>436</v>
      </c>
    </row>
    <row r="7" ht="34" spans="1:8">
      <c r="A7" s="12"/>
      <c r="B7" s="57" t="s">
        <v>437</v>
      </c>
      <c r="C7" s="57" t="s">
        <v>438</v>
      </c>
      <c r="D7" s="57">
        <v>0</v>
      </c>
      <c r="E7" s="57"/>
      <c r="F7" s="57"/>
      <c r="G7" s="57">
        <v>8.3</v>
      </c>
      <c r="H7" s="69" t="s">
        <v>439</v>
      </c>
    </row>
    <row r="8" ht="17" spans="1:8">
      <c r="A8" s="12"/>
      <c r="B8" s="57" t="s">
        <v>440</v>
      </c>
      <c r="C8" s="57" t="s">
        <v>438</v>
      </c>
      <c r="D8" s="57">
        <v>0</v>
      </c>
      <c r="E8" s="57"/>
      <c r="F8" s="57"/>
      <c r="G8" s="57">
        <v>0.91</v>
      </c>
      <c r="H8" s="69" t="s">
        <v>441</v>
      </c>
    </row>
    <row r="9" spans="1:8">
      <c r="A9" s="12"/>
      <c r="B9" s="57" t="s">
        <v>442</v>
      </c>
      <c r="C9" s="57" t="s">
        <v>438</v>
      </c>
      <c r="D9" s="57">
        <v>0</v>
      </c>
      <c r="E9" s="57"/>
      <c r="F9" s="57"/>
      <c r="G9" s="57">
        <v>0.91</v>
      </c>
      <c r="H9" s="68" t="s">
        <v>443</v>
      </c>
    </row>
    <row r="10" spans="1:8">
      <c r="A10" s="12"/>
      <c r="B10" s="96" t="s">
        <v>444</v>
      </c>
      <c r="C10" s="96" t="s">
        <v>445</v>
      </c>
      <c r="D10" s="97">
        <v>15260491</v>
      </c>
      <c r="E10" s="97"/>
      <c r="F10" s="97"/>
      <c r="G10" s="96">
        <v>157.58</v>
      </c>
      <c r="H10" s="68" t="s">
        <v>446</v>
      </c>
    </row>
    <row r="11" ht="51" spans="1:8">
      <c r="A11" s="12"/>
      <c r="B11" s="20" t="s">
        <v>447</v>
      </c>
      <c r="C11" s="98" t="s">
        <v>448</v>
      </c>
      <c r="D11" s="95">
        <v>12841408</v>
      </c>
      <c r="E11" s="95"/>
      <c r="F11" s="95"/>
      <c r="G11" s="94">
        <v>365.54</v>
      </c>
      <c r="H11" s="68"/>
    </row>
    <row r="12" ht="34" spans="1:8">
      <c r="A12" s="12"/>
      <c r="B12" s="20" t="s">
        <v>449</v>
      </c>
      <c r="C12" s="98" t="s">
        <v>450</v>
      </c>
      <c r="D12" s="95">
        <v>247447</v>
      </c>
      <c r="E12" s="95"/>
      <c r="F12" s="95"/>
      <c r="G12" s="94">
        <v>186.19</v>
      </c>
      <c r="H12" s="68"/>
    </row>
    <row r="13" spans="1:8">
      <c r="A13" s="12"/>
      <c r="B13" s="20" t="s">
        <v>451</v>
      </c>
      <c r="C13" s="94" t="s">
        <v>432</v>
      </c>
      <c r="D13" s="95">
        <v>266479</v>
      </c>
      <c r="E13" s="95"/>
      <c r="F13" s="95"/>
      <c r="G13" s="94">
        <v>171.61</v>
      </c>
      <c r="H13" s="68"/>
    </row>
    <row r="14" spans="1:8">
      <c r="A14" s="12"/>
      <c r="B14" s="20" t="s">
        <v>452</v>
      </c>
      <c r="C14" s="57" t="s">
        <v>438</v>
      </c>
      <c r="D14" s="57">
        <v>0</v>
      </c>
      <c r="E14" s="57"/>
      <c r="F14" s="57"/>
      <c r="G14" s="57">
        <v>8</v>
      </c>
      <c r="H14" s="68"/>
    </row>
    <row r="15" spans="1:8">
      <c r="A15" s="12"/>
      <c r="B15" s="20" t="s">
        <v>453</v>
      </c>
      <c r="C15" s="57" t="s">
        <v>438</v>
      </c>
      <c r="D15" s="57">
        <v>0</v>
      </c>
      <c r="E15" s="57"/>
      <c r="F15" s="57"/>
      <c r="G15" s="57">
        <v>15.09</v>
      </c>
      <c r="H15" s="68"/>
    </row>
    <row r="16" spans="1:8">
      <c r="A16" s="12"/>
      <c r="B16" s="20" t="s">
        <v>454</v>
      </c>
      <c r="C16" s="57" t="s">
        <v>438</v>
      </c>
      <c r="D16" s="57">
        <v>0</v>
      </c>
      <c r="E16" s="57"/>
      <c r="F16" s="57"/>
      <c r="G16" s="57">
        <v>15.09</v>
      </c>
      <c r="H16" s="68"/>
    </row>
    <row r="17" spans="1:8">
      <c r="A17" s="27">
        <v>2021</v>
      </c>
      <c r="B17" s="16" t="s">
        <v>396</v>
      </c>
      <c r="C17" s="16" t="s">
        <v>429</v>
      </c>
      <c r="D17" s="93">
        <v>403117558</v>
      </c>
      <c r="E17" s="93"/>
      <c r="F17" s="93"/>
      <c r="G17" s="16">
        <v>498.43</v>
      </c>
      <c r="H17" s="68"/>
    </row>
    <row r="18" spans="1:8">
      <c r="A18" s="28"/>
      <c r="B18" s="16" t="s">
        <v>398</v>
      </c>
      <c r="C18" s="16" t="s">
        <v>455</v>
      </c>
      <c r="D18" s="93">
        <v>133610211</v>
      </c>
      <c r="E18" s="93"/>
      <c r="F18" s="93"/>
      <c r="G18" s="16">
        <v>451.94</v>
      </c>
      <c r="H18" s="68"/>
    </row>
    <row r="19" spans="1:8">
      <c r="A19" s="28"/>
      <c r="B19" s="94" t="s">
        <v>414</v>
      </c>
      <c r="C19" s="94" t="s">
        <v>432</v>
      </c>
      <c r="D19" s="95">
        <v>8910897</v>
      </c>
      <c r="E19" s="95"/>
      <c r="F19" s="95"/>
      <c r="G19" s="94">
        <v>224.46</v>
      </c>
      <c r="H19" s="68"/>
    </row>
    <row r="20" spans="1:8">
      <c r="A20" s="28"/>
      <c r="B20" s="94" t="s">
        <v>415</v>
      </c>
      <c r="C20" s="94" t="s">
        <v>432</v>
      </c>
      <c r="D20" s="95">
        <v>8853006</v>
      </c>
      <c r="E20" s="95"/>
      <c r="F20" s="95"/>
      <c r="G20" s="94">
        <v>264.85</v>
      </c>
      <c r="H20" s="68"/>
    </row>
    <row r="21" spans="1:8">
      <c r="A21" s="28"/>
      <c r="B21" s="94" t="s">
        <v>456</v>
      </c>
      <c r="C21" s="94" t="s">
        <v>432</v>
      </c>
      <c r="D21" s="95">
        <v>224952</v>
      </c>
      <c r="E21" s="95"/>
      <c r="F21" s="95"/>
      <c r="G21" s="94">
        <v>192.05</v>
      </c>
      <c r="H21" s="68"/>
    </row>
    <row r="22" spans="1:8">
      <c r="A22" s="28"/>
      <c r="B22" s="94" t="s">
        <v>457</v>
      </c>
      <c r="C22" s="94" t="s">
        <v>432</v>
      </c>
      <c r="D22" s="95">
        <v>242254</v>
      </c>
      <c r="E22" s="95"/>
      <c r="F22" s="95"/>
      <c r="G22" s="94">
        <v>360.73</v>
      </c>
      <c r="H22" s="68"/>
    </row>
    <row r="23" spans="1:8">
      <c r="A23" s="28"/>
      <c r="B23" s="57" t="s">
        <v>458</v>
      </c>
      <c r="C23" s="57" t="s">
        <v>438</v>
      </c>
      <c r="D23" s="57">
        <v>0</v>
      </c>
      <c r="E23" s="57"/>
      <c r="F23" s="57"/>
      <c r="G23" s="99">
        <v>16</v>
      </c>
      <c r="H23" s="68"/>
    </row>
    <row r="24" spans="1:8">
      <c r="A24" s="28"/>
      <c r="B24" s="57" t="s">
        <v>459</v>
      </c>
      <c r="C24" s="57" t="s">
        <v>438</v>
      </c>
      <c r="D24" s="57">
        <v>0</v>
      </c>
      <c r="E24" s="57"/>
      <c r="F24" s="57"/>
      <c r="G24" s="99">
        <v>16</v>
      </c>
      <c r="H24" s="68"/>
    </row>
    <row r="25" spans="1:8">
      <c r="A25" s="28"/>
      <c r="B25" s="57" t="s">
        <v>460</v>
      </c>
      <c r="C25" s="57" t="s">
        <v>438</v>
      </c>
      <c r="D25" s="57">
        <v>0</v>
      </c>
      <c r="E25" s="57"/>
      <c r="F25" s="57"/>
      <c r="G25" s="99">
        <v>16</v>
      </c>
      <c r="H25" s="68"/>
    </row>
    <row r="26" spans="1:7">
      <c r="A26" s="42"/>
      <c r="B26" s="96" t="s">
        <v>444</v>
      </c>
      <c r="C26" s="96" t="s">
        <v>445</v>
      </c>
      <c r="D26" s="97">
        <v>13873174</v>
      </c>
      <c r="E26" s="97"/>
      <c r="F26" s="97"/>
      <c r="G26" s="96">
        <v>198.56</v>
      </c>
    </row>
    <row r="27" spans="1:7">
      <c r="A27" s="12">
        <v>2020</v>
      </c>
      <c r="B27" s="16" t="s">
        <v>396</v>
      </c>
      <c r="C27" s="16" t="s">
        <v>429</v>
      </c>
      <c r="D27" s="93">
        <v>310090429</v>
      </c>
      <c r="E27" s="93"/>
      <c r="F27" s="93"/>
      <c r="G27" s="16">
        <v>682.58</v>
      </c>
    </row>
    <row r="28" spans="1:7">
      <c r="A28" s="12"/>
      <c r="B28" s="16" t="s">
        <v>398</v>
      </c>
      <c r="C28" s="16" t="s">
        <v>455</v>
      </c>
      <c r="D28" s="93">
        <v>102777085</v>
      </c>
      <c r="E28" s="93"/>
      <c r="F28" s="93"/>
      <c r="G28" s="16">
        <v>639.08</v>
      </c>
    </row>
    <row r="29" spans="1:7">
      <c r="A29" s="12"/>
      <c r="B29" s="94" t="s">
        <v>414</v>
      </c>
      <c r="C29" s="94" t="s">
        <v>432</v>
      </c>
      <c r="D29" s="95">
        <v>6854536</v>
      </c>
      <c r="E29" s="95"/>
      <c r="F29" s="95"/>
      <c r="G29" s="94">
        <v>247.24</v>
      </c>
    </row>
    <row r="30" spans="1:7">
      <c r="A30" s="12"/>
      <c r="B30" s="94" t="s">
        <v>415</v>
      </c>
      <c r="C30" s="94" t="s">
        <v>432</v>
      </c>
      <c r="D30" s="95">
        <v>6810005</v>
      </c>
      <c r="E30" s="95"/>
      <c r="F30" s="95"/>
      <c r="G30" s="94">
        <v>335.29</v>
      </c>
    </row>
    <row r="31" spans="1:7">
      <c r="A31" s="12"/>
      <c r="B31" s="94" t="s">
        <v>456</v>
      </c>
      <c r="C31" s="94" t="s">
        <v>432</v>
      </c>
      <c r="D31" s="95">
        <v>173040</v>
      </c>
      <c r="E31" s="95"/>
      <c r="F31" s="95"/>
      <c r="G31" s="94">
        <v>242.58</v>
      </c>
    </row>
    <row r="32" spans="1:7">
      <c r="A32" s="12"/>
      <c r="B32" s="94" t="s">
        <v>457</v>
      </c>
      <c r="C32" s="94" t="s">
        <v>432</v>
      </c>
      <c r="D32" s="95">
        <v>186349</v>
      </c>
      <c r="E32" s="95"/>
      <c r="F32" s="95"/>
      <c r="G32" s="94">
        <v>578.87</v>
      </c>
    </row>
    <row r="33" spans="1:7">
      <c r="A33" s="12"/>
      <c r="B33" s="57" t="s">
        <v>458</v>
      </c>
      <c r="C33" s="57" t="s">
        <v>438</v>
      </c>
      <c r="D33" s="57">
        <v>0</v>
      </c>
      <c r="E33" s="57"/>
      <c r="F33" s="57"/>
      <c r="G33" s="99">
        <v>16</v>
      </c>
    </row>
    <row r="34" spans="1:7">
      <c r="A34" s="12"/>
      <c r="B34" s="57" t="s">
        <v>459</v>
      </c>
      <c r="C34" s="57" t="s">
        <v>438</v>
      </c>
      <c r="D34" s="57">
        <v>0</v>
      </c>
      <c r="E34" s="57"/>
      <c r="F34" s="57"/>
      <c r="G34" s="99">
        <v>16</v>
      </c>
    </row>
    <row r="35" spans="1:7">
      <c r="A35" s="12"/>
      <c r="B35" s="57" t="s">
        <v>460</v>
      </c>
      <c r="C35" s="57" t="s">
        <v>438</v>
      </c>
      <c r="D35" s="57">
        <v>0</v>
      </c>
      <c r="E35" s="57"/>
      <c r="F35" s="57"/>
      <c r="G35" s="99">
        <v>16</v>
      </c>
    </row>
    <row r="36" spans="1:7">
      <c r="A36" s="12"/>
      <c r="B36" s="96" t="s">
        <v>444</v>
      </c>
      <c r="C36" s="96" t="s">
        <v>445</v>
      </c>
      <c r="D36" s="97">
        <v>10671672</v>
      </c>
      <c r="E36" s="97"/>
      <c r="F36" s="97"/>
      <c r="G36" s="96">
        <v>224.13</v>
      </c>
    </row>
    <row r="37" spans="1:7">
      <c r="A37" s="12">
        <v>2019</v>
      </c>
      <c r="B37" s="16" t="s">
        <v>396</v>
      </c>
      <c r="C37" s="16" t="s">
        <v>429</v>
      </c>
      <c r="D37" s="93">
        <v>258408691</v>
      </c>
      <c r="E37" s="93"/>
      <c r="F37" s="93"/>
      <c r="G37" s="16">
        <v>558.6</v>
      </c>
    </row>
    <row r="38" spans="1:7">
      <c r="A38" s="12"/>
      <c r="B38" s="16" t="s">
        <v>398</v>
      </c>
      <c r="C38" s="16" t="s">
        <v>455</v>
      </c>
      <c r="D38" s="93">
        <v>85647571</v>
      </c>
      <c r="E38" s="93"/>
      <c r="F38" s="93"/>
      <c r="G38" s="16">
        <v>547.35</v>
      </c>
    </row>
    <row r="39" spans="1:7">
      <c r="A39" s="12"/>
      <c r="B39" s="94" t="s">
        <v>414</v>
      </c>
      <c r="C39" s="94" t="s">
        <v>432</v>
      </c>
      <c r="D39" s="95">
        <v>5712113</v>
      </c>
      <c r="E39" s="95" t="s">
        <v>461</v>
      </c>
      <c r="F39" s="95">
        <v>-209968</v>
      </c>
      <c r="G39" s="94">
        <v>186.71</v>
      </c>
    </row>
    <row r="40" spans="1:7">
      <c r="A40" s="12"/>
      <c r="B40" s="94" t="s">
        <v>415</v>
      </c>
      <c r="C40" s="94" t="s">
        <v>432</v>
      </c>
      <c r="D40" s="95">
        <v>5675004</v>
      </c>
      <c r="E40" s="95"/>
      <c r="F40" s="95"/>
      <c r="G40" s="94">
        <v>251.16</v>
      </c>
    </row>
    <row r="41" spans="1:7">
      <c r="A41" s="12"/>
      <c r="B41" s="94" t="s">
        <v>456</v>
      </c>
      <c r="C41" s="94" t="s">
        <v>432</v>
      </c>
      <c r="D41" s="95">
        <v>144200</v>
      </c>
      <c r="E41" s="95"/>
      <c r="F41" s="95"/>
      <c r="G41" s="94">
        <v>152.34</v>
      </c>
    </row>
    <row r="42" spans="1:7">
      <c r="A42" s="12"/>
      <c r="B42" s="94" t="s">
        <v>457</v>
      </c>
      <c r="C42" s="94" t="s">
        <v>432</v>
      </c>
      <c r="D42" s="95">
        <v>155291</v>
      </c>
      <c r="E42" s="95"/>
      <c r="F42" s="95"/>
      <c r="G42" s="94">
        <v>371.38</v>
      </c>
    </row>
    <row r="43" spans="1:7">
      <c r="A43" s="12"/>
      <c r="B43" s="57" t="s">
        <v>458</v>
      </c>
      <c r="C43" s="57" t="s">
        <v>438</v>
      </c>
      <c r="D43" s="57">
        <v>0</v>
      </c>
      <c r="E43" s="57"/>
      <c r="F43" s="57"/>
      <c r="G43" s="99">
        <v>12</v>
      </c>
    </row>
    <row r="44" spans="1:7">
      <c r="A44" s="12"/>
      <c r="B44" s="57" t="s">
        <v>459</v>
      </c>
      <c r="C44" s="57" t="s">
        <v>438</v>
      </c>
      <c r="D44" s="57">
        <v>0</v>
      </c>
      <c r="E44" s="57"/>
      <c r="F44" s="57"/>
      <c r="G44" s="99">
        <v>12</v>
      </c>
    </row>
    <row r="45" spans="1:7">
      <c r="A45" s="12"/>
      <c r="B45" s="57" t="s">
        <v>460</v>
      </c>
      <c r="C45" s="57" t="s">
        <v>438</v>
      </c>
      <c r="D45" s="57">
        <v>0</v>
      </c>
      <c r="E45" s="57"/>
      <c r="F45" s="57"/>
      <c r="G45" s="99">
        <v>12</v>
      </c>
    </row>
    <row r="46" spans="1:7">
      <c r="A46" s="12"/>
      <c r="B46" s="96" t="s">
        <v>444</v>
      </c>
      <c r="C46" s="96" t="s">
        <v>445</v>
      </c>
      <c r="D46" s="97">
        <v>8893060</v>
      </c>
      <c r="E46" s="97" t="s">
        <v>461</v>
      </c>
      <c r="F46" s="97">
        <v>-250000</v>
      </c>
      <c r="G46" s="96">
        <v>176.25</v>
      </c>
    </row>
    <row r="47" spans="1:7">
      <c r="A47" s="12">
        <v>2018</v>
      </c>
      <c r="B47" s="16" t="s">
        <v>396</v>
      </c>
      <c r="C47" s="16" t="s">
        <v>429</v>
      </c>
      <c r="D47" s="93">
        <v>258408691</v>
      </c>
      <c r="E47" s="93"/>
      <c r="F47" s="93"/>
      <c r="G47" s="16">
        <v>484.96</v>
      </c>
    </row>
    <row r="48" spans="1:7">
      <c r="A48" s="12"/>
      <c r="B48" s="16" t="s">
        <v>398</v>
      </c>
      <c r="C48" s="16" t="s">
        <v>455</v>
      </c>
      <c r="D48" s="93">
        <v>85647571</v>
      </c>
      <c r="E48" s="93"/>
      <c r="F48" s="93"/>
      <c r="G48" s="16">
        <v>464.66</v>
      </c>
    </row>
    <row r="49" spans="1:7">
      <c r="A49" s="12"/>
      <c r="B49" s="94" t="s">
        <v>414</v>
      </c>
      <c r="C49" s="94" t="s">
        <v>432</v>
      </c>
      <c r="D49" s="95">
        <v>5922081</v>
      </c>
      <c r="E49" s="95" t="s">
        <v>462</v>
      </c>
      <c r="F49" s="95">
        <v>-68200</v>
      </c>
      <c r="G49" s="94">
        <v>136.82</v>
      </c>
    </row>
    <row r="50" spans="1:7">
      <c r="A50" s="12"/>
      <c r="B50" s="94" t="s">
        <v>400</v>
      </c>
      <c r="C50" s="94" t="s">
        <v>463</v>
      </c>
      <c r="D50" s="95">
        <v>14444395</v>
      </c>
      <c r="E50" s="95"/>
      <c r="F50" s="95"/>
      <c r="G50" s="94">
        <v>259.07</v>
      </c>
    </row>
    <row r="51" spans="1:7">
      <c r="A51" s="12"/>
      <c r="B51" s="94" t="s">
        <v>403</v>
      </c>
      <c r="C51" s="94" t="s">
        <v>463</v>
      </c>
      <c r="D51" s="95">
        <v>13638652</v>
      </c>
      <c r="E51" s="95"/>
      <c r="F51" s="95"/>
      <c r="G51" s="94">
        <v>192.45</v>
      </c>
    </row>
    <row r="52" spans="1:7">
      <c r="A52" s="12"/>
      <c r="B52" s="94" t="s">
        <v>412</v>
      </c>
      <c r="C52" s="94" t="s">
        <v>432</v>
      </c>
      <c r="D52" s="95">
        <v>16151562</v>
      </c>
      <c r="E52" s="95"/>
      <c r="F52" s="95"/>
      <c r="G52" s="94">
        <v>71.73</v>
      </c>
    </row>
    <row r="53" spans="1:7">
      <c r="A53" s="12"/>
      <c r="B53" s="57" t="s">
        <v>458</v>
      </c>
      <c r="C53" s="57" t="s">
        <v>438</v>
      </c>
      <c r="D53" s="57">
        <v>0</v>
      </c>
      <c r="E53" s="57"/>
      <c r="F53" s="57"/>
      <c r="G53" s="99">
        <v>12</v>
      </c>
    </row>
    <row r="54" spans="1:7">
      <c r="A54" s="12"/>
      <c r="B54" s="57" t="s">
        <v>459</v>
      </c>
      <c r="C54" s="57" t="s">
        <v>438</v>
      </c>
      <c r="D54" s="57">
        <v>0</v>
      </c>
      <c r="E54" s="57"/>
      <c r="F54" s="57"/>
      <c r="G54" s="99">
        <v>12</v>
      </c>
    </row>
    <row r="55" spans="1:7">
      <c r="A55" s="12"/>
      <c r="B55" s="57" t="s">
        <v>460</v>
      </c>
      <c r="C55" s="57" t="s">
        <v>438</v>
      </c>
      <c r="D55" s="57">
        <v>0</v>
      </c>
      <c r="E55" s="57"/>
      <c r="F55" s="57"/>
      <c r="G55" s="99">
        <v>12</v>
      </c>
    </row>
    <row r="56" spans="1:7">
      <c r="A56" s="12"/>
      <c r="B56" s="96" t="s">
        <v>444</v>
      </c>
      <c r="C56" s="96" t="s">
        <v>445</v>
      </c>
      <c r="D56" s="97">
        <v>9143060</v>
      </c>
      <c r="E56" s="97"/>
      <c r="F56" s="97"/>
      <c r="G56" s="96">
        <v>132.66</v>
      </c>
    </row>
    <row r="57" spans="1:7">
      <c r="A57" s="12">
        <v>2017</v>
      </c>
      <c r="B57" s="16" t="s">
        <v>396</v>
      </c>
      <c r="C57" s="16" t="s">
        <v>429</v>
      </c>
      <c r="D57" s="93">
        <v>258408691</v>
      </c>
      <c r="E57" s="93"/>
      <c r="F57" s="93"/>
      <c r="G57" s="16">
        <v>438.78</v>
      </c>
    </row>
    <row r="58" spans="1:7">
      <c r="A58" s="12"/>
      <c r="B58" s="16" t="s">
        <v>398</v>
      </c>
      <c r="C58" s="16" t="s">
        <v>455</v>
      </c>
      <c r="D58" s="93">
        <v>85647571</v>
      </c>
      <c r="E58" s="93"/>
      <c r="F58" s="93"/>
      <c r="G58" s="16">
        <v>428.12</v>
      </c>
    </row>
    <row r="59" spans="1:7">
      <c r="A59" s="12"/>
      <c r="B59" s="94" t="s">
        <v>414</v>
      </c>
      <c r="C59" s="94" t="s">
        <v>432</v>
      </c>
      <c r="D59" s="95">
        <v>5990281</v>
      </c>
      <c r="E59" s="95"/>
      <c r="F59" s="95"/>
      <c r="G59" s="94">
        <v>120.41</v>
      </c>
    </row>
    <row r="60" spans="1:7">
      <c r="A60" s="12"/>
      <c r="B60" s="94" t="s">
        <v>400</v>
      </c>
      <c r="C60" s="94" t="s">
        <v>432</v>
      </c>
      <c r="D60" s="95">
        <v>14444395</v>
      </c>
      <c r="E60" s="95"/>
      <c r="F60" s="95"/>
      <c r="G60" s="94">
        <v>244.72</v>
      </c>
    </row>
    <row r="61" spans="1:7">
      <c r="A61" s="12"/>
      <c r="B61" s="94" t="s">
        <v>403</v>
      </c>
      <c r="C61" s="94" t="s">
        <v>432</v>
      </c>
      <c r="D61" s="95">
        <v>13872229</v>
      </c>
      <c r="E61" s="95"/>
      <c r="F61" s="95"/>
      <c r="G61" s="94">
        <v>250.42</v>
      </c>
    </row>
    <row r="62" spans="1:7">
      <c r="A62" s="12"/>
      <c r="B62" s="94" t="s">
        <v>412</v>
      </c>
      <c r="C62" s="94" t="s">
        <v>432</v>
      </c>
      <c r="D62" s="95">
        <v>16151562</v>
      </c>
      <c r="E62" s="95"/>
      <c r="F62" s="95"/>
      <c r="G62" s="94">
        <v>112.8</v>
      </c>
    </row>
    <row r="63" spans="1:7">
      <c r="A63" s="12"/>
      <c r="B63" s="57" t="s">
        <v>458</v>
      </c>
      <c r="C63" s="57" t="s">
        <v>438</v>
      </c>
      <c r="D63" s="57">
        <v>0</v>
      </c>
      <c r="E63" s="57"/>
      <c r="F63" s="57"/>
      <c r="G63" s="99">
        <v>10</v>
      </c>
    </row>
    <row r="64" spans="1:7">
      <c r="A64" s="12"/>
      <c r="B64" s="57" t="s">
        <v>459</v>
      </c>
      <c r="C64" s="57" t="s">
        <v>438</v>
      </c>
      <c r="D64" s="57">
        <v>0</v>
      </c>
      <c r="E64" s="57"/>
      <c r="F64" s="57"/>
      <c r="G64" s="99">
        <v>10</v>
      </c>
    </row>
    <row r="65" spans="1:7">
      <c r="A65" s="12"/>
      <c r="B65" s="57" t="s">
        <v>460</v>
      </c>
      <c r="C65" s="57" t="s">
        <v>438</v>
      </c>
      <c r="D65" s="57">
        <v>0</v>
      </c>
      <c r="E65" s="57"/>
      <c r="F65" s="57"/>
      <c r="G65" s="99">
        <v>10</v>
      </c>
    </row>
    <row r="66" spans="1:7">
      <c r="A66" s="12"/>
      <c r="B66" s="96" t="s">
        <v>444</v>
      </c>
      <c r="C66" s="96" t="s">
        <v>445</v>
      </c>
      <c r="D66" s="97">
        <v>9143060</v>
      </c>
      <c r="E66" s="97"/>
      <c r="F66" s="97"/>
      <c r="G66" s="96">
        <v>116.08</v>
      </c>
    </row>
    <row r="67" spans="1:7">
      <c r="A67" s="27">
        <v>2016</v>
      </c>
      <c r="B67" s="16" t="s">
        <v>396</v>
      </c>
      <c r="C67" s="16" t="s">
        <v>429</v>
      </c>
      <c r="D67" s="93">
        <v>258408691</v>
      </c>
      <c r="E67" s="93"/>
      <c r="F67" s="93"/>
      <c r="G67" s="16">
        <v>410.28</v>
      </c>
    </row>
    <row r="68" spans="1:7">
      <c r="A68" s="28"/>
      <c r="B68" s="16" t="s">
        <v>398</v>
      </c>
      <c r="C68" s="16" t="s">
        <v>455</v>
      </c>
      <c r="D68" s="93">
        <v>85647571</v>
      </c>
      <c r="E68" s="93"/>
      <c r="F68" s="93"/>
      <c r="G68" s="16">
        <v>390.42</v>
      </c>
    </row>
    <row r="69" spans="1:7">
      <c r="A69" s="28"/>
      <c r="B69" s="94" t="s">
        <v>414</v>
      </c>
      <c r="C69" s="94" t="s">
        <v>432</v>
      </c>
      <c r="D69" s="95">
        <v>5990281</v>
      </c>
      <c r="E69" s="95"/>
      <c r="F69" s="95"/>
      <c r="G69" s="94">
        <v>120</v>
      </c>
    </row>
    <row r="70" spans="1:7">
      <c r="A70" s="28"/>
      <c r="B70" s="94" t="s">
        <v>400</v>
      </c>
      <c r="C70" s="94" t="s">
        <v>432</v>
      </c>
      <c r="D70" s="95">
        <v>14444395</v>
      </c>
      <c r="E70" s="95"/>
      <c r="F70" s="95"/>
      <c r="G70" s="94">
        <v>230.22</v>
      </c>
    </row>
    <row r="71" spans="1:7">
      <c r="A71" s="28"/>
      <c r="B71" s="94" t="s">
        <v>403</v>
      </c>
      <c r="C71" s="94" t="s">
        <v>432</v>
      </c>
      <c r="D71" s="95">
        <v>13872229</v>
      </c>
      <c r="E71" s="95"/>
      <c r="F71" s="95"/>
      <c r="G71" s="94">
        <v>254.97</v>
      </c>
    </row>
    <row r="72" spans="1:7">
      <c r="A72" s="28"/>
      <c r="B72" s="94" t="s">
        <v>412</v>
      </c>
      <c r="C72" s="94" t="s">
        <v>432</v>
      </c>
      <c r="D72" s="95">
        <v>16151562</v>
      </c>
      <c r="E72" s="95"/>
      <c r="F72" s="95"/>
      <c r="G72" s="94">
        <v>110.94</v>
      </c>
    </row>
    <row r="73" spans="1:7">
      <c r="A73" s="28"/>
      <c r="B73" s="57" t="s">
        <v>458</v>
      </c>
      <c r="C73" s="57" t="s">
        <v>438</v>
      </c>
      <c r="D73" s="57">
        <v>0</v>
      </c>
      <c r="E73" s="57"/>
      <c r="F73" s="57"/>
      <c r="G73" s="99">
        <v>7.5</v>
      </c>
    </row>
    <row r="74" spans="1:7">
      <c r="A74" s="28"/>
      <c r="B74" s="57" t="s">
        <v>459</v>
      </c>
      <c r="C74" s="57" t="s">
        <v>438</v>
      </c>
      <c r="D74" s="57">
        <v>0</v>
      </c>
      <c r="E74" s="57"/>
      <c r="F74" s="57"/>
      <c r="G74" s="99">
        <v>1.67</v>
      </c>
    </row>
    <row r="75" spans="1:7">
      <c r="A75" s="28"/>
      <c r="B75" s="57" t="s">
        <v>460</v>
      </c>
      <c r="C75" s="57" t="s">
        <v>438</v>
      </c>
      <c r="D75" s="57">
        <v>0</v>
      </c>
      <c r="E75" s="57"/>
      <c r="F75" s="57"/>
      <c r="G75" s="99">
        <v>1.67</v>
      </c>
    </row>
    <row r="76" spans="1:7">
      <c r="A76" s="28"/>
      <c r="B76" s="96" t="s">
        <v>444</v>
      </c>
      <c r="C76" s="96" t="s">
        <v>445</v>
      </c>
      <c r="D76" s="97">
        <v>9143060</v>
      </c>
      <c r="E76" s="97"/>
      <c r="F76" s="97"/>
      <c r="G76" s="96">
        <v>103.7</v>
      </c>
    </row>
    <row r="77" ht="34" spans="1:7">
      <c r="A77" s="28"/>
      <c r="B77" s="39" t="s">
        <v>464</v>
      </c>
      <c r="C77" s="94" t="s">
        <v>465</v>
      </c>
      <c r="D77" s="95">
        <v>51939889</v>
      </c>
      <c r="E77" s="94"/>
      <c r="F77" s="94"/>
      <c r="G77" s="94">
        <v>24.86</v>
      </c>
    </row>
    <row r="78" ht="34" spans="1:7">
      <c r="A78" s="28"/>
      <c r="B78" s="39" t="s">
        <v>466</v>
      </c>
      <c r="C78" s="57" t="s">
        <v>467</v>
      </c>
      <c r="D78" s="57">
        <v>0</v>
      </c>
      <c r="E78" s="57"/>
      <c r="F78" s="57"/>
      <c r="G78" s="57">
        <v>9.17</v>
      </c>
    </row>
    <row r="79" ht="34" spans="1:7">
      <c r="A79" s="42"/>
      <c r="B79" s="39" t="s">
        <v>468</v>
      </c>
      <c r="C79" s="57" t="s">
        <v>467</v>
      </c>
      <c r="D79" s="57">
        <v>0</v>
      </c>
      <c r="E79" s="57"/>
      <c r="F79" s="57"/>
      <c r="G79" s="57">
        <v>9.17</v>
      </c>
    </row>
    <row r="80" spans="1:7">
      <c r="A80" s="12">
        <v>2015</v>
      </c>
      <c r="B80" s="16" t="s">
        <v>396</v>
      </c>
      <c r="C80" s="16" t="s">
        <v>429</v>
      </c>
      <c r="D80" s="93">
        <v>258408691</v>
      </c>
      <c r="E80" s="93"/>
      <c r="F80" s="93"/>
      <c r="G80" s="16">
        <v>404.85</v>
      </c>
    </row>
    <row r="81" spans="1:7">
      <c r="A81" s="12"/>
      <c r="B81" s="16" t="s">
        <v>398</v>
      </c>
      <c r="C81" s="16" t="s">
        <v>455</v>
      </c>
      <c r="D81" s="93">
        <v>85647571</v>
      </c>
      <c r="E81" s="93"/>
      <c r="F81" s="93"/>
      <c r="G81" s="16">
        <v>358.4</v>
      </c>
    </row>
    <row r="82" spans="1:7">
      <c r="A82" s="12"/>
      <c r="B82" s="94" t="s">
        <v>414</v>
      </c>
      <c r="C82" s="94" t="s">
        <v>432</v>
      </c>
      <c r="D82" s="95">
        <v>5990281</v>
      </c>
      <c r="E82" s="95"/>
      <c r="F82" s="95"/>
      <c r="G82" s="94">
        <v>108.93</v>
      </c>
    </row>
    <row r="83" spans="1:7">
      <c r="A83" s="12"/>
      <c r="B83" s="94" t="s">
        <v>400</v>
      </c>
      <c r="C83" s="94" t="s">
        <v>432</v>
      </c>
      <c r="D83" s="95">
        <v>14444395</v>
      </c>
      <c r="E83" s="95"/>
      <c r="F83" s="95"/>
      <c r="G83" s="94">
        <v>229.44</v>
      </c>
    </row>
    <row r="84" spans="1:7">
      <c r="A84" s="12"/>
      <c r="B84" s="94" t="s">
        <v>412</v>
      </c>
      <c r="C84" s="94" t="s">
        <v>432</v>
      </c>
      <c r="D84" s="95">
        <v>16151562</v>
      </c>
      <c r="E84" s="95"/>
      <c r="F84" s="95"/>
      <c r="G84" s="94">
        <v>118.69</v>
      </c>
    </row>
    <row r="85" ht="17" spans="1:7">
      <c r="A85" s="12"/>
      <c r="B85" s="98" t="s">
        <v>411</v>
      </c>
      <c r="C85" s="94" t="s">
        <v>463</v>
      </c>
      <c r="D85" s="95">
        <v>51939889</v>
      </c>
      <c r="E85" s="94"/>
      <c r="F85" s="94"/>
      <c r="G85" s="94">
        <v>163.23</v>
      </c>
    </row>
    <row r="86" ht="17" spans="1:7">
      <c r="A86" s="12"/>
      <c r="B86" s="100" t="s">
        <v>469</v>
      </c>
      <c r="C86" s="57" t="s">
        <v>438</v>
      </c>
      <c r="D86" s="57">
        <v>0</v>
      </c>
      <c r="E86" s="57"/>
      <c r="F86" s="57"/>
      <c r="G86" s="57">
        <v>10</v>
      </c>
    </row>
    <row r="87" ht="17" spans="1:7">
      <c r="A87" s="12"/>
      <c r="B87" s="100" t="s">
        <v>470</v>
      </c>
      <c r="C87" s="57" t="s">
        <v>438</v>
      </c>
      <c r="D87" s="57">
        <v>0</v>
      </c>
      <c r="E87" s="57"/>
      <c r="F87" s="57"/>
      <c r="G87" s="57">
        <v>10</v>
      </c>
    </row>
    <row r="88" spans="1:7">
      <c r="A88" s="12"/>
      <c r="B88" s="96" t="s">
        <v>444</v>
      </c>
      <c r="C88" s="96" t="s">
        <v>445</v>
      </c>
      <c r="D88" s="97">
        <v>9143060</v>
      </c>
      <c r="E88" s="97"/>
      <c r="F88" s="97"/>
      <c r="G88" s="96">
        <v>96.55</v>
      </c>
    </row>
    <row r="89" ht="51" spans="1:7">
      <c r="A89" s="12"/>
      <c r="B89" s="39" t="s">
        <v>471</v>
      </c>
      <c r="C89" s="100" t="s">
        <v>472</v>
      </c>
      <c r="D89" s="57">
        <v>0</v>
      </c>
      <c r="E89" s="57"/>
      <c r="F89" s="57"/>
      <c r="G89" s="57">
        <v>10</v>
      </c>
    </row>
    <row r="90" spans="1:7">
      <c r="A90" s="12">
        <v>2015</v>
      </c>
      <c r="B90" s="16" t="s">
        <v>396</v>
      </c>
      <c r="C90" s="16" t="s">
        <v>429</v>
      </c>
      <c r="D90" s="93">
        <v>258408691</v>
      </c>
      <c r="E90" s="93"/>
      <c r="F90" s="93"/>
      <c r="G90" s="16">
        <v>404.85</v>
      </c>
    </row>
    <row r="91" spans="1:7">
      <c r="A91" s="12"/>
      <c r="B91" s="16" t="s">
        <v>398</v>
      </c>
      <c r="C91" s="16" t="s">
        <v>455</v>
      </c>
      <c r="D91" s="93">
        <v>85647571</v>
      </c>
      <c r="E91" s="93"/>
      <c r="F91" s="93"/>
      <c r="G91" s="16">
        <v>358.4</v>
      </c>
    </row>
    <row r="92" spans="1:7">
      <c r="A92" s="12"/>
      <c r="B92" s="94" t="s">
        <v>414</v>
      </c>
      <c r="C92" s="94" t="s">
        <v>432</v>
      </c>
      <c r="D92" s="95">
        <v>5990281</v>
      </c>
      <c r="E92" s="95"/>
      <c r="F92" s="95"/>
      <c r="G92" s="94">
        <v>108.93</v>
      </c>
    </row>
    <row r="93" spans="1:7">
      <c r="A93" s="12"/>
      <c r="B93" s="94" t="s">
        <v>400</v>
      </c>
      <c r="C93" s="94" t="s">
        <v>432</v>
      </c>
      <c r="D93" s="95">
        <v>14444395</v>
      </c>
      <c r="E93" s="95"/>
      <c r="F93" s="95"/>
      <c r="G93" s="94">
        <v>229.44</v>
      </c>
    </row>
    <row r="94" spans="1:7">
      <c r="A94" s="12"/>
      <c r="B94" s="94" t="s">
        <v>412</v>
      </c>
      <c r="C94" s="94" t="s">
        <v>432</v>
      </c>
      <c r="D94" s="95">
        <v>16151562</v>
      </c>
      <c r="E94" s="95"/>
      <c r="F94" s="95"/>
      <c r="G94" s="94">
        <v>118.69</v>
      </c>
    </row>
    <row r="95" ht="17" spans="1:7">
      <c r="A95" s="12"/>
      <c r="B95" s="98" t="s">
        <v>411</v>
      </c>
      <c r="C95" s="94" t="s">
        <v>463</v>
      </c>
      <c r="D95" s="95">
        <v>51939889</v>
      </c>
      <c r="E95" s="94"/>
      <c r="F95" s="94"/>
      <c r="G95" s="94">
        <v>163.23</v>
      </c>
    </row>
    <row r="96" ht="17" spans="1:7">
      <c r="A96" s="12"/>
      <c r="B96" s="100" t="s">
        <v>469</v>
      </c>
      <c r="C96" s="57" t="s">
        <v>438</v>
      </c>
      <c r="D96" s="57">
        <v>0</v>
      </c>
      <c r="E96" s="57"/>
      <c r="F96" s="57"/>
      <c r="G96" s="57">
        <v>10</v>
      </c>
    </row>
    <row r="97" ht="17" spans="1:7">
      <c r="A97" s="12"/>
      <c r="B97" s="100" t="s">
        <v>470</v>
      </c>
      <c r="C97" s="57" t="s">
        <v>438</v>
      </c>
      <c r="D97" s="57">
        <v>0</v>
      </c>
      <c r="E97" s="57"/>
      <c r="F97" s="57"/>
      <c r="G97" s="57">
        <v>10</v>
      </c>
    </row>
    <row r="98" spans="1:7">
      <c r="A98" s="12"/>
      <c r="B98" s="96" t="s">
        <v>444</v>
      </c>
      <c r="C98" s="96" t="s">
        <v>445</v>
      </c>
      <c r="D98" s="97">
        <v>9143060</v>
      </c>
      <c r="E98" s="97"/>
      <c r="F98" s="97"/>
      <c r="G98" s="96">
        <v>96.55</v>
      </c>
    </row>
    <row r="99" ht="51" spans="1:7">
      <c r="A99" s="12"/>
      <c r="B99" s="39" t="s">
        <v>471</v>
      </c>
      <c r="C99" s="100" t="s">
        <v>472</v>
      </c>
      <c r="D99" s="57">
        <v>0</v>
      </c>
      <c r="E99" s="57"/>
      <c r="F99" s="57"/>
      <c r="G99" s="57">
        <v>10</v>
      </c>
    </row>
    <row r="100" spans="1:7">
      <c r="A100" s="12">
        <v>2014</v>
      </c>
      <c r="B100" s="16" t="s">
        <v>396</v>
      </c>
      <c r="C100" s="16" t="s">
        <v>429</v>
      </c>
      <c r="D100" s="93">
        <v>143560384</v>
      </c>
      <c r="E100" s="93"/>
      <c r="F100" s="93"/>
      <c r="G100" s="16">
        <v>400.34</v>
      </c>
    </row>
    <row r="101" spans="1:7">
      <c r="A101" s="12"/>
      <c r="B101" s="16" t="s">
        <v>398</v>
      </c>
      <c r="C101" s="16" t="s">
        <v>455</v>
      </c>
      <c r="D101" s="93">
        <v>47581984</v>
      </c>
      <c r="E101" s="93"/>
      <c r="F101" s="93"/>
      <c r="G101" s="16">
        <v>350.27</v>
      </c>
    </row>
    <row r="102" spans="1:7">
      <c r="A102" s="12"/>
      <c r="B102" s="94" t="s">
        <v>414</v>
      </c>
      <c r="C102" s="94" t="s">
        <v>432</v>
      </c>
      <c r="D102" s="95">
        <v>3327934</v>
      </c>
      <c r="E102" s="95"/>
      <c r="F102" s="95"/>
      <c r="G102" s="94">
        <v>91.31</v>
      </c>
    </row>
    <row r="103" spans="1:7">
      <c r="A103" s="12"/>
      <c r="B103" s="94" t="s">
        <v>400</v>
      </c>
      <c r="C103" s="94" t="s">
        <v>432</v>
      </c>
      <c r="D103" s="95">
        <v>8024664</v>
      </c>
      <c r="E103" s="95"/>
      <c r="F103" s="95"/>
      <c r="G103" s="94">
        <v>206.1</v>
      </c>
    </row>
    <row r="104" spans="1:7">
      <c r="A104" s="12"/>
      <c r="B104" s="94" t="s">
        <v>412</v>
      </c>
      <c r="C104" s="94" t="s">
        <v>432</v>
      </c>
      <c r="D104" s="95">
        <v>8973090</v>
      </c>
      <c r="E104" s="95"/>
      <c r="F104" s="95"/>
      <c r="G104" s="94">
        <v>107.39</v>
      </c>
    </row>
    <row r="105" ht="17" spans="1:7">
      <c r="A105" s="12"/>
      <c r="B105" s="98" t="s">
        <v>411</v>
      </c>
      <c r="C105" s="94" t="s">
        <v>463</v>
      </c>
      <c r="D105" s="95">
        <v>28855494</v>
      </c>
      <c r="E105" s="94"/>
      <c r="F105" s="94"/>
      <c r="G105" s="94">
        <v>155.21</v>
      </c>
    </row>
    <row r="106" ht="17" spans="1:7">
      <c r="A106" s="12"/>
      <c r="B106" s="100" t="s">
        <v>469</v>
      </c>
      <c r="C106" s="57" t="s">
        <v>438</v>
      </c>
      <c r="D106" s="57">
        <v>0</v>
      </c>
      <c r="E106" s="57"/>
      <c r="F106" s="57"/>
      <c r="G106" s="57">
        <v>10</v>
      </c>
    </row>
    <row r="107" ht="17" spans="1:7">
      <c r="A107" s="12"/>
      <c r="B107" s="100" t="s">
        <v>470</v>
      </c>
      <c r="C107" s="57" t="s">
        <v>438</v>
      </c>
      <c r="D107" s="57">
        <v>0</v>
      </c>
      <c r="E107" s="57"/>
      <c r="F107" s="57"/>
      <c r="G107" s="57">
        <v>10</v>
      </c>
    </row>
    <row r="108" ht="17" spans="1:7">
      <c r="A108" s="12"/>
      <c r="B108" s="100" t="s">
        <v>473</v>
      </c>
      <c r="C108" s="100" t="s">
        <v>438</v>
      </c>
      <c r="D108" s="57">
        <v>0</v>
      </c>
      <c r="E108" s="57"/>
      <c r="F108" s="57"/>
      <c r="G108" s="57">
        <v>10</v>
      </c>
    </row>
    <row r="109" spans="1:7">
      <c r="A109" s="12"/>
      <c r="B109" s="96" t="s">
        <v>444</v>
      </c>
      <c r="C109" s="96" t="s">
        <v>445</v>
      </c>
      <c r="D109" s="97">
        <v>5079478</v>
      </c>
      <c r="E109" s="97"/>
      <c r="F109" s="97"/>
      <c r="G109" s="96">
        <v>88.42</v>
      </c>
    </row>
    <row r="110" spans="1:7">
      <c r="A110" s="12">
        <v>2013</v>
      </c>
      <c r="B110" s="16" t="s">
        <v>396</v>
      </c>
      <c r="C110" s="16" t="s">
        <v>429</v>
      </c>
      <c r="D110" s="93">
        <v>75759988</v>
      </c>
      <c r="E110" s="93"/>
      <c r="F110" s="93"/>
      <c r="G110" s="16">
        <v>383.35</v>
      </c>
    </row>
    <row r="111" spans="1:7">
      <c r="A111" s="12"/>
      <c r="B111" s="16" t="s">
        <v>398</v>
      </c>
      <c r="C111" s="16" t="s">
        <v>455</v>
      </c>
      <c r="D111" s="93">
        <v>25110065</v>
      </c>
      <c r="E111" s="93"/>
      <c r="F111" s="93"/>
      <c r="G111" s="16">
        <v>328.92</v>
      </c>
    </row>
    <row r="112" spans="1:7">
      <c r="A112" s="12"/>
      <c r="B112" s="94" t="s">
        <v>414</v>
      </c>
      <c r="C112" s="94" t="s">
        <v>432</v>
      </c>
      <c r="D112" s="95">
        <v>1756224</v>
      </c>
      <c r="E112" s="95"/>
      <c r="F112" s="95"/>
      <c r="G112" s="94">
        <v>89.75</v>
      </c>
    </row>
    <row r="113" spans="1:7">
      <c r="A113" s="12"/>
      <c r="B113" s="94" t="s">
        <v>400</v>
      </c>
      <c r="C113" s="94" t="s">
        <v>432</v>
      </c>
      <c r="D113" s="95">
        <v>4234792</v>
      </c>
      <c r="E113" s="95"/>
      <c r="F113" s="95"/>
      <c r="G113" s="94">
        <v>177.36</v>
      </c>
    </row>
    <row r="114" spans="1:7">
      <c r="A114" s="12"/>
      <c r="B114" s="94" t="s">
        <v>412</v>
      </c>
      <c r="C114" s="94" t="s">
        <v>432</v>
      </c>
      <c r="D114" s="95">
        <v>4735297</v>
      </c>
      <c r="E114" s="95"/>
      <c r="F114" s="95"/>
      <c r="G114" s="94">
        <v>105.33</v>
      </c>
    </row>
    <row r="115" ht="17" spans="1:7">
      <c r="A115" s="12"/>
      <c r="B115" s="98" t="s">
        <v>411</v>
      </c>
      <c r="C115" s="94" t="s">
        <v>463</v>
      </c>
      <c r="D115" s="95">
        <v>15227682</v>
      </c>
      <c r="E115" s="94"/>
      <c r="F115" s="94"/>
      <c r="G115" s="94">
        <v>145.76</v>
      </c>
    </row>
    <row r="116" ht="17" spans="1:7">
      <c r="A116" s="12"/>
      <c r="B116" s="100" t="s">
        <v>469</v>
      </c>
      <c r="C116" s="57" t="s">
        <v>438</v>
      </c>
      <c r="D116" s="57">
        <v>0</v>
      </c>
      <c r="E116" s="57"/>
      <c r="F116" s="57"/>
      <c r="G116" s="101">
        <v>8</v>
      </c>
    </row>
    <row r="117" ht="17" spans="1:7">
      <c r="A117" s="12"/>
      <c r="B117" s="100" t="s">
        <v>470</v>
      </c>
      <c r="C117" s="57" t="s">
        <v>438</v>
      </c>
      <c r="D117" s="57">
        <v>0</v>
      </c>
      <c r="E117" s="57"/>
      <c r="F117" s="57"/>
      <c r="G117" s="57">
        <v>8</v>
      </c>
    </row>
    <row r="118" ht="17" spans="1:7">
      <c r="A118" s="12"/>
      <c r="B118" s="100" t="s">
        <v>473</v>
      </c>
      <c r="C118" s="100" t="s">
        <v>438</v>
      </c>
      <c r="D118" s="57">
        <v>0</v>
      </c>
      <c r="E118" s="57"/>
      <c r="F118" s="57"/>
      <c r="G118" s="57">
        <v>8</v>
      </c>
    </row>
    <row r="119" spans="1:7">
      <c r="A119" s="12"/>
      <c r="B119" s="96" t="s">
        <v>444</v>
      </c>
      <c r="C119" s="96" t="s">
        <v>445</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474</v>
      </c>
      <c r="C1" s="12" t="s">
        <v>391</v>
      </c>
      <c r="D1" s="12" t="s">
        <v>392</v>
      </c>
      <c r="E1" s="12" t="s">
        <v>393</v>
      </c>
      <c r="F1" s="12" t="s">
        <v>394</v>
      </c>
      <c r="G1" s="25" t="s">
        <v>395</v>
      </c>
    </row>
    <row r="2" spans="1:7">
      <c r="A2" s="12">
        <v>2022</v>
      </c>
      <c r="B2" s="12" t="s">
        <v>475</v>
      </c>
      <c r="C2" s="12" t="s">
        <v>476</v>
      </c>
      <c r="D2" s="68"/>
      <c r="E2" s="68"/>
      <c r="F2" s="68"/>
      <c r="G2" s="68"/>
    </row>
    <row r="3" spans="1:7">
      <c r="A3" s="12"/>
      <c r="B3" s="12" t="s">
        <v>477</v>
      </c>
      <c r="C3" s="12" t="s">
        <v>478</v>
      </c>
      <c r="D3" s="68"/>
      <c r="E3" s="68"/>
      <c r="F3" s="68"/>
      <c r="G3" s="68"/>
    </row>
    <row r="4" spans="1:7">
      <c r="A4" s="12"/>
      <c r="B4" s="12" t="s">
        <v>456</v>
      </c>
      <c r="C4" s="12" t="s">
        <v>479</v>
      </c>
      <c r="D4" s="68"/>
      <c r="E4" s="68"/>
      <c r="F4" s="68"/>
      <c r="G4" s="68"/>
    </row>
    <row r="5" spans="1:7">
      <c r="A5" s="12"/>
      <c r="B5" s="20" t="s">
        <v>405</v>
      </c>
      <c r="C5" s="12" t="s">
        <v>478</v>
      </c>
      <c r="D5" s="68"/>
      <c r="E5" s="68"/>
      <c r="F5" s="68"/>
      <c r="G5" s="68"/>
    </row>
    <row r="6" spans="1:7">
      <c r="A6" s="12"/>
      <c r="B6" s="20" t="s">
        <v>402</v>
      </c>
      <c r="C6" s="12" t="s">
        <v>479</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475</v>
      </c>
      <c r="C14" s="12" t="s">
        <v>476</v>
      </c>
      <c r="D14" s="68"/>
      <c r="E14" s="68"/>
      <c r="F14" s="68"/>
      <c r="G14" s="68"/>
    </row>
    <row r="15" spans="1:7">
      <c r="A15" s="12"/>
      <c r="B15" s="12" t="s">
        <v>405</v>
      </c>
      <c r="C15" s="12" t="s">
        <v>478</v>
      </c>
      <c r="D15" s="68"/>
      <c r="E15" s="68"/>
      <c r="F15" s="68"/>
      <c r="G15" s="68"/>
    </row>
    <row r="16" spans="1:7">
      <c r="A16" s="12"/>
      <c r="B16" s="12" t="s">
        <v>402</v>
      </c>
      <c r="C16" s="12" t="s">
        <v>479</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475</v>
      </c>
      <c r="C24" s="12" t="s">
        <v>476</v>
      </c>
      <c r="D24" s="68"/>
      <c r="E24" s="68"/>
      <c r="F24" s="68"/>
      <c r="G24" s="68"/>
    </row>
    <row r="25" spans="1:7">
      <c r="A25" s="12"/>
      <c r="B25" s="12" t="s">
        <v>405</v>
      </c>
      <c r="C25" s="12" t="s">
        <v>478</v>
      </c>
      <c r="D25" s="68"/>
      <c r="E25" s="68"/>
      <c r="F25" s="68"/>
      <c r="G25" s="68"/>
    </row>
    <row r="26" spans="1:7">
      <c r="A26" s="12"/>
      <c r="B26" s="12" t="s">
        <v>402</v>
      </c>
      <c r="C26" s="12" t="s">
        <v>479</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475</v>
      </c>
      <c r="C34" s="12" t="s">
        <v>476</v>
      </c>
      <c r="D34" s="68"/>
      <c r="E34" s="68"/>
      <c r="F34" s="68"/>
      <c r="G34" s="68"/>
    </row>
    <row r="35" spans="1:7">
      <c r="A35" s="12"/>
      <c r="B35" s="12" t="s">
        <v>405</v>
      </c>
      <c r="C35" s="12" t="s">
        <v>478</v>
      </c>
      <c r="D35" s="68"/>
      <c r="E35" s="68"/>
      <c r="F35" s="68"/>
      <c r="G35" s="68"/>
    </row>
    <row r="36" spans="1:7">
      <c r="A36" s="12"/>
      <c r="B36" s="12" t="s">
        <v>402</v>
      </c>
      <c r="C36" s="12" t="s">
        <v>479</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415</v>
      </c>
      <c r="C44" s="12" t="s">
        <v>476</v>
      </c>
      <c r="D44" s="68"/>
      <c r="E44" s="68"/>
      <c r="F44" s="68"/>
      <c r="G44" s="68"/>
    </row>
    <row r="45" spans="1:7">
      <c r="A45" s="12"/>
      <c r="B45" s="12" t="s">
        <v>416</v>
      </c>
      <c r="C45" s="12" t="s">
        <v>478</v>
      </c>
      <c r="D45" s="68"/>
      <c r="E45" s="68"/>
      <c r="F45" s="68"/>
      <c r="G45" s="68"/>
    </row>
    <row r="46" spans="1:7">
      <c r="A46" s="12"/>
      <c r="B46" s="12" t="s">
        <v>417</v>
      </c>
      <c r="C46" s="12" t="s">
        <v>479</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415</v>
      </c>
      <c r="C54" s="12" t="s">
        <v>476</v>
      </c>
      <c r="D54" s="68"/>
      <c r="E54" s="68"/>
      <c r="F54" s="68"/>
      <c r="G54" s="68"/>
    </row>
    <row r="55" spans="1:7">
      <c r="A55" s="12"/>
      <c r="B55" s="12" t="s">
        <v>416</v>
      </c>
      <c r="C55" s="12" t="s">
        <v>478</v>
      </c>
      <c r="D55" s="68"/>
      <c r="E55" s="68"/>
      <c r="F55" s="68"/>
      <c r="G55" s="68"/>
    </row>
    <row r="56" spans="1:7">
      <c r="A56" s="12"/>
      <c r="B56" s="12" t="s">
        <v>417</v>
      </c>
      <c r="C56" s="12" t="s">
        <v>479</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415</v>
      </c>
      <c r="C64" s="12" t="s">
        <v>476</v>
      </c>
      <c r="D64" s="68"/>
      <c r="E64" s="68"/>
      <c r="F64" s="68"/>
      <c r="G64" s="68"/>
    </row>
    <row r="65" spans="1:7">
      <c r="A65" s="12"/>
      <c r="B65" s="12" t="s">
        <v>416</v>
      </c>
      <c r="C65" s="12" t="s">
        <v>478</v>
      </c>
      <c r="D65" s="68"/>
      <c r="E65" s="68"/>
      <c r="F65" s="68"/>
      <c r="G65" s="68"/>
    </row>
    <row r="66" spans="1:7">
      <c r="A66" s="12"/>
      <c r="B66" s="12" t="s">
        <v>417</v>
      </c>
      <c r="C66" s="12" t="s">
        <v>479</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415</v>
      </c>
      <c r="C74" s="12" t="s">
        <v>476</v>
      </c>
      <c r="D74" s="68"/>
      <c r="E74" s="68"/>
      <c r="F74" s="68"/>
      <c r="G74" s="68"/>
    </row>
    <row r="75" spans="1:7">
      <c r="A75" s="12"/>
      <c r="B75" s="12" t="s">
        <v>416</v>
      </c>
      <c r="C75" s="12" t="s">
        <v>478</v>
      </c>
      <c r="D75" s="68"/>
      <c r="E75" s="68"/>
      <c r="F75" s="68"/>
      <c r="G75" s="68"/>
    </row>
    <row r="76" spans="1:7">
      <c r="A76" s="12"/>
      <c r="B76" s="12" t="s">
        <v>417</v>
      </c>
      <c r="C76" s="12" t="s">
        <v>479</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415</v>
      </c>
      <c r="C84" s="12" t="s">
        <v>476</v>
      </c>
      <c r="D84" s="88">
        <v>1488989</v>
      </c>
      <c r="E84" s="12"/>
      <c r="F84" s="12"/>
      <c r="G84" s="12">
        <v>53.12</v>
      </c>
    </row>
    <row r="85" spans="1:7">
      <c r="A85" s="12"/>
      <c r="B85" s="12" t="s">
        <v>416</v>
      </c>
      <c r="C85" s="12" t="s">
        <v>478</v>
      </c>
      <c r="D85" s="88">
        <v>2277008</v>
      </c>
      <c r="E85" s="12"/>
      <c r="F85" s="12"/>
      <c r="G85" s="12">
        <v>54.5</v>
      </c>
    </row>
    <row r="86" spans="1:7">
      <c r="A86" s="12"/>
      <c r="B86" s="12" t="s">
        <v>403</v>
      </c>
      <c r="C86" s="12" t="s">
        <v>480</v>
      </c>
      <c r="D86" s="88">
        <v>7706794</v>
      </c>
      <c r="E86" s="12"/>
      <c r="F86" s="12"/>
      <c r="G86" s="12">
        <v>230.83</v>
      </c>
    </row>
    <row r="87" spans="1:7">
      <c r="A87" s="12"/>
      <c r="B87" s="20" t="s">
        <v>481</v>
      </c>
      <c r="C87" s="12" t="s">
        <v>482</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415</v>
      </c>
      <c r="C94" s="12" t="s">
        <v>476</v>
      </c>
      <c r="D94" s="88">
        <v>1663791</v>
      </c>
      <c r="E94" s="12"/>
      <c r="F94" s="12"/>
      <c r="G94" s="12">
        <v>51.9</v>
      </c>
    </row>
    <row r="95" spans="1:7">
      <c r="A95" s="12"/>
      <c r="B95" s="12" t="s">
        <v>416</v>
      </c>
      <c r="C95" s="12" t="s">
        <v>478</v>
      </c>
      <c r="D95" s="88">
        <v>1201627</v>
      </c>
      <c r="E95" s="12"/>
      <c r="F95" s="12"/>
      <c r="G95" s="12">
        <v>52.98</v>
      </c>
    </row>
    <row r="96" spans="1:7">
      <c r="A96" s="12"/>
      <c r="B96" s="12" t="s">
        <v>481</v>
      </c>
      <c r="C96" s="12" t="s">
        <v>480</v>
      </c>
      <c r="D96" s="88">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483</v>
      </c>
      <c r="B1" s="91" t="s">
        <v>484</v>
      </c>
      <c r="C1" s="1" t="s">
        <v>485</v>
      </c>
      <c r="D1" s="1" t="s">
        <v>486</v>
      </c>
      <c r="E1" s="92" t="s">
        <v>487</v>
      </c>
      <c r="F1" s="1" t="s">
        <v>488</v>
      </c>
      <c r="G1" s="91" t="s">
        <v>489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2" t="s">
        <v>490</v>
      </c>
      <c r="B1" s="12" t="s">
        <v>491</v>
      </c>
      <c r="C1" s="12" t="s">
        <v>492</v>
      </c>
      <c r="D1" s="12"/>
      <c r="E1" s="12"/>
      <c r="F1" s="12" t="s">
        <v>493</v>
      </c>
      <c r="G1" s="12"/>
      <c r="H1" s="12"/>
      <c r="I1" s="12"/>
      <c r="J1" s="12"/>
      <c r="K1" s="12" t="s">
        <v>494</v>
      </c>
      <c r="L1" s="12"/>
      <c r="M1" s="12"/>
      <c r="N1" s="1"/>
    </row>
    <row r="2" spans="1:14">
      <c r="A2" s="12"/>
      <c r="B2" s="12"/>
      <c r="C2" s="12" t="s">
        <v>495</v>
      </c>
      <c r="D2" s="12" t="s">
        <v>496</v>
      </c>
      <c r="E2" s="12" t="s">
        <v>497</v>
      </c>
      <c r="F2" s="12" t="s">
        <v>498</v>
      </c>
      <c r="G2" s="12" t="s">
        <v>499</v>
      </c>
      <c r="H2" s="12" t="s">
        <v>500</v>
      </c>
      <c r="I2" s="12" t="s">
        <v>501</v>
      </c>
      <c r="J2" s="12" t="s">
        <v>502</v>
      </c>
      <c r="K2" s="12" t="s">
        <v>503</v>
      </c>
      <c r="L2" s="12" t="s">
        <v>504</v>
      </c>
      <c r="M2" s="12" t="s">
        <v>505</v>
      </c>
      <c r="N2" s="1"/>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0">
        <v>342380.31</v>
      </c>
      <c r="C13" s="90">
        <v>5187.47</v>
      </c>
      <c r="D13" s="12">
        <v>973.38</v>
      </c>
      <c r="E13" s="90">
        <v>4994.2</v>
      </c>
      <c r="F13" s="90">
        <v>74834.93</v>
      </c>
      <c r="G13" s="90">
        <v>13144.14</v>
      </c>
      <c r="H13" s="90">
        <v>73088.7</v>
      </c>
      <c r="I13" s="90">
        <v>32890.81</v>
      </c>
      <c r="J13" s="90">
        <v>16708.9</v>
      </c>
      <c r="K13" s="90">
        <v>50401.83</v>
      </c>
      <c r="L13" s="90">
        <v>49533.87</v>
      </c>
      <c r="M13" s="90">
        <v>20622.08</v>
      </c>
    </row>
    <row r="14" spans="1:13">
      <c r="A14" s="12">
        <v>2011</v>
      </c>
      <c r="B14" s="90">
        <v>308541.49</v>
      </c>
      <c r="C14" s="90">
        <v>5132.02</v>
      </c>
      <c r="D14" s="12">
        <v>804.33</v>
      </c>
      <c r="E14" s="90">
        <v>3924.02</v>
      </c>
      <c r="F14" s="90">
        <v>61833.3</v>
      </c>
      <c r="G14" s="90">
        <v>13473.2</v>
      </c>
      <c r="H14" s="90">
        <v>70671.12</v>
      </c>
      <c r="I14" s="90">
        <v>30650.89</v>
      </c>
      <c r="J14" s="90">
        <v>14641</v>
      </c>
      <c r="K14" s="90">
        <v>42055.75</v>
      </c>
      <c r="L14" s="90">
        <v>46212.44</v>
      </c>
      <c r="M14" s="90">
        <v>19143.42</v>
      </c>
    </row>
    <row r="15" spans="1:13">
      <c r="A15" s="12">
        <v>2010</v>
      </c>
      <c r="B15" s="90">
        <v>294027.3</v>
      </c>
      <c r="C15" s="90">
        <v>5177.58</v>
      </c>
      <c r="D15" s="12">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2" t="s">
        <v>490</v>
      </c>
      <c r="B1" s="12" t="s">
        <v>506</v>
      </c>
      <c r="C1" s="12"/>
      <c r="D1" s="12"/>
      <c r="E1" s="12" t="s">
        <v>234</v>
      </c>
      <c r="F1" s="12"/>
      <c r="G1" s="12"/>
      <c r="H1" s="12" t="s">
        <v>507</v>
      </c>
      <c r="I1" s="12"/>
      <c r="J1" s="12"/>
      <c r="K1" s="12" t="s">
        <v>508</v>
      </c>
      <c r="L1" s="12"/>
      <c r="M1" s="12"/>
    </row>
    <row r="2" spans="1:13">
      <c r="A2" s="12"/>
      <c r="B2" s="12" t="s">
        <v>179</v>
      </c>
      <c r="C2" s="12" t="s">
        <v>180</v>
      </c>
      <c r="D2" s="87" t="s">
        <v>181</v>
      </c>
      <c r="E2" s="12" t="s">
        <v>179</v>
      </c>
      <c r="F2" s="12" t="s">
        <v>180</v>
      </c>
      <c r="G2" s="87" t="s">
        <v>181</v>
      </c>
      <c r="H2" s="12" t="s">
        <v>179</v>
      </c>
      <c r="I2" s="12" t="s">
        <v>180</v>
      </c>
      <c r="J2" s="87" t="s">
        <v>181</v>
      </c>
      <c r="K2" s="12" t="s">
        <v>179</v>
      </c>
      <c r="L2" s="12" t="s">
        <v>180</v>
      </c>
      <c r="M2" s="87"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8">
        <v>1026410</v>
      </c>
      <c r="F13" s="88">
        <v>209943</v>
      </c>
      <c r="G13" s="88">
        <v>130412</v>
      </c>
      <c r="H13" s="88">
        <v>1052934</v>
      </c>
      <c r="I13" s="88">
        <v>217082</v>
      </c>
      <c r="J13" s="88">
        <v>134971</v>
      </c>
      <c r="K13" s="88">
        <v>1080000</v>
      </c>
      <c r="L13" s="88">
        <v>220000</v>
      </c>
      <c r="M13" s="88">
        <v>136500</v>
      </c>
    </row>
    <row r="14" spans="1:13">
      <c r="A14" s="12">
        <v>2011</v>
      </c>
      <c r="B14" s="12">
        <v>4.61</v>
      </c>
      <c r="C14" s="12">
        <v>4.23</v>
      </c>
      <c r="D14" s="12">
        <v>7.47</v>
      </c>
      <c r="E14" s="88">
        <v>897631</v>
      </c>
      <c r="F14" s="88">
        <v>171269</v>
      </c>
      <c r="G14" s="88">
        <v>108110</v>
      </c>
      <c r="H14" s="88">
        <v>938985</v>
      </c>
      <c r="I14" s="88">
        <v>179841</v>
      </c>
      <c r="J14" s="88">
        <v>110180</v>
      </c>
      <c r="K14" s="88">
        <v>950000</v>
      </c>
      <c r="L14" s="88">
        <v>182000</v>
      </c>
      <c r="M14" s="88">
        <v>112000</v>
      </c>
    </row>
    <row r="15" spans="1:13">
      <c r="A15" s="12">
        <v>2010</v>
      </c>
      <c r="B15" s="12">
        <v>4.25</v>
      </c>
      <c r="C15" s="12">
        <v>4.06</v>
      </c>
      <c r="D15" s="12">
        <v>7.27</v>
      </c>
      <c r="E15" s="88">
        <v>934816</v>
      </c>
      <c r="F15" s="88">
        <v>148908</v>
      </c>
      <c r="G15" s="88">
        <v>80189</v>
      </c>
      <c r="H15" s="88">
        <v>938418</v>
      </c>
      <c r="I15" s="12">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workbookViewId="0">
      <pane xSplit="1" ySplit="2" topLeftCell="N3" activePane="bottomRight" state="frozen"/>
      <selection/>
      <selection pane="topRight"/>
      <selection pane="bottomLeft"/>
      <selection pane="bottomRight" activeCell="Q4" sqref="Q4"/>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1"/>
    <col min="31" max="31" width="17.6153846153846" style="47" customWidth="1"/>
    <col min="32" max="32" width="37" style="47" customWidth="1"/>
    <col min="33" max="33" width="29.6923076923077" style="47" customWidth="1"/>
    <col min="34" max="34" width="19.8461538461538" style="48"/>
  </cols>
  <sheetData>
    <row r="1" ht="45" customHeight="1" spans="1:34">
      <c r="A1" s="49" t="s">
        <v>490</v>
      </c>
      <c r="B1" s="50" t="s">
        <v>148</v>
      </c>
      <c r="C1" s="50" t="s">
        <v>32</v>
      </c>
      <c r="D1" s="50" t="s">
        <v>509</v>
      </c>
      <c r="E1" s="49" t="s">
        <v>64</v>
      </c>
      <c r="F1" s="60"/>
      <c r="G1" s="60"/>
      <c r="H1" s="60"/>
      <c r="I1" s="60"/>
      <c r="J1" s="60"/>
      <c r="K1" s="60"/>
      <c r="L1" s="60"/>
      <c r="M1" s="60"/>
      <c r="N1" s="60"/>
      <c r="O1" s="60"/>
      <c r="P1" s="60"/>
      <c r="Q1" s="12"/>
      <c r="R1" s="12" t="s">
        <v>510</v>
      </c>
      <c r="S1" s="12" t="s">
        <v>511</v>
      </c>
      <c r="T1" s="12"/>
      <c r="U1" s="49" t="s">
        <v>512</v>
      </c>
      <c r="V1" s="49" t="s">
        <v>513</v>
      </c>
      <c r="W1" s="72" t="s">
        <v>163</v>
      </c>
      <c r="X1" s="73" t="s">
        <v>514</v>
      </c>
      <c r="Y1" s="73" t="s">
        <v>515</v>
      </c>
      <c r="Z1" s="72" t="s">
        <v>516</v>
      </c>
      <c r="AA1" s="72" t="s">
        <v>517</v>
      </c>
      <c r="AB1" s="77" t="s">
        <v>253</v>
      </c>
      <c r="AC1" s="79" t="s">
        <v>518</v>
      </c>
      <c r="AD1" s="12" t="s">
        <v>519</v>
      </c>
      <c r="AE1" s="80" t="s">
        <v>520</v>
      </c>
      <c r="AF1" s="81" t="s">
        <v>521</v>
      </c>
      <c r="AG1" s="81" t="s">
        <v>522</v>
      </c>
      <c r="AH1" s="86"/>
    </row>
    <row r="2" ht="68" spans="1:34">
      <c r="A2" s="49"/>
      <c r="B2" s="51"/>
      <c r="C2" s="51"/>
      <c r="D2" s="51"/>
      <c r="E2" s="49"/>
      <c r="F2" s="49" t="s">
        <v>523</v>
      </c>
      <c r="G2" s="49" t="s">
        <v>524</v>
      </c>
      <c r="H2" s="49" t="s">
        <v>525</v>
      </c>
      <c r="I2" s="49" t="s">
        <v>526</v>
      </c>
      <c r="J2" s="60" t="s">
        <v>527</v>
      </c>
      <c r="K2" s="49" t="s">
        <v>528</v>
      </c>
      <c r="L2" s="65" t="s">
        <v>529</v>
      </c>
      <c r="M2" s="65" t="s">
        <v>530</v>
      </c>
      <c r="N2" s="49" t="s">
        <v>531</v>
      </c>
      <c r="O2" s="49" t="s">
        <v>532</v>
      </c>
      <c r="P2" s="49" t="s">
        <v>533</v>
      </c>
      <c r="Q2" s="12" t="s">
        <v>534</v>
      </c>
      <c r="R2" s="12"/>
      <c r="S2" s="12" t="s">
        <v>511</v>
      </c>
      <c r="T2" s="69" t="s">
        <v>535</v>
      </c>
      <c r="U2" s="49"/>
      <c r="V2" s="49"/>
      <c r="W2" s="74"/>
      <c r="X2" s="75"/>
      <c r="Y2" s="75"/>
      <c r="Z2" s="74"/>
      <c r="AA2" s="74"/>
      <c r="AB2" s="77"/>
      <c r="AC2" s="82"/>
      <c r="AD2" s="12"/>
      <c r="AE2" s="80"/>
      <c r="AF2" s="83"/>
      <c r="AG2" s="83"/>
      <c r="AH2" s="86"/>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0">
        <v>836826139.65</v>
      </c>
      <c r="T3" s="71">
        <v>1517900662.63</v>
      </c>
      <c r="U3" s="70">
        <f>E3-SUM(F3:M3)+S3</f>
        <v>7155419980.56</v>
      </c>
      <c r="V3" s="66">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1">
        <f>C3/AB3</f>
        <v>1.33866833926212</v>
      </c>
      <c r="AE3" s="84">
        <f>Y3/AB3</f>
        <v>1.19168971329355</v>
      </c>
      <c r="AF3" s="84">
        <f>(C3+S3-$T$13)/AB3</f>
        <v>1.34765535601957</v>
      </c>
      <c r="AG3" s="84">
        <f>(C3-SUM(F3:M3)+S3-T3)/AB3</f>
        <v>0.968615876202121</v>
      </c>
      <c r="AH3" s="48">
        <f>(C3+S3-$T$13)</f>
        <v>6244810921.955</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1">
        <v>1030736119.27</v>
      </c>
      <c r="U4" s="66">
        <f t="shared" ref="U4:U12" si="3">E4-SUM(F4:M4)+S4</f>
        <v>7653035453.04</v>
      </c>
      <c r="V4" s="66">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1">
        <f t="shared" ref="AD4:AD12" si="8">C4/AB4</f>
        <v>1.58370323916541</v>
      </c>
      <c r="AE4" s="80">
        <f t="shared" ref="AE4:AE12" si="9">Y4/AB4</f>
        <v>1.51586998010294</v>
      </c>
      <c r="AF4" s="84">
        <f t="shared" ref="AF4:AF12" si="10">(C4+S4-$T$13)/AB4</f>
        <v>1.57178690884419</v>
      </c>
      <c r="AG4" s="84">
        <f t="shared" ref="AG4:AG12" si="11">(C4-SUM(F4:M4)+S4-T4)/AB4</f>
        <v>1.29928821273278</v>
      </c>
      <c r="AH4" s="48">
        <f t="shared" ref="AH4:AH12" si="12">(C4+S4-$T$13)</f>
        <v>6621272076.515</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1">
        <v>906995127.4</v>
      </c>
      <c r="U5" s="66">
        <f t="shared" si="3"/>
        <v>7526475737.81</v>
      </c>
      <c r="V5" s="66">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1">
        <f t="shared" si="8"/>
        <v>1.97782513141641</v>
      </c>
      <c r="AE5" s="80">
        <f t="shared" si="9"/>
        <v>1.87517953216047</v>
      </c>
      <c r="AF5" s="85">
        <f t="shared" si="10"/>
        <v>1.90968509898199</v>
      </c>
      <c r="AG5" s="84">
        <f t="shared" si="11"/>
        <v>1.66169904965975</v>
      </c>
      <c r="AH5" s="48">
        <f t="shared" si="12"/>
        <v>6188226108.415</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1">
        <v>582632086.23</v>
      </c>
      <c r="U6" s="66">
        <f t="shared" si="3"/>
        <v>6211745814.43</v>
      </c>
      <c r="V6" s="66">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1">
        <f t="shared" si="8"/>
        <v>1.98352222237866</v>
      </c>
      <c r="AE6" s="85">
        <f t="shared" si="9"/>
        <v>1.94473849272781</v>
      </c>
      <c r="AF6" s="84">
        <f t="shared" si="10"/>
        <v>1.86602714447758</v>
      </c>
      <c r="AG6" s="85">
        <f t="shared" si="11"/>
        <v>1.70566167162526</v>
      </c>
      <c r="AH6" s="48">
        <f t="shared" si="12"/>
        <v>5038962488.555</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1">
        <v>223924954.49</v>
      </c>
      <c r="U7" s="66">
        <f t="shared" si="3"/>
        <v>5192260789.28</v>
      </c>
      <c r="V7" s="66">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1">
        <f t="shared" si="8"/>
        <v>1.61706534460949</v>
      </c>
      <c r="AE7" s="80">
        <f t="shared" si="9"/>
        <v>1.69792844737305</v>
      </c>
      <c r="AF7" s="84">
        <f t="shared" si="10"/>
        <v>1.48638077691069</v>
      </c>
      <c r="AG7" s="84">
        <f t="shared" si="11"/>
        <v>1.51609026208245</v>
      </c>
      <c r="AH7" s="48">
        <f t="shared" si="12"/>
        <v>4013777077.535</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1">
        <v>262027920.76</v>
      </c>
      <c r="U8" s="66">
        <f t="shared" si="3"/>
        <v>4381787589.01</v>
      </c>
      <c r="V8" s="66">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1">
        <f t="shared" si="8"/>
        <v>1.30737080554776</v>
      </c>
      <c r="AE8" s="80">
        <f t="shared" si="9"/>
        <v>1.37375260445637</v>
      </c>
      <c r="AF8" s="84">
        <f t="shared" si="10"/>
        <v>1.17637641810418</v>
      </c>
      <c r="AG8" s="84">
        <f t="shared" si="11"/>
        <v>1.2736582601139</v>
      </c>
      <c r="AH8" s="48">
        <f t="shared" si="12"/>
        <v>3177635862.305</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1">
        <v>788066840.33</v>
      </c>
      <c r="U9" s="66">
        <f t="shared" si="3"/>
        <v>3649325610.38</v>
      </c>
      <c r="V9" s="66">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1">
        <f t="shared" si="8"/>
        <v>1.05108531854943</v>
      </c>
      <c r="AE9" s="80">
        <f t="shared" si="9"/>
        <v>0.900453531005205</v>
      </c>
      <c r="AF9" s="84">
        <f t="shared" si="10"/>
        <v>0.897823184572273</v>
      </c>
      <c r="AG9" s="84">
        <f t="shared" si="11"/>
        <v>0.851188957724812</v>
      </c>
      <c r="AH9" s="48">
        <f t="shared" si="12"/>
        <v>2428567451.585</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1">
        <v>744281217.14</v>
      </c>
      <c r="U10" s="66">
        <f t="shared" si="3"/>
        <v>3222484080.53</v>
      </c>
      <c r="V10" s="66">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1">
        <f t="shared" si="8"/>
        <v>0.927348203869862</v>
      </c>
      <c r="AE10" s="84">
        <f t="shared" si="9"/>
        <v>0.782772964878285</v>
      </c>
      <c r="AF10" s="84">
        <f t="shared" si="10"/>
        <v>0.763964408444391</v>
      </c>
      <c r="AG10" s="84">
        <f t="shared" si="11"/>
        <v>0.73854888833092</v>
      </c>
      <c r="AH10" s="48">
        <f t="shared" si="12"/>
        <v>2067475624.495</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1">
        <v>881597421.73</v>
      </c>
      <c r="U11" s="66">
        <f t="shared" si="3"/>
        <v>2638316923.83</v>
      </c>
      <c r="V11" s="66">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1">
        <f t="shared" si="8"/>
        <v>1.38995334437143</v>
      </c>
      <c r="AE11" s="80">
        <f t="shared" si="9"/>
        <v>0.99129512715652</v>
      </c>
      <c r="AF11" s="84">
        <f t="shared" si="10"/>
        <v>1.0487683736582</v>
      </c>
      <c r="AG11" s="84">
        <f t="shared" si="11"/>
        <v>0.958717821033799</v>
      </c>
      <c r="AH11" s="48">
        <f t="shared" si="12"/>
        <v>1576907151.265</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1">
        <v>1013655627.57</v>
      </c>
      <c r="U12" s="66">
        <f t="shared" si="3"/>
        <v>2214400603.91</v>
      </c>
      <c r="V12" s="66">
        <f t="shared" si="4"/>
        <v>1419218806.155</v>
      </c>
      <c r="W12" s="35"/>
      <c r="X12" s="76">
        <f t="shared" si="5"/>
        <v>1830774244.37</v>
      </c>
      <c r="Y12" s="76">
        <f t="shared" si="6"/>
        <v>817118616.8</v>
      </c>
      <c r="Z12" s="35"/>
      <c r="AA12" s="35">
        <f t="shared" si="7"/>
        <v>0.0972576241939374</v>
      </c>
      <c r="AB12" s="78">
        <f>71100*10000</f>
        <v>711000000</v>
      </c>
      <c r="AC12" s="78"/>
      <c r="AD12" s="61">
        <f t="shared" si="8"/>
        <v>2.2593794538256</v>
      </c>
      <c r="AE12" s="85">
        <f t="shared" si="9"/>
        <v>1.14925262559775</v>
      </c>
      <c r="AF12" s="85">
        <f t="shared" si="10"/>
        <v>1.45652946078059</v>
      </c>
      <c r="AG12" s="85">
        <f t="shared" si="11"/>
        <v>1.28130975042194</v>
      </c>
      <c r="AH12" s="48">
        <f t="shared" si="12"/>
        <v>1035592446.615</v>
      </c>
    </row>
    <row r="13" spans="1:33">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1.35249971307936</v>
      </c>
      <c r="AG13" s="80">
        <f>AVERAGE(AG3:AG12)</f>
        <v>1.22547787499277</v>
      </c>
    </row>
    <row r="17" spans="7:7">
      <c r="G17" s="6"/>
    </row>
    <row r="18" spans="1:8">
      <c r="A18" s="56" t="s">
        <v>536</v>
      </c>
      <c r="B18" s="57" t="s">
        <v>537</v>
      </c>
      <c r="C18" s="57"/>
      <c r="D18" s="57"/>
      <c r="E18" s="57" t="s">
        <v>538</v>
      </c>
      <c r="F18" s="57"/>
      <c r="G18" s="57"/>
      <c r="H18" s="57" t="s">
        <v>539</v>
      </c>
    </row>
    <row r="19" spans="1:8">
      <c r="A19" s="28"/>
      <c r="B19" s="57" t="s">
        <v>159</v>
      </c>
      <c r="C19" s="57" t="s">
        <v>540</v>
      </c>
      <c r="D19" s="57"/>
      <c r="E19" s="57" t="s">
        <v>541</v>
      </c>
      <c r="F19" s="63" t="s">
        <v>542</v>
      </c>
      <c r="G19" s="57" t="s">
        <v>537</v>
      </c>
      <c r="H19" s="57"/>
    </row>
    <row r="20" spans="1:8">
      <c r="A20" s="42"/>
      <c r="B20" s="58">
        <f>Y3</f>
        <v>5522092057.08</v>
      </c>
      <c r="C20" s="59">
        <v>14495618.61</v>
      </c>
      <c r="D20" s="57"/>
      <c r="E20" s="57">
        <v>2045</v>
      </c>
      <c r="F20" s="59">
        <v>1.3</v>
      </c>
      <c r="G20" s="57">
        <v>243</v>
      </c>
      <c r="H20" s="64">
        <f>(B20+C20)/100000000/(E20+F20-G20)</f>
        <v>0.030702532444352</v>
      </c>
    </row>
    <row r="22" spans="1:5">
      <c r="A22" s="25" t="s">
        <v>543</v>
      </c>
      <c r="B22" s="12" t="s">
        <v>159</v>
      </c>
      <c r="C22" s="12" t="s">
        <v>369</v>
      </c>
      <c r="D22" s="12" t="s">
        <v>371</v>
      </c>
      <c r="E22" s="12" t="s">
        <v>538</v>
      </c>
    </row>
    <row r="23" spans="1:5">
      <c r="A23" s="12"/>
      <c r="B23" s="58">
        <f>Y6</f>
        <v>5251512200.08</v>
      </c>
      <c r="C23" s="12">
        <v>0.025</v>
      </c>
      <c r="D23" s="12">
        <v>0.034</v>
      </c>
      <c r="E23" s="1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0" customWidth="1"/>
    <col min="5" max="6" width="11.7692307692308" style="10"/>
    <col min="7" max="7" width="15.1538461538462" style="1" customWidth="1"/>
    <col min="8" max="8" width="15.1538461538462" style="11" customWidth="1"/>
  </cols>
  <sheetData>
    <row r="1" spans="1:8">
      <c r="A1" s="12" t="s">
        <v>251</v>
      </c>
      <c r="B1" s="12" t="s">
        <v>0</v>
      </c>
      <c r="C1" s="12" t="s">
        <v>544</v>
      </c>
      <c r="D1" s="13" t="s">
        <v>11</v>
      </c>
      <c r="E1" s="13" t="s">
        <v>545</v>
      </c>
      <c r="F1" s="13" t="s">
        <v>32</v>
      </c>
      <c r="G1" s="12" t="s">
        <v>546</v>
      </c>
      <c r="H1" s="35" t="s">
        <v>547</v>
      </c>
    </row>
    <row r="2" spans="1:8">
      <c r="A2" s="12">
        <v>2022</v>
      </c>
      <c r="B2" s="14" t="s">
        <v>548</v>
      </c>
      <c r="C2" s="15" t="s">
        <v>549</v>
      </c>
      <c r="D2" s="13">
        <f>121.91*10000</f>
        <v>1219100</v>
      </c>
      <c r="E2" s="13">
        <f>10.45*10000</f>
        <v>104500</v>
      </c>
      <c r="F2" s="13">
        <f>47.67*10000</f>
        <v>476700</v>
      </c>
      <c r="G2" s="36">
        <f>F2/D2</f>
        <v>0.391026166844393</v>
      </c>
      <c r="H2" s="36">
        <f>F2/E2</f>
        <v>4.56172248803828</v>
      </c>
    </row>
    <row r="3" spans="1:8">
      <c r="A3" s="12"/>
      <c r="B3" s="16" t="s">
        <v>550</v>
      </c>
      <c r="C3" s="12" t="s">
        <v>551</v>
      </c>
      <c r="D3" s="13">
        <f>82.29*10000</f>
        <v>822900</v>
      </c>
      <c r="E3" s="13">
        <f>67.29*10000</f>
        <v>672900</v>
      </c>
      <c r="F3" s="13">
        <f>14.32*10000</f>
        <v>143200</v>
      </c>
      <c r="G3" s="37">
        <f>F3/D3</f>
        <v>0.174018714303074</v>
      </c>
      <c r="H3" s="36">
        <f>F3/E3</f>
        <v>0.212810224401843</v>
      </c>
    </row>
    <row r="4" ht="17" spans="1:8">
      <c r="A4" s="12"/>
      <c r="B4" s="17" t="s">
        <v>552</v>
      </c>
      <c r="C4" s="12"/>
      <c r="D4" s="13"/>
      <c r="E4" s="13"/>
      <c r="F4" s="13"/>
      <c r="G4" s="35"/>
      <c r="H4" s="35"/>
    </row>
    <row r="5" spans="1:8">
      <c r="A5" s="12"/>
      <c r="B5" s="18" t="s">
        <v>553</v>
      </c>
      <c r="C5" s="12"/>
      <c r="D5" s="13"/>
      <c r="E5" s="13"/>
      <c r="F5" s="13"/>
      <c r="G5" s="35"/>
      <c r="H5" s="35"/>
    </row>
    <row r="6" spans="1:8">
      <c r="A6" s="12"/>
      <c r="B6" s="19" t="s">
        <v>554</v>
      </c>
      <c r="C6" s="12"/>
      <c r="D6" s="13"/>
      <c r="E6" s="13"/>
      <c r="F6" s="13"/>
      <c r="G6" s="35"/>
      <c r="H6" s="35"/>
    </row>
    <row r="7" spans="1:8">
      <c r="A7" s="12"/>
      <c r="B7" s="20" t="s">
        <v>555</v>
      </c>
      <c r="C7" s="12" t="s">
        <v>556</v>
      </c>
      <c r="D7" s="13">
        <v>8753.96</v>
      </c>
      <c r="E7" s="13">
        <v>2845.63</v>
      </c>
      <c r="F7" s="13">
        <v>626.15</v>
      </c>
      <c r="G7" s="35">
        <f>F7/D7</f>
        <v>0.0715276286389246</v>
      </c>
      <c r="H7" s="35">
        <f>F7/E7</f>
        <v>0.220039147745842</v>
      </c>
    </row>
    <row r="8" spans="1:8">
      <c r="A8" s="12"/>
      <c r="B8" s="16" t="s">
        <v>557</v>
      </c>
      <c r="C8" s="12" t="s">
        <v>556</v>
      </c>
      <c r="D8" s="13">
        <f>4.03*10000</f>
        <v>40300</v>
      </c>
      <c r="E8" s="13">
        <v>9498.1</v>
      </c>
      <c r="F8" s="13">
        <v>6459.14</v>
      </c>
      <c r="G8" s="36">
        <f>F8/D8</f>
        <v>0.160276426799007</v>
      </c>
      <c r="H8" s="36">
        <f>F8/E8</f>
        <v>0.680045482780767</v>
      </c>
    </row>
    <row r="9" spans="1:8">
      <c r="A9" s="12"/>
      <c r="B9" s="20" t="s">
        <v>558</v>
      </c>
      <c r="C9" s="12" t="s">
        <v>556</v>
      </c>
      <c r="D9" s="13">
        <f>1.77*10000</f>
        <v>17700</v>
      </c>
      <c r="E9" s="13">
        <v>2848.31</v>
      </c>
      <c r="F9" s="13">
        <v>1256.34</v>
      </c>
      <c r="G9" s="35">
        <f>F9/D9</f>
        <v>0.0709796610169491</v>
      </c>
      <c r="H9" s="36">
        <f>F9/E9</f>
        <v>0.441082606879167</v>
      </c>
    </row>
    <row r="10" spans="1:8">
      <c r="A10" s="12"/>
      <c r="B10" s="20" t="s">
        <v>559</v>
      </c>
      <c r="C10" s="12" t="s">
        <v>560</v>
      </c>
      <c r="D10" s="13">
        <f>1.47*10000</f>
        <v>14700</v>
      </c>
      <c r="E10" s="13">
        <v>7519.98</v>
      </c>
      <c r="F10" s="13">
        <v>777.84</v>
      </c>
      <c r="G10" s="35">
        <f>F10/D10</f>
        <v>0.0529142857142857</v>
      </c>
      <c r="H10" s="35">
        <f>F10/E10</f>
        <v>0.103436445309695</v>
      </c>
    </row>
    <row r="11" spans="1:8">
      <c r="A11" s="12"/>
      <c r="B11" s="19" t="s">
        <v>561</v>
      </c>
      <c r="C11" s="12"/>
      <c r="D11" s="13"/>
      <c r="E11" s="13"/>
      <c r="F11" s="13"/>
      <c r="G11" s="35"/>
      <c r="H11" s="35"/>
    </row>
    <row r="12" spans="1:8">
      <c r="A12" s="12"/>
      <c r="B12" s="20" t="s">
        <v>562</v>
      </c>
      <c r="C12" s="12" t="s">
        <v>563</v>
      </c>
      <c r="D12" s="13">
        <v>3115.41</v>
      </c>
      <c r="E12" s="13">
        <v>1620.51</v>
      </c>
      <c r="F12" s="13">
        <v>133.13</v>
      </c>
      <c r="G12" s="35">
        <f>F12/D12</f>
        <v>0.0427327382270712</v>
      </c>
      <c r="H12" s="35">
        <f>F12/E12</f>
        <v>0.0821531493171903</v>
      </c>
    </row>
    <row r="13" spans="1:8">
      <c r="A13" s="12"/>
      <c r="B13" s="16" t="s">
        <v>564</v>
      </c>
      <c r="C13" s="12" t="s">
        <v>556</v>
      </c>
      <c r="D13" s="13">
        <v>7201.95</v>
      </c>
      <c r="E13" s="13">
        <v>2289.58</v>
      </c>
      <c r="F13" s="13">
        <v>836.01</v>
      </c>
      <c r="G13" s="35">
        <f>F13/D13</f>
        <v>0.11608106137921</v>
      </c>
      <c r="H13" s="36">
        <f>F13/E13</f>
        <v>0.365136837323876</v>
      </c>
    </row>
    <row r="14" s="9" customFormat="1" spans="1:8">
      <c r="A14" s="21"/>
      <c r="B14" s="22" t="s">
        <v>565</v>
      </c>
      <c r="C14" s="23"/>
      <c r="D14" s="24"/>
      <c r="E14" s="31"/>
      <c r="F14" s="31"/>
      <c r="G14" s="38"/>
      <c r="H14" s="38"/>
    </row>
    <row r="15" ht="17" spans="1:8">
      <c r="A15" s="12"/>
      <c r="B15" s="14" t="s">
        <v>566</v>
      </c>
      <c r="C15" s="25" t="s">
        <v>556</v>
      </c>
      <c r="D15" s="26">
        <v>6238.44</v>
      </c>
      <c r="E15" s="13">
        <v>5857.35</v>
      </c>
      <c r="F15" s="13">
        <v>2958.16</v>
      </c>
      <c r="G15" s="36">
        <f>F15/D15</f>
        <v>0.474182648226159</v>
      </c>
      <c r="H15" s="36">
        <f>F15/E15</f>
        <v>0.50503384636397</v>
      </c>
    </row>
    <row r="16" s="9" customFormat="1" spans="1:8">
      <c r="A16" s="21"/>
      <c r="B16" s="19" t="s">
        <v>567</v>
      </c>
      <c r="C16" s="23"/>
      <c r="D16" s="24"/>
      <c r="E16" s="31"/>
      <c r="F16" s="31"/>
      <c r="G16" s="38"/>
      <c r="H16" s="38"/>
    </row>
    <row r="17" s="9" customFormat="1" spans="1:8">
      <c r="A17" s="21"/>
      <c r="B17" s="19" t="s">
        <v>568</v>
      </c>
      <c r="C17" s="23"/>
      <c r="D17" s="24"/>
      <c r="E17" s="31"/>
      <c r="F17" s="31"/>
      <c r="G17" s="38"/>
      <c r="H17" s="38"/>
    </row>
    <row r="18" s="9" customFormat="1" spans="1:8">
      <c r="A18" s="21"/>
      <c r="B18" s="19" t="s">
        <v>569</v>
      </c>
      <c r="C18" s="23"/>
      <c r="D18" s="24"/>
      <c r="E18" s="31"/>
      <c r="F18" s="31"/>
      <c r="G18" s="38"/>
      <c r="H18" s="38"/>
    </row>
    <row r="19" ht="17" spans="1:8">
      <c r="A19" s="12"/>
      <c r="B19" s="14" t="s">
        <v>570</v>
      </c>
      <c r="C19" s="25" t="s">
        <v>556</v>
      </c>
      <c r="D19" s="26">
        <f>3.43*10000</f>
        <v>34300</v>
      </c>
      <c r="E19" s="13">
        <v>8636.02</v>
      </c>
      <c r="F19" s="13">
        <v>7047.11</v>
      </c>
      <c r="G19" s="36">
        <f>F19/D19</f>
        <v>0.205455102040816</v>
      </c>
      <c r="H19" s="36">
        <f>F19/E19</f>
        <v>0.81601362664746</v>
      </c>
    </row>
    <row r="20" ht="17" spans="1:8">
      <c r="A20" s="27">
        <v>2021</v>
      </c>
      <c r="B20" s="14" t="s">
        <v>548</v>
      </c>
      <c r="C20" s="25" t="s">
        <v>556</v>
      </c>
      <c r="D20" s="13">
        <f>107.43*10000</f>
        <v>1074300</v>
      </c>
      <c r="E20" s="13">
        <f>20.78*10000</f>
        <v>207800</v>
      </c>
      <c r="F20" s="13">
        <f>53.85*10000</f>
        <v>538500</v>
      </c>
      <c r="G20" s="36">
        <f>F20/D20</f>
        <v>0.501256632225635</v>
      </c>
      <c r="H20" s="36">
        <f>F20/E20</f>
        <v>2.59143407122233</v>
      </c>
    </row>
    <row r="21" ht="17" spans="1:8">
      <c r="A21" s="28"/>
      <c r="B21" s="16" t="s">
        <v>550</v>
      </c>
      <c r="C21" s="25" t="s">
        <v>556</v>
      </c>
      <c r="D21" s="13">
        <f>82.97*10000</f>
        <v>829700</v>
      </c>
      <c r="E21" s="13">
        <f>67.97*10000</f>
        <v>679700</v>
      </c>
      <c r="F21" s="13">
        <f>16.35*10000</f>
        <v>163500</v>
      </c>
      <c r="G21" s="37">
        <f>F21/D21</f>
        <v>0.19705917801615</v>
      </c>
      <c r="H21" s="36">
        <f>F21/E21</f>
        <v>0.240547300279535</v>
      </c>
    </row>
    <row r="22" ht="17" spans="1:8">
      <c r="A22" s="28"/>
      <c r="B22" s="17" t="s">
        <v>552</v>
      </c>
      <c r="C22" s="25" t="s">
        <v>556</v>
      </c>
      <c r="D22" s="13"/>
      <c r="E22" s="13"/>
      <c r="F22" s="13"/>
      <c r="G22" s="12"/>
      <c r="H22" s="35"/>
    </row>
    <row r="23" ht="17" spans="1:8">
      <c r="A23" s="28"/>
      <c r="B23" s="18" t="s">
        <v>553</v>
      </c>
      <c r="C23" s="25" t="s">
        <v>556</v>
      </c>
      <c r="D23" s="13"/>
      <c r="E23" s="13"/>
      <c r="F23" s="13"/>
      <c r="G23" s="12"/>
      <c r="H23" s="35"/>
    </row>
    <row r="24" ht="17" spans="1:8">
      <c r="A24" s="28"/>
      <c r="B24" s="19" t="s">
        <v>554</v>
      </c>
      <c r="C24" s="25" t="s">
        <v>556</v>
      </c>
      <c r="D24" s="13"/>
      <c r="E24" s="13"/>
      <c r="F24" s="13"/>
      <c r="G24" s="12"/>
      <c r="H24" s="35"/>
    </row>
    <row r="25" ht="17" spans="1:8">
      <c r="A25" s="28"/>
      <c r="B25" s="20" t="s">
        <v>555</v>
      </c>
      <c r="C25" s="25" t="s">
        <v>556</v>
      </c>
      <c r="D25" s="13">
        <f>1.22*10000</f>
        <v>12200</v>
      </c>
      <c r="E25" s="13">
        <v>4119.48</v>
      </c>
      <c r="F25" s="13">
        <v>642.95</v>
      </c>
      <c r="G25" s="35">
        <f>F25/D25</f>
        <v>0.0527008196721312</v>
      </c>
      <c r="H25" s="35">
        <f>F25/E25</f>
        <v>0.156075524095274</v>
      </c>
    </row>
    <row r="26" ht="17" spans="1:8">
      <c r="A26" s="28"/>
      <c r="B26" s="16" t="s">
        <v>557</v>
      </c>
      <c r="C26" s="25" t="s">
        <v>556</v>
      </c>
      <c r="D26" s="13">
        <f>4.54*10000</f>
        <v>45400</v>
      </c>
      <c r="E26" s="13">
        <f>1.3*10000</f>
        <v>13000</v>
      </c>
      <c r="F26" s="13">
        <v>8799.02</v>
      </c>
      <c r="G26" s="37">
        <f>F26/D26</f>
        <v>0.193811013215859</v>
      </c>
      <c r="H26" s="36">
        <f>F26/E26</f>
        <v>0.676847692307692</v>
      </c>
    </row>
    <row r="27" ht="17" spans="1:8">
      <c r="A27" s="28"/>
      <c r="B27" s="20" t="s">
        <v>558</v>
      </c>
      <c r="C27" s="25" t="s">
        <v>556</v>
      </c>
      <c r="D27" s="13">
        <f>8550.98</f>
        <v>8550.98</v>
      </c>
      <c r="E27" s="13">
        <f>1591.97</f>
        <v>1591.97</v>
      </c>
      <c r="F27" s="13">
        <v>392.63</v>
      </c>
      <c r="G27" s="35">
        <f>F27/D27</f>
        <v>0.045916374497426</v>
      </c>
      <c r="H27" s="35">
        <f>F27/E27</f>
        <v>0.246631532001231</v>
      </c>
    </row>
    <row r="28" spans="1:8">
      <c r="A28" s="28"/>
      <c r="B28" s="20" t="s">
        <v>559</v>
      </c>
      <c r="C28" s="12" t="s">
        <v>571</v>
      </c>
      <c r="D28" s="13">
        <f>1.16*10000</f>
        <v>11600</v>
      </c>
      <c r="E28" s="13">
        <v>6742.14</v>
      </c>
      <c r="F28" s="13">
        <v>862.75</v>
      </c>
      <c r="G28" s="35">
        <f>F28/D28</f>
        <v>0.074375</v>
      </c>
      <c r="H28" s="35">
        <f>F28/E28</f>
        <v>0.127963821575939</v>
      </c>
    </row>
    <row r="29" ht="17" spans="1:8">
      <c r="A29" s="28"/>
      <c r="B29" s="19" t="s">
        <v>561</v>
      </c>
      <c r="C29" s="25" t="s">
        <v>556</v>
      </c>
      <c r="D29" s="13"/>
      <c r="E29" s="13"/>
      <c r="F29" s="13"/>
      <c r="G29" s="12"/>
      <c r="H29" s="35"/>
    </row>
    <row r="30" ht="17" spans="1:8">
      <c r="A30" s="28"/>
      <c r="B30" s="20" t="s">
        <v>562</v>
      </c>
      <c r="C30" s="25" t="s">
        <v>556</v>
      </c>
      <c r="D30" s="13">
        <v>3082.38</v>
      </c>
      <c r="E30" s="13">
        <v>1487.38</v>
      </c>
      <c r="F30" s="13">
        <v>191.2</v>
      </c>
      <c r="G30" s="35">
        <f t="shared" ref="G30:G37" si="0">F30/D30</f>
        <v>0.0620299898130665</v>
      </c>
      <c r="H30" s="35">
        <f t="shared" ref="H30:H37" si="1">F30/E30</f>
        <v>0.128548185399831</v>
      </c>
    </row>
    <row r="31" ht="17" spans="1:8">
      <c r="A31" s="28"/>
      <c r="B31" s="20" t="s">
        <v>564</v>
      </c>
      <c r="C31" s="25" t="s">
        <v>556</v>
      </c>
      <c r="D31" s="13">
        <f>3.07*10000</f>
        <v>30700</v>
      </c>
      <c r="E31" s="13">
        <v>1453.57</v>
      </c>
      <c r="F31" s="13">
        <v>226.96</v>
      </c>
      <c r="G31" s="35">
        <f t="shared" si="0"/>
        <v>0.0073928338762215</v>
      </c>
      <c r="H31" s="35">
        <f t="shared" si="1"/>
        <v>0.156139711193819</v>
      </c>
    </row>
    <row r="32" spans="1:8">
      <c r="A32" s="28"/>
      <c r="B32" s="29" t="s">
        <v>565</v>
      </c>
      <c r="C32" s="30" t="s">
        <v>572</v>
      </c>
      <c r="D32" s="13">
        <f>3.1*10000</f>
        <v>31000</v>
      </c>
      <c r="E32" s="13">
        <f>1.73*10000</f>
        <v>17300</v>
      </c>
      <c r="F32" s="13">
        <v>10.24</v>
      </c>
      <c r="G32" s="35">
        <f t="shared" si="0"/>
        <v>0.000330322580645161</v>
      </c>
      <c r="H32" s="35">
        <f t="shared" si="1"/>
        <v>0.000591907514450867</v>
      </c>
    </row>
    <row r="33" ht="17" spans="1:8">
      <c r="A33" s="28"/>
      <c r="B33" s="14" t="s">
        <v>566</v>
      </c>
      <c r="C33" s="25" t="s">
        <v>556</v>
      </c>
      <c r="D33" s="13">
        <v>3227.34</v>
      </c>
      <c r="E33" s="13">
        <v>2899.19</v>
      </c>
      <c r="F33" s="13">
        <v>2799.19</v>
      </c>
      <c r="G33" s="36">
        <f t="shared" si="0"/>
        <v>0.86733656819548</v>
      </c>
      <c r="H33" s="36">
        <f t="shared" si="1"/>
        <v>0.965507607297211</v>
      </c>
    </row>
    <row r="34" ht="17" spans="1:8">
      <c r="A34" s="28"/>
      <c r="B34" s="20" t="s">
        <v>567</v>
      </c>
      <c r="C34" s="25" t="s">
        <v>556</v>
      </c>
      <c r="D34" s="13">
        <v>1658.61</v>
      </c>
      <c r="E34" s="13">
        <v>198.64</v>
      </c>
      <c r="F34" s="13">
        <v>98.64</v>
      </c>
      <c r="G34" s="35">
        <f t="shared" si="0"/>
        <v>0.0594714851592599</v>
      </c>
      <c r="H34" s="36">
        <f t="shared" si="1"/>
        <v>0.496576721707612</v>
      </c>
    </row>
    <row r="35" ht="17" spans="1:8">
      <c r="A35" s="28"/>
      <c r="B35" s="16" t="s">
        <v>568</v>
      </c>
      <c r="C35" s="25" t="s">
        <v>556</v>
      </c>
      <c r="D35" s="13">
        <f>3.6*10000</f>
        <v>36000</v>
      </c>
      <c r="E35" s="13">
        <f>1.34*10000</f>
        <v>13400</v>
      </c>
      <c r="F35" s="13">
        <v>4692.33</v>
      </c>
      <c r="G35" s="37">
        <f t="shared" si="0"/>
        <v>0.1303425</v>
      </c>
      <c r="H35" s="36">
        <f t="shared" si="1"/>
        <v>0.350173880597015</v>
      </c>
    </row>
    <row r="36" ht="17" spans="1:8">
      <c r="A36" s="28"/>
      <c r="B36" s="14" t="s">
        <v>569</v>
      </c>
      <c r="C36" s="25" t="s">
        <v>556</v>
      </c>
      <c r="D36" s="13">
        <f>1.01*10000</f>
        <v>10100</v>
      </c>
      <c r="E36" s="13">
        <v>4366.51</v>
      </c>
      <c r="F36" s="13">
        <v>2545.68</v>
      </c>
      <c r="G36" s="36">
        <f t="shared" si="0"/>
        <v>0.252047524752475</v>
      </c>
      <c r="H36" s="36">
        <f t="shared" si="1"/>
        <v>0.58300106950402</v>
      </c>
    </row>
    <row r="37" ht="17" spans="1:8">
      <c r="A37" s="28"/>
      <c r="B37" s="20" t="s">
        <v>570</v>
      </c>
      <c r="C37" s="25" t="s">
        <v>556</v>
      </c>
      <c r="D37" s="13">
        <f>1.75*10000</f>
        <v>17500</v>
      </c>
      <c r="E37" s="13">
        <v>1588.91</v>
      </c>
      <c r="F37" s="13">
        <v>588.91</v>
      </c>
      <c r="G37" s="35">
        <f t="shared" si="0"/>
        <v>0.033652</v>
      </c>
      <c r="H37" s="36">
        <f t="shared" si="1"/>
        <v>0.370637732785369</v>
      </c>
    </row>
    <row r="38" ht="17" spans="1:8">
      <c r="A38" s="27">
        <v>2020</v>
      </c>
      <c r="B38" s="14" t="s">
        <v>548</v>
      </c>
      <c r="C38" s="25" t="s">
        <v>556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550</v>
      </c>
      <c r="C39" s="25" t="s">
        <v>556</v>
      </c>
      <c r="D39" s="31">
        <f>66.64*10000</f>
        <v>666400</v>
      </c>
      <c r="E39" s="31">
        <f>66.62*10000</f>
        <v>666200</v>
      </c>
      <c r="F39" s="31">
        <f>15.69*10000</f>
        <v>156900</v>
      </c>
      <c r="G39" s="36">
        <f t="shared" si="2"/>
        <v>0.235444177671068</v>
      </c>
      <c r="H39" s="36">
        <f t="shared" si="3"/>
        <v>0.235514860402282</v>
      </c>
    </row>
    <row r="40" s="9" customFormat="1" ht="17" spans="1:8">
      <c r="A40" s="28"/>
      <c r="B40" s="17" t="s">
        <v>552</v>
      </c>
      <c r="C40" s="25" t="s">
        <v>556</v>
      </c>
      <c r="D40" s="31"/>
      <c r="E40" s="31"/>
      <c r="F40" s="31"/>
      <c r="G40" s="35"/>
      <c r="H40" s="35"/>
    </row>
    <row r="41" s="9" customFormat="1" ht="17" spans="1:8">
      <c r="A41" s="28"/>
      <c r="B41" s="18" t="s">
        <v>553</v>
      </c>
      <c r="C41" s="25" t="s">
        <v>556</v>
      </c>
      <c r="D41" s="31">
        <f>14.35*10000</f>
        <v>143500</v>
      </c>
      <c r="E41" s="31">
        <f>10.49*10000</f>
        <v>104900</v>
      </c>
      <c r="F41" s="31">
        <f>5.47*10000</f>
        <v>54700</v>
      </c>
      <c r="G41" s="35">
        <f t="shared" si="2"/>
        <v>0.381184668989547</v>
      </c>
      <c r="H41" s="35">
        <f t="shared" si="3"/>
        <v>0.521448999046711</v>
      </c>
    </row>
    <row r="42" s="9" customFormat="1" ht="17" spans="1:8">
      <c r="A42" s="28"/>
      <c r="B42" s="19" t="s">
        <v>554</v>
      </c>
      <c r="C42" s="25" t="s">
        <v>556</v>
      </c>
      <c r="D42" s="31"/>
      <c r="E42" s="31"/>
      <c r="F42" s="31"/>
      <c r="G42" s="35"/>
      <c r="H42" s="35"/>
    </row>
    <row r="43" s="9" customFormat="1" ht="17" spans="1:8">
      <c r="A43" s="28"/>
      <c r="B43" s="20" t="s">
        <v>555</v>
      </c>
      <c r="C43" s="25" t="s">
        <v>556</v>
      </c>
      <c r="D43" s="31">
        <v>6909.9</v>
      </c>
      <c r="E43" s="31">
        <v>3476.53</v>
      </c>
      <c r="F43" s="31">
        <v>238.06</v>
      </c>
      <c r="G43" s="35">
        <f t="shared" si="2"/>
        <v>0.0344520181189308</v>
      </c>
      <c r="H43" s="35">
        <f t="shared" si="3"/>
        <v>0.0684763255314926</v>
      </c>
    </row>
    <row r="44" s="9" customFormat="1" ht="17" spans="1:8">
      <c r="A44" s="28"/>
      <c r="B44" s="16" t="s">
        <v>557</v>
      </c>
      <c r="C44" s="25" t="s">
        <v>556</v>
      </c>
      <c r="D44" s="31">
        <f>4.75*10000</f>
        <v>47500</v>
      </c>
      <c r="E44" s="31">
        <f>1.92*10000</f>
        <v>19200</v>
      </c>
      <c r="F44" s="31">
        <v>8848.63</v>
      </c>
      <c r="G44" s="35">
        <f t="shared" si="2"/>
        <v>0.186286947368421</v>
      </c>
      <c r="H44" s="35">
        <f t="shared" si="3"/>
        <v>0.460866145833333</v>
      </c>
    </row>
    <row r="45" s="9" customFormat="1" ht="17" spans="1:8">
      <c r="A45" s="28"/>
      <c r="B45" s="20" t="s">
        <v>558</v>
      </c>
      <c r="C45" s="25" t="s">
        <v>556</v>
      </c>
      <c r="D45" s="31">
        <v>5922.96</v>
      </c>
      <c r="E45" s="31">
        <v>2993.38</v>
      </c>
      <c r="F45" s="31">
        <v>247.79</v>
      </c>
      <c r="G45" s="35">
        <f t="shared" si="2"/>
        <v>0.0418355011683348</v>
      </c>
      <c r="H45" s="35">
        <f t="shared" si="3"/>
        <v>0.0827793330616226</v>
      </c>
    </row>
    <row r="46" s="9" customFormat="1" spans="1:8">
      <c r="A46" s="28"/>
      <c r="B46" s="16" t="s">
        <v>559</v>
      </c>
      <c r="C46" s="12" t="s">
        <v>571</v>
      </c>
      <c r="D46" s="31">
        <v>9044.01</v>
      </c>
      <c r="E46" s="31">
        <v>5879.39</v>
      </c>
      <c r="F46" s="31">
        <v>1454.23</v>
      </c>
      <c r="G46" s="35">
        <f t="shared" si="2"/>
        <v>0.160794824419699</v>
      </c>
      <c r="H46" s="35">
        <f t="shared" si="3"/>
        <v>0.24734368701515</v>
      </c>
    </row>
    <row r="47" s="9" customFormat="1" ht="17" spans="1:8">
      <c r="A47" s="28"/>
      <c r="B47" s="19" t="s">
        <v>561</v>
      </c>
      <c r="C47" s="25" t="s">
        <v>556</v>
      </c>
      <c r="D47" s="21"/>
      <c r="E47" s="21"/>
      <c r="F47" s="21"/>
      <c r="G47" s="35"/>
      <c r="H47" s="35"/>
    </row>
    <row r="48" s="9" customFormat="1" ht="17" spans="1:8">
      <c r="A48" s="28"/>
      <c r="B48" s="20" t="s">
        <v>562</v>
      </c>
      <c r="C48" s="25" t="s">
        <v>556</v>
      </c>
      <c r="D48" s="31">
        <v>2777</v>
      </c>
      <c r="E48" s="31">
        <v>1296.18</v>
      </c>
      <c r="F48" s="31">
        <v>160.43</v>
      </c>
      <c r="G48" s="35">
        <f t="shared" si="2"/>
        <v>0.0577709758732445</v>
      </c>
      <c r="H48" s="35">
        <f t="shared" si="3"/>
        <v>0.123771389776111</v>
      </c>
    </row>
    <row r="49" s="9" customFormat="1" ht="17" spans="1:8">
      <c r="A49" s="28"/>
      <c r="B49" s="20" t="s">
        <v>564</v>
      </c>
      <c r="C49" s="25" t="s">
        <v>556</v>
      </c>
      <c r="D49" s="32">
        <f>3.15*10000</f>
        <v>31500</v>
      </c>
      <c r="E49" s="31">
        <v>1226.61</v>
      </c>
      <c r="F49" s="31">
        <v>109.72</v>
      </c>
      <c r="G49" s="35">
        <f t="shared" si="2"/>
        <v>0.0034831746031746</v>
      </c>
      <c r="H49" s="35">
        <f t="shared" si="3"/>
        <v>0.0894497843650386</v>
      </c>
    </row>
    <row r="50" s="9" customFormat="1" spans="1:8">
      <c r="A50" s="28"/>
      <c r="B50" s="29" t="s">
        <v>565</v>
      </c>
      <c r="C50" s="30" t="s">
        <v>572</v>
      </c>
      <c r="D50" s="31">
        <f>3.47*10000</f>
        <v>34700</v>
      </c>
      <c r="E50" s="31">
        <f>1.73*10000</f>
        <v>17300</v>
      </c>
      <c r="F50" s="31">
        <v>1220.58</v>
      </c>
      <c r="G50" s="35">
        <f t="shared" si="2"/>
        <v>0.0351752161383285</v>
      </c>
      <c r="H50" s="35">
        <f t="shared" si="3"/>
        <v>0.0705537572254335</v>
      </c>
    </row>
    <row r="51" spans="1:8">
      <c r="A51" s="27">
        <v>2019</v>
      </c>
      <c r="B51" s="14" t="s">
        <v>548</v>
      </c>
      <c r="C51" s="12" t="s">
        <v>556</v>
      </c>
      <c r="D51" s="13">
        <f>74.38*10000</f>
        <v>743800</v>
      </c>
      <c r="E51" s="13">
        <f>9.93*10000</f>
        <v>99300</v>
      </c>
      <c r="F51" s="13">
        <f>45.18*10000</f>
        <v>451800</v>
      </c>
      <c r="G51" s="36">
        <f t="shared" ref="G51:G63" si="4">F51/D51</f>
        <v>0.607421349825222</v>
      </c>
      <c r="H51" s="36">
        <f t="shared" ref="H51:H63" si="5">F51/E51</f>
        <v>4.54984894259819</v>
      </c>
    </row>
    <row r="52" spans="1:8">
      <c r="A52" s="28"/>
      <c r="B52" s="14" t="s">
        <v>550</v>
      </c>
      <c r="C52" s="12" t="s">
        <v>556</v>
      </c>
      <c r="D52" s="13">
        <f>50.94*10000</f>
        <v>509400</v>
      </c>
      <c r="E52" s="13">
        <f>50.93*10000</f>
        <v>509300</v>
      </c>
      <c r="F52" s="13">
        <f>13.88*10000</f>
        <v>138800</v>
      </c>
      <c r="G52" s="36">
        <f t="shared" si="4"/>
        <v>0.272477424420887</v>
      </c>
      <c r="H52" s="36">
        <f t="shared" si="5"/>
        <v>0.272530924798743</v>
      </c>
    </row>
    <row r="53" ht="17" spans="1:8">
      <c r="A53" s="28"/>
      <c r="B53" s="33" t="s">
        <v>552</v>
      </c>
      <c r="C53" s="12" t="s">
        <v>556</v>
      </c>
      <c r="D53" s="13">
        <v>7321.43</v>
      </c>
      <c r="E53" s="13">
        <v>900.69</v>
      </c>
      <c r="F53" s="13">
        <v>-2045.05</v>
      </c>
      <c r="G53" s="38">
        <f t="shared" si="4"/>
        <v>-0.27932384793681</v>
      </c>
      <c r="H53" s="38">
        <f t="shared" si="5"/>
        <v>-2.27053703271936</v>
      </c>
    </row>
    <row r="54" spans="1:8">
      <c r="A54" s="28"/>
      <c r="B54" s="34" t="s">
        <v>553</v>
      </c>
      <c r="C54" s="12" t="s">
        <v>556</v>
      </c>
      <c r="D54" s="13">
        <f>8.34*10000</f>
        <v>83400</v>
      </c>
      <c r="E54" s="13">
        <f>5.4*10000</f>
        <v>54000</v>
      </c>
      <c r="F54" s="13">
        <f>3.19*10000</f>
        <v>31900</v>
      </c>
      <c r="G54" s="38">
        <f t="shared" si="4"/>
        <v>0.382494004796163</v>
      </c>
      <c r="H54" s="38">
        <f t="shared" si="5"/>
        <v>0.590740740740741</v>
      </c>
    </row>
    <row r="55" spans="1:8">
      <c r="A55" s="28"/>
      <c r="B55" s="20" t="s">
        <v>554</v>
      </c>
      <c r="C55" s="12" t="s">
        <v>556</v>
      </c>
      <c r="D55" s="13">
        <v>2773.73</v>
      </c>
      <c r="E55" s="13">
        <v>1973.93</v>
      </c>
      <c r="F55" s="13">
        <v>98.42</v>
      </c>
      <c r="G55" s="38">
        <f t="shared" si="4"/>
        <v>0.0354829056901717</v>
      </c>
      <c r="H55" s="38">
        <f t="shared" si="5"/>
        <v>0.0498599241107841</v>
      </c>
    </row>
    <row r="56" spans="1:8">
      <c r="A56" s="28"/>
      <c r="B56" s="20" t="s">
        <v>555</v>
      </c>
      <c r="C56" s="12" t="s">
        <v>556</v>
      </c>
      <c r="D56" s="13">
        <v>8064.2</v>
      </c>
      <c r="E56" s="13">
        <v>3238.47</v>
      </c>
      <c r="F56" s="13">
        <v>25.87</v>
      </c>
      <c r="G56" s="38">
        <f t="shared" si="4"/>
        <v>0.00320800575382555</v>
      </c>
      <c r="H56" s="38">
        <f t="shared" si="5"/>
        <v>0.00798834017298292</v>
      </c>
    </row>
    <row r="57" spans="1:8">
      <c r="A57" s="28"/>
      <c r="B57" s="16" t="s">
        <v>557</v>
      </c>
      <c r="C57" s="12" t="s">
        <v>556</v>
      </c>
      <c r="D57" s="13">
        <f>4.1*10000</f>
        <v>41000</v>
      </c>
      <c r="E57" s="13">
        <f>1.04*10000</f>
        <v>10400</v>
      </c>
      <c r="F57" s="13">
        <v>6614.62</v>
      </c>
      <c r="G57" s="38">
        <f t="shared" si="4"/>
        <v>0.161332195121951</v>
      </c>
      <c r="H57" s="38">
        <f t="shared" si="5"/>
        <v>0.636021153846154</v>
      </c>
    </row>
    <row r="58" spans="1:8">
      <c r="A58" s="28"/>
      <c r="B58" s="20" t="s">
        <v>558</v>
      </c>
      <c r="C58" s="12" t="s">
        <v>556</v>
      </c>
      <c r="D58" s="13">
        <v>6014.38</v>
      </c>
      <c r="E58" s="13">
        <v>2745.59</v>
      </c>
      <c r="F58" s="13">
        <v>539.14</v>
      </c>
      <c r="G58" s="38">
        <f t="shared" si="4"/>
        <v>0.0896418250925282</v>
      </c>
      <c r="H58" s="38">
        <f t="shared" si="5"/>
        <v>0.196365808441901</v>
      </c>
    </row>
    <row r="59" spans="1:8">
      <c r="A59" s="28"/>
      <c r="B59" s="16" t="s">
        <v>559</v>
      </c>
      <c r="C59" s="12" t="s">
        <v>571</v>
      </c>
      <c r="D59" s="13">
        <v>7694.1</v>
      </c>
      <c r="E59" s="13">
        <v>4423.14</v>
      </c>
      <c r="F59" s="13">
        <v>1073.61</v>
      </c>
      <c r="G59" s="38">
        <f t="shared" si="4"/>
        <v>0.139536787928413</v>
      </c>
      <c r="H59" s="38">
        <f t="shared" si="5"/>
        <v>0.242725755910959</v>
      </c>
    </row>
    <row r="60" spans="1:8">
      <c r="A60" s="28"/>
      <c r="B60" s="20" t="s">
        <v>561</v>
      </c>
      <c r="C60" s="12" t="s">
        <v>556</v>
      </c>
      <c r="D60" s="13">
        <v>5013.19</v>
      </c>
      <c r="E60" s="13">
        <v>1256.37</v>
      </c>
      <c r="F60" s="13">
        <v>253.37</v>
      </c>
      <c r="G60" s="38">
        <f t="shared" si="4"/>
        <v>0.0505406737027721</v>
      </c>
      <c r="H60" s="38">
        <f t="shared" si="5"/>
        <v>0.2016682983516</v>
      </c>
    </row>
    <row r="61" spans="1:8">
      <c r="A61" s="28"/>
      <c r="B61" s="20" t="s">
        <v>562</v>
      </c>
      <c r="C61" s="12" t="s">
        <v>556</v>
      </c>
      <c r="D61" s="13">
        <v>2223.42</v>
      </c>
      <c r="E61" s="13">
        <v>1135.75</v>
      </c>
      <c r="F61" s="13">
        <v>135.75</v>
      </c>
      <c r="G61" s="38">
        <f t="shared" si="4"/>
        <v>0.061054591575141</v>
      </c>
      <c r="H61" s="38">
        <f t="shared" si="5"/>
        <v>0.119524543253357</v>
      </c>
    </row>
    <row r="62" spans="1:8">
      <c r="A62" s="28"/>
      <c r="B62" s="20" t="s">
        <v>564</v>
      </c>
      <c r="C62" s="12" t="s">
        <v>556</v>
      </c>
      <c r="D62" s="13">
        <f>3.92*10000</f>
        <v>39200</v>
      </c>
      <c r="E62" s="13">
        <v>1116.89</v>
      </c>
      <c r="F62" s="13">
        <v>116.89</v>
      </c>
      <c r="G62" s="38">
        <f t="shared" si="4"/>
        <v>0.00298188775510204</v>
      </c>
      <c r="H62" s="38">
        <f t="shared" si="5"/>
        <v>0.104656680604178</v>
      </c>
    </row>
    <row r="63" spans="1:8">
      <c r="A63" s="27">
        <v>2018</v>
      </c>
      <c r="B63" s="14" t="s">
        <v>548</v>
      </c>
      <c r="C63" s="12" t="s">
        <v>556</v>
      </c>
      <c r="D63" s="13">
        <f>58.29*10000</f>
        <v>582900</v>
      </c>
      <c r="E63" s="13">
        <f>7.55*10000</f>
        <v>75500</v>
      </c>
      <c r="F63" s="13">
        <f>36.24*10000</f>
        <v>362400</v>
      </c>
      <c r="G63" s="36">
        <f t="shared" si="4"/>
        <v>0.621718991250643</v>
      </c>
      <c r="H63" s="36">
        <f t="shared" si="5"/>
        <v>4.8</v>
      </c>
    </row>
    <row r="64" spans="1:8">
      <c r="A64" s="28"/>
      <c r="B64" s="14" t="s">
        <v>550</v>
      </c>
      <c r="C64" s="12" t="s">
        <v>556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552</v>
      </c>
      <c r="C65" s="12" t="s">
        <v>556</v>
      </c>
      <c r="D65" s="13">
        <v>9256.93</v>
      </c>
      <c r="E65" s="13">
        <v>1144.36</v>
      </c>
      <c r="F65" s="13">
        <v>190.37</v>
      </c>
      <c r="G65" s="38">
        <f t="shared" si="6"/>
        <v>0.0205651333649493</v>
      </c>
      <c r="H65" s="38">
        <f t="shared" si="7"/>
        <v>0.166354993183963</v>
      </c>
    </row>
    <row r="66" spans="1:8">
      <c r="A66" s="28"/>
      <c r="B66" s="34" t="s">
        <v>553</v>
      </c>
      <c r="C66" s="12" t="s">
        <v>556</v>
      </c>
      <c r="D66" s="13">
        <f>5.63*10000</f>
        <v>56300</v>
      </c>
      <c r="E66" s="13">
        <f>1.92*10000</f>
        <v>19200</v>
      </c>
      <c r="F66" s="13">
        <f>1.55*10000</f>
        <v>15500</v>
      </c>
      <c r="G66" s="36">
        <f t="shared" si="6"/>
        <v>0.275310834813499</v>
      </c>
      <c r="H66" s="36">
        <f t="shared" si="7"/>
        <v>0.807291666666667</v>
      </c>
    </row>
    <row r="67" spans="1:8">
      <c r="A67" s="28"/>
      <c r="B67" s="16" t="s">
        <v>554</v>
      </c>
      <c r="C67" s="12" t="s">
        <v>556</v>
      </c>
      <c r="D67" s="13">
        <v>2262.69</v>
      </c>
      <c r="E67" s="13">
        <v>1875.52</v>
      </c>
      <c r="F67" s="13">
        <v>281.29</v>
      </c>
      <c r="G67" s="38">
        <f t="shared" si="6"/>
        <v>0.124316631973448</v>
      </c>
      <c r="H67" s="38">
        <f t="shared" si="7"/>
        <v>0.149979738952397</v>
      </c>
    </row>
    <row r="68" spans="1:8">
      <c r="A68" s="28"/>
      <c r="B68" s="20" t="s">
        <v>555</v>
      </c>
      <c r="C68" s="12" t="s">
        <v>556</v>
      </c>
      <c r="D68" s="13">
        <v>18012.45</v>
      </c>
      <c r="E68" s="13">
        <v>3212.6</v>
      </c>
      <c r="F68" s="13">
        <v>654.03</v>
      </c>
      <c r="G68" s="43">
        <f t="shared" si="6"/>
        <v>0.0363098856624168</v>
      </c>
      <c r="H68" s="43">
        <f t="shared" si="7"/>
        <v>0.203582767851584</v>
      </c>
    </row>
    <row r="69" spans="1:8">
      <c r="A69" s="28"/>
      <c r="B69" s="20" t="s">
        <v>557</v>
      </c>
      <c r="C69" s="12" t="s">
        <v>556</v>
      </c>
      <c r="D69" s="13">
        <v>28709.13</v>
      </c>
      <c r="E69" s="13">
        <v>3776.69</v>
      </c>
      <c r="F69" s="13">
        <v>2738.33</v>
      </c>
      <c r="G69" s="38">
        <f t="shared" si="6"/>
        <v>0.0953818523932979</v>
      </c>
      <c r="H69" s="38">
        <f t="shared" si="7"/>
        <v>0.725060833692996</v>
      </c>
    </row>
    <row r="70" spans="1:8">
      <c r="A70" s="28"/>
      <c r="B70" s="16" t="s">
        <v>558</v>
      </c>
      <c r="C70" s="12" t="s">
        <v>556</v>
      </c>
      <c r="D70" s="13">
        <v>5018.84</v>
      </c>
      <c r="E70" s="13">
        <v>2206.45</v>
      </c>
      <c r="F70" s="13">
        <v>1064.24</v>
      </c>
      <c r="G70" s="36">
        <f t="shared" si="6"/>
        <v>0.212048999370372</v>
      </c>
      <c r="H70" s="36">
        <f t="shared" si="7"/>
        <v>0.482331346733441</v>
      </c>
    </row>
    <row r="71" spans="1:8">
      <c r="A71" s="28"/>
      <c r="B71" s="16" t="s">
        <v>559</v>
      </c>
      <c r="C71" s="12" t="s">
        <v>571</v>
      </c>
      <c r="D71" s="13">
        <v>6351.99</v>
      </c>
      <c r="E71" s="13">
        <v>3333.64</v>
      </c>
      <c r="F71" s="13">
        <v>720.94</v>
      </c>
      <c r="G71" s="37">
        <f t="shared" si="6"/>
        <v>0.113498289512421</v>
      </c>
      <c r="H71" s="37">
        <f t="shared" si="7"/>
        <v>0.216262103886442</v>
      </c>
    </row>
    <row r="72" spans="1:8">
      <c r="A72" s="28"/>
      <c r="B72" s="20" t="s">
        <v>561</v>
      </c>
      <c r="C72" s="12" t="s">
        <v>556</v>
      </c>
      <c r="D72" s="13">
        <v>1241.6</v>
      </c>
      <c r="E72" s="13">
        <v>1003</v>
      </c>
      <c r="F72" s="13">
        <v>3</v>
      </c>
      <c r="G72" s="43">
        <f t="shared" si="6"/>
        <v>0.00241623711340206</v>
      </c>
      <c r="H72" s="43">
        <f t="shared" si="7"/>
        <v>0.00299102691924227</v>
      </c>
    </row>
    <row r="73" spans="1:8">
      <c r="A73" s="28"/>
      <c r="B73" s="19" t="s">
        <v>562</v>
      </c>
      <c r="C73" s="12" t="s">
        <v>556</v>
      </c>
      <c r="D73" s="13"/>
      <c r="E73" s="13"/>
      <c r="F73" s="13"/>
      <c r="G73" s="38"/>
      <c r="H73" s="38"/>
    </row>
    <row r="74" spans="1:8">
      <c r="A74" s="27">
        <v>2017</v>
      </c>
      <c r="B74" s="14" t="s">
        <v>548</v>
      </c>
      <c r="C74" s="12" t="s">
        <v>556</v>
      </c>
      <c r="D74" s="13">
        <f>52.88*10000</f>
        <v>528800</v>
      </c>
      <c r="E74" s="13">
        <f>2.05*10000</f>
        <v>20500</v>
      </c>
      <c r="F74" s="13">
        <f>30.46*10000</f>
        <v>304600</v>
      </c>
      <c r="G74" s="36">
        <f t="shared" ref="G74:G82" si="8">F74/D74</f>
        <v>0.576021180030257</v>
      </c>
      <c r="H74" s="36">
        <f t="shared" ref="H74:H82" si="9">F74/E74</f>
        <v>14.8585365853659</v>
      </c>
    </row>
    <row r="75" spans="1:8">
      <c r="A75" s="28"/>
      <c r="B75" s="14" t="s">
        <v>550</v>
      </c>
      <c r="C75" s="12" t="s">
        <v>556</v>
      </c>
      <c r="D75" s="13">
        <f>25.43*10000</f>
        <v>254300</v>
      </c>
      <c r="E75" s="13">
        <f>25.4*10000</f>
        <v>254000</v>
      </c>
      <c r="F75" s="13">
        <f>9.42*10000</f>
        <v>94200</v>
      </c>
      <c r="G75" s="36">
        <f t="shared" si="8"/>
        <v>0.370428627605191</v>
      </c>
      <c r="H75" s="36">
        <f t="shared" si="9"/>
        <v>0.370866141732283</v>
      </c>
    </row>
    <row r="76" ht="17" spans="1:8">
      <c r="A76" s="28"/>
      <c r="B76" s="39" t="s">
        <v>552</v>
      </c>
      <c r="C76" s="12" t="s">
        <v>556</v>
      </c>
      <c r="D76" s="13">
        <f>1.22*10000</f>
        <v>12200</v>
      </c>
      <c r="E76" s="13">
        <v>953.99</v>
      </c>
      <c r="F76" s="13">
        <v>191.2</v>
      </c>
      <c r="G76" s="43">
        <f t="shared" si="8"/>
        <v>0.015672131147541</v>
      </c>
      <c r="H76" s="43">
        <f t="shared" si="9"/>
        <v>0.200421388064864</v>
      </c>
    </row>
    <row r="77" spans="1:8">
      <c r="A77" s="28"/>
      <c r="B77" s="40" t="s">
        <v>553</v>
      </c>
      <c r="C77" s="12" t="s">
        <v>556</v>
      </c>
      <c r="D77" s="13">
        <f>6.38*10000</f>
        <v>63800</v>
      </c>
      <c r="E77" s="13">
        <v>4878.39</v>
      </c>
      <c r="F77" s="13">
        <v>3617.56</v>
      </c>
      <c r="G77" s="35">
        <f t="shared" si="8"/>
        <v>0.0567015673981191</v>
      </c>
      <c r="H77" s="35">
        <f t="shared" si="9"/>
        <v>0.741547928722386</v>
      </c>
    </row>
    <row r="78" spans="1:8">
      <c r="A78" s="28"/>
      <c r="B78" s="20" t="s">
        <v>554</v>
      </c>
      <c r="C78" s="12" t="s">
        <v>556</v>
      </c>
      <c r="D78" s="13">
        <v>6078.09</v>
      </c>
      <c r="E78" s="13">
        <v>1594.23</v>
      </c>
      <c r="F78" s="13">
        <v>352.87</v>
      </c>
      <c r="G78" s="35">
        <f t="shared" si="8"/>
        <v>0.0580560669552442</v>
      </c>
      <c r="H78" s="35">
        <f t="shared" si="9"/>
        <v>0.221341964459331</v>
      </c>
    </row>
    <row r="79" spans="1:8">
      <c r="A79" s="28"/>
      <c r="B79" s="16" t="s">
        <v>555</v>
      </c>
      <c r="C79" s="12" t="s">
        <v>556</v>
      </c>
      <c r="D79" s="13">
        <v>2844.54</v>
      </c>
      <c r="E79" s="13">
        <v>2558.57</v>
      </c>
      <c r="F79" s="13">
        <v>463.98</v>
      </c>
      <c r="G79" s="37">
        <f t="shared" si="8"/>
        <v>0.163112489189816</v>
      </c>
      <c r="H79" s="37">
        <f t="shared" si="9"/>
        <v>0.181343484837233</v>
      </c>
    </row>
    <row r="80" spans="1:8">
      <c r="A80" s="28"/>
      <c r="B80" s="20" t="s">
        <v>557</v>
      </c>
      <c r="C80" s="12" t="s">
        <v>556</v>
      </c>
      <c r="D80" s="13">
        <v>1698.58</v>
      </c>
      <c r="E80" s="13">
        <v>1038.36</v>
      </c>
      <c r="F80" s="13">
        <v>38.36</v>
      </c>
      <c r="G80" s="43">
        <f t="shared" si="8"/>
        <v>0.0225835698053668</v>
      </c>
      <c r="H80" s="43">
        <f t="shared" si="9"/>
        <v>0.0369428714511345</v>
      </c>
    </row>
    <row r="81" spans="1:8">
      <c r="A81" s="28"/>
      <c r="B81" s="20" t="s">
        <v>558</v>
      </c>
      <c r="C81" s="12" t="s">
        <v>556</v>
      </c>
      <c r="D81" s="13">
        <v>1598.7</v>
      </c>
      <c r="E81" s="13">
        <v>1142.21</v>
      </c>
      <c r="F81" s="13">
        <v>142.21</v>
      </c>
      <c r="G81" s="35">
        <f t="shared" si="8"/>
        <v>0.0889535247388503</v>
      </c>
      <c r="H81" s="35">
        <f t="shared" si="9"/>
        <v>0.124504250531864</v>
      </c>
    </row>
    <row r="82" spans="1:8">
      <c r="A82" s="28"/>
      <c r="B82" s="16" t="s">
        <v>559</v>
      </c>
      <c r="C82" s="12" t="s">
        <v>571</v>
      </c>
      <c r="D82" s="13">
        <v>4941.99</v>
      </c>
      <c r="E82" s="13">
        <v>2612.7</v>
      </c>
      <c r="F82" s="13">
        <v>577.71</v>
      </c>
      <c r="G82" s="37">
        <f t="shared" si="8"/>
        <v>0.116898253537543</v>
      </c>
      <c r="H82" s="37">
        <f t="shared" si="9"/>
        <v>0.221116086806752</v>
      </c>
    </row>
    <row r="83" spans="1:8">
      <c r="A83" s="27">
        <v>2016</v>
      </c>
      <c r="B83" s="14" t="s">
        <v>548</v>
      </c>
      <c r="C83" s="12" t="s">
        <v>556</v>
      </c>
      <c r="D83" s="13">
        <f>59.18*10000</f>
        <v>591800</v>
      </c>
      <c r="E83" s="13">
        <f>1.34*10000</f>
        <v>13400</v>
      </c>
      <c r="F83" s="13">
        <f>23.76*10000</f>
        <v>237600</v>
      </c>
      <c r="G83" s="36">
        <f t="shared" ref="G83:G99" si="10">F83/D83</f>
        <v>0.401486988847584</v>
      </c>
      <c r="H83" s="36">
        <f t="shared" ref="H83:H99" si="11">F83/E83</f>
        <v>17.7313432835821</v>
      </c>
    </row>
    <row r="84" spans="1:8">
      <c r="A84" s="28"/>
      <c r="B84" s="14" t="s">
        <v>550</v>
      </c>
      <c r="C84" s="12" t="s">
        <v>556</v>
      </c>
      <c r="D84" s="13">
        <f>16*10000</f>
        <v>160000</v>
      </c>
      <c r="E84" s="13">
        <f>15.98*10000</f>
        <v>159800</v>
      </c>
      <c r="F84" s="13">
        <f>7.19*10000</f>
        <v>71900</v>
      </c>
      <c r="G84" s="36">
        <f t="shared" si="10"/>
        <v>0.449375</v>
      </c>
      <c r="H84" s="36">
        <f t="shared" si="11"/>
        <v>0.449937421777222</v>
      </c>
    </row>
    <row r="85" ht="17" spans="1:8">
      <c r="A85" s="28"/>
      <c r="B85" s="33" t="s">
        <v>552</v>
      </c>
      <c r="C85" s="12" t="s">
        <v>556</v>
      </c>
      <c r="D85" s="13">
        <f>1.28*10000</f>
        <v>12800</v>
      </c>
      <c r="E85" s="13">
        <v>762.8</v>
      </c>
      <c r="F85" s="13">
        <v>-187.51</v>
      </c>
      <c r="G85" s="44">
        <f t="shared" si="10"/>
        <v>-0.01464921875</v>
      </c>
      <c r="H85" s="44">
        <f t="shared" si="11"/>
        <v>-0.245818038804405</v>
      </c>
    </row>
    <row r="86" spans="1:8">
      <c r="A86" s="28"/>
      <c r="B86" s="41" t="s">
        <v>553</v>
      </c>
      <c r="C86" s="12" t="s">
        <v>556</v>
      </c>
      <c r="D86" s="13">
        <f>5.42*10000</f>
        <v>54200</v>
      </c>
      <c r="E86" s="13">
        <v>181.67</v>
      </c>
      <c r="F86" s="13">
        <v>-273.86</v>
      </c>
      <c r="G86" s="44">
        <f t="shared" si="10"/>
        <v>-0.00505276752767528</v>
      </c>
      <c r="H86" s="44">
        <f t="shared" si="11"/>
        <v>-1.50745857874167</v>
      </c>
    </row>
    <row r="87" spans="1:8">
      <c r="A87" s="28"/>
      <c r="B87" s="20" t="s">
        <v>554</v>
      </c>
      <c r="C87" s="12" t="s">
        <v>556</v>
      </c>
      <c r="D87" s="13">
        <v>5699.62</v>
      </c>
      <c r="E87" s="13">
        <v>1241.35</v>
      </c>
      <c r="F87" s="13">
        <v>194.74</v>
      </c>
      <c r="G87" s="43">
        <f t="shared" si="10"/>
        <v>0.0341671900933746</v>
      </c>
      <c r="H87" s="43">
        <f t="shared" si="11"/>
        <v>0.156877592943167</v>
      </c>
    </row>
    <row r="88" spans="1:8">
      <c r="A88" s="28"/>
      <c r="B88" s="20" t="s">
        <v>555</v>
      </c>
      <c r="C88" s="12" t="s">
        <v>556</v>
      </c>
      <c r="D88" s="13">
        <v>2260</v>
      </c>
      <c r="E88" s="13">
        <v>2094.59</v>
      </c>
      <c r="F88" s="13">
        <v>94.59</v>
      </c>
      <c r="G88" s="43">
        <f t="shared" si="10"/>
        <v>0.041853982300885</v>
      </c>
      <c r="H88" s="43">
        <f t="shared" si="11"/>
        <v>0.0451591958330747</v>
      </c>
    </row>
    <row r="89" spans="1:8">
      <c r="A89" s="27">
        <v>2015</v>
      </c>
      <c r="B89" s="14" t="s">
        <v>548</v>
      </c>
      <c r="C89" s="12" t="s">
        <v>556</v>
      </c>
      <c r="D89" s="13">
        <f>91.91*10000</f>
        <v>919100</v>
      </c>
      <c r="E89" s="13">
        <f>1.59*10000</f>
        <v>15900</v>
      </c>
      <c r="F89" s="13">
        <f>21.33*10000</f>
        <v>213300</v>
      </c>
      <c r="G89" s="36">
        <f t="shared" si="10"/>
        <v>0.232074855837232</v>
      </c>
      <c r="H89" s="36">
        <f t="shared" si="11"/>
        <v>13.4150943396226</v>
      </c>
    </row>
    <row r="90" spans="1:8">
      <c r="A90" s="28"/>
      <c r="B90" s="14" t="s">
        <v>550</v>
      </c>
      <c r="C90" s="12" t="s">
        <v>556</v>
      </c>
      <c r="D90" s="13">
        <f>8.81*10000</f>
        <v>88100</v>
      </c>
      <c r="E90" s="13">
        <f>8.79*10000</f>
        <v>87900</v>
      </c>
      <c r="F90" s="13">
        <f>6.47*10000</f>
        <v>64700</v>
      </c>
      <c r="G90" s="36">
        <f t="shared" si="10"/>
        <v>0.734392735527809</v>
      </c>
      <c r="H90" s="36">
        <f t="shared" si="11"/>
        <v>0.736063708759955</v>
      </c>
    </row>
    <row r="91" ht="17" spans="1:8">
      <c r="A91" s="28"/>
      <c r="B91" s="39" t="s">
        <v>552</v>
      </c>
      <c r="C91" s="12" t="s">
        <v>556</v>
      </c>
      <c r="D91" s="13">
        <f>1.3*10000</f>
        <v>13000</v>
      </c>
      <c r="E91" s="13">
        <v>950.31</v>
      </c>
      <c r="F91" s="13">
        <v>62.51</v>
      </c>
      <c r="G91" s="43">
        <f t="shared" si="10"/>
        <v>0.00480846153846154</v>
      </c>
      <c r="H91" s="43">
        <f t="shared" si="11"/>
        <v>0.0657785354252823</v>
      </c>
    </row>
    <row r="92" spans="1:8">
      <c r="A92" s="28"/>
      <c r="B92" s="41" t="s">
        <v>553</v>
      </c>
      <c r="C92" s="12" t="s">
        <v>556</v>
      </c>
      <c r="D92" s="13">
        <f>3.32*10000</f>
        <v>33200</v>
      </c>
      <c r="E92" s="13">
        <v>455.53</v>
      </c>
      <c r="F92" s="13">
        <v>-494.85</v>
      </c>
      <c r="G92" s="44">
        <f t="shared" si="10"/>
        <v>-0.0149051204819277</v>
      </c>
      <c r="H92" s="44">
        <f t="shared" si="11"/>
        <v>-1.08631703729721</v>
      </c>
    </row>
    <row r="93" spans="1:8">
      <c r="A93" s="28"/>
      <c r="B93" s="20" t="s">
        <v>554</v>
      </c>
      <c r="C93" s="12" t="s">
        <v>556</v>
      </c>
      <c r="D93" s="13">
        <v>3986.38</v>
      </c>
      <c r="E93" s="13">
        <v>1046.62</v>
      </c>
      <c r="F93" s="13">
        <v>46.62</v>
      </c>
      <c r="G93" s="43">
        <f t="shared" si="10"/>
        <v>0.0116948208650455</v>
      </c>
      <c r="H93" s="43">
        <f t="shared" si="11"/>
        <v>0.0445433872847834</v>
      </c>
    </row>
    <row r="94" spans="1:8">
      <c r="A94" s="27">
        <v>2014</v>
      </c>
      <c r="B94" s="14" t="s">
        <v>548</v>
      </c>
      <c r="C94" s="12" t="s">
        <v>556</v>
      </c>
      <c r="D94" s="13">
        <v>547105.24</v>
      </c>
      <c r="E94" s="13">
        <v>21526.4</v>
      </c>
      <c r="F94" s="13">
        <v>180270.11</v>
      </c>
      <c r="G94" s="36">
        <f t="shared" si="10"/>
        <v>0.329498050503044</v>
      </c>
      <c r="H94" s="36">
        <f t="shared" si="11"/>
        <v>8.3743733276349</v>
      </c>
    </row>
    <row r="95" spans="1:8">
      <c r="A95" s="28"/>
      <c r="B95" s="14" t="s">
        <v>550</v>
      </c>
      <c r="C95" s="12" t="s">
        <v>556</v>
      </c>
      <c r="D95" s="13">
        <v>162817.12</v>
      </c>
      <c r="E95" s="13">
        <v>162692.54</v>
      </c>
      <c r="F95" s="13">
        <v>55522.56</v>
      </c>
      <c r="G95" s="36">
        <f t="shared" si="10"/>
        <v>0.341011805146781</v>
      </c>
      <c r="H95" s="36">
        <f t="shared" si="11"/>
        <v>0.341272931137469</v>
      </c>
    </row>
    <row r="96" ht="17" spans="1:8">
      <c r="A96" s="28"/>
      <c r="B96" s="33" t="s">
        <v>552</v>
      </c>
      <c r="C96" s="12" t="s">
        <v>556</v>
      </c>
      <c r="D96" s="13">
        <v>11599.07</v>
      </c>
      <c r="E96" s="13">
        <v>887.8</v>
      </c>
      <c r="F96" s="13">
        <v>-112.2</v>
      </c>
      <c r="G96" s="44">
        <f t="shared" si="10"/>
        <v>-0.00967318931603999</v>
      </c>
      <c r="H96" s="44">
        <f t="shared" si="11"/>
        <v>-0.12637981527371</v>
      </c>
    </row>
    <row r="97" spans="1:8">
      <c r="A97" s="42"/>
      <c r="B97" s="41" t="s">
        <v>553</v>
      </c>
      <c r="C97" s="12" t="s">
        <v>556</v>
      </c>
      <c r="D97" s="13">
        <v>10621.34</v>
      </c>
      <c r="E97" s="13">
        <v>950.38</v>
      </c>
      <c r="F97" s="13">
        <v>-49.62</v>
      </c>
      <c r="G97" s="44">
        <f t="shared" si="10"/>
        <v>-0.00467172691957889</v>
      </c>
      <c r="H97" s="44">
        <f t="shared" si="11"/>
        <v>-0.0522106946695006</v>
      </c>
    </row>
    <row r="98" spans="1:8">
      <c r="A98" s="12">
        <v>2013</v>
      </c>
      <c r="B98" s="14" t="s">
        <v>548</v>
      </c>
      <c r="C98" s="12" t="s">
        <v>556</v>
      </c>
      <c r="D98" s="13">
        <v>444442.28</v>
      </c>
      <c r="E98" s="13">
        <v>41066.78</v>
      </c>
      <c r="F98" s="13">
        <v>141055.72</v>
      </c>
      <c r="G98" s="36">
        <f t="shared" si="10"/>
        <v>0.317376915625579</v>
      </c>
      <c r="H98" s="36">
        <f t="shared" si="11"/>
        <v>3.43478889749817</v>
      </c>
    </row>
    <row r="99" spans="1:8">
      <c r="A99" s="12"/>
      <c r="B99" s="14" t="s">
        <v>550</v>
      </c>
      <c r="C99" s="12" t="s">
        <v>556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490</v>
      </c>
      <c r="B1" s="1" t="s">
        <v>573</v>
      </c>
      <c r="C1" s="2" t="s">
        <v>187</v>
      </c>
      <c r="D1" s="2" t="s">
        <v>188</v>
      </c>
      <c r="E1" s="2" t="s">
        <v>189</v>
      </c>
      <c r="F1" s="2" t="s">
        <v>574</v>
      </c>
      <c r="G1" s="2" t="s">
        <v>535</v>
      </c>
    </row>
    <row r="2" spans="1:7">
      <c r="A2" s="1">
        <v>2022</v>
      </c>
      <c r="B2" s="6">
        <v>793275718.83</v>
      </c>
      <c r="C2" s="7">
        <v>18190143.29</v>
      </c>
      <c r="D2" s="7">
        <v>20124772.21</v>
      </c>
      <c r="E2" s="7">
        <v>5235505.32</v>
      </c>
      <c r="F2" s="7">
        <f t="shared" ref="F2:F11" si="0">SUM(B2:E2)</f>
        <v>836826139.65</v>
      </c>
      <c r="G2" s="7">
        <v>1517900662.63</v>
      </c>
    </row>
    <row r="3" spans="1:7">
      <c r="A3" s="1">
        <v>2021</v>
      </c>
      <c r="B3" s="6">
        <v>710047422.15</v>
      </c>
      <c r="C3" s="7">
        <v>21310112.64</v>
      </c>
      <c r="D3" s="7">
        <v>12223515.71</v>
      </c>
      <c r="E3" s="7">
        <v>1402298.11</v>
      </c>
      <c r="F3" s="7">
        <f t="shared" si="0"/>
        <v>744983348.61</v>
      </c>
      <c r="G3" s="7">
        <v>1030736119.27</v>
      </c>
    </row>
    <row r="4" spans="1:7">
      <c r="A4" s="1">
        <v>2020</v>
      </c>
      <c r="B4" s="6">
        <v>565215760.69</v>
      </c>
      <c r="C4" s="7"/>
      <c r="D4" s="7">
        <v>8699435.14</v>
      </c>
      <c r="E4" s="7">
        <v>462696.63</v>
      </c>
      <c r="F4" s="7">
        <f t="shared" si="0"/>
        <v>574377892.46</v>
      </c>
      <c r="G4" s="7">
        <v>906995127.4</v>
      </c>
    </row>
    <row r="5" spans="1:7">
      <c r="A5" s="1">
        <v>2019</v>
      </c>
      <c r="B5" s="6">
        <v>472599948.68</v>
      </c>
      <c r="C5" s="7"/>
      <c r="D5" s="7">
        <v>5272757.31</v>
      </c>
      <c r="E5" s="7">
        <v>28985.8</v>
      </c>
      <c r="F5" s="7">
        <f t="shared" si="0"/>
        <v>477901691.79</v>
      </c>
      <c r="G5" s="7">
        <v>582632086.23</v>
      </c>
    </row>
    <row r="6" spans="1:7">
      <c r="A6" s="1">
        <v>2018</v>
      </c>
      <c r="B6" s="6">
        <v>436284025.86</v>
      </c>
      <c r="C6" s="7"/>
      <c r="D6" s="7">
        <v>6001172.07</v>
      </c>
      <c r="E6" s="7"/>
      <c r="F6" s="7">
        <f t="shared" si="0"/>
        <v>442285197.93</v>
      </c>
      <c r="G6" s="7">
        <v>223924954.49</v>
      </c>
    </row>
    <row r="7" spans="1:7">
      <c r="A7" s="1">
        <v>2017</v>
      </c>
      <c r="B7" s="6">
        <v>434994090.11</v>
      </c>
      <c r="C7" s="7"/>
      <c r="D7" s="7">
        <v>6344790.62</v>
      </c>
      <c r="E7" s="7"/>
      <c r="F7" s="7">
        <f t="shared" si="0"/>
        <v>441338880.73</v>
      </c>
      <c r="G7" s="7">
        <v>262027920.76</v>
      </c>
    </row>
    <row r="8" spans="1:7">
      <c r="A8" s="1">
        <v>2016</v>
      </c>
      <c r="B8" s="6">
        <v>374633731.41</v>
      </c>
      <c r="C8" s="7"/>
      <c r="D8" s="7">
        <v>5981549.76</v>
      </c>
      <c r="E8" s="7"/>
      <c r="F8" s="7">
        <f t="shared" si="0"/>
        <v>380615281.17</v>
      </c>
      <c r="G8" s="7">
        <v>788066840.33</v>
      </c>
    </row>
    <row r="9" spans="1:7">
      <c r="A9" s="1">
        <v>2015</v>
      </c>
      <c r="B9" s="6">
        <v>347206678.53</v>
      </c>
      <c r="C9" s="7"/>
      <c r="D9" s="7">
        <v>5818376.39</v>
      </c>
      <c r="E9" s="7"/>
      <c r="F9" s="7">
        <f t="shared" si="0"/>
        <v>353025054.92</v>
      </c>
      <c r="G9" s="7">
        <v>744281217.14</v>
      </c>
    </row>
    <row r="10" spans="1:7">
      <c r="A10" s="1">
        <v>2014</v>
      </c>
      <c r="B10" s="6">
        <v>278241476.55</v>
      </c>
      <c r="C10" s="7"/>
      <c r="D10" s="7">
        <v>3941422.94</v>
      </c>
      <c r="E10" s="7"/>
      <c r="F10" s="7">
        <f t="shared" si="0"/>
        <v>282182899.49</v>
      </c>
      <c r="G10" s="7">
        <v>881597421.73</v>
      </c>
    </row>
    <row r="11" spans="1:7">
      <c r="A11" s="1">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490</v>
      </c>
      <c r="B1" s="1" t="s">
        <v>148</v>
      </c>
      <c r="C1" s="1" t="s">
        <v>150</v>
      </c>
      <c r="D1" s="1"/>
      <c r="E1" s="1"/>
      <c r="F1" s="1"/>
      <c r="G1" s="1" t="s">
        <v>575</v>
      </c>
      <c r="H1" s="1" t="s">
        <v>64</v>
      </c>
      <c r="I1" t="s">
        <v>576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0"/>
  <sheetViews>
    <sheetView workbookViewId="0">
      <pane xSplit="2" ySplit="2" topLeftCell="K30" activePane="bottomRight" state="frozen"/>
      <selection/>
      <selection pane="topRight"/>
      <selection pane="bottomLeft"/>
      <selection pane="bottomRight" activeCell="C40" sqref="C40:C48"/>
    </sheetView>
  </sheetViews>
  <sheetFormatPr defaultColWidth="9.23076923076923" defaultRowHeight="16.8"/>
  <cols>
    <col min="1" max="1" width="5.375" style="1" customWidth="1"/>
    <col min="2" max="2" width="8.875" style="1" customWidth="1"/>
    <col min="3" max="4" width="23.625" style="48" customWidth="1"/>
    <col min="5" max="5" width="20.9230769230769" style="48" customWidth="1"/>
    <col min="6" max="6" width="23.625" style="48" customWidth="1"/>
    <col min="7" max="7" width="18.25" style="1"/>
    <col min="8" max="14" width="23.625" style="48" customWidth="1"/>
    <col min="15" max="15" width="28.4615384615385" style="86" customWidth="1"/>
    <col min="16" max="23" width="28.4615384615385" style="48" customWidth="1"/>
    <col min="24" max="24" width="23.625" style="11" customWidth="1"/>
    <col min="25" max="25" width="23.625" style="151" customWidth="1"/>
    <col min="26" max="26" width="28.4615384615385" style="48" customWidth="1"/>
    <col min="27" max="27" width="23.625" style="151" customWidth="1"/>
    <col min="28" max="31" width="23.625" style="11" customWidth="1"/>
    <col min="32" max="35" width="23.625" style="86" customWidth="1"/>
    <col min="36" max="56" width="23.625" style="11" customWidth="1"/>
    <col min="57" max="65" width="23.625" style="86" customWidth="1"/>
    <col min="66" max="66" width="23.625" style="151" customWidth="1"/>
    <col min="67" max="71" width="23.625" style="11" customWidth="1"/>
    <col min="72" max="81" width="23.625" style="86" customWidth="1"/>
    <col min="82" max="86" width="23.625" style="11" customWidth="1"/>
    <col min="87" max="96" width="23.625" style="86" customWidth="1"/>
    <col min="97" max="101" width="23.625" style="11" customWidth="1"/>
    <col min="102" max="104" width="23.625" style="86" customWidth="1"/>
    <col min="105" max="105" width="35.4134615384615" style="86" customWidth="1"/>
    <col min="106" max="130" width="23.625" style="86" customWidth="1"/>
    <col min="131" max="136" width="27.3076923076923" style="151" customWidth="1"/>
    <col min="137" max="142" width="27.3076923076923" style="11" customWidth="1"/>
    <col min="143" max="143" width="29.6923076923077" style="11" customWidth="1"/>
    <col min="144" max="144" width="20.9230769230769" style="86"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152" customWidth="1"/>
    <col min="156" max="156" width="10.3076923076923" style="1" customWidth="1"/>
    <col min="157" max="158" width="15.1538461538462" style="1" customWidth="1"/>
    <col min="159" max="159" width="10.6923076923077" style="1" customWidth="1"/>
    <col min="160" max="160" width="20" style="11" customWidth="1"/>
    <col min="161" max="161" width="19.8461538461538" style="86"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2" customWidth="1"/>
    <col min="172" max="172" width="11.6923076923077" style="152" customWidth="1"/>
    <col min="173" max="173" width="14.1538461538462" style="1" customWidth="1"/>
    <col min="174" max="175" width="15.1538461538462" style="11" customWidth="1"/>
    <col min="176" max="176" width="7.07692307692308" style="86" customWidth="1"/>
    <col min="177" max="177" width="19.8461538461538" style="86" customWidth="1"/>
    <col min="178" max="179" width="22.4615384615385" style="11" customWidth="1"/>
    <col min="180" max="180" width="19.8461538461538" style="5" customWidth="1"/>
    <col min="181" max="181" width="22.4615384615385" style="11" customWidth="1"/>
    <col min="182" max="182" width="27.3076923076923" style="11" customWidth="1"/>
    <col min="183" max="183" width="11.2307692307692" style="5" customWidth="1"/>
    <col min="184" max="184" width="11.6923076923077" style="5" customWidth="1"/>
    <col min="185" max="185" width="12.0769230769231" style="48" customWidth="1"/>
    <col min="186" max="186" width="15.1538461538462" style="11" customWidth="1"/>
    <col min="187" max="187" width="10.3076923076923" style="11" customWidth="1"/>
    <col min="188" max="188" width="6" customWidth="1"/>
    <col min="189" max="189" width="20.9230769230769" style="48" customWidth="1"/>
    <col min="190" max="190" width="22.4615384615385" customWidth="1"/>
    <col min="191" max="191" width="12.9230769230769" style="153"/>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2" t="s">
        <v>1</v>
      </c>
      <c r="B1" s="12" t="s">
        <v>0</v>
      </c>
      <c r="C1" s="53" t="s">
        <v>148</v>
      </c>
      <c r="D1" s="53" t="s">
        <v>149</v>
      </c>
      <c r="E1" s="53" t="s">
        <v>150</v>
      </c>
      <c r="F1" s="53" t="s">
        <v>151</v>
      </c>
      <c r="G1" s="12"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5" t="s">
        <v>159</v>
      </c>
      <c r="AC1" s="169" t="s">
        <v>160</v>
      </c>
      <c r="AD1" s="169"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66" t="s">
        <v>164</v>
      </c>
      <c r="BF1" s="166"/>
      <c r="BG1" s="166"/>
      <c r="BH1" s="166"/>
      <c r="BI1" s="166"/>
      <c r="BJ1" s="166" t="s">
        <v>165</v>
      </c>
      <c r="BK1" s="166"/>
      <c r="BL1" s="166"/>
      <c r="BM1" s="166"/>
      <c r="BN1" s="166"/>
      <c r="BO1" s="166" t="s">
        <v>166</v>
      </c>
      <c r="BP1" s="166"/>
      <c r="BQ1" s="166"/>
      <c r="BR1" s="166"/>
      <c r="BS1" s="35"/>
      <c r="BT1" s="166" t="s">
        <v>167</v>
      </c>
      <c r="BU1" s="166"/>
      <c r="BV1" s="166"/>
      <c r="BW1" s="166"/>
      <c r="BX1" s="166"/>
      <c r="BY1" s="166" t="s">
        <v>168</v>
      </c>
      <c r="BZ1" s="166"/>
      <c r="CA1" s="166"/>
      <c r="CB1" s="166"/>
      <c r="CC1" s="166"/>
      <c r="CD1" s="35" t="s">
        <v>169</v>
      </c>
      <c r="CE1" s="35"/>
      <c r="CF1" s="35"/>
      <c r="CG1" s="35"/>
      <c r="CH1" s="35"/>
      <c r="CI1" s="166" t="s">
        <v>170</v>
      </c>
      <c r="CJ1" s="166"/>
      <c r="CK1" s="166"/>
      <c r="CL1" s="166"/>
      <c r="CM1" s="166"/>
      <c r="CN1" s="166" t="s">
        <v>171</v>
      </c>
      <c r="CO1" s="166"/>
      <c r="CP1" s="166"/>
      <c r="CQ1" s="166"/>
      <c r="CR1" s="166"/>
      <c r="CS1" s="35" t="s">
        <v>172</v>
      </c>
      <c r="CT1" s="35"/>
      <c r="CU1" s="35"/>
      <c r="CV1" s="35"/>
      <c r="CW1" s="35"/>
      <c r="CX1" s="166"/>
      <c r="CY1" s="166"/>
      <c r="CZ1" s="166" t="s">
        <v>173</v>
      </c>
      <c r="DA1" s="166"/>
      <c r="DB1" s="166"/>
      <c r="DC1" s="166"/>
      <c r="DD1" s="166"/>
      <c r="DE1" s="166"/>
      <c r="DF1" s="166"/>
      <c r="DG1" s="166"/>
      <c r="DH1" s="166"/>
      <c r="DI1" s="166"/>
      <c r="DJ1" s="166"/>
      <c r="DK1" s="166"/>
      <c r="DL1" s="166"/>
      <c r="DM1" s="166"/>
      <c r="DN1" s="166"/>
      <c r="DO1" s="166"/>
      <c r="DP1" s="166"/>
      <c r="DQ1" s="166"/>
      <c r="DR1" s="166"/>
      <c r="DS1" s="166"/>
      <c r="DT1" s="166"/>
      <c r="DU1" s="166"/>
      <c r="DV1" s="166"/>
      <c r="DW1" s="166" t="s">
        <v>174</v>
      </c>
      <c r="DX1" s="166"/>
      <c r="DY1" s="166"/>
      <c r="DZ1" s="166"/>
      <c r="EA1" s="166"/>
      <c r="EB1" s="166" t="s">
        <v>175</v>
      </c>
      <c r="EC1" s="166"/>
      <c r="ED1" s="166"/>
      <c r="EE1" s="166"/>
      <c r="EF1" s="166"/>
      <c r="EG1" s="35" t="s">
        <v>176</v>
      </c>
      <c r="EH1" s="35"/>
      <c r="EI1" s="35"/>
      <c r="EJ1" s="35"/>
      <c r="EK1" s="35"/>
      <c r="EL1" s="35" t="s">
        <v>177</v>
      </c>
      <c r="EM1" s="35" t="s">
        <v>178</v>
      </c>
      <c r="EN1" s="53" t="s">
        <v>179</v>
      </c>
      <c r="EO1" s="53"/>
      <c r="EP1" s="53"/>
      <c r="EQ1" s="53"/>
      <c r="ER1" s="53"/>
      <c r="ES1" s="53"/>
      <c r="ET1" s="53"/>
      <c r="EU1" s="53"/>
      <c r="EV1" s="53"/>
      <c r="EW1" s="53"/>
      <c r="EX1" s="53"/>
      <c r="EY1" s="53"/>
      <c r="EZ1" s="53"/>
      <c r="FA1" s="53"/>
      <c r="FB1" s="53"/>
      <c r="FC1" s="53"/>
      <c r="FD1" s="53"/>
      <c r="FE1" s="53" t="s">
        <v>180</v>
      </c>
      <c r="FF1" s="35"/>
      <c r="FG1" s="35"/>
      <c r="FH1" s="35"/>
      <c r="FI1" s="35"/>
      <c r="FJ1" s="35"/>
      <c r="FK1" s="35"/>
      <c r="FL1" s="35"/>
      <c r="FM1" s="35"/>
      <c r="FN1" s="35"/>
      <c r="FO1" s="61"/>
      <c r="FP1" s="61"/>
      <c r="FQ1" s="53"/>
      <c r="FR1" s="35"/>
      <c r="FS1" s="35"/>
      <c r="FT1" s="53"/>
      <c r="FU1" s="53" t="s">
        <v>181</v>
      </c>
      <c r="FV1" s="35"/>
      <c r="FW1" s="35"/>
      <c r="FX1" s="53"/>
      <c r="FY1" s="35"/>
      <c r="FZ1" s="35"/>
      <c r="GA1" s="61"/>
      <c r="GB1" s="61"/>
      <c r="GC1" s="53"/>
      <c r="GD1" s="35"/>
      <c r="GE1" s="35"/>
      <c r="GF1" s="53"/>
      <c r="GG1" s="86" t="s">
        <v>182</v>
      </c>
      <c r="GH1" s="86"/>
      <c r="GI1" s="188"/>
      <c r="GJ1" s="86"/>
      <c r="GK1" s="86"/>
      <c r="GL1" s="86"/>
      <c r="GM1" s="86"/>
      <c r="GN1" s="86"/>
      <c r="GO1" s="86"/>
      <c r="GP1" s="86"/>
      <c r="GQ1" s="86"/>
      <c r="GR1" s="86"/>
      <c r="GS1" s="53"/>
      <c r="GT1" s="56" t="s">
        <v>183</v>
      </c>
      <c r="GU1" s="68"/>
      <c r="GV1" s="12" t="s">
        <v>184</v>
      </c>
      <c r="GW1" s="12"/>
      <c r="GX1" s="68"/>
    </row>
    <row r="2" ht="51" spans="1:206">
      <c r="A2" s="12"/>
      <c r="B2" s="12"/>
      <c r="C2" s="53"/>
      <c r="D2" s="53"/>
      <c r="E2" s="53"/>
      <c r="F2" s="53"/>
      <c r="G2" s="12"/>
      <c r="H2" s="53"/>
      <c r="I2" s="53"/>
      <c r="J2" s="53"/>
      <c r="K2" s="53"/>
      <c r="L2" s="53"/>
      <c r="M2" s="53"/>
      <c r="N2" s="53"/>
      <c r="O2" s="160" t="s">
        <v>185</v>
      </c>
      <c r="P2" s="160" t="s">
        <v>186</v>
      </c>
      <c r="Q2" s="160" t="s">
        <v>187</v>
      </c>
      <c r="R2" s="160" t="s">
        <v>188</v>
      </c>
      <c r="S2" s="160" t="s">
        <v>189</v>
      </c>
      <c r="T2" s="160" t="s">
        <v>190</v>
      </c>
      <c r="U2" s="160" t="s">
        <v>191</v>
      </c>
      <c r="V2" s="160" t="s">
        <v>192</v>
      </c>
      <c r="W2" s="160" t="s">
        <v>193</v>
      </c>
      <c r="X2" s="146" t="s">
        <v>194</v>
      </c>
      <c r="Y2" s="164" t="s">
        <v>190</v>
      </c>
      <c r="Z2" s="53"/>
      <c r="AA2" s="53"/>
      <c r="AB2" s="35"/>
      <c r="AC2" s="169"/>
      <c r="AD2" s="169" t="s">
        <v>195</v>
      </c>
      <c r="AE2" s="35" t="s">
        <v>150</v>
      </c>
      <c r="AF2" s="53" t="s">
        <v>151</v>
      </c>
      <c r="AG2" s="53" t="s">
        <v>152</v>
      </c>
      <c r="AH2" s="53" t="s">
        <v>153</v>
      </c>
      <c r="AI2" s="53" t="s">
        <v>154</v>
      </c>
      <c r="AJ2" s="53" t="s">
        <v>69</v>
      </c>
      <c r="AK2" s="35" t="s">
        <v>64</v>
      </c>
      <c r="AL2" s="35" t="s">
        <v>66</v>
      </c>
      <c r="AM2" s="35" t="s">
        <v>32</v>
      </c>
      <c r="AN2" s="35" t="s">
        <v>150</v>
      </c>
      <c r="AO2" s="53" t="s">
        <v>151</v>
      </c>
      <c r="AP2" s="53" t="s">
        <v>152</v>
      </c>
      <c r="AQ2" s="53" t="s">
        <v>153</v>
      </c>
      <c r="AR2" s="53" t="s">
        <v>154</v>
      </c>
      <c r="AS2" s="53" t="s">
        <v>69</v>
      </c>
      <c r="AT2" s="35" t="s">
        <v>148</v>
      </c>
      <c r="AU2" s="35" t="s">
        <v>196</v>
      </c>
      <c r="AV2" s="35" t="s">
        <v>150</v>
      </c>
      <c r="AW2" s="35" t="s">
        <v>151</v>
      </c>
      <c r="AX2" s="35" t="s">
        <v>152</v>
      </c>
      <c r="AY2" s="35" t="s">
        <v>153</v>
      </c>
      <c r="AZ2" s="35" t="s">
        <v>154</v>
      </c>
      <c r="BA2" s="53" t="s">
        <v>69</v>
      </c>
      <c r="BB2" s="35" t="s">
        <v>64</v>
      </c>
      <c r="BC2" s="35" t="s">
        <v>66</v>
      </c>
      <c r="BD2" s="35" t="s">
        <v>32</v>
      </c>
      <c r="BE2" s="53" t="s">
        <v>197</v>
      </c>
      <c r="BF2" s="53" t="s">
        <v>198</v>
      </c>
      <c r="BG2" s="160" t="s">
        <v>199</v>
      </c>
      <c r="BH2" s="53" t="s">
        <v>200</v>
      </c>
      <c r="BI2" s="53" t="s">
        <v>190</v>
      </c>
      <c r="BJ2" s="53" t="s">
        <v>197</v>
      </c>
      <c r="BK2" s="53" t="s">
        <v>198</v>
      </c>
      <c r="BL2" s="160" t="s">
        <v>199</v>
      </c>
      <c r="BM2" s="53" t="s">
        <v>200</v>
      </c>
      <c r="BN2" s="53" t="s">
        <v>190</v>
      </c>
      <c r="BO2" s="35" t="s">
        <v>197</v>
      </c>
      <c r="BP2" s="35" t="s">
        <v>198</v>
      </c>
      <c r="BQ2" s="146" t="s">
        <v>199</v>
      </c>
      <c r="BR2" s="35" t="s">
        <v>200</v>
      </c>
      <c r="BS2" s="35" t="s">
        <v>190</v>
      </c>
      <c r="BT2" s="53" t="s">
        <v>197</v>
      </c>
      <c r="BU2" s="53" t="s">
        <v>198</v>
      </c>
      <c r="BV2" s="160" t="s">
        <v>201</v>
      </c>
      <c r="BW2" s="53" t="s">
        <v>200</v>
      </c>
      <c r="BX2" s="53" t="s">
        <v>190</v>
      </c>
      <c r="BY2" s="53" t="s">
        <v>197</v>
      </c>
      <c r="BZ2" s="53" t="s">
        <v>198</v>
      </c>
      <c r="CA2" s="160" t="s">
        <v>201</v>
      </c>
      <c r="CB2" s="53" t="s">
        <v>200</v>
      </c>
      <c r="CC2" s="53" t="s">
        <v>190</v>
      </c>
      <c r="CD2" s="35" t="s">
        <v>197</v>
      </c>
      <c r="CE2" s="35" t="s">
        <v>198</v>
      </c>
      <c r="CF2" s="146" t="s">
        <v>201</v>
      </c>
      <c r="CG2" s="35" t="s">
        <v>200</v>
      </c>
      <c r="CH2" s="35" t="s">
        <v>190</v>
      </c>
      <c r="CI2" s="53" t="s">
        <v>197</v>
      </c>
      <c r="CJ2" s="53" t="s">
        <v>198</v>
      </c>
      <c r="CK2" s="160" t="s">
        <v>201</v>
      </c>
      <c r="CL2" s="53" t="s">
        <v>200</v>
      </c>
      <c r="CM2" s="53" t="s">
        <v>190</v>
      </c>
      <c r="CN2" s="53" t="s">
        <v>197</v>
      </c>
      <c r="CO2" s="53" t="s">
        <v>198</v>
      </c>
      <c r="CP2" s="160" t="s">
        <v>201</v>
      </c>
      <c r="CQ2" s="53" t="s">
        <v>200</v>
      </c>
      <c r="CR2" s="53" t="s">
        <v>190</v>
      </c>
      <c r="CS2" s="35" t="s">
        <v>197</v>
      </c>
      <c r="CT2" s="35" t="s">
        <v>198</v>
      </c>
      <c r="CU2" s="146" t="s">
        <v>201</v>
      </c>
      <c r="CV2" s="35" t="s">
        <v>200</v>
      </c>
      <c r="CW2" s="35" t="s">
        <v>190</v>
      </c>
      <c r="CX2" s="53" t="s">
        <v>202</v>
      </c>
      <c r="CY2" s="53" t="s">
        <v>203</v>
      </c>
      <c r="CZ2" s="175" t="s">
        <v>204</v>
      </c>
      <c r="DA2" s="176" t="s">
        <v>205</v>
      </c>
      <c r="DB2" s="177" t="s">
        <v>206</v>
      </c>
      <c r="DC2" s="177" t="s">
        <v>207</v>
      </c>
      <c r="DD2" s="177" t="s">
        <v>208</v>
      </c>
      <c r="DE2" s="177" t="s">
        <v>209</v>
      </c>
      <c r="DF2" s="178" t="s">
        <v>210</v>
      </c>
      <c r="DG2" s="178" t="s">
        <v>211</v>
      </c>
      <c r="DH2" s="178" t="s">
        <v>212</v>
      </c>
      <c r="DI2" s="160" t="s">
        <v>213</v>
      </c>
      <c r="DJ2" s="160" t="s">
        <v>214</v>
      </c>
      <c r="DK2" s="160" t="s">
        <v>215</v>
      </c>
      <c r="DL2" s="160" t="s">
        <v>216</v>
      </c>
      <c r="DM2" s="160" t="s">
        <v>217</v>
      </c>
      <c r="DN2" s="160" t="s">
        <v>218</v>
      </c>
      <c r="DO2" s="160" t="s">
        <v>219</v>
      </c>
      <c r="DP2" s="160" t="s">
        <v>220</v>
      </c>
      <c r="DQ2" s="160" t="s">
        <v>221</v>
      </c>
      <c r="DR2" s="160" t="s">
        <v>222</v>
      </c>
      <c r="DS2" s="160" t="s">
        <v>223</v>
      </c>
      <c r="DT2" s="160" t="s">
        <v>224</v>
      </c>
      <c r="DU2" s="53" t="s">
        <v>225</v>
      </c>
      <c r="DV2" s="53" t="s">
        <v>190</v>
      </c>
      <c r="DW2" s="53" t="s">
        <v>226</v>
      </c>
      <c r="DX2" s="53" t="s">
        <v>227</v>
      </c>
      <c r="DY2" s="53" t="s">
        <v>228</v>
      </c>
      <c r="DZ2" s="53" t="s">
        <v>229</v>
      </c>
      <c r="EA2" s="166" t="s">
        <v>190</v>
      </c>
      <c r="EB2" s="53" t="s">
        <v>226</v>
      </c>
      <c r="EC2" s="53" t="s">
        <v>227</v>
      </c>
      <c r="ED2" s="53" t="s">
        <v>228</v>
      </c>
      <c r="EE2" s="53" t="s">
        <v>229</v>
      </c>
      <c r="EF2" s="166" t="s">
        <v>190</v>
      </c>
      <c r="EG2" s="53" t="s">
        <v>226</v>
      </c>
      <c r="EH2" s="53" t="s">
        <v>227</v>
      </c>
      <c r="EI2" s="53" t="s">
        <v>228</v>
      </c>
      <c r="EJ2" s="53" t="s">
        <v>229</v>
      </c>
      <c r="EK2" s="166" t="s">
        <v>190</v>
      </c>
      <c r="EL2" s="35"/>
      <c r="EM2" s="35"/>
      <c r="EN2" s="53" t="s">
        <v>148</v>
      </c>
      <c r="EO2" s="179" t="s">
        <v>230</v>
      </c>
      <c r="EP2" s="35" t="s">
        <v>231</v>
      </c>
      <c r="EQ2" s="53" t="s">
        <v>150</v>
      </c>
      <c r="ER2" s="179" t="s">
        <v>232</v>
      </c>
      <c r="ES2" s="179" t="s">
        <v>233</v>
      </c>
      <c r="ET2" s="35" t="s">
        <v>226</v>
      </c>
      <c r="EU2" s="35" t="s">
        <v>227</v>
      </c>
      <c r="EV2" s="35" t="s">
        <v>228</v>
      </c>
      <c r="EW2" s="35" t="s">
        <v>229</v>
      </c>
      <c r="EX2" s="181" t="s">
        <v>234</v>
      </c>
      <c r="EY2" s="181" t="s">
        <v>235</v>
      </c>
      <c r="EZ2" s="182" t="s">
        <v>236</v>
      </c>
      <c r="FA2" s="182" t="s">
        <v>237</v>
      </c>
      <c r="FB2" s="182" t="s">
        <v>238</v>
      </c>
      <c r="FC2" s="182" t="s">
        <v>239</v>
      </c>
      <c r="FD2" s="35" t="s">
        <v>240</v>
      </c>
      <c r="FE2" s="53" t="s">
        <v>148</v>
      </c>
      <c r="FF2" s="35" t="s">
        <v>230</v>
      </c>
      <c r="FG2" s="35" t="s">
        <v>163</v>
      </c>
      <c r="FH2" s="53" t="s">
        <v>150</v>
      </c>
      <c r="FI2" s="35" t="s">
        <v>232</v>
      </c>
      <c r="FJ2" s="35" t="s">
        <v>233</v>
      </c>
      <c r="FK2" s="35" t="s">
        <v>226</v>
      </c>
      <c r="FL2" s="35" t="s">
        <v>227</v>
      </c>
      <c r="FM2" s="35" t="s">
        <v>228</v>
      </c>
      <c r="FN2" s="35" t="s">
        <v>229</v>
      </c>
      <c r="FO2" s="61" t="s">
        <v>241</v>
      </c>
      <c r="FP2" s="61" t="s">
        <v>235</v>
      </c>
      <c r="FQ2" s="12" t="s">
        <v>242</v>
      </c>
      <c r="FR2" s="35" t="s">
        <v>237</v>
      </c>
      <c r="FS2" s="35" t="s">
        <v>238</v>
      </c>
      <c r="FT2" s="53" t="s">
        <v>239</v>
      </c>
      <c r="FU2" s="53" t="s">
        <v>148</v>
      </c>
      <c r="FV2" s="35" t="s">
        <v>230</v>
      </c>
      <c r="FW2" s="35" t="s">
        <v>163</v>
      </c>
      <c r="FX2" s="53" t="s">
        <v>150</v>
      </c>
      <c r="FY2" s="35" t="s">
        <v>232</v>
      </c>
      <c r="FZ2" s="35" t="s">
        <v>233</v>
      </c>
      <c r="GA2" s="61" t="s">
        <v>241</v>
      </c>
      <c r="GB2" s="61" t="s">
        <v>235</v>
      </c>
      <c r="GC2" s="53" t="s">
        <v>236</v>
      </c>
      <c r="GD2" s="35" t="s">
        <v>237</v>
      </c>
      <c r="GE2" s="35" t="s">
        <v>243</v>
      </c>
      <c r="GF2" s="12" t="s">
        <v>239</v>
      </c>
      <c r="GG2" s="53" t="s">
        <v>148</v>
      </c>
      <c r="GH2" s="35" t="s">
        <v>230</v>
      </c>
      <c r="GI2" s="189" t="s">
        <v>163</v>
      </c>
      <c r="GJ2" s="53" t="s">
        <v>150</v>
      </c>
      <c r="GK2" s="35" t="s">
        <v>232</v>
      </c>
      <c r="GL2" s="35" t="s">
        <v>233</v>
      </c>
      <c r="GM2" s="61" t="s">
        <v>241</v>
      </c>
      <c r="GN2" s="61" t="s">
        <v>235</v>
      </c>
      <c r="GO2" s="53" t="s">
        <v>236</v>
      </c>
      <c r="GP2" s="35" t="s">
        <v>237</v>
      </c>
      <c r="GQ2" s="35" t="s">
        <v>243</v>
      </c>
      <c r="GR2" s="12" t="s">
        <v>239</v>
      </c>
      <c r="GS2" s="12" t="s">
        <v>244</v>
      </c>
      <c r="GT2" s="193"/>
      <c r="GU2" s="12" t="s">
        <v>245</v>
      </c>
      <c r="GV2" s="12" t="s">
        <v>246</v>
      </c>
      <c r="GW2" s="68" t="s">
        <v>247</v>
      </c>
      <c r="GX2" s="12" t="s">
        <v>248</v>
      </c>
    </row>
    <row r="3" spans="1:206">
      <c r="A3" s="12">
        <v>2022</v>
      </c>
      <c r="B3" s="27" t="s">
        <v>113</v>
      </c>
      <c r="C3" s="52">
        <v>25609651543.29</v>
      </c>
      <c r="D3" s="52">
        <v>18517973318.04</v>
      </c>
      <c r="E3" s="53">
        <v>16471824416.06</v>
      </c>
      <c r="F3" s="53">
        <v>207194179.94</v>
      </c>
      <c r="G3" s="90">
        <v>1378053856.94</v>
      </c>
      <c r="H3" s="53">
        <v>441740962.78</v>
      </c>
      <c r="I3" s="53">
        <v>751338973.38</v>
      </c>
      <c r="J3" s="53">
        <v>-732179071.06</v>
      </c>
      <c r="K3" s="53">
        <v>7352280924.22</v>
      </c>
      <c r="L3" s="53">
        <v>7364206015.29</v>
      </c>
      <c r="M3" s="53">
        <v>1161039435.23</v>
      </c>
      <c r="N3" s="53">
        <v>6203166580.06</v>
      </c>
      <c r="O3" s="53">
        <v>793275718.83</v>
      </c>
      <c r="P3" s="53">
        <v>365379.75</v>
      </c>
      <c r="Q3" s="53">
        <v>18190143.29</v>
      </c>
      <c r="R3" s="53">
        <v>20124772.21</v>
      </c>
      <c r="S3" s="53">
        <v>5235505.32</v>
      </c>
      <c r="T3" s="53">
        <f>SUM(O3:S3)</f>
        <v>837191519.4</v>
      </c>
      <c r="U3" s="53">
        <v>1517900662.63</v>
      </c>
      <c r="V3" s="53">
        <v>15690050000</v>
      </c>
      <c r="W3" s="53">
        <v>94500062.04</v>
      </c>
      <c r="X3" s="35"/>
      <c r="Y3" s="165">
        <f>U3+W3</f>
        <v>1612400724.67</v>
      </c>
      <c r="Z3" s="53">
        <f>N3+T3</f>
        <v>7040358099.46</v>
      </c>
      <c r="AA3" s="166">
        <f>Z3-Y16</f>
        <v>6253994132.97455</v>
      </c>
      <c r="AB3" s="35">
        <f t="shared" ref="AB3:AB12" si="0">(AA3-AA4)/AA4</f>
        <v>-0.156787927647609</v>
      </c>
      <c r="AC3" s="170">
        <f>AA3*1.15</f>
        <v>7192093252.92073</v>
      </c>
      <c r="AD3" s="169">
        <f>D3/C3</f>
        <v>0.723085719723192</v>
      </c>
      <c r="AE3" s="35">
        <f>E3/$C3</f>
        <v>0.64318815069453</v>
      </c>
      <c r="AF3" s="35">
        <f>F3/$C3</f>
        <v>0.00809047243730605</v>
      </c>
      <c r="AG3" s="35">
        <f>G3/$C3</f>
        <v>0.0538099417171127</v>
      </c>
      <c r="AH3" s="35">
        <f>H3/$C3</f>
        <v>0.0172490032530623</v>
      </c>
      <c r="AI3" s="35">
        <f>I3/$C3</f>
        <v>0.0293381177838345</v>
      </c>
      <c r="AJ3" s="35">
        <f>J3/$C3</f>
        <v>-0.0285899661626532</v>
      </c>
      <c r="AK3" s="35">
        <f>K3/C3</f>
        <v>0.287090236733282</v>
      </c>
      <c r="AL3" s="35">
        <f>L3/C3</f>
        <v>0.287555885047546</v>
      </c>
      <c r="AM3" s="35">
        <f>N3/C3</f>
        <v>0.242219874392836</v>
      </c>
      <c r="AN3" s="35">
        <f>E3/D3</f>
        <v>0.88950470622038</v>
      </c>
      <c r="AO3" s="35">
        <f>F3/D3</f>
        <v>0.0111888151247174</v>
      </c>
      <c r="AP3" s="35">
        <f>G3/D3</f>
        <v>0.0744170991756163</v>
      </c>
      <c r="AQ3" s="35">
        <f>H3/D3</f>
        <v>0.023854714292609</v>
      </c>
      <c r="AR3" s="35">
        <f>I3/D3</f>
        <v>0.0405734990798401</v>
      </c>
      <c r="AS3" s="35">
        <f>J3/D3</f>
        <v>-0.0395388338931626</v>
      </c>
      <c r="AT3" s="35">
        <f t="shared" ref="AT3:AZ3" si="1">(C3-C4)/C4</f>
        <v>0.0242209145696001</v>
      </c>
      <c r="AU3" s="35">
        <f t="shared" si="1"/>
        <v>0.0585464131346941</v>
      </c>
      <c r="AV3" s="35">
        <f t="shared" si="1"/>
        <v>0.0740025201272489</v>
      </c>
      <c r="AW3" s="35">
        <f t="shared" si="1"/>
        <v>-0.0507000234115175</v>
      </c>
      <c r="AX3" s="35">
        <f t="shared" si="1"/>
        <v>0.0155752623802293</v>
      </c>
      <c r="AY3" s="35">
        <f t="shared" si="1"/>
        <v>0.121069018625949</v>
      </c>
      <c r="AZ3" s="35">
        <f t="shared" si="1"/>
        <v>-0.0266617479626565</v>
      </c>
      <c r="BA3" s="35"/>
      <c r="BB3" s="35">
        <f>(K3-K4)/K4</f>
        <v>-0.0598610323232816</v>
      </c>
      <c r="BC3" s="35">
        <f>(L3-L4)/L4</f>
        <v>-0.0583747828962066</v>
      </c>
      <c r="BD3" s="35">
        <f>(N3-N4)/N4</f>
        <v>-0.0701950107999122</v>
      </c>
      <c r="BE3" s="166">
        <v>5980660603.16</v>
      </c>
      <c r="BF3" s="166">
        <v>2751064360.38</v>
      </c>
      <c r="BG3" s="166">
        <v>22602015.28</v>
      </c>
      <c r="BH3" s="166">
        <v>8947935.22</v>
      </c>
      <c r="BI3" s="166">
        <f>SUM(BE3:BH3)</f>
        <v>8763274914.04</v>
      </c>
      <c r="BJ3" s="166">
        <f>BE3-BE4</f>
        <v>754076704.52</v>
      </c>
      <c r="BK3" s="166">
        <f>BF3-BF4</f>
        <v>605287820.91</v>
      </c>
      <c r="BL3" s="166">
        <f>BG3-BG4</f>
        <v>12218887.13</v>
      </c>
      <c r="BM3" s="166">
        <f>BH3-BH4</f>
        <v>3361928.29</v>
      </c>
      <c r="BN3" s="166">
        <f>BI3-BI4</f>
        <v>1374945340.85</v>
      </c>
      <c r="BO3" s="37">
        <f>(BE3-BE4)/BE4</f>
        <v>0.144277164424016</v>
      </c>
      <c r="BP3" s="37">
        <f>(BF3-BF4)/BF4</f>
        <v>0.282083343617646</v>
      </c>
      <c r="BQ3" s="37">
        <f>(BG3-BG4)/BG4</f>
        <v>1.17680211141379</v>
      </c>
      <c r="BR3" s="37">
        <f>(BH3-BH4)/BH4</f>
        <v>0.601848213245951</v>
      </c>
      <c r="BS3" s="37">
        <f>(BI3-BI4)/BI4</f>
        <v>0.186096915037366</v>
      </c>
      <c r="BT3" s="166">
        <v>3603555649.27</v>
      </c>
      <c r="BU3" s="166">
        <v>935467464.43</v>
      </c>
      <c r="BV3" s="166">
        <v>12077489.04</v>
      </c>
      <c r="BW3" s="166">
        <v>5393591.43</v>
      </c>
      <c r="BX3" s="166">
        <f t="shared" ref="BX3:BX12" si="2">SUM(BT3:BW3)</f>
        <v>4556494194.17</v>
      </c>
      <c r="BY3" s="166">
        <f>BT3-BT4</f>
        <v>641576739.78</v>
      </c>
      <c r="BZ3" s="166">
        <f>BU3-BU4</f>
        <v>133110051.17</v>
      </c>
      <c r="CA3" s="166">
        <f>BV3-BV4</f>
        <v>6588672.59</v>
      </c>
      <c r="CB3" s="166">
        <f>BW3-BW4</f>
        <v>1111801.73</v>
      </c>
      <c r="CC3" s="166">
        <f>BX3-BX4</f>
        <v>782387265.27</v>
      </c>
      <c r="CD3" s="37">
        <f>(BT3-BT4)/BT4</f>
        <v>0.21660408780239</v>
      </c>
      <c r="CE3" s="35">
        <f>(BU3-BU4)/BU4</f>
        <v>0.1658986992208</v>
      </c>
      <c r="CF3" s="37">
        <f>(BV3-BV4)/BV4</f>
        <v>1.20038129349361</v>
      </c>
      <c r="CG3" s="37">
        <f>(BW3-BW4)/BW4</f>
        <v>0.259658182184893</v>
      </c>
      <c r="CH3" s="37">
        <f>(BX3-BX4)/BX4</f>
        <v>0.207303947664788</v>
      </c>
      <c r="CI3" s="166">
        <f t="shared" ref="CI3:CI12" si="3">BE3-BT3</f>
        <v>2377104953.89</v>
      </c>
      <c r="CJ3" s="166">
        <f t="shared" ref="CJ3:CJ12" si="4">BF3-BU3</f>
        <v>1815596895.95</v>
      </c>
      <c r="CK3" s="166">
        <f t="shared" ref="CK3:CK12" si="5">BG3-BV3</f>
        <v>10524526.24</v>
      </c>
      <c r="CL3" s="166">
        <f t="shared" ref="CL3:CL12" si="6">BH3-BW3</f>
        <v>3554343.79</v>
      </c>
      <c r="CM3" s="166">
        <f>SUM(CI3:CL3)</f>
        <v>4206780719.87</v>
      </c>
      <c r="CN3" s="166">
        <f>CI3-CI4</f>
        <v>112499964.739999</v>
      </c>
      <c r="CO3" s="166">
        <f>CJ3-CJ4</f>
        <v>472177769.74</v>
      </c>
      <c r="CP3" s="166">
        <f>CK3-CK4</f>
        <v>5630214.54</v>
      </c>
      <c r="CQ3" s="166">
        <f>CL3-CL4</f>
        <v>2250126.56</v>
      </c>
      <c r="CR3" s="166">
        <f>CM3-CM4</f>
        <v>592558075.579999</v>
      </c>
      <c r="CS3" s="35">
        <f>(CI3-CI4)/CI4</f>
        <v>0.0496775222517836</v>
      </c>
      <c r="CT3" s="35">
        <f>(CJ3-CJ4)/CJ4</f>
        <v>0.351474651899656</v>
      </c>
      <c r="CU3" s="35">
        <f>(CK3-CK4)/CK4</f>
        <v>1.15035880121816</v>
      </c>
      <c r="CV3" s="35">
        <f>(CL3-CL4)/CL4</f>
        <v>1.72526976966866</v>
      </c>
      <c r="CW3" s="37">
        <f>(CM3-CM4)/CM4</f>
        <v>0.163951735656397</v>
      </c>
      <c r="CX3" s="166"/>
      <c r="CY3" s="166"/>
      <c r="CZ3" s="166">
        <v>76225251.89</v>
      </c>
      <c r="DA3" s="166">
        <v>49299031.05</v>
      </c>
      <c r="DB3" s="166">
        <v>10972060.55</v>
      </c>
      <c r="DC3" s="166">
        <v>2117724.44</v>
      </c>
      <c r="DD3" s="166">
        <v>4420632.02</v>
      </c>
      <c r="DE3" s="166">
        <v>76142210.44</v>
      </c>
      <c r="DF3" s="166"/>
      <c r="DG3" s="166"/>
      <c r="DH3" s="166"/>
      <c r="DI3" s="166">
        <v>55359446.87</v>
      </c>
      <c r="DJ3" s="166">
        <v>50432359.04</v>
      </c>
      <c r="DK3" s="166"/>
      <c r="DL3" s="166"/>
      <c r="DM3" s="166"/>
      <c r="DN3" s="166"/>
      <c r="DO3" s="166"/>
      <c r="DP3" s="166"/>
      <c r="DQ3" s="166"/>
      <c r="DR3" s="166"/>
      <c r="DS3" s="166">
        <v>620992602.63</v>
      </c>
      <c r="DT3" s="166"/>
      <c r="DU3" s="166">
        <v>233916949.84</v>
      </c>
      <c r="DV3" s="166">
        <f t="shared" ref="DV3:DV12" si="7">SUM(CX3:DU3)</f>
        <v>1179878268.77</v>
      </c>
      <c r="DW3" s="166">
        <v>12554845406.05</v>
      </c>
      <c r="DX3" s="166">
        <v>1234018760.73</v>
      </c>
      <c r="DY3" s="166">
        <v>416943079.69</v>
      </c>
      <c r="DZ3" s="166">
        <v>757336449.14</v>
      </c>
      <c r="EA3" s="166">
        <f t="shared" ref="EA3:EA12" si="8">SUM(DW3:DZ3)</f>
        <v>14963143695.61</v>
      </c>
      <c r="EB3" s="166">
        <f>DW3-DW4</f>
        <v>513031635.33</v>
      </c>
      <c r="EC3" s="166">
        <f>DX3-DX4</f>
        <v>129990958.2</v>
      </c>
      <c r="ED3" s="166">
        <f>DY3-DY4</f>
        <v>78325092.23</v>
      </c>
      <c r="EE3" s="166">
        <f>DZ3-DZ4</f>
        <v>32703274.89</v>
      </c>
      <c r="EF3" s="166">
        <f>EA3-EA4</f>
        <v>754050960.65</v>
      </c>
      <c r="EG3" s="35">
        <f>(DW3-DW4)/DW4</f>
        <v>0.0426041828164998</v>
      </c>
      <c r="EH3" s="35">
        <f>(DX3-DX4)/DX4</f>
        <v>0.11774246799049</v>
      </c>
      <c r="EI3" s="37">
        <f>(DY3-DY4)/DY4</f>
        <v>0.231308126356555</v>
      </c>
      <c r="EJ3" s="35">
        <f>(DZ3-DZ4)/DZ4</f>
        <v>0.0451308000407904</v>
      </c>
      <c r="EK3" s="35">
        <f>(EA3-EA4)/EA4</f>
        <v>0.0530681989846358</v>
      </c>
      <c r="EL3" s="35">
        <f>M3/L3</f>
        <v>0.157659825488231</v>
      </c>
      <c r="EM3" s="35">
        <f t="shared" ref="EM3:EM13" si="9">M3/K3</f>
        <v>0.157915543107893</v>
      </c>
      <c r="EN3" s="53">
        <v>13861182323.73</v>
      </c>
      <c r="EO3" s="35">
        <f t="shared" ref="EO3:EO15" si="10">EN3/C3</f>
        <v>0.541248376624702</v>
      </c>
      <c r="EP3" s="35">
        <f t="shared" ref="EP3:EP14" si="11">(EN3-EN4)/EN4</f>
        <v>-0.0230420464975018</v>
      </c>
      <c r="EQ3" s="53">
        <v>8277124315.29</v>
      </c>
      <c r="ER3" s="35">
        <f>EQ3/E3</f>
        <v>0.502501975872194</v>
      </c>
      <c r="ES3" s="35">
        <f>EQ3/EN3</f>
        <v>0.597144177313054</v>
      </c>
      <c r="ET3" s="35"/>
      <c r="EU3" s="35"/>
      <c r="EV3" s="35"/>
      <c r="EW3" s="35"/>
      <c r="EX3" s="61">
        <v>2502658</v>
      </c>
      <c r="EY3" s="61">
        <v>2468667</v>
      </c>
      <c r="EZ3" s="90">
        <f t="shared" ref="EZ3:EZ9" si="12">EN3/EX3</f>
        <v>5538.58430665716</v>
      </c>
      <c r="FA3" s="35">
        <f t="shared" ref="FA3:FA8" si="13">(EZ3-EZ4)/EZ4</f>
        <v>0.0384893415159133</v>
      </c>
      <c r="FB3" s="35">
        <f t="shared" ref="FB3:FB9" si="14">(EX3-EX4)/EX4</f>
        <v>-0.0592508613748467</v>
      </c>
      <c r="FC3" s="90">
        <v>55865</v>
      </c>
      <c r="FD3" s="35">
        <f t="shared" ref="FD3:FD9" si="15">FC3/EX3</f>
        <v>0.022322266965762</v>
      </c>
      <c r="FE3" s="53">
        <v>4416534600.86</v>
      </c>
      <c r="FF3" s="35">
        <f t="shared" ref="FF3:FF15" si="16">FE3/C3</f>
        <v>0.172455864672519</v>
      </c>
      <c r="FG3" s="35">
        <f t="shared" ref="FG3:FG14" si="17">(FE3-FE4)/FE4</f>
        <v>-0.0253730858065664</v>
      </c>
      <c r="FH3" s="52">
        <v>2930274011.71</v>
      </c>
      <c r="FI3" s="35">
        <f>FH3/E3</f>
        <v>0.17789614178093</v>
      </c>
      <c r="FJ3" s="35">
        <f>FH3/FE3</f>
        <v>0.663478105920286</v>
      </c>
      <c r="FK3" s="35"/>
      <c r="FL3" s="35"/>
      <c r="FM3" s="35"/>
      <c r="FN3" s="35"/>
      <c r="FO3" s="61">
        <v>877936</v>
      </c>
      <c r="FP3" s="66">
        <v>867822</v>
      </c>
      <c r="FQ3" s="90">
        <f t="shared" ref="FQ3:FQ9" si="18">FE3/FO3</f>
        <v>5030.58833543675</v>
      </c>
      <c r="FR3" s="35">
        <f t="shared" ref="FR3:FR8" si="19">(FQ3-FQ4)/FQ4</f>
        <v>0.0672531942862395</v>
      </c>
      <c r="FS3" s="35">
        <f t="shared" ref="FS3:FS9" si="20">(FO3-FO4)/FO4</f>
        <v>-0.0867894147224854</v>
      </c>
      <c r="FT3" s="53"/>
      <c r="FU3" s="53">
        <v>2584008717.63</v>
      </c>
      <c r="FV3" s="35">
        <f t="shared" ref="FV3:FV15" si="21">FU3/C3</f>
        <v>0.100899799954796</v>
      </c>
      <c r="FW3" s="38">
        <f>(FU3-FU4)/FU4</f>
        <v>-0.0306988987809557</v>
      </c>
      <c r="FX3" s="52">
        <v>1620613207.54</v>
      </c>
      <c r="FY3" s="35">
        <f>FX3/E3</f>
        <v>0.0983869889943645</v>
      </c>
      <c r="FZ3" s="35">
        <f>FX3/FU3</f>
        <v>0.62717017805822</v>
      </c>
      <c r="GA3" s="66">
        <v>284712</v>
      </c>
      <c r="GB3" s="66"/>
      <c r="GC3" s="52">
        <f t="shared" ref="GC3:GC9" si="22">FU3/GA3</f>
        <v>9075.86865896063</v>
      </c>
      <c r="GD3" s="35">
        <f t="shared" ref="GD3:GD8" si="23">(GC3-GC4)/GC4</f>
        <v>0.0538722069517929</v>
      </c>
      <c r="GE3" s="35">
        <f t="shared" ref="GE3:GE9" si="24">(GA3-GA4)/GA4</f>
        <v>-0.0802479704606319</v>
      </c>
      <c r="GF3" s="68"/>
      <c r="GG3" s="52">
        <f>C3-EN3-FE3-FU3</f>
        <v>4747925901.07</v>
      </c>
      <c r="GH3" s="38">
        <f t="shared" ref="GH3:GH15" si="25">GG3/C3</f>
        <v>0.185395958747983</v>
      </c>
      <c r="GI3" s="38">
        <f t="shared" ref="GI3:GI14" si="26">(GG3-GG4)/GG4</f>
        <v>0.31210173419947</v>
      </c>
      <c r="GJ3" s="68"/>
      <c r="GK3" s="68"/>
      <c r="GL3" s="68"/>
      <c r="GM3" s="68"/>
      <c r="GN3" s="68"/>
      <c r="GO3" s="68"/>
      <c r="GP3" s="68"/>
      <c r="GQ3" s="68"/>
      <c r="GR3" s="68"/>
      <c r="GS3" s="68" t="s">
        <v>249</v>
      </c>
      <c r="GT3" s="68"/>
      <c r="GU3" s="68"/>
      <c r="GV3" s="68"/>
      <c r="GW3" s="68"/>
      <c r="GX3" s="68"/>
    </row>
    <row r="4" spans="1:206">
      <c r="A4" s="12">
        <v>2021</v>
      </c>
      <c r="B4" s="28"/>
      <c r="C4" s="52">
        <v>25004031043.49</v>
      </c>
      <c r="D4" s="52">
        <v>17493775509.76</v>
      </c>
      <c r="E4" s="53">
        <v>15336858254.4</v>
      </c>
      <c r="F4" s="53">
        <v>218259965.29</v>
      </c>
      <c r="G4" s="90">
        <v>1356919480.01</v>
      </c>
      <c r="H4" s="53">
        <v>394035474.57</v>
      </c>
      <c r="I4" s="53">
        <v>771919701.92</v>
      </c>
      <c r="J4" s="53">
        <v>-584217366.43</v>
      </c>
      <c r="K4" s="53">
        <v>7820419296.51</v>
      </c>
      <c r="L4" s="53">
        <v>7820740015.8</v>
      </c>
      <c r="M4" s="53">
        <v>1149269490.14</v>
      </c>
      <c r="N4" s="53">
        <v>6671470525.66</v>
      </c>
      <c r="O4" s="53">
        <v>710047422.15</v>
      </c>
      <c r="P4" s="53">
        <v>415900.29</v>
      </c>
      <c r="Q4" s="53">
        <v>21310112.64</v>
      </c>
      <c r="R4" s="53">
        <v>12223515.71</v>
      </c>
      <c r="S4" s="53">
        <v>1402298.11</v>
      </c>
      <c r="T4" s="53">
        <f t="shared" ref="T4:T13" si="27">SUM(O4:S4)</f>
        <v>745399248.9</v>
      </c>
      <c r="U4" s="53">
        <v>1030736119.27</v>
      </c>
      <c r="V4" s="53">
        <v>10804900000</v>
      </c>
      <c r="W4" s="53"/>
      <c r="X4" s="35"/>
      <c r="Y4" s="165">
        <f t="shared" ref="Y4:Y14" si="28">U4+W4</f>
        <v>1030736119.27</v>
      </c>
      <c r="Z4" s="53">
        <f t="shared" ref="Z4:Z13" si="29">N4+T4</f>
        <v>7416869774.56</v>
      </c>
      <c r="AA4" s="166">
        <f t="shared" ref="AA4:AA13" si="30">Z4-Y17</f>
        <v>7416869774.56</v>
      </c>
      <c r="AB4" s="35">
        <f t="shared" si="0"/>
        <v>0.0619923987235421</v>
      </c>
      <c r="AC4" s="169"/>
      <c r="AD4" s="169">
        <f t="shared" ref="AD4:AD13" si="31">D4/C4</f>
        <v>0.699638209508408</v>
      </c>
      <c r="AE4" s="35">
        <f t="shared" ref="AE4:AE13" si="32">E4/$C4</f>
        <v>0.613375428454888</v>
      </c>
      <c r="AF4" s="35">
        <f t="shared" ref="AF4:AF13" si="33">F4/$C4</f>
        <v>0.00872899113388462</v>
      </c>
      <c r="AG4" s="35">
        <f t="shared" ref="AG4:AG13" si="34">G4/$C4</f>
        <v>0.0542680289290108</v>
      </c>
      <c r="AH4" s="35">
        <f t="shared" ref="AH4:AH13" si="35">H4/$C4</f>
        <v>0.0157588779938981</v>
      </c>
      <c r="AI4" s="35">
        <f t="shared" ref="AI4:AI13" si="36">I4/$C4</f>
        <v>0.0308718102524103</v>
      </c>
      <c r="AJ4" s="35">
        <f t="shared" ref="AJ4:AJ13" si="37">J4/$C4</f>
        <v>-0.0233649272556837</v>
      </c>
      <c r="AK4" s="35">
        <f t="shared" ref="AK4:AK13" si="38">K4/C4</f>
        <v>0.31276634087151</v>
      </c>
      <c r="AL4" s="35">
        <f t="shared" ref="AL4:AL13" si="39">L4/C4</f>
        <v>0.31277916757491</v>
      </c>
      <c r="AM4" s="35">
        <f t="shared" ref="AM4:AM13" si="40">N4/C4</f>
        <v>0.266815799182787</v>
      </c>
      <c r="AN4" s="35">
        <f t="shared" ref="AN4:AN13" si="41">E4/D4</f>
        <v>0.876703730755169</v>
      </c>
      <c r="AO4" s="35">
        <f t="shared" ref="AO4:AO13" si="42">F4/D4</f>
        <v>0.0124764356995567</v>
      </c>
      <c r="AP4" s="35">
        <f t="shared" ref="AP4:AP13" si="43">G4/D4</f>
        <v>0.0775658450203021</v>
      </c>
      <c r="AQ4" s="35">
        <f t="shared" ref="AQ4:AQ13" si="44">H4/D4</f>
        <v>0.0225243244004225</v>
      </c>
      <c r="AR4" s="35">
        <f t="shared" ref="AR4:AR13" si="45">I4/D4</f>
        <v>0.0441253919995336</v>
      </c>
      <c r="AS4" s="35">
        <f t="shared" ref="AS4:AS13" si="46">J4/D4</f>
        <v>-0.0333957278749837</v>
      </c>
      <c r="AT4" s="35">
        <f t="shared" ref="AT4:AT14" si="47">(C4-C5)/C5</f>
        <v>0.0970590269656729</v>
      </c>
      <c r="AU4" s="35">
        <f t="shared" ref="AU4:AU14" si="48">(D4-D5)/D5</f>
        <v>0.133122225560201</v>
      </c>
      <c r="AV4" s="35">
        <f t="shared" ref="AV4:AV12" si="49">(E4-E5)/E5</f>
        <v>0.163576728230898</v>
      </c>
      <c r="AW4" s="35">
        <f t="shared" ref="AW4:AW12" si="50">(F4-F5)/F5</f>
        <v>0.0327473811765325</v>
      </c>
      <c r="AX4" s="35">
        <f t="shared" ref="AX4:AX12" si="51">(G4-G5)/G5</f>
        <v>-0.00630785978891231</v>
      </c>
      <c r="AY4" s="35">
        <f t="shared" ref="AY4:AY12" si="52">(H4-H5)/H5</f>
        <v>0.0903357091507447</v>
      </c>
      <c r="AZ4" s="35">
        <f t="shared" ref="AZ4:AZ12" si="53">(I4-I5)/I5</f>
        <v>0.0845397291322899</v>
      </c>
      <c r="BA4" s="35"/>
      <c r="BB4" s="35">
        <f t="shared" ref="BB4:BB12" si="54">(K4-K5)/K5</f>
        <v>0.0230969508249376</v>
      </c>
      <c r="BC4" s="35">
        <f t="shared" ref="BC4:BC12" si="55">(L4-L5)/L5</f>
        <v>0.0233326208210298</v>
      </c>
      <c r="BD4" s="35">
        <f t="shared" ref="BD4:BD14" si="56">(N4-N5)/N5</f>
        <v>0.0409485540539824</v>
      </c>
      <c r="BE4" s="166">
        <v>5226583898.64</v>
      </c>
      <c r="BF4" s="166">
        <v>2145776539.47</v>
      </c>
      <c r="BG4" s="166">
        <v>10383128.15</v>
      </c>
      <c r="BH4" s="166">
        <v>5586006.93</v>
      </c>
      <c r="BI4" s="166">
        <f t="shared" ref="BI4:BI12" si="57">SUM(BE4:BH4)</f>
        <v>7388329573.19</v>
      </c>
      <c r="BJ4" s="166">
        <f t="shared" ref="BJ4:BJ12" si="58">BE4-BE5</f>
        <v>382624120.39</v>
      </c>
      <c r="BK4" s="166">
        <f t="shared" ref="BK4:BK12" si="59">BF4-BF5</f>
        <v>17856624.0799999</v>
      </c>
      <c r="BL4" s="166">
        <f t="shared" ref="BL4:BL12" si="60">BG4-BG5</f>
        <v>1592418.44</v>
      </c>
      <c r="BM4" s="166">
        <f t="shared" ref="BM4:BM12" si="61">BH4-BH5</f>
        <v>-949464.930000001</v>
      </c>
      <c r="BN4" s="166">
        <f t="shared" ref="BN4:BN12" si="62">BI4-BI5</f>
        <v>401123697.98</v>
      </c>
      <c r="BO4" s="35">
        <f t="shared" ref="BO4:BO12" si="63">(BE4-BE5)/BE5</f>
        <v>0.078989945810044</v>
      </c>
      <c r="BP4" s="35">
        <f t="shared" ref="BP4:BP12" si="64">(BF4-BF5)/BF5</f>
        <v>0.00839158652111548</v>
      </c>
      <c r="BQ4" s="35">
        <f t="shared" ref="BQ4:BQ12" si="65">(BG4-BG5)/BG5</f>
        <v>0.181147881403537</v>
      </c>
      <c r="BR4" s="35">
        <f t="shared" ref="BR4:BR12" si="66">(BH4-BH5)/BH5</f>
        <v>-0.145278711367598</v>
      </c>
      <c r="BS4" s="35">
        <f t="shared" ref="BS4:BS12" si="67">(BI4-BI5)/BI5</f>
        <v>0.0574083124419094</v>
      </c>
      <c r="BT4" s="166">
        <v>2961978909.49</v>
      </c>
      <c r="BU4" s="166">
        <v>802357413.26</v>
      </c>
      <c r="BV4" s="166">
        <v>5488816.45</v>
      </c>
      <c r="BW4" s="166">
        <v>4281789.7</v>
      </c>
      <c r="BX4" s="166">
        <f t="shared" si="2"/>
        <v>3774106928.9</v>
      </c>
      <c r="BY4" s="166">
        <f t="shared" ref="BY4:BY12" si="68">BT4-BT5</f>
        <v>593102589.32</v>
      </c>
      <c r="BZ4" s="166">
        <f t="shared" ref="BZ4:BZ12" si="69">BU4-BU5</f>
        <v>107240625.58</v>
      </c>
      <c r="CA4" s="166">
        <f t="shared" ref="CA4:CA12" si="70">BV4-BV5</f>
        <v>986168.08</v>
      </c>
      <c r="CB4" s="166">
        <f t="shared" ref="CB4:CB12" si="71">BW4-BW5</f>
        <v>-514086.85</v>
      </c>
      <c r="CC4" s="166">
        <f t="shared" ref="CC4:CC12" si="72">BX4-BX5</f>
        <v>700815296.13</v>
      </c>
      <c r="CD4" s="37">
        <f t="shared" ref="CD4:CD12" si="73">(BT4-BT5)/BT5</f>
        <v>0.250372965557542</v>
      </c>
      <c r="CE4" s="35">
        <f t="shared" ref="CE4:CE12" si="74">(BU4-BU5)/BU5</f>
        <v>0.154277133685583</v>
      </c>
      <c r="CF4" s="37">
        <f t="shared" ref="CF4:CF12" si="75">(BV4-BV5)/BV5</f>
        <v>0.219019563368658</v>
      </c>
      <c r="CG4" s="35">
        <f t="shared" ref="CG4:CG12" si="76">(BW4-BW5)/BW5</f>
        <v>-0.107193511893045</v>
      </c>
      <c r="CH4" s="37">
        <f t="shared" ref="CH4:CH12" si="77">(BX4-BX5)/BX5</f>
        <v>0.228034101501245</v>
      </c>
      <c r="CI4" s="166">
        <f t="shared" si="3"/>
        <v>2264604989.15</v>
      </c>
      <c r="CJ4" s="166">
        <f t="shared" si="4"/>
        <v>1343419126.21</v>
      </c>
      <c r="CK4" s="166">
        <f t="shared" si="5"/>
        <v>4894311.7</v>
      </c>
      <c r="CL4" s="166">
        <f t="shared" si="6"/>
        <v>1304217.23</v>
      </c>
      <c r="CM4" s="166">
        <f t="shared" ref="CM4:CM12" si="78">SUM(CI4:CL4)</f>
        <v>3614222644.29</v>
      </c>
      <c r="CN4" s="166">
        <f t="shared" ref="CN4:CN12" si="79">CI4-CI5</f>
        <v>-210478468.929999</v>
      </c>
      <c r="CO4" s="166">
        <f t="shared" ref="CO4:CO12" si="80">CJ4-CJ5</f>
        <v>-89384001.5</v>
      </c>
      <c r="CP4" s="166">
        <f t="shared" ref="CP4:CP12" si="81">CK4-CK5</f>
        <v>606250.359999999</v>
      </c>
      <c r="CQ4" s="166">
        <f t="shared" ref="CQ4:CQ12" si="82">CL4-CL5</f>
        <v>-435378.080000001</v>
      </c>
      <c r="CR4" s="166">
        <f t="shared" ref="CR4:CR12" si="83">CM4-CM5</f>
        <v>-299691598.15</v>
      </c>
      <c r="CS4" s="35">
        <f t="shared" ref="CS4:CS12" si="84">(CI4-CI5)/CI5</f>
        <v>-0.0850389380781827</v>
      </c>
      <c r="CT4" s="35">
        <f t="shared" ref="CT4:CT12" si="85">(CJ4-CJ5)/CJ5</f>
        <v>-0.062384007803542</v>
      </c>
      <c r="CU4" s="35">
        <f t="shared" ref="CU4:CU12" si="86">(CK4-CK5)/CK5</f>
        <v>0.141380990599355</v>
      </c>
      <c r="CV4" s="35">
        <f t="shared" ref="CV4:CV12" si="87">(CL4-CL5)/CL5</f>
        <v>-0.250275496546378</v>
      </c>
      <c r="CW4" s="35">
        <f t="shared" ref="CW4:CW12" si="88">(CM4-CM5)/CM5</f>
        <v>-0.0765708136627865</v>
      </c>
      <c r="CX4" s="166"/>
      <c r="CY4" s="166"/>
      <c r="CZ4" s="166">
        <v>1784291.03</v>
      </c>
      <c r="DA4" s="166">
        <v>84022340.2</v>
      </c>
      <c r="DB4" s="166">
        <v>39109610.51</v>
      </c>
      <c r="DC4" s="166">
        <v>133264290.39</v>
      </c>
      <c r="DD4" s="166">
        <v>37606280.58</v>
      </c>
      <c r="DE4" s="166">
        <v>89626027.74</v>
      </c>
      <c r="DF4" s="166"/>
      <c r="DG4" s="166"/>
      <c r="DH4" s="166"/>
      <c r="DI4" s="166"/>
      <c r="DJ4" s="166">
        <v>136855743.73</v>
      </c>
      <c r="DK4" s="166"/>
      <c r="DL4" s="166">
        <v>8315868.18</v>
      </c>
      <c r="DM4" s="166"/>
      <c r="DN4" s="166"/>
      <c r="DO4" s="166"/>
      <c r="DP4" s="166">
        <v>6021039.81</v>
      </c>
      <c r="DQ4" s="166"/>
      <c r="DR4" s="166"/>
      <c r="DS4" s="166">
        <v>230415365.53</v>
      </c>
      <c r="DT4" s="166"/>
      <c r="DU4" s="166">
        <v>156143121.31</v>
      </c>
      <c r="DV4" s="166">
        <f t="shared" si="7"/>
        <v>923163979.01</v>
      </c>
      <c r="DW4" s="166">
        <v>12041813770.72</v>
      </c>
      <c r="DX4" s="166">
        <v>1104027802.53</v>
      </c>
      <c r="DY4" s="166">
        <v>338617987.46</v>
      </c>
      <c r="DZ4" s="166">
        <v>724633174.25</v>
      </c>
      <c r="EA4" s="166">
        <f t="shared" si="8"/>
        <v>14209092734.96</v>
      </c>
      <c r="EB4" s="166">
        <f t="shared" ref="EB4:EB12" si="89">DW4-DW5</f>
        <v>1851452756.33</v>
      </c>
      <c r="EC4" s="166">
        <f t="shared" ref="EC4:EC12" si="90">DX4-DX5</f>
        <v>128834757.2</v>
      </c>
      <c r="ED4" s="166">
        <f t="shared" ref="ED4:ED12" si="91">DY4-DY5</f>
        <v>30051008.77</v>
      </c>
      <c r="EE4" s="166">
        <f t="shared" ref="EE4:EE12" si="92">DZ4-DZ5</f>
        <v>-19117155.13</v>
      </c>
      <c r="EF4" s="166">
        <f t="shared" ref="EF4:EF12" si="93">EA4-EA5</f>
        <v>1991221367.17</v>
      </c>
      <c r="EG4" s="37">
        <f t="shared" ref="EG4:EG12" si="94">(DW4-DW5)/DW5</f>
        <v>0.181686669757384</v>
      </c>
      <c r="EH4" s="37">
        <f t="shared" ref="EH4:EH12" si="95">(DX4-DX5)/DX5</f>
        <v>0.132112054958721</v>
      </c>
      <c r="EI4" s="35">
        <f t="shared" ref="EI4:EI12" si="96">(DY4-DY5)/DY5</f>
        <v>0.0973889328585304</v>
      </c>
      <c r="EJ4" s="35">
        <f t="shared" ref="EJ4:EJ12" si="97">(DZ4-DZ5)/DZ5</f>
        <v>-0.0257037266066642</v>
      </c>
      <c r="EK4" s="37">
        <f t="shared" ref="EK4:EK12" si="98">(EA4-EA5)/EA5</f>
        <v>0.162976127938248</v>
      </c>
      <c r="EL4" s="35">
        <f t="shared" ref="EL4:EL13" si="99">M4/L4</f>
        <v>0.146951501752797</v>
      </c>
      <c r="EM4" s="35">
        <f t="shared" si="9"/>
        <v>0.146957528307067</v>
      </c>
      <c r="EN4" s="53">
        <v>14188105305.9</v>
      </c>
      <c r="EO4" s="35">
        <f t="shared" si="10"/>
        <v>0.56743271839738</v>
      </c>
      <c r="EP4" s="35">
        <f t="shared" si="11"/>
        <v>0.0877615975042622</v>
      </c>
      <c r="EQ4" s="53">
        <v>8099787316.69</v>
      </c>
      <c r="ER4" s="35">
        <f>EQ4/E4</f>
        <v>0.528125590152484</v>
      </c>
      <c r="ES4" s="35">
        <f t="shared" ref="ES4:ES13" si="100">EQ4/EN4</f>
        <v>0.570885762549406</v>
      </c>
      <c r="ET4" s="35"/>
      <c r="EU4" s="35"/>
      <c r="EV4" s="35"/>
      <c r="EW4" s="35"/>
      <c r="EX4" s="61">
        <v>2660282</v>
      </c>
      <c r="EY4" s="61">
        <v>2647215</v>
      </c>
      <c r="EZ4" s="90">
        <f t="shared" si="12"/>
        <v>5333.30876422124</v>
      </c>
      <c r="FA4" s="35">
        <f t="shared" si="13"/>
        <v>0.00311286715276948</v>
      </c>
      <c r="FB4" s="35">
        <f t="shared" si="14"/>
        <v>0.0843860477951592</v>
      </c>
      <c r="FC4" s="90">
        <v>89856</v>
      </c>
      <c r="FD4" s="35">
        <f t="shared" si="15"/>
        <v>0.0337768702716479</v>
      </c>
      <c r="FE4" s="53">
        <v>4531513070.84</v>
      </c>
      <c r="FF4" s="35">
        <f t="shared" si="16"/>
        <v>0.181231300783392</v>
      </c>
      <c r="FG4" s="35">
        <f t="shared" si="17"/>
        <v>0.101771349192962</v>
      </c>
      <c r="FH4" s="52">
        <v>2963142018.97</v>
      </c>
      <c r="FI4" s="35">
        <f>FH4/E4</f>
        <v>0.193203977621682</v>
      </c>
      <c r="FJ4" s="35">
        <f t="shared" ref="FJ4:FJ9" si="101">FH4/FE4</f>
        <v>0.65389682709681</v>
      </c>
      <c r="FK4" s="35"/>
      <c r="FL4" s="35"/>
      <c r="FM4" s="35"/>
      <c r="FN4" s="35"/>
      <c r="FO4" s="61">
        <v>961373</v>
      </c>
      <c r="FP4" s="66">
        <v>955618</v>
      </c>
      <c r="FQ4" s="90">
        <f t="shared" si="18"/>
        <v>4713.58470733004</v>
      </c>
      <c r="FR4" s="35">
        <f t="shared" si="19"/>
        <v>-0.0115123547648422</v>
      </c>
      <c r="FS4" s="35">
        <f t="shared" si="20"/>
        <v>0.114603054983914</v>
      </c>
      <c r="FT4" s="53"/>
      <c r="FU4" s="53">
        <v>2665847293.87</v>
      </c>
      <c r="FV4" s="35">
        <f t="shared" si="21"/>
        <v>0.10661670069251</v>
      </c>
      <c r="FW4" s="38">
        <f>(FU4-FU5)/FU5</f>
        <v>0.0561358086864811</v>
      </c>
      <c r="FX4" s="52">
        <v>1612313007.28</v>
      </c>
      <c r="FY4" s="35">
        <f>FX4/E4</f>
        <v>0.105126681132196</v>
      </c>
      <c r="FZ4" s="35">
        <f t="shared" ref="FZ4:FZ9" si="102">FX4/FU4</f>
        <v>0.604803212467362</v>
      </c>
      <c r="GA4" s="66">
        <v>309553</v>
      </c>
      <c r="GB4" s="66"/>
      <c r="GC4" s="52">
        <f t="shared" si="22"/>
        <v>8611.92524016889</v>
      </c>
      <c r="GD4" s="35">
        <f t="shared" si="23"/>
        <v>0.00402042140971097</v>
      </c>
      <c r="GE4" s="35">
        <f t="shared" si="24"/>
        <v>0.0519067004669054</v>
      </c>
      <c r="GF4" s="68"/>
      <c r="GG4" s="52">
        <f t="shared" ref="GG4:GG15" si="103">C4-EN4-FE4-FU4</f>
        <v>3618565372.88</v>
      </c>
      <c r="GH4" s="38">
        <f t="shared" si="25"/>
        <v>0.144719280126719</v>
      </c>
      <c r="GI4" s="38">
        <f t="shared" si="26"/>
        <v>0.163005402277833</v>
      </c>
      <c r="GJ4" s="68"/>
      <c r="GK4" s="68"/>
      <c r="GL4" s="68"/>
      <c r="GM4" s="68"/>
      <c r="GN4" s="68"/>
      <c r="GO4" s="68"/>
      <c r="GP4" s="68"/>
      <c r="GQ4" s="68"/>
      <c r="GR4" s="68"/>
      <c r="GS4" s="68"/>
      <c r="GT4" s="68" t="s">
        <v>250</v>
      </c>
      <c r="GU4" s="68"/>
      <c r="GV4" s="68"/>
      <c r="GW4" s="68"/>
      <c r="GX4" s="68"/>
    </row>
    <row r="5" spans="1:206">
      <c r="A5" s="12">
        <v>2020</v>
      </c>
      <c r="B5" s="28"/>
      <c r="C5" s="52">
        <v>22791873936.49</v>
      </c>
      <c r="D5" s="52">
        <v>15438560038.05</v>
      </c>
      <c r="E5" s="53">
        <v>13180788066.91</v>
      </c>
      <c r="F5" s="53">
        <v>211339161.22</v>
      </c>
      <c r="G5" s="90">
        <v>1365533071.16</v>
      </c>
      <c r="H5" s="53">
        <v>361389131.13</v>
      </c>
      <c r="I5" s="53">
        <v>711748662.76</v>
      </c>
      <c r="J5" s="53">
        <v>-392238055.13</v>
      </c>
      <c r="K5" s="53">
        <v>7643869224.91</v>
      </c>
      <c r="L5" s="53">
        <v>7642422274.71</v>
      </c>
      <c r="M5" s="53">
        <v>1233392261</v>
      </c>
      <c r="N5" s="53">
        <v>6409030013.71</v>
      </c>
      <c r="O5" s="53">
        <v>565215760.69</v>
      </c>
      <c r="P5" s="53">
        <v>511925.53</v>
      </c>
      <c r="Q5" s="53"/>
      <c r="R5" s="53">
        <v>8699435.14</v>
      </c>
      <c r="S5" s="53">
        <v>462696.63</v>
      </c>
      <c r="T5" s="53">
        <f t="shared" si="27"/>
        <v>574889817.99</v>
      </c>
      <c r="U5" s="53">
        <v>906995127.4</v>
      </c>
      <c r="V5" s="53">
        <v>8579500000</v>
      </c>
      <c r="W5" s="53">
        <v>57787351.7</v>
      </c>
      <c r="X5" s="162">
        <v>70550695.66</v>
      </c>
      <c r="Y5" s="165">
        <f t="shared" si="28"/>
        <v>964782479.1</v>
      </c>
      <c r="Z5" s="53">
        <f t="shared" si="29"/>
        <v>6983919831.7</v>
      </c>
      <c r="AA5" s="166">
        <f t="shared" si="30"/>
        <v>6983919831.7</v>
      </c>
      <c r="AB5" s="35">
        <f t="shared" si="0"/>
        <v>0.196932553643746</v>
      </c>
      <c r="AC5" s="169"/>
      <c r="AD5" s="169">
        <f t="shared" si="31"/>
        <v>0.677371245605774</v>
      </c>
      <c r="AE5" s="35">
        <f t="shared" si="32"/>
        <v>0.578310853404969</v>
      </c>
      <c r="AF5" s="35">
        <f t="shared" si="33"/>
        <v>0.00927256625799619</v>
      </c>
      <c r="AG5" s="35">
        <f t="shared" si="34"/>
        <v>0.0599131547921459</v>
      </c>
      <c r="AH5" s="35">
        <f t="shared" si="35"/>
        <v>0.0158560516847811</v>
      </c>
      <c r="AI5" s="35">
        <f t="shared" si="36"/>
        <v>0.0312281765309558</v>
      </c>
      <c r="AJ5" s="35">
        <f t="shared" si="37"/>
        <v>-0.0172095570650741</v>
      </c>
      <c r="AK5" s="35">
        <f t="shared" si="38"/>
        <v>0.335376952602045</v>
      </c>
      <c r="AL5" s="35">
        <f t="shared" si="39"/>
        <v>0.335313467247395</v>
      </c>
      <c r="AM5" s="36">
        <f t="shared" si="40"/>
        <v>0.281198028366114</v>
      </c>
      <c r="AN5" s="35">
        <f t="shared" si="41"/>
        <v>0.853757606565931</v>
      </c>
      <c r="AO5" s="35">
        <f t="shared" si="42"/>
        <v>0.0136890461739393</v>
      </c>
      <c r="AP5" s="35">
        <f t="shared" si="43"/>
        <v>0.0884495100446218</v>
      </c>
      <c r="AQ5" s="35">
        <f t="shared" si="44"/>
        <v>0.0234082149008274</v>
      </c>
      <c r="AR5" s="35">
        <f t="shared" si="45"/>
        <v>0.046102010874448</v>
      </c>
      <c r="AS5" s="35">
        <f t="shared" si="46"/>
        <v>-0.0254063885597677</v>
      </c>
      <c r="AT5" s="35">
        <f t="shared" si="47"/>
        <v>0.151285589133775</v>
      </c>
      <c r="AU5" s="35">
        <f t="shared" si="48"/>
        <v>0.122683686900195</v>
      </c>
      <c r="AV5" s="35">
        <f t="shared" si="49"/>
        <v>0.22036190537086</v>
      </c>
      <c r="AW5" s="35">
        <f t="shared" si="50"/>
        <v>0.0392898227082013</v>
      </c>
      <c r="AX5" s="35">
        <f t="shared" si="51"/>
        <v>-0.368632822237234</v>
      </c>
      <c r="AY5" s="35">
        <f t="shared" si="52"/>
        <v>0.246584718936253</v>
      </c>
      <c r="AZ5" s="35">
        <f t="shared" si="53"/>
        <v>0.211641164005831</v>
      </c>
      <c r="BA5" s="35"/>
      <c r="BB5" s="35">
        <f t="shared" si="54"/>
        <v>0.198203826091798</v>
      </c>
      <c r="BC5" s="35">
        <f t="shared" si="55"/>
        <v>0.198398020772348</v>
      </c>
      <c r="BD5" s="35">
        <f t="shared" si="56"/>
        <v>0.196553348847028</v>
      </c>
      <c r="BE5" s="166">
        <v>4843959778.25</v>
      </c>
      <c r="BF5" s="166">
        <v>2127919915.39</v>
      </c>
      <c r="BG5" s="166">
        <v>8790709.71</v>
      </c>
      <c r="BH5" s="170">
        <v>6535471.86</v>
      </c>
      <c r="BI5" s="166">
        <f t="shared" si="57"/>
        <v>6987205875.21</v>
      </c>
      <c r="BJ5" s="166">
        <f t="shared" si="58"/>
        <v>773881509.03</v>
      </c>
      <c r="BK5" s="166">
        <f t="shared" si="59"/>
        <v>208864702.44</v>
      </c>
      <c r="BL5" s="166">
        <f t="shared" si="60"/>
        <v>-17857241.2</v>
      </c>
      <c r="BM5" s="166">
        <f t="shared" si="61"/>
        <v>1384140.27</v>
      </c>
      <c r="BN5" s="166">
        <f t="shared" si="62"/>
        <v>966273110.54</v>
      </c>
      <c r="BO5" s="37">
        <f t="shared" si="63"/>
        <v>0.190139220388582</v>
      </c>
      <c r="BP5" s="37">
        <f t="shared" si="64"/>
        <v>0.10883725545287</v>
      </c>
      <c r="BQ5" s="35">
        <f t="shared" si="65"/>
        <v>-0.670116860403658</v>
      </c>
      <c r="BR5" s="37">
        <f t="shared" si="66"/>
        <v>0.268695626716587</v>
      </c>
      <c r="BS5" s="37">
        <f t="shared" si="67"/>
        <v>0.160485617147223</v>
      </c>
      <c r="BT5" s="166">
        <v>2368876320.17</v>
      </c>
      <c r="BU5" s="166">
        <v>695116787.68</v>
      </c>
      <c r="BV5" s="166">
        <v>4502648.37</v>
      </c>
      <c r="BW5" s="166">
        <v>4795876.55</v>
      </c>
      <c r="BX5" s="166">
        <f t="shared" si="2"/>
        <v>3073291632.77</v>
      </c>
      <c r="BY5" s="166">
        <f t="shared" si="68"/>
        <v>417361947.81</v>
      </c>
      <c r="BZ5" s="166">
        <f t="shared" si="69"/>
        <v>99809173.13</v>
      </c>
      <c r="CA5" s="166">
        <f t="shared" si="70"/>
        <v>-17573160.58</v>
      </c>
      <c r="CB5" s="166">
        <f t="shared" si="71"/>
        <v>1017427.61</v>
      </c>
      <c r="CC5" s="166">
        <f t="shared" si="72"/>
        <v>500615387.97</v>
      </c>
      <c r="CD5" s="37">
        <f t="shared" si="73"/>
        <v>0.213865679761957</v>
      </c>
      <c r="CE5" s="35">
        <f t="shared" si="74"/>
        <v>0.167659829457157</v>
      </c>
      <c r="CF5" s="35">
        <f t="shared" si="75"/>
        <v>-0.79603699324459</v>
      </c>
      <c r="CG5" s="37">
        <f t="shared" si="76"/>
        <v>0.269271234349405</v>
      </c>
      <c r="CH5" s="37">
        <f t="shared" si="77"/>
        <v>0.194589346009575</v>
      </c>
      <c r="CI5" s="166">
        <f t="shared" si="3"/>
        <v>2475083458.08</v>
      </c>
      <c r="CJ5" s="166">
        <f t="shared" si="4"/>
        <v>1432803127.71</v>
      </c>
      <c r="CK5" s="166">
        <f t="shared" si="5"/>
        <v>4288061.34</v>
      </c>
      <c r="CL5" s="166">
        <f t="shared" si="6"/>
        <v>1739595.31</v>
      </c>
      <c r="CM5" s="166">
        <f t="shared" si="78"/>
        <v>3913914242.44</v>
      </c>
      <c r="CN5" s="166">
        <f t="shared" si="79"/>
        <v>356519561.22</v>
      </c>
      <c r="CO5" s="166">
        <f t="shared" si="80"/>
        <v>109055529.31</v>
      </c>
      <c r="CP5" s="166">
        <f t="shared" si="81"/>
        <v>-284080.62</v>
      </c>
      <c r="CQ5" s="166">
        <f t="shared" si="82"/>
        <v>366712.660000001</v>
      </c>
      <c r="CR5" s="166">
        <f t="shared" si="83"/>
        <v>465657722.57</v>
      </c>
      <c r="CS5" s="37">
        <f t="shared" si="84"/>
        <v>0.16828360086208</v>
      </c>
      <c r="CT5" s="35">
        <f t="shared" si="85"/>
        <v>0.0823839298683633</v>
      </c>
      <c r="CU5" s="35">
        <f t="shared" si="86"/>
        <v>-0.0621329395467852</v>
      </c>
      <c r="CV5" s="35">
        <f t="shared" si="87"/>
        <v>0.267111438840021</v>
      </c>
      <c r="CW5" s="37">
        <f t="shared" si="88"/>
        <v>0.135041497025156</v>
      </c>
      <c r="CX5" s="166"/>
      <c r="CY5" s="166"/>
      <c r="CZ5" s="166"/>
      <c r="DA5" s="166"/>
      <c r="DB5" s="166">
        <v>93497086.3</v>
      </c>
      <c r="DC5" s="166">
        <v>132677788.41</v>
      </c>
      <c r="DD5" s="166"/>
      <c r="DE5" s="166"/>
      <c r="DF5" s="166"/>
      <c r="DG5" s="166">
        <v>137289.1</v>
      </c>
      <c r="DH5" s="166"/>
      <c r="DI5" s="166"/>
      <c r="DJ5" s="166"/>
      <c r="DK5" s="166">
        <v>1067240.78</v>
      </c>
      <c r="DL5" s="166"/>
      <c r="DM5" s="166">
        <v>17598989.86</v>
      </c>
      <c r="DN5" s="166"/>
      <c r="DO5" s="166"/>
      <c r="DP5" s="166"/>
      <c r="DQ5" s="166">
        <v>25080889.63</v>
      </c>
      <c r="DR5" s="166"/>
      <c r="DS5" s="166"/>
      <c r="DT5" s="166"/>
      <c r="DU5" s="166">
        <v>98744545.9</v>
      </c>
      <c r="DV5" s="166">
        <f t="shared" si="7"/>
        <v>368803829.98</v>
      </c>
      <c r="DW5" s="166">
        <v>10190361014.39</v>
      </c>
      <c r="DX5" s="166">
        <v>975193045.33</v>
      </c>
      <c r="DY5" s="166">
        <v>308566978.69</v>
      </c>
      <c r="DZ5" s="166">
        <v>743750329.38</v>
      </c>
      <c r="EA5" s="166">
        <f t="shared" si="8"/>
        <v>12217871367.79</v>
      </c>
      <c r="EB5" s="166">
        <f t="shared" si="89"/>
        <v>1400543903.64</v>
      </c>
      <c r="EC5" s="166">
        <f t="shared" si="90"/>
        <v>111314576.66</v>
      </c>
      <c r="ED5" s="166">
        <f t="shared" si="91"/>
        <v>61474373.23</v>
      </c>
      <c r="EE5" s="166">
        <f t="shared" si="92"/>
        <v>238101138.98</v>
      </c>
      <c r="EF5" s="166">
        <f t="shared" si="93"/>
        <v>1811433992.51</v>
      </c>
      <c r="EG5" s="37">
        <f t="shared" si="94"/>
        <v>0.159337092682751</v>
      </c>
      <c r="EH5" s="35">
        <f t="shared" si="95"/>
        <v>0.128854440406851</v>
      </c>
      <c r="EI5" s="37">
        <f t="shared" si="96"/>
        <v>0.248790825267944</v>
      </c>
      <c r="EJ5" s="37">
        <f t="shared" si="97"/>
        <v>0.470882072987494</v>
      </c>
      <c r="EK5" s="37">
        <f t="shared" si="98"/>
        <v>0.174068600731022</v>
      </c>
      <c r="EL5" s="35">
        <f t="shared" si="99"/>
        <v>0.161387609407752</v>
      </c>
      <c r="EM5" s="35">
        <f t="shared" si="9"/>
        <v>0.161357059456302</v>
      </c>
      <c r="EN5" s="53">
        <v>13043396033.15</v>
      </c>
      <c r="EO5" s="35">
        <f t="shared" si="10"/>
        <v>0.572282738553911</v>
      </c>
      <c r="EP5" s="35">
        <f t="shared" si="11"/>
        <v>0.121673711351829</v>
      </c>
      <c r="EQ5" s="53">
        <v>6863724532.39</v>
      </c>
      <c r="ER5" s="35">
        <f>EQ5/E5</f>
        <v>0.520737037690575</v>
      </c>
      <c r="ES5" s="35">
        <f t="shared" si="100"/>
        <v>0.52622219818717</v>
      </c>
      <c r="ET5" s="35"/>
      <c r="EU5" s="35"/>
      <c r="EV5" s="35"/>
      <c r="EW5" s="35"/>
      <c r="EX5" s="61">
        <v>2453261</v>
      </c>
      <c r="EY5" s="61">
        <v>2379225</v>
      </c>
      <c r="EZ5" s="90">
        <f t="shared" si="12"/>
        <v>5316.75840163358</v>
      </c>
      <c r="FA5" s="35">
        <f t="shared" si="13"/>
        <v>-0.00724148884819736</v>
      </c>
      <c r="FB5" s="35">
        <f t="shared" si="14"/>
        <v>0.129855547700576</v>
      </c>
      <c r="FC5" s="90">
        <v>102923</v>
      </c>
      <c r="FD5" s="35">
        <f t="shared" si="15"/>
        <v>0.041953546728212</v>
      </c>
      <c r="FE5" s="53">
        <v>4112934207.41</v>
      </c>
      <c r="FF5" s="35">
        <f t="shared" si="16"/>
        <v>0.180456166915927</v>
      </c>
      <c r="FG5" s="35">
        <f t="shared" si="17"/>
        <v>0.178550579879466</v>
      </c>
      <c r="FH5" s="52">
        <v>2658576139.02</v>
      </c>
      <c r="FI5" s="35">
        <f>FH5/E5</f>
        <v>0.201700848653677</v>
      </c>
      <c r="FJ5" s="35">
        <f t="shared" si="101"/>
        <v>0.646394035243798</v>
      </c>
      <c r="FK5" s="35"/>
      <c r="FL5" s="35"/>
      <c r="FM5" s="35"/>
      <c r="FN5" s="35"/>
      <c r="FO5" s="61">
        <v>862525</v>
      </c>
      <c r="FP5" s="66">
        <v>842561</v>
      </c>
      <c r="FQ5" s="90">
        <f t="shared" si="18"/>
        <v>4768.4811540651</v>
      </c>
      <c r="FR5" s="35">
        <f t="shared" si="19"/>
        <v>0.0271498205943616</v>
      </c>
      <c r="FS5" s="35">
        <f t="shared" si="20"/>
        <v>0.147398905446428</v>
      </c>
      <c r="FT5" s="53"/>
      <c r="FU5" s="53">
        <v>2524151981.16</v>
      </c>
      <c r="FV5" s="35">
        <f t="shared" si="21"/>
        <v>0.110747891471917</v>
      </c>
      <c r="FW5" s="38">
        <f t="shared" ref="FW5:FW14" si="104">(FU5-FU6)/FU6</f>
        <v>0.101554720356322</v>
      </c>
      <c r="FX5" s="52">
        <v>1408593828.13</v>
      </c>
      <c r="FY5" s="35">
        <f>FX5/E5</f>
        <v>0.106867193446971</v>
      </c>
      <c r="FZ5" s="35">
        <f t="shared" si="102"/>
        <v>0.558046361171432</v>
      </c>
      <c r="GA5" s="66">
        <v>294278</v>
      </c>
      <c r="GB5" s="66"/>
      <c r="GC5" s="52">
        <f t="shared" si="22"/>
        <v>8577.440315484</v>
      </c>
      <c r="GD5" s="35">
        <f t="shared" si="23"/>
        <v>0.00216407295861967</v>
      </c>
      <c r="GE5" s="35">
        <f t="shared" si="24"/>
        <v>0.0991760232476487</v>
      </c>
      <c r="GF5" s="68"/>
      <c r="GG5" s="52">
        <f t="shared" si="103"/>
        <v>3111391714.77</v>
      </c>
      <c r="GH5" s="38">
        <f t="shared" si="25"/>
        <v>0.136513203058246</v>
      </c>
      <c r="GI5" s="38">
        <f t="shared" si="26"/>
        <v>0.303414212824988</v>
      </c>
      <c r="GJ5" s="68"/>
      <c r="GK5" s="68"/>
      <c r="GL5" s="68"/>
      <c r="GM5" s="68"/>
      <c r="GN5" s="68"/>
      <c r="GO5" s="68"/>
      <c r="GP5" s="68"/>
      <c r="GQ5" s="68"/>
      <c r="GR5" s="68"/>
      <c r="GS5" s="68"/>
      <c r="GT5" s="68"/>
      <c r="GU5" s="68"/>
      <c r="GV5" s="68"/>
      <c r="GW5" s="68"/>
      <c r="GX5" s="68"/>
    </row>
    <row r="6" spans="1:206">
      <c r="A6" s="12">
        <v>2019</v>
      </c>
      <c r="B6" s="28"/>
      <c r="C6" s="52">
        <v>19796889800.07</v>
      </c>
      <c r="D6" s="52">
        <v>13751478014.86</v>
      </c>
      <c r="E6" s="53">
        <v>10800720678.76</v>
      </c>
      <c r="F6" s="53">
        <v>203349591.81</v>
      </c>
      <c r="G6" s="90">
        <v>2162819226.68</v>
      </c>
      <c r="H6" s="53">
        <v>289903386.14</v>
      </c>
      <c r="I6" s="53">
        <v>587425290.51</v>
      </c>
      <c r="J6" s="53">
        <v>-292740159.04</v>
      </c>
      <c r="K6" s="53">
        <v>6379439840.25</v>
      </c>
      <c r="L6" s="53">
        <v>6377198678.77</v>
      </c>
      <c r="M6" s="53">
        <v>1020956084.25</v>
      </c>
      <c r="N6" s="53">
        <v>5356242594.52</v>
      </c>
      <c r="O6" s="53">
        <v>472599948.68</v>
      </c>
      <c r="P6" s="53">
        <v>703976.81</v>
      </c>
      <c r="Q6" s="53"/>
      <c r="R6" s="53">
        <v>5272757.31</v>
      </c>
      <c r="S6" s="53">
        <v>28985.8</v>
      </c>
      <c r="T6" s="53">
        <f t="shared" si="27"/>
        <v>478605668.6</v>
      </c>
      <c r="U6" s="53">
        <v>582632086.23</v>
      </c>
      <c r="V6" s="53">
        <v>10900107500</v>
      </c>
      <c r="W6" s="53"/>
      <c r="X6" s="35"/>
      <c r="Y6" s="166">
        <f t="shared" si="28"/>
        <v>582632086.23</v>
      </c>
      <c r="Z6" s="53">
        <f t="shared" si="29"/>
        <v>5834848263.12</v>
      </c>
      <c r="AA6" s="166">
        <f t="shared" si="30"/>
        <v>5834848263.12</v>
      </c>
      <c r="AB6" s="35">
        <f t="shared" si="0"/>
        <v>0.213157170001774</v>
      </c>
      <c r="AC6" s="169"/>
      <c r="AD6" s="169">
        <f t="shared" si="31"/>
        <v>0.694628204416806</v>
      </c>
      <c r="AE6" s="35">
        <f t="shared" si="32"/>
        <v>0.545576642989739</v>
      </c>
      <c r="AF6" s="35">
        <f t="shared" si="33"/>
        <v>0.0102717949063535</v>
      </c>
      <c r="AG6" s="35">
        <f t="shared" si="34"/>
        <v>0.109250455426203</v>
      </c>
      <c r="AH6" s="35">
        <f t="shared" si="35"/>
        <v>0.0146438854318912</v>
      </c>
      <c r="AI6" s="35">
        <f t="shared" si="36"/>
        <v>0.0296726049618119</v>
      </c>
      <c r="AJ6" s="35">
        <f t="shared" si="37"/>
        <v>-0.014787179299193</v>
      </c>
      <c r="AK6" s="35">
        <f t="shared" si="38"/>
        <v>0.322244549758894</v>
      </c>
      <c r="AL6" s="35">
        <f t="shared" si="39"/>
        <v>0.322131342002391</v>
      </c>
      <c r="AM6" s="35">
        <f t="shared" si="40"/>
        <v>0.270559802504991</v>
      </c>
      <c r="AN6" s="35">
        <f t="shared" si="41"/>
        <v>0.785422531824479</v>
      </c>
      <c r="AO6" s="35">
        <f t="shared" si="42"/>
        <v>0.0147874716877894</v>
      </c>
      <c r="AP6" s="35">
        <f t="shared" si="43"/>
        <v>0.157279037521846</v>
      </c>
      <c r="AQ6" s="35">
        <f t="shared" si="44"/>
        <v>0.0210816165234549</v>
      </c>
      <c r="AR6" s="35">
        <f t="shared" si="45"/>
        <v>0.0427172475478797</v>
      </c>
      <c r="AS6" s="35">
        <f t="shared" si="46"/>
        <v>-0.0212879051054484</v>
      </c>
      <c r="AT6" s="35">
        <f t="shared" si="47"/>
        <v>0.162166116197159</v>
      </c>
      <c r="AU6" s="35">
        <f t="shared" si="48"/>
        <v>0.133581076724858</v>
      </c>
      <c r="AV6" s="35">
        <f t="shared" si="49"/>
        <v>0.184412791163156</v>
      </c>
      <c r="AW6" s="35">
        <f t="shared" si="50"/>
        <v>0.0703267218974088</v>
      </c>
      <c r="AX6" s="35">
        <f t="shared" si="51"/>
        <v>-0.0327369031425216</v>
      </c>
      <c r="AY6" s="35">
        <f t="shared" si="52"/>
        <v>0.180610187764732</v>
      </c>
      <c r="AZ6" s="35">
        <f t="shared" si="53"/>
        <v>0.19149733655818</v>
      </c>
      <c r="BA6" s="35"/>
      <c r="BB6" s="35">
        <f t="shared" si="54"/>
        <v>0.217216698607553</v>
      </c>
      <c r="BC6" s="35">
        <f t="shared" si="55"/>
        <v>0.221029125771583</v>
      </c>
      <c r="BD6" s="35">
        <f t="shared" si="56"/>
        <v>0.226618472154364</v>
      </c>
      <c r="BE6" s="166">
        <v>4070078269.22</v>
      </c>
      <c r="BF6" s="166">
        <v>1919055212.95</v>
      </c>
      <c r="BG6" s="166">
        <v>26647950.91</v>
      </c>
      <c r="BH6" s="170">
        <v>5151331.59</v>
      </c>
      <c r="BI6" s="166">
        <f t="shared" si="57"/>
        <v>6020932764.67</v>
      </c>
      <c r="BJ6" s="166">
        <f t="shared" si="58"/>
        <v>-93769728.2400002</v>
      </c>
      <c r="BK6" s="166">
        <f t="shared" si="59"/>
        <v>6353162.42000008</v>
      </c>
      <c r="BL6" s="166">
        <f t="shared" si="60"/>
        <v>-7987987.87</v>
      </c>
      <c r="BM6" s="166">
        <f t="shared" si="61"/>
        <v>499418.3</v>
      </c>
      <c r="BN6" s="166">
        <f t="shared" si="62"/>
        <v>-94905135.3899994</v>
      </c>
      <c r="BO6" s="35">
        <f t="shared" si="63"/>
        <v>-0.022519969100025</v>
      </c>
      <c r="BP6" s="35">
        <f t="shared" si="64"/>
        <v>0.00332156407645386</v>
      </c>
      <c r="BQ6" s="35">
        <f t="shared" si="65"/>
        <v>-0.23062715062346</v>
      </c>
      <c r="BR6" s="35">
        <f t="shared" si="66"/>
        <v>0.107357611560296</v>
      </c>
      <c r="BS6" s="35">
        <f t="shared" si="67"/>
        <v>-0.0155179285227734</v>
      </c>
      <c r="BT6" s="166">
        <v>1951514372.36</v>
      </c>
      <c r="BU6" s="166">
        <v>595307614.55</v>
      </c>
      <c r="BV6" s="166">
        <v>22075808.95</v>
      </c>
      <c r="BW6" s="166">
        <v>3778448.94</v>
      </c>
      <c r="BX6" s="166">
        <f t="shared" si="2"/>
        <v>2572676244.8</v>
      </c>
      <c r="BY6" s="166">
        <f t="shared" si="68"/>
        <v>116956544.48</v>
      </c>
      <c r="BZ6" s="166">
        <f t="shared" si="69"/>
        <v>90471621.8799999</v>
      </c>
      <c r="CA6" s="166">
        <f t="shared" si="70"/>
        <v>-5487526.68</v>
      </c>
      <c r="CB6" s="166">
        <f t="shared" si="71"/>
        <v>401958.87</v>
      </c>
      <c r="CC6" s="166">
        <f t="shared" si="72"/>
        <v>202342598.549999</v>
      </c>
      <c r="CD6" s="35">
        <f t="shared" si="73"/>
        <v>0.0637518985243184</v>
      </c>
      <c r="CE6" s="35">
        <f t="shared" si="74"/>
        <v>0.17920992796395</v>
      </c>
      <c r="CF6" s="35">
        <f t="shared" si="75"/>
        <v>-0.199087902627698</v>
      </c>
      <c r="CG6" s="35">
        <f t="shared" si="76"/>
        <v>0.119046365209657</v>
      </c>
      <c r="CH6" s="35">
        <f t="shared" si="77"/>
        <v>0.0853646063161262</v>
      </c>
      <c r="CI6" s="166">
        <f t="shared" si="3"/>
        <v>2118563896.86</v>
      </c>
      <c r="CJ6" s="166">
        <f t="shared" si="4"/>
        <v>1323747598.4</v>
      </c>
      <c r="CK6" s="166">
        <f t="shared" si="5"/>
        <v>4572141.96</v>
      </c>
      <c r="CL6" s="166">
        <f t="shared" si="6"/>
        <v>1372882.65</v>
      </c>
      <c r="CM6" s="166">
        <f t="shared" si="78"/>
        <v>3448256519.87</v>
      </c>
      <c r="CN6" s="166">
        <f t="shared" si="79"/>
        <v>-210726272.72</v>
      </c>
      <c r="CO6" s="166">
        <f t="shared" si="80"/>
        <v>-84118459.4599998</v>
      </c>
      <c r="CP6" s="166">
        <f t="shared" si="81"/>
        <v>-2500461.19</v>
      </c>
      <c r="CQ6" s="166">
        <f t="shared" si="82"/>
        <v>97459.4299999997</v>
      </c>
      <c r="CR6" s="166">
        <f t="shared" si="83"/>
        <v>-297247733.939999</v>
      </c>
      <c r="CS6" s="35">
        <f t="shared" si="84"/>
        <v>-0.0904680213191286</v>
      </c>
      <c r="CT6" s="35">
        <f t="shared" si="85"/>
        <v>-0.0597489079237143</v>
      </c>
      <c r="CU6" s="35">
        <f t="shared" si="86"/>
        <v>-0.353541848308003</v>
      </c>
      <c r="CV6" s="35">
        <f t="shared" si="87"/>
        <v>0.0764134041718322</v>
      </c>
      <c r="CW6" s="35">
        <f t="shared" si="88"/>
        <v>-0.079361205807638</v>
      </c>
      <c r="CX6" s="166"/>
      <c r="CY6" s="166"/>
      <c r="CZ6" s="166">
        <v>32102540.35</v>
      </c>
      <c r="DA6" s="166"/>
      <c r="DB6" s="166">
        <v>172059841.54</v>
      </c>
      <c r="DC6" s="166"/>
      <c r="DD6" s="166"/>
      <c r="DE6" s="166"/>
      <c r="DF6" s="166">
        <v>3686073.84</v>
      </c>
      <c r="DG6" s="166">
        <v>101755208.49</v>
      </c>
      <c r="DH6" s="166">
        <v>5335559.06</v>
      </c>
      <c r="DI6" s="166"/>
      <c r="DJ6" s="166"/>
      <c r="DK6" s="166">
        <v>79949056.74</v>
      </c>
      <c r="DL6" s="166"/>
      <c r="DM6" s="166">
        <v>11978404.25</v>
      </c>
      <c r="DN6" s="166"/>
      <c r="DO6" s="166"/>
      <c r="DP6" s="166">
        <v>12463686.57</v>
      </c>
      <c r="DQ6" s="166"/>
      <c r="DR6" s="166"/>
      <c r="DS6" s="166"/>
      <c r="DT6" s="166"/>
      <c r="DU6" s="166">
        <v>74185058.69</v>
      </c>
      <c r="DV6" s="166">
        <f t="shared" si="7"/>
        <v>493515429.53</v>
      </c>
      <c r="DW6" s="166">
        <v>8789817110.75</v>
      </c>
      <c r="DX6" s="166">
        <v>863878468.67</v>
      </c>
      <c r="DY6" s="166">
        <v>247092605.46</v>
      </c>
      <c r="DZ6" s="166">
        <v>505649190.4</v>
      </c>
      <c r="EA6" s="166">
        <f t="shared" si="8"/>
        <v>10406437375.28</v>
      </c>
      <c r="EB6" s="166">
        <f t="shared" si="89"/>
        <v>1385897135.74</v>
      </c>
      <c r="EC6" s="166">
        <f t="shared" si="90"/>
        <v>24900460.15</v>
      </c>
      <c r="ED6" s="166">
        <f t="shared" si="91"/>
        <v>20284221.28</v>
      </c>
      <c r="EE6" s="166">
        <f t="shared" si="92"/>
        <v>505649190.4</v>
      </c>
      <c r="EF6" s="166">
        <f t="shared" si="93"/>
        <v>1936731007.57</v>
      </c>
      <c r="EG6" s="37">
        <f t="shared" si="94"/>
        <v>0.187184240296726</v>
      </c>
      <c r="EH6" s="35">
        <f t="shared" si="95"/>
        <v>0.0296795147156785</v>
      </c>
      <c r="EI6" s="35">
        <f t="shared" si="96"/>
        <v>0.0894332956576332</v>
      </c>
      <c r="EJ6" s="35" t="e">
        <f t="shared" si="97"/>
        <v>#DIV/0!</v>
      </c>
      <c r="EK6" s="37">
        <f t="shared" si="98"/>
        <v>0.228665661297729</v>
      </c>
      <c r="EL6" s="35">
        <f t="shared" si="99"/>
        <v>0.160094758792573</v>
      </c>
      <c r="EM6" s="35">
        <f t="shared" si="9"/>
        <v>0.160038515891074</v>
      </c>
      <c r="EN6" s="53">
        <v>11628511840.07</v>
      </c>
      <c r="EO6" s="35">
        <f t="shared" si="10"/>
        <v>0.587390845607924</v>
      </c>
      <c r="EP6" s="35">
        <f t="shared" si="11"/>
        <v>0.136007572783349</v>
      </c>
      <c r="EQ6" s="53">
        <v>5770628180.96</v>
      </c>
      <c r="ER6" s="35">
        <f>EQ6/E6</f>
        <v>0.534281771799556</v>
      </c>
      <c r="ES6" s="35">
        <f t="shared" si="100"/>
        <v>0.496248209601106</v>
      </c>
      <c r="ET6" s="35"/>
      <c r="EU6" s="35"/>
      <c r="EV6" s="35"/>
      <c r="EW6" s="35"/>
      <c r="EX6" s="61">
        <v>2171305</v>
      </c>
      <c r="EY6" s="61">
        <v>2241720</v>
      </c>
      <c r="EZ6" s="90">
        <f t="shared" si="12"/>
        <v>5355.54048835608</v>
      </c>
      <c r="FA6" s="35">
        <f t="shared" si="13"/>
        <v>-0.0174695064205632</v>
      </c>
      <c r="FB6" s="35">
        <f t="shared" si="14"/>
        <v>0.156205919517859</v>
      </c>
      <c r="FC6" s="90">
        <v>176959</v>
      </c>
      <c r="FD6" s="35">
        <f t="shared" si="15"/>
        <v>0.0814989142474226</v>
      </c>
      <c r="FE6" s="53">
        <v>3489824092.09</v>
      </c>
      <c r="FF6" s="35">
        <f t="shared" si="16"/>
        <v>0.176281432453984</v>
      </c>
      <c r="FG6" s="35">
        <f t="shared" si="17"/>
        <v>0.222091740491147</v>
      </c>
      <c r="FH6" s="52">
        <v>2165083033.79</v>
      </c>
      <c r="FI6" s="35">
        <f>FH6/E6</f>
        <v>0.200457274860159</v>
      </c>
      <c r="FJ6" s="35">
        <f t="shared" si="101"/>
        <v>0.620398901680275</v>
      </c>
      <c r="FK6" s="35"/>
      <c r="FL6" s="35"/>
      <c r="FM6" s="35"/>
      <c r="FN6" s="35"/>
      <c r="FO6" s="61">
        <v>751722</v>
      </c>
      <c r="FP6" s="66">
        <v>762515</v>
      </c>
      <c r="FQ6" s="90">
        <f t="shared" si="18"/>
        <v>4642.4397477924</v>
      </c>
      <c r="FR6" s="35">
        <f t="shared" si="19"/>
        <v>-0.0175430802695542</v>
      </c>
      <c r="FS6" s="35">
        <f t="shared" si="20"/>
        <v>0.243913820492454</v>
      </c>
      <c r="FT6" s="53"/>
      <c r="FU6" s="53">
        <v>2291444931.89</v>
      </c>
      <c r="FV6" s="35">
        <f t="shared" si="21"/>
        <v>0.115747723760219</v>
      </c>
      <c r="FW6" s="38">
        <f t="shared" si="104"/>
        <v>0.095172971199324</v>
      </c>
      <c r="FX6" s="52">
        <v>1201739958.17</v>
      </c>
      <c r="FY6" s="35">
        <f>FX6/E6</f>
        <v>0.111264793703374</v>
      </c>
      <c r="FZ6" s="35">
        <f t="shared" si="102"/>
        <v>0.524446361963757</v>
      </c>
      <c r="GA6" s="66">
        <v>267726</v>
      </c>
      <c r="GB6" s="66"/>
      <c r="GC6" s="52">
        <f t="shared" si="22"/>
        <v>8558.9181920695</v>
      </c>
      <c r="GD6" s="35">
        <f t="shared" si="23"/>
        <v>-0.0250839145992827</v>
      </c>
      <c r="GE6" s="35">
        <f t="shared" si="24"/>
        <v>0.123351012050619</v>
      </c>
      <c r="GF6" s="68"/>
      <c r="GG6" s="52">
        <f t="shared" si="103"/>
        <v>2387108936.02</v>
      </c>
      <c r="GH6" s="38">
        <f t="shared" si="25"/>
        <v>0.120579998177873</v>
      </c>
      <c r="GI6" s="38">
        <f t="shared" si="26"/>
        <v>0.290155809389411</v>
      </c>
      <c r="GJ6" s="68"/>
      <c r="GK6" s="68"/>
      <c r="GL6" s="68"/>
      <c r="GM6" s="68"/>
      <c r="GN6" s="68"/>
      <c r="GO6" s="68"/>
      <c r="GP6" s="68"/>
      <c r="GQ6" s="68"/>
      <c r="GR6" s="68"/>
      <c r="GS6" s="68"/>
      <c r="GT6" s="68"/>
      <c r="GU6" s="68"/>
      <c r="GV6" s="68"/>
      <c r="GW6" s="68"/>
      <c r="GX6" s="68"/>
    </row>
    <row r="7" spans="1:206">
      <c r="A7" s="12">
        <v>2018</v>
      </c>
      <c r="B7" s="28"/>
      <c r="C7" s="52">
        <v>17034475127.23</v>
      </c>
      <c r="D7" s="52">
        <v>12131005269.24</v>
      </c>
      <c r="E7" s="53">
        <v>9119051026.25</v>
      </c>
      <c r="F7" s="53">
        <v>189988335.01</v>
      </c>
      <c r="G7" s="90">
        <v>2236019583.2</v>
      </c>
      <c r="H7" s="53">
        <v>245553857.78</v>
      </c>
      <c r="I7" s="53">
        <v>493014354.7</v>
      </c>
      <c r="J7" s="53">
        <v>-152621887.7</v>
      </c>
      <c r="K7" s="53">
        <v>5241005851.75</v>
      </c>
      <c r="L7" s="53">
        <v>5222806355.86</v>
      </c>
      <c r="M7" s="53">
        <v>856132678.5</v>
      </c>
      <c r="N7" s="53">
        <v>4366673677.36</v>
      </c>
      <c r="O7" s="53">
        <v>436284025.86</v>
      </c>
      <c r="P7" s="53">
        <v>680310.3</v>
      </c>
      <c r="Q7" s="53"/>
      <c r="R7" s="53">
        <v>6001172.07</v>
      </c>
      <c r="S7" s="53"/>
      <c r="T7" s="53">
        <f t="shared" si="27"/>
        <v>442965508.23</v>
      </c>
      <c r="U7" s="53">
        <v>223924954.49</v>
      </c>
      <c r="V7" s="53">
        <v>16155500000</v>
      </c>
      <c r="W7" s="53">
        <v>13271000</v>
      </c>
      <c r="X7" s="35"/>
      <c r="Y7" s="166">
        <f t="shared" si="28"/>
        <v>237195954.49</v>
      </c>
      <c r="Z7" s="53">
        <f t="shared" si="29"/>
        <v>4809639185.59</v>
      </c>
      <c r="AA7" s="166">
        <f t="shared" si="30"/>
        <v>4809639185.59</v>
      </c>
      <c r="AB7" s="35">
        <f t="shared" si="0"/>
        <v>0.210451134701109</v>
      </c>
      <c r="AC7" s="169"/>
      <c r="AD7" s="169">
        <f t="shared" si="31"/>
        <v>0.712144353062473</v>
      </c>
      <c r="AE7" s="35">
        <f t="shared" si="32"/>
        <v>0.535329146224939</v>
      </c>
      <c r="AF7" s="35">
        <f t="shared" si="33"/>
        <v>0.0111531663635646</v>
      </c>
      <c r="AG7" s="35">
        <f t="shared" si="34"/>
        <v>0.131264366321782</v>
      </c>
      <c r="AH7" s="35">
        <f t="shared" si="35"/>
        <v>0.0144151114692977</v>
      </c>
      <c r="AI7" s="35">
        <f t="shared" si="36"/>
        <v>0.0289421511973624</v>
      </c>
      <c r="AJ7" s="35">
        <f t="shared" si="37"/>
        <v>-0.00895958851447265</v>
      </c>
      <c r="AK7" s="35">
        <f t="shared" si="38"/>
        <v>0.307670521844969</v>
      </c>
      <c r="AL7" s="35">
        <f t="shared" si="39"/>
        <v>0.306602129907204</v>
      </c>
      <c r="AM7" s="35">
        <f t="shared" si="40"/>
        <v>0.256343306426846</v>
      </c>
      <c r="AN7" s="35">
        <f t="shared" si="41"/>
        <v>0.751714373529516</v>
      </c>
      <c r="AO7" s="35">
        <f t="shared" si="42"/>
        <v>0.0156613842623368</v>
      </c>
      <c r="AP7" s="35">
        <f t="shared" si="43"/>
        <v>0.184322694910517</v>
      </c>
      <c r="AQ7" s="35">
        <f t="shared" si="44"/>
        <v>0.0202418391823338</v>
      </c>
      <c r="AR7" s="35">
        <f t="shared" si="45"/>
        <v>0.0406408491100167</v>
      </c>
      <c r="AS7" s="35">
        <f t="shared" si="46"/>
        <v>-0.01258114099472</v>
      </c>
      <c r="AT7" s="35">
        <f t="shared" si="47"/>
        <v>0.168000000000082</v>
      </c>
      <c r="AU7" s="35">
        <f t="shared" si="48"/>
        <v>0.148649743587351</v>
      </c>
      <c r="AV7" s="35">
        <f t="shared" si="49"/>
        <v>0.151289499671923</v>
      </c>
      <c r="AW7" s="35">
        <f t="shared" si="50"/>
        <v>0.194083546874454</v>
      </c>
      <c r="AX7" s="35">
        <f t="shared" si="51"/>
        <v>0.14283665254494</v>
      </c>
      <c r="AY7" s="35">
        <f t="shared" si="52"/>
        <v>0.197543804855648</v>
      </c>
      <c r="AZ7" s="35">
        <f t="shared" si="53"/>
        <v>0.227416715015282</v>
      </c>
      <c r="BA7" s="35"/>
      <c r="BB7" s="35">
        <f t="shared" si="54"/>
        <v>0.244650827397254</v>
      </c>
      <c r="BC7" s="35">
        <f t="shared" si="55"/>
        <v>0.23901503047028</v>
      </c>
      <c r="BD7" s="35">
        <f t="shared" si="56"/>
        <v>0.236500047209247</v>
      </c>
      <c r="BE7" s="53">
        <v>4163847997.46</v>
      </c>
      <c r="BF7" s="53">
        <v>1912702050.53</v>
      </c>
      <c r="BG7" s="53">
        <v>34635938.78</v>
      </c>
      <c r="BH7" s="86">
        <v>4651913.29</v>
      </c>
      <c r="BI7" s="166">
        <f t="shared" si="57"/>
        <v>6115837900.06</v>
      </c>
      <c r="BJ7" s="166">
        <f t="shared" si="58"/>
        <v>-42847560.2399998</v>
      </c>
      <c r="BK7" s="166">
        <f t="shared" si="59"/>
        <v>276758905.79</v>
      </c>
      <c r="BL7" s="166">
        <f t="shared" si="60"/>
        <v>-34229171.38</v>
      </c>
      <c r="BM7" s="166">
        <f t="shared" si="61"/>
        <v>-2747458.42</v>
      </c>
      <c r="BN7" s="166">
        <f t="shared" si="62"/>
        <v>196934715.75</v>
      </c>
      <c r="BO7" s="35">
        <f t="shared" si="63"/>
        <v>-0.0101855624331005</v>
      </c>
      <c r="BP7" s="37">
        <f t="shared" si="64"/>
        <v>0.169173914558006</v>
      </c>
      <c r="BQ7" s="35">
        <f t="shared" si="65"/>
        <v>-0.497046636540224</v>
      </c>
      <c r="BR7" s="35">
        <f t="shared" si="66"/>
        <v>-0.371309690562903</v>
      </c>
      <c r="BS7" s="35">
        <f t="shared" si="67"/>
        <v>0.0332721637130407</v>
      </c>
      <c r="BT7" s="166">
        <v>1834557827.88</v>
      </c>
      <c r="BU7" s="166">
        <v>504835992.67</v>
      </c>
      <c r="BV7" s="166">
        <v>27563335.63</v>
      </c>
      <c r="BW7" s="166">
        <v>3376490.07</v>
      </c>
      <c r="BX7" s="166">
        <f t="shared" si="2"/>
        <v>2370333646.25</v>
      </c>
      <c r="BY7" s="166">
        <f t="shared" si="68"/>
        <v>50851976.4100001</v>
      </c>
      <c r="BZ7" s="166">
        <f t="shared" si="69"/>
        <v>81265008.6</v>
      </c>
      <c r="CA7" s="166">
        <f t="shared" si="70"/>
        <v>-28162860.57</v>
      </c>
      <c r="CB7" s="166">
        <f t="shared" si="71"/>
        <v>-2876882.27</v>
      </c>
      <c r="CC7" s="166">
        <f t="shared" si="72"/>
        <v>101077242.170001</v>
      </c>
      <c r="CD7" s="35">
        <f t="shared" si="73"/>
        <v>0.0285091717157802</v>
      </c>
      <c r="CE7" s="37">
        <f t="shared" si="74"/>
        <v>0.191856882686209</v>
      </c>
      <c r="CF7" s="35">
        <f t="shared" si="75"/>
        <v>-0.505379202070857</v>
      </c>
      <c r="CG7" s="35">
        <f t="shared" si="76"/>
        <v>-0.460052930416103</v>
      </c>
      <c r="CH7" s="35">
        <f t="shared" si="77"/>
        <v>0.0445420103203275</v>
      </c>
      <c r="CI7" s="166">
        <f t="shared" si="3"/>
        <v>2329290169.58</v>
      </c>
      <c r="CJ7" s="166">
        <f t="shared" si="4"/>
        <v>1407866057.86</v>
      </c>
      <c r="CK7" s="166">
        <f t="shared" si="5"/>
        <v>7072603.15</v>
      </c>
      <c r="CL7" s="166">
        <f t="shared" si="6"/>
        <v>1275423.22</v>
      </c>
      <c r="CM7" s="166">
        <f t="shared" si="78"/>
        <v>3745504253.81</v>
      </c>
      <c r="CN7" s="166">
        <f t="shared" si="79"/>
        <v>-93699536.6499996</v>
      </c>
      <c r="CO7" s="166">
        <f t="shared" si="80"/>
        <v>195493897.19</v>
      </c>
      <c r="CP7" s="166">
        <f t="shared" si="81"/>
        <v>-6066310.80999999</v>
      </c>
      <c r="CQ7" s="166">
        <f t="shared" si="82"/>
        <v>129423.85</v>
      </c>
      <c r="CR7" s="166">
        <f t="shared" si="83"/>
        <v>95857473.5799999</v>
      </c>
      <c r="CS7" s="35">
        <f t="shared" si="84"/>
        <v>-0.0386710419813502</v>
      </c>
      <c r="CT7" s="35">
        <f t="shared" si="85"/>
        <v>0.161249081372805</v>
      </c>
      <c r="CU7" s="35">
        <f t="shared" si="86"/>
        <v>-0.461705649985092</v>
      </c>
      <c r="CV7" s="35">
        <f t="shared" si="87"/>
        <v>0.112935358769002</v>
      </c>
      <c r="CW7" s="35">
        <f t="shared" si="88"/>
        <v>0.026264863246289</v>
      </c>
      <c r="CX7" s="166">
        <v>13386836.86</v>
      </c>
      <c r="CY7" s="166">
        <v>47606356.63</v>
      </c>
      <c r="CZ7" s="166">
        <v>30582461.87</v>
      </c>
      <c r="DA7" s="166"/>
      <c r="DB7" s="166"/>
      <c r="DC7" s="166"/>
      <c r="DD7" s="166"/>
      <c r="DE7" s="166"/>
      <c r="DF7" s="166">
        <v>17272.73</v>
      </c>
      <c r="DG7" s="166">
        <v>72401570.28</v>
      </c>
      <c r="DH7" s="166">
        <v>1855810.61</v>
      </c>
      <c r="DI7" s="166"/>
      <c r="DJ7" s="166"/>
      <c r="DK7" s="166"/>
      <c r="DL7" s="166"/>
      <c r="DM7" s="166"/>
      <c r="DN7" s="166"/>
      <c r="DO7" s="166"/>
      <c r="DP7" s="166"/>
      <c r="DQ7" s="166"/>
      <c r="DR7" s="166">
        <v>18354302.31</v>
      </c>
      <c r="DS7" s="166"/>
      <c r="DT7" s="166"/>
      <c r="DU7" s="166">
        <v>68098015.22</v>
      </c>
      <c r="DV7" s="166">
        <f t="shared" si="7"/>
        <v>252302626.51</v>
      </c>
      <c r="DW7" s="166">
        <v>7403919975.01</v>
      </c>
      <c r="DX7" s="166">
        <v>838978008.52</v>
      </c>
      <c r="DY7" s="166">
        <v>226808384.18</v>
      </c>
      <c r="DZ7" s="166"/>
      <c r="EA7" s="166">
        <f t="shared" si="8"/>
        <v>8469706367.71</v>
      </c>
      <c r="EB7" s="166">
        <f t="shared" si="89"/>
        <v>825505348.38</v>
      </c>
      <c r="EC7" s="166">
        <f t="shared" si="90"/>
        <v>101392070.3</v>
      </c>
      <c r="ED7" s="166">
        <f t="shared" si="91"/>
        <v>47379851.95</v>
      </c>
      <c r="EE7" s="166">
        <f t="shared" si="92"/>
        <v>0</v>
      </c>
      <c r="EF7" s="166">
        <f t="shared" si="93"/>
        <v>974277270.630001</v>
      </c>
      <c r="EG7" s="35">
        <f t="shared" si="94"/>
        <v>0.125486974481402</v>
      </c>
      <c r="EH7" s="35">
        <f t="shared" si="95"/>
        <v>0.137464755015107</v>
      </c>
      <c r="EI7" s="37">
        <f t="shared" si="96"/>
        <v>0.264059742122096</v>
      </c>
      <c r="EJ7" s="35" t="e">
        <f t="shared" si="97"/>
        <v>#DIV/0!</v>
      </c>
      <c r="EK7" s="35">
        <f t="shared" si="98"/>
        <v>0.12998285461863</v>
      </c>
      <c r="EL7" s="35">
        <f t="shared" si="99"/>
        <v>0.163921964585077</v>
      </c>
      <c r="EM7" s="35">
        <f t="shared" si="9"/>
        <v>0.163352742339361</v>
      </c>
      <c r="EN7" s="53">
        <v>10236297819.37</v>
      </c>
      <c r="EO7" s="35">
        <f t="shared" si="10"/>
        <v>0.600916537957019</v>
      </c>
      <c r="EP7" s="35">
        <f t="shared" si="11"/>
        <v>0.158495044477442</v>
      </c>
      <c r="EQ7" s="53">
        <v>5062172624.6</v>
      </c>
      <c r="ER7" s="35">
        <f>EQ7/E7</f>
        <v>0.55512055037614</v>
      </c>
      <c r="ES7" s="35">
        <f t="shared" si="100"/>
        <v>0.494531588854412</v>
      </c>
      <c r="ET7" s="35"/>
      <c r="EU7" s="35"/>
      <c r="EV7" s="35"/>
      <c r="EW7" s="35"/>
      <c r="EX7" s="61">
        <v>1877957</v>
      </c>
      <c r="EY7" s="61">
        <v>1915722</v>
      </c>
      <c r="EZ7" s="90">
        <f t="shared" si="12"/>
        <v>5450.76262095991</v>
      </c>
      <c r="FA7" s="35">
        <f t="shared" si="13"/>
        <v>0.00935729187302478</v>
      </c>
      <c r="FB7" s="35">
        <f t="shared" si="14"/>
        <v>0.147755164405329</v>
      </c>
      <c r="FC7" s="90">
        <v>106544</v>
      </c>
      <c r="FD7" s="35">
        <f t="shared" si="15"/>
        <v>0.0567339933768452</v>
      </c>
      <c r="FE7" s="53">
        <v>2855615479.97</v>
      </c>
      <c r="FF7" s="35">
        <f t="shared" si="16"/>
        <v>0.16763742109114</v>
      </c>
      <c r="FG7" s="35">
        <f t="shared" si="17"/>
        <v>0.260175713715514</v>
      </c>
      <c r="FH7" s="52">
        <v>1687085668.33</v>
      </c>
      <c r="FI7" s="35">
        <f>FH7/E7</f>
        <v>0.185006714347093</v>
      </c>
      <c r="FJ7" s="35">
        <f t="shared" si="101"/>
        <v>0.590795812728864</v>
      </c>
      <c r="FK7" s="35"/>
      <c r="FL7" s="35"/>
      <c r="FM7" s="35"/>
      <c r="FN7" s="35"/>
      <c r="FO7" s="61">
        <v>604320</v>
      </c>
      <c r="FP7" s="66">
        <v>617006</v>
      </c>
      <c r="FQ7" s="90">
        <f t="shared" si="18"/>
        <v>4725.33670897869</v>
      </c>
      <c r="FR7" s="35">
        <f t="shared" si="19"/>
        <v>0.0109431857447727</v>
      </c>
      <c r="FS7" s="35">
        <f t="shared" si="20"/>
        <v>0.246534653465347</v>
      </c>
      <c r="FT7" s="53"/>
      <c r="FU7" s="53">
        <v>2092313262.06</v>
      </c>
      <c r="FV7" s="35">
        <f t="shared" si="21"/>
        <v>0.122828161503808</v>
      </c>
      <c r="FW7" s="38">
        <f t="shared" si="104"/>
        <v>0.0255022034095738</v>
      </c>
      <c r="FX7" s="52">
        <v>1093337468.44</v>
      </c>
      <c r="FY7" s="35">
        <f>FX7/E7</f>
        <v>0.119895970018452</v>
      </c>
      <c r="FZ7" s="35">
        <f t="shared" si="102"/>
        <v>0.52254960491124</v>
      </c>
      <c r="GA7" s="66">
        <v>238328</v>
      </c>
      <c r="GB7" s="66"/>
      <c r="GC7" s="52">
        <f t="shared" si="22"/>
        <v>8779.13322001611</v>
      </c>
      <c r="GD7" s="35">
        <f t="shared" si="23"/>
        <v>-0.00430830674962497</v>
      </c>
      <c r="GE7" s="35">
        <f t="shared" si="24"/>
        <v>0.0299394987035436</v>
      </c>
      <c r="GF7" s="68"/>
      <c r="GG7" s="52">
        <f t="shared" si="103"/>
        <v>1850248565.83</v>
      </c>
      <c r="GH7" s="38">
        <f t="shared" si="25"/>
        <v>0.108617879448034</v>
      </c>
      <c r="GI7" s="38">
        <f t="shared" si="26"/>
        <v>0.283000866700177</v>
      </c>
      <c r="GJ7" s="68"/>
      <c r="GK7" s="68"/>
      <c r="GL7" s="68"/>
      <c r="GM7" s="68"/>
      <c r="GN7" s="68"/>
      <c r="GO7" s="68"/>
      <c r="GP7" s="68"/>
      <c r="GQ7" s="68"/>
      <c r="GR7" s="68"/>
      <c r="GS7" s="68"/>
      <c r="GT7" s="68"/>
      <c r="GU7" s="68"/>
      <c r="GV7" s="68"/>
      <c r="GW7" s="68"/>
      <c r="GX7" s="68"/>
    </row>
    <row r="8" s="149" customFormat="1" spans="1:206">
      <c r="A8" s="16">
        <v>2017</v>
      </c>
      <c r="B8" s="117"/>
      <c r="C8" s="154">
        <v>14584310896.6</v>
      </c>
      <c r="D8" s="155">
        <v>10561100402.42</v>
      </c>
      <c r="E8" s="154">
        <v>7920728043.51</v>
      </c>
      <c r="F8" s="155">
        <v>159108075.4</v>
      </c>
      <c r="G8" s="127">
        <v>1956552214.37</v>
      </c>
      <c r="H8" s="155">
        <v>205047912.89</v>
      </c>
      <c r="I8" s="155">
        <v>401668275.06</v>
      </c>
      <c r="J8" s="155">
        <v>-82004118.81</v>
      </c>
      <c r="K8" s="155">
        <v>4210824221.85</v>
      </c>
      <c r="L8" s="155">
        <v>4215288941.15</v>
      </c>
      <c r="M8" s="155">
        <v>683810161.82</v>
      </c>
      <c r="N8" s="155">
        <v>3531478779.33</v>
      </c>
      <c r="O8" s="155">
        <v>434994090.11</v>
      </c>
      <c r="P8" s="155">
        <v>609310.85</v>
      </c>
      <c r="Q8" s="155"/>
      <c r="R8" s="155">
        <v>6344790.62</v>
      </c>
      <c r="S8" s="155"/>
      <c r="T8" s="53">
        <f t="shared" si="27"/>
        <v>441948191.58</v>
      </c>
      <c r="U8" s="155">
        <v>262027920.76</v>
      </c>
      <c r="V8" s="155">
        <v>7409000000</v>
      </c>
      <c r="W8" s="155">
        <v>26660593.27</v>
      </c>
      <c r="X8" s="37"/>
      <c r="Y8" s="166">
        <f t="shared" si="28"/>
        <v>288688514.03</v>
      </c>
      <c r="Z8" s="53">
        <f t="shared" si="29"/>
        <v>3973426970.91</v>
      </c>
      <c r="AA8" s="166">
        <f t="shared" si="30"/>
        <v>3973426970.91</v>
      </c>
      <c r="AB8" s="35">
        <f t="shared" si="0"/>
        <v>0.232315481315171</v>
      </c>
      <c r="AC8" s="169"/>
      <c r="AD8" s="171">
        <f t="shared" si="31"/>
        <v>0.724141200588509</v>
      </c>
      <c r="AE8" s="37">
        <f t="shared" si="32"/>
        <v>0.54309923174749</v>
      </c>
      <c r="AF8" s="37">
        <f t="shared" si="33"/>
        <v>0.010909536729438</v>
      </c>
      <c r="AG8" s="37">
        <f t="shared" si="34"/>
        <v>0.134154587641582</v>
      </c>
      <c r="AH8" s="37">
        <f t="shared" si="35"/>
        <v>0.0140594858642106</v>
      </c>
      <c r="AI8" s="37">
        <f t="shared" si="36"/>
        <v>0.0275411212711901</v>
      </c>
      <c r="AJ8" s="35">
        <f t="shared" si="37"/>
        <v>-0.00562276266540076</v>
      </c>
      <c r="AK8" s="35">
        <f t="shared" si="38"/>
        <v>0.288722878420787</v>
      </c>
      <c r="AL8" s="35">
        <f t="shared" si="39"/>
        <v>0.289029010080462</v>
      </c>
      <c r="AM8" s="35">
        <f t="shared" si="40"/>
        <v>0.242142313364513</v>
      </c>
      <c r="AN8" s="35">
        <f t="shared" si="41"/>
        <v>0.749990790892872</v>
      </c>
      <c r="AO8" s="35">
        <f t="shared" si="42"/>
        <v>0.0150654826994677</v>
      </c>
      <c r="AP8" s="35">
        <f t="shared" si="43"/>
        <v>0.185260260751017</v>
      </c>
      <c r="AQ8" s="35">
        <f t="shared" si="44"/>
        <v>0.0194153928167386</v>
      </c>
      <c r="AR8" s="35">
        <f t="shared" si="45"/>
        <v>0.0380328052716894</v>
      </c>
      <c r="AS8" s="35">
        <f t="shared" si="46"/>
        <v>-0.00776473243178422</v>
      </c>
      <c r="AT8" s="35">
        <f t="shared" si="47"/>
        <v>0.170625829671742</v>
      </c>
      <c r="AU8" s="35">
        <f t="shared" si="48"/>
        <v>0.155017702481526</v>
      </c>
      <c r="AV8" s="35">
        <f t="shared" si="49"/>
        <v>0.134254850553199</v>
      </c>
      <c r="AW8" s="35">
        <f t="shared" si="50"/>
        <v>0.257149638141735</v>
      </c>
      <c r="AX8" s="35">
        <f t="shared" si="51"/>
        <v>0.254277401411129</v>
      </c>
      <c r="AY8" s="44">
        <f t="shared" si="52"/>
        <v>-0.605438290961458</v>
      </c>
      <c r="AZ8" s="35" t="e">
        <f t="shared" si="53"/>
        <v>#DIV/0!</v>
      </c>
      <c r="BA8" s="35"/>
      <c r="BB8" s="35">
        <f t="shared" si="54"/>
        <v>0.237894108940673</v>
      </c>
      <c r="BC8" s="35">
        <f t="shared" si="55"/>
        <v>0.234931502582693</v>
      </c>
      <c r="BD8" s="36">
        <f t="shared" si="56"/>
        <v>0.242107765186688</v>
      </c>
      <c r="BE8" s="166">
        <v>4206695557.7</v>
      </c>
      <c r="BF8" s="166">
        <v>1635943144.74</v>
      </c>
      <c r="BG8" s="166">
        <v>68865110.16</v>
      </c>
      <c r="BH8" s="166">
        <v>7399371.71</v>
      </c>
      <c r="BI8" s="166">
        <f t="shared" si="57"/>
        <v>5918903184.31</v>
      </c>
      <c r="BJ8" s="166">
        <f t="shared" si="58"/>
        <v>105954629.89</v>
      </c>
      <c r="BK8" s="166">
        <f t="shared" si="59"/>
        <v>142113015.98</v>
      </c>
      <c r="BL8" s="166">
        <f t="shared" si="60"/>
        <v>2110646</v>
      </c>
      <c r="BM8" s="166">
        <f t="shared" si="61"/>
        <v>50548.1799999997</v>
      </c>
      <c r="BN8" s="166">
        <f t="shared" si="62"/>
        <v>250228840.05</v>
      </c>
      <c r="BO8" s="35">
        <f t="shared" si="63"/>
        <v>0.0258379233790282</v>
      </c>
      <c r="BP8" s="35">
        <f t="shared" si="64"/>
        <v>0.0951333175332093</v>
      </c>
      <c r="BQ8" s="35">
        <f t="shared" si="65"/>
        <v>0.0316180502167033</v>
      </c>
      <c r="BR8" s="35">
        <f t="shared" si="66"/>
        <v>0.00687840438590579</v>
      </c>
      <c r="BS8" s="35">
        <f t="shared" si="67"/>
        <v>0.0441423911224284</v>
      </c>
      <c r="BT8" s="174">
        <v>1783705851.47</v>
      </c>
      <c r="BU8" s="174">
        <v>423570984.07</v>
      </c>
      <c r="BV8" s="174">
        <v>55726196.2</v>
      </c>
      <c r="BW8" s="174">
        <v>6253372.34</v>
      </c>
      <c r="BX8" s="166">
        <f t="shared" si="2"/>
        <v>2269256404.08</v>
      </c>
      <c r="BY8" s="166">
        <f t="shared" si="68"/>
        <v>351655322.19</v>
      </c>
      <c r="BZ8" s="166">
        <f t="shared" si="69"/>
        <v>75130875.64</v>
      </c>
      <c r="CA8" s="166">
        <f t="shared" si="70"/>
        <v>3880738.96</v>
      </c>
      <c r="CB8" s="166">
        <f t="shared" si="71"/>
        <v>200443.97</v>
      </c>
      <c r="CC8" s="166">
        <f t="shared" si="72"/>
        <v>430867380.76</v>
      </c>
      <c r="CD8" s="37">
        <f t="shared" si="73"/>
        <v>0.245560694263214</v>
      </c>
      <c r="CE8" s="37">
        <f t="shared" si="74"/>
        <v>0.215620629836572</v>
      </c>
      <c r="CF8" s="35">
        <f t="shared" si="75"/>
        <v>0.0748520539038841</v>
      </c>
      <c r="CG8" s="35">
        <f t="shared" si="76"/>
        <v>0.0331152060205199</v>
      </c>
      <c r="CH8" s="37">
        <f t="shared" si="77"/>
        <v>0.23437225488971</v>
      </c>
      <c r="CI8" s="166">
        <f t="shared" si="3"/>
        <v>2422989706.23</v>
      </c>
      <c r="CJ8" s="166">
        <f t="shared" si="4"/>
        <v>1212372160.67</v>
      </c>
      <c r="CK8" s="166">
        <f t="shared" si="5"/>
        <v>13138913.96</v>
      </c>
      <c r="CL8" s="166">
        <f t="shared" si="6"/>
        <v>1145999.37</v>
      </c>
      <c r="CM8" s="166">
        <f t="shared" si="78"/>
        <v>3649646780.23</v>
      </c>
      <c r="CN8" s="166">
        <f t="shared" si="79"/>
        <v>-245700692.3</v>
      </c>
      <c r="CO8" s="166">
        <f t="shared" si="80"/>
        <v>66982140.3400002</v>
      </c>
      <c r="CP8" s="166">
        <f t="shared" si="81"/>
        <v>-1770092.96</v>
      </c>
      <c r="CQ8" s="166">
        <f t="shared" si="82"/>
        <v>-149895.79</v>
      </c>
      <c r="CR8" s="166">
        <f t="shared" si="83"/>
        <v>-180638540.71</v>
      </c>
      <c r="CS8" s="35">
        <f t="shared" si="84"/>
        <v>-0.0920678893420308</v>
      </c>
      <c r="CT8" s="35">
        <f t="shared" si="85"/>
        <v>0.0584797659758742</v>
      </c>
      <c r="CU8" s="35">
        <f t="shared" si="86"/>
        <v>-0.118726416152203</v>
      </c>
      <c r="CV8" s="35">
        <f t="shared" si="87"/>
        <v>-0.115669688896747</v>
      </c>
      <c r="CW8" s="35">
        <f t="shared" si="88"/>
        <v>-0.0471605965546371</v>
      </c>
      <c r="CX8" s="166">
        <v>36958853.54</v>
      </c>
      <c r="CY8" s="166">
        <v>43835235.54</v>
      </c>
      <c r="CZ8" s="174">
        <v>63123598.78</v>
      </c>
      <c r="DA8" s="174"/>
      <c r="DB8" s="174"/>
      <c r="DC8" s="174"/>
      <c r="DD8" s="174"/>
      <c r="DE8" s="174"/>
      <c r="DF8" s="174">
        <v>204411380.53</v>
      </c>
      <c r="DG8" s="174">
        <v>127675213.36</v>
      </c>
      <c r="DH8" s="174">
        <v>86900392.66</v>
      </c>
      <c r="DI8" s="174"/>
      <c r="DJ8" s="174"/>
      <c r="DK8" s="174"/>
      <c r="DL8" s="174"/>
      <c r="DM8" s="174"/>
      <c r="DN8" s="174">
        <v>3653367.82</v>
      </c>
      <c r="DO8" s="174">
        <v>1321634.97</v>
      </c>
      <c r="DP8" s="174"/>
      <c r="DQ8" s="174"/>
      <c r="DR8" s="174">
        <v>10345182.51</v>
      </c>
      <c r="DS8" s="174"/>
      <c r="DT8" s="174"/>
      <c r="DU8" s="174">
        <v>36910719.1</v>
      </c>
      <c r="DV8" s="166">
        <f t="shared" si="7"/>
        <v>615135578.81</v>
      </c>
      <c r="DW8" s="174">
        <v>6578414626.63</v>
      </c>
      <c r="DX8" s="174">
        <v>737585938.22</v>
      </c>
      <c r="DY8" s="174">
        <v>179428532.23</v>
      </c>
      <c r="DZ8" s="174"/>
      <c r="EA8" s="166">
        <f t="shared" si="8"/>
        <v>7495429097.08</v>
      </c>
      <c r="EB8" s="166">
        <f t="shared" si="89"/>
        <v>785467218.32</v>
      </c>
      <c r="EC8" s="166">
        <f t="shared" si="90"/>
        <v>79627964.37</v>
      </c>
      <c r="ED8" s="166">
        <f t="shared" si="91"/>
        <v>7684094.75999999</v>
      </c>
      <c r="EE8" s="166">
        <f t="shared" si="92"/>
        <v>0</v>
      </c>
      <c r="EF8" s="166">
        <f t="shared" si="93"/>
        <v>872779277.449999</v>
      </c>
      <c r="EG8" s="35">
        <f t="shared" si="94"/>
        <v>0.135590255349677</v>
      </c>
      <c r="EH8" s="35">
        <f t="shared" si="95"/>
        <v>0.121022873093341</v>
      </c>
      <c r="EI8" s="35">
        <f t="shared" si="96"/>
        <v>0.044741447660232</v>
      </c>
      <c r="EJ8" s="35" t="e">
        <f t="shared" si="97"/>
        <v>#DIV/0!</v>
      </c>
      <c r="EK8" s="35">
        <f t="shared" si="98"/>
        <v>0.131787018975852</v>
      </c>
      <c r="EL8" s="37">
        <f t="shared" si="99"/>
        <v>0.162221420967039</v>
      </c>
      <c r="EM8" s="37">
        <f t="shared" si="9"/>
        <v>0.162393423660789</v>
      </c>
      <c r="EN8" s="155">
        <v>8835858097.25</v>
      </c>
      <c r="EO8" s="37">
        <f t="shared" si="10"/>
        <v>0.605846800708964</v>
      </c>
      <c r="EP8" s="36">
        <f t="shared" si="11"/>
        <v>0.165885055124586</v>
      </c>
      <c r="EQ8" s="155">
        <v>4459713077.13</v>
      </c>
      <c r="ER8" s="37">
        <f t="shared" ref="ER8:ER13" si="105">EQ8/D8</f>
        <v>0.422277310810158</v>
      </c>
      <c r="ES8" s="37">
        <f t="shared" si="100"/>
        <v>0.504728915748206</v>
      </c>
      <c r="ET8" s="37"/>
      <c r="EU8" s="37"/>
      <c r="EV8" s="37"/>
      <c r="EW8" s="37"/>
      <c r="EX8" s="183">
        <v>1636200</v>
      </c>
      <c r="EY8" s="183">
        <v>1660500</v>
      </c>
      <c r="EZ8" s="127">
        <f t="shared" si="12"/>
        <v>5400.23108253881</v>
      </c>
      <c r="FA8" s="37">
        <f t="shared" si="13"/>
        <v>0.0547974863103068</v>
      </c>
      <c r="FB8" s="37">
        <f t="shared" si="14"/>
        <v>0.105316489900696</v>
      </c>
      <c r="FC8" s="127">
        <v>68800</v>
      </c>
      <c r="FD8" s="37">
        <f t="shared" si="15"/>
        <v>0.0420486493093754</v>
      </c>
      <c r="FE8" s="155">
        <v>2266045479.92</v>
      </c>
      <c r="FF8" s="37">
        <f t="shared" si="16"/>
        <v>0.155375560490025</v>
      </c>
      <c r="FG8" s="35">
        <f t="shared" si="17"/>
        <v>0.216533508732393</v>
      </c>
      <c r="FH8" s="154">
        <v>1114489382.95</v>
      </c>
      <c r="FI8" s="37">
        <f>FH8/D8</f>
        <v>0.105527770827235</v>
      </c>
      <c r="FJ8" s="37">
        <f t="shared" si="101"/>
        <v>0.491821277562949</v>
      </c>
      <c r="FK8" s="37"/>
      <c r="FL8" s="37"/>
      <c r="FM8" s="37"/>
      <c r="FN8" s="37"/>
      <c r="FO8" s="183">
        <v>484800</v>
      </c>
      <c r="FP8" s="185">
        <v>504600</v>
      </c>
      <c r="FQ8" s="127">
        <f t="shared" si="18"/>
        <v>4674.1862209571</v>
      </c>
      <c r="FR8" s="37">
        <f t="shared" si="19"/>
        <v>0.0712420686424475</v>
      </c>
      <c r="FS8" s="37">
        <f t="shared" si="20"/>
        <v>0.135628952916374</v>
      </c>
      <c r="FT8" s="155"/>
      <c r="FU8" s="155">
        <v>2040281586.04</v>
      </c>
      <c r="FV8" s="37">
        <f t="shared" si="21"/>
        <v>0.139895645430573</v>
      </c>
      <c r="FW8" s="38">
        <f t="shared" si="104"/>
        <v>0.124468869532566</v>
      </c>
      <c r="FX8" s="154">
        <v>1379128476.37</v>
      </c>
      <c r="FY8" s="37">
        <f>FX8/D8</f>
        <v>0.130585679883697</v>
      </c>
      <c r="FZ8" s="37">
        <f t="shared" si="102"/>
        <v>0.675950067778028</v>
      </c>
      <c r="GA8" s="185">
        <v>231400</v>
      </c>
      <c r="GB8" s="185"/>
      <c r="GC8" s="154">
        <f t="shared" si="22"/>
        <v>8817.12007796024</v>
      </c>
      <c r="GD8" s="37">
        <f t="shared" si="23"/>
        <v>0.0588667531164487</v>
      </c>
      <c r="GE8" s="37">
        <f t="shared" si="24"/>
        <v>0.0619550252409362</v>
      </c>
      <c r="GF8" s="123"/>
      <c r="GG8" s="52">
        <f t="shared" si="103"/>
        <v>1442125733.39</v>
      </c>
      <c r="GH8" s="38">
        <f t="shared" si="25"/>
        <v>0.0988819933704375</v>
      </c>
      <c r="GI8" s="38">
        <f t="shared" si="26"/>
        <v>0.199031977134993</v>
      </c>
      <c r="GJ8" s="123"/>
      <c r="GK8" s="123"/>
      <c r="GL8" s="123"/>
      <c r="GM8" s="123"/>
      <c r="GN8" s="123"/>
      <c r="GO8" s="123"/>
      <c r="GP8" s="123"/>
      <c r="GQ8" s="123"/>
      <c r="GR8" s="123"/>
      <c r="GS8" s="123"/>
      <c r="GT8" s="123"/>
      <c r="GU8" s="123"/>
      <c r="GV8" s="123"/>
      <c r="GW8" s="123"/>
      <c r="GX8" s="123"/>
    </row>
    <row r="9" spans="1:206">
      <c r="A9" s="12">
        <v>2016</v>
      </c>
      <c r="B9" s="28"/>
      <c r="C9" s="52">
        <v>12458558940.81</v>
      </c>
      <c r="D9" s="53">
        <v>9143669728.81</v>
      </c>
      <c r="E9" s="52">
        <v>6983199621.89</v>
      </c>
      <c r="F9" s="53">
        <v>126562559.12</v>
      </c>
      <c r="G9" s="90">
        <v>1559903903.37</v>
      </c>
      <c r="H9" s="53">
        <v>519685281.65</v>
      </c>
      <c r="I9" s="53"/>
      <c r="J9" s="53">
        <v>-45681637.22</v>
      </c>
      <c r="K9" s="53">
        <v>3401602925.03</v>
      </c>
      <c r="L9" s="53">
        <v>3413378743.95</v>
      </c>
      <c r="M9" s="53">
        <v>570244775.78</v>
      </c>
      <c r="N9" s="53">
        <v>2843133968.17</v>
      </c>
      <c r="O9" s="53">
        <v>374633731.41</v>
      </c>
      <c r="P9" s="53">
        <v>609310.75</v>
      </c>
      <c r="Q9" s="53"/>
      <c r="R9" s="53">
        <v>5981549.76</v>
      </c>
      <c r="S9" s="53"/>
      <c r="T9" s="53">
        <f t="shared" si="27"/>
        <v>381224591.92</v>
      </c>
      <c r="U9" s="53">
        <v>788066840.33</v>
      </c>
      <c r="V9" s="53">
        <v>5170828212.48</v>
      </c>
      <c r="W9" s="53"/>
      <c r="X9" s="35"/>
      <c r="Y9" s="165">
        <f t="shared" si="28"/>
        <v>788066840.33</v>
      </c>
      <c r="Z9" s="53">
        <f t="shared" si="29"/>
        <v>3224358560.09</v>
      </c>
      <c r="AA9" s="166">
        <f t="shared" si="30"/>
        <v>3224358560.09</v>
      </c>
      <c r="AB9" s="35">
        <f t="shared" si="0"/>
        <v>0.126111836798827</v>
      </c>
      <c r="AC9" s="169"/>
      <c r="AD9" s="169">
        <f t="shared" si="31"/>
        <v>0.733926754470651</v>
      </c>
      <c r="AE9" s="35">
        <f t="shared" si="32"/>
        <v>0.560514234035159</v>
      </c>
      <c r="AF9" s="35">
        <f t="shared" si="33"/>
        <v>0.0101586836584626</v>
      </c>
      <c r="AG9" s="35">
        <f t="shared" si="34"/>
        <v>0.125207410486319</v>
      </c>
      <c r="AH9" s="35">
        <f t="shared" si="35"/>
        <v>0.0417131133800465</v>
      </c>
      <c r="AI9" s="35">
        <f t="shared" si="36"/>
        <v>0</v>
      </c>
      <c r="AJ9" s="35">
        <f t="shared" si="37"/>
        <v>-0.00366668708933603</v>
      </c>
      <c r="AK9" s="35">
        <f t="shared" si="38"/>
        <v>0.273033417523716</v>
      </c>
      <c r="AL9" s="35">
        <f t="shared" si="39"/>
        <v>0.273978616641523</v>
      </c>
      <c r="AM9" s="35">
        <f t="shared" si="40"/>
        <v>0.228207289597263</v>
      </c>
      <c r="AN9" s="35">
        <f t="shared" si="41"/>
        <v>0.763719581853141</v>
      </c>
      <c r="AO9" s="35">
        <f t="shared" si="42"/>
        <v>0.0138415497140306</v>
      </c>
      <c r="AP9" s="35">
        <f t="shared" si="43"/>
        <v>0.170599327144881</v>
      </c>
      <c r="AQ9" s="35">
        <f t="shared" si="44"/>
        <v>0.0568355263327774</v>
      </c>
      <c r="AR9" s="35">
        <f t="shared" si="45"/>
        <v>0</v>
      </c>
      <c r="AS9" s="35">
        <f t="shared" si="46"/>
        <v>-0.00499598504483005</v>
      </c>
      <c r="AT9" s="35">
        <f t="shared" si="47"/>
        <v>0.103075946410378</v>
      </c>
      <c r="AU9" s="35">
        <f t="shared" si="48"/>
        <v>0.100951926420299</v>
      </c>
      <c r="AV9" s="35">
        <f t="shared" si="49"/>
        <v>0.064959410298962</v>
      </c>
      <c r="AW9" s="35">
        <f t="shared" si="50"/>
        <v>0.202749673021232</v>
      </c>
      <c r="AX9" s="35">
        <f t="shared" si="51"/>
        <v>0.271086711209567</v>
      </c>
      <c r="AY9" s="35">
        <f t="shared" si="52"/>
        <v>-0.0284464891969363</v>
      </c>
      <c r="AZ9" s="35" t="e">
        <f t="shared" si="53"/>
        <v>#DIV/0!</v>
      </c>
      <c r="BA9" s="35"/>
      <c r="BB9" s="35">
        <f t="shared" si="54"/>
        <v>0.137987057766867</v>
      </c>
      <c r="BC9" s="35">
        <f t="shared" si="55"/>
        <v>0.133522213304203</v>
      </c>
      <c r="BD9" s="35">
        <f t="shared" si="56"/>
        <v>0.132888627506352</v>
      </c>
      <c r="BE9" s="166">
        <v>4100740927.81</v>
      </c>
      <c r="BF9" s="166">
        <v>1493830128.76</v>
      </c>
      <c r="BG9" s="166">
        <v>66754464.16</v>
      </c>
      <c r="BH9" s="166">
        <v>7348823.53</v>
      </c>
      <c r="BI9" s="166">
        <f t="shared" si="57"/>
        <v>5668674344.26</v>
      </c>
      <c r="BJ9" s="166">
        <f t="shared" si="58"/>
        <v>606297205.55</v>
      </c>
      <c r="BK9" s="166">
        <f t="shared" si="59"/>
        <v>329237159.06</v>
      </c>
      <c r="BL9" s="166">
        <f t="shared" si="60"/>
        <v>3619758.27999999</v>
      </c>
      <c r="BM9" s="166">
        <f t="shared" si="61"/>
        <v>63076.9100000001</v>
      </c>
      <c r="BN9" s="166">
        <f t="shared" si="62"/>
        <v>939217199.799999</v>
      </c>
      <c r="BO9" s="37">
        <f t="shared" si="63"/>
        <v>0.173503210736467</v>
      </c>
      <c r="BP9" s="37">
        <f t="shared" si="64"/>
        <v>0.28270577585988</v>
      </c>
      <c r="BQ9" s="35">
        <f t="shared" si="65"/>
        <v>0.0573338899666383</v>
      </c>
      <c r="BR9" s="35">
        <f t="shared" si="66"/>
        <v>0.00865757667537444</v>
      </c>
      <c r="BS9" s="37">
        <f t="shared" si="67"/>
        <v>0.198588795946736</v>
      </c>
      <c r="BT9" s="166">
        <v>1432050529.28</v>
      </c>
      <c r="BU9" s="166">
        <v>348440108.43</v>
      </c>
      <c r="BV9" s="166">
        <v>51845457.24</v>
      </c>
      <c r="BW9" s="166">
        <v>6052928.37</v>
      </c>
      <c r="BX9" s="166">
        <f t="shared" si="2"/>
        <v>1838389023.32</v>
      </c>
      <c r="BY9" s="166">
        <f t="shared" si="68"/>
        <v>309585089.49</v>
      </c>
      <c r="BZ9" s="166">
        <f t="shared" si="69"/>
        <v>57780201.5</v>
      </c>
      <c r="CA9" s="166">
        <f t="shared" si="70"/>
        <v>4487979.37</v>
      </c>
      <c r="CB9" s="166">
        <f t="shared" si="71"/>
        <v>723201.38</v>
      </c>
      <c r="CC9" s="166">
        <f t="shared" si="72"/>
        <v>372576471.74</v>
      </c>
      <c r="CD9" s="37">
        <f t="shared" si="73"/>
        <v>0.275808126037199</v>
      </c>
      <c r="CE9" s="37">
        <f t="shared" si="74"/>
        <v>0.198789719952382</v>
      </c>
      <c r="CF9" s="35">
        <f t="shared" si="75"/>
        <v>0.0947681247367071</v>
      </c>
      <c r="CG9" s="35">
        <f t="shared" si="76"/>
        <v>0.135692012246954</v>
      </c>
      <c r="CH9" s="37">
        <f t="shared" si="77"/>
        <v>0.254177433082013</v>
      </c>
      <c r="CI9" s="166">
        <f t="shared" si="3"/>
        <v>2668690398.53</v>
      </c>
      <c r="CJ9" s="166">
        <f t="shared" si="4"/>
        <v>1145390020.33</v>
      </c>
      <c r="CK9" s="166">
        <f t="shared" si="5"/>
        <v>14909006.92</v>
      </c>
      <c r="CL9" s="166">
        <f t="shared" si="6"/>
        <v>1295895.16</v>
      </c>
      <c r="CM9" s="166">
        <f t="shared" si="78"/>
        <v>3830285320.94</v>
      </c>
      <c r="CN9" s="166">
        <f t="shared" si="79"/>
        <v>296712116.059999</v>
      </c>
      <c r="CO9" s="166">
        <f t="shared" si="80"/>
        <v>271456957.56</v>
      </c>
      <c r="CP9" s="166">
        <f t="shared" si="81"/>
        <v>-868221.090000011</v>
      </c>
      <c r="CQ9" s="166">
        <f t="shared" si="82"/>
        <v>-660124.47</v>
      </c>
      <c r="CR9" s="166">
        <f t="shared" si="83"/>
        <v>566640728.059999</v>
      </c>
      <c r="CS9" s="37">
        <f t="shared" si="84"/>
        <v>0.125090570285924</v>
      </c>
      <c r="CT9" s="35">
        <f t="shared" si="85"/>
        <v>0.310615273782635</v>
      </c>
      <c r="CU9" s="35">
        <f t="shared" si="86"/>
        <v>-0.0550300147433827</v>
      </c>
      <c r="CV9" s="35">
        <f t="shared" si="87"/>
        <v>-0.337483560939519</v>
      </c>
      <c r="CW9" s="37">
        <f t="shared" si="88"/>
        <v>0.173622069417788</v>
      </c>
      <c r="CX9" s="166">
        <v>61641409.51</v>
      </c>
      <c r="CY9" s="166">
        <v>51799327.55</v>
      </c>
      <c r="CZ9" s="166">
        <v>154504508.43</v>
      </c>
      <c r="DA9" s="166"/>
      <c r="DB9" s="166"/>
      <c r="DC9" s="166"/>
      <c r="DD9" s="166"/>
      <c r="DE9" s="166"/>
      <c r="DF9" s="166">
        <v>110390619.83</v>
      </c>
      <c r="DG9" s="166">
        <v>74009972.85</v>
      </c>
      <c r="DH9" s="166">
        <v>61741032.82</v>
      </c>
      <c r="DI9" s="166"/>
      <c r="DJ9" s="166"/>
      <c r="DK9" s="166"/>
      <c r="DL9" s="166"/>
      <c r="DM9" s="166"/>
      <c r="DN9" s="166">
        <v>19044041.26</v>
      </c>
      <c r="DO9" s="166">
        <v>19714957.38</v>
      </c>
      <c r="DP9" s="166"/>
      <c r="DQ9" s="166"/>
      <c r="DR9" s="166"/>
      <c r="DS9" s="166"/>
      <c r="DT9" s="166">
        <v>95554.21</v>
      </c>
      <c r="DU9" s="166">
        <v>29474038.01</v>
      </c>
      <c r="DV9" s="166">
        <f t="shared" si="7"/>
        <v>582415461.85</v>
      </c>
      <c r="DW9" s="166">
        <v>5792947408.31</v>
      </c>
      <c r="DX9" s="166">
        <v>657957973.85</v>
      </c>
      <c r="DY9" s="166">
        <v>171744437.47</v>
      </c>
      <c r="DZ9" s="166"/>
      <c r="EA9" s="166">
        <f t="shared" si="8"/>
        <v>6622649819.63</v>
      </c>
      <c r="EB9" s="166">
        <f t="shared" si="89"/>
        <v>184482538.46</v>
      </c>
      <c r="EC9" s="166">
        <f t="shared" si="90"/>
        <v>-16082766.5699999</v>
      </c>
      <c r="ED9" s="166">
        <f t="shared" si="91"/>
        <v>69890.1399999857</v>
      </c>
      <c r="EE9" s="166">
        <f t="shared" si="92"/>
        <v>0</v>
      </c>
      <c r="EF9" s="166">
        <f t="shared" si="93"/>
        <v>168469662.030001</v>
      </c>
      <c r="EG9" s="35">
        <f t="shared" si="94"/>
        <v>0.0328935890196517</v>
      </c>
      <c r="EH9" s="35">
        <f t="shared" si="95"/>
        <v>-0.023860229219941</v>
      </c>
      <c r="EI9" s="35">
        <f t="shared" si="96"/>
        <v>0.000407108340094469</v>
      </c>
      <c r="EJ9" s="35" t="e">
        <f t="shared" si="97"/>
        <v>#DIV/0!</v>
      </c>
      <c r="EK9" s="35">
        <f t="shared" si="98"/>
        <v>0.0261024108277521</v>
      </c>
      <c r="EL9" s="35">
        <f t="shared" si="99"/>
        <v>0.167061676583861</v>
      </c>
      <c r="EM9" s="35">
        <f t="shared" si="9"/>
        <v>0.167640018058537</v>
      </c>
      <c r="EN9" s="53">
        <v>7578670005.6</v>
      </c>
      <c r="EO9" s="35">
        <f t="shared" si="10"/>
        <v>0.608310322374031</v>
      </c>
      <c r="EP9" s="35">
        <f t="shared" si="11"/>
        <v>0.128424105846445</v>
      </c>
      <c r="EQ9" s="53">
        <v>3976070337.88</v>
      </c>
      <c r="ER9" s="35">
        <f t="shared" si="105"/>
        <v>0.434844045750268</v>
      </c>
      <c r="ES9" s="35">
        <f t="shared" si="100"/>
        <v>0.524639591767687</v>
      </c>
      <c r="ET9" s="35"/>
      <c r="EU9" s="35"/>
      <c r="EV9" s="35"/>
      <c r="EW9" s="35"/>
      <c r="EX9" s="61">
        <v>1480300</v>
      </c>
      <c r="EY9" s="61">
        <v>1473700</v>
      </c>
      <c r="EZ9" s="90">
        <f t="shared" si="12"/>
        <v>5119.68520272918</v>
      </c>
      <c r="FA9" s="90"/>
      <c r="FB9" s="38">
        <f t="shared" si="14"/>
        <v>0.102562192760316</v>
      </c>
      <c r="FC9" s="90">
        <v>44500</v>
      </c>
      <c r="FD9" s="35">
        <f t="shared" si="15"/>
        <v>0.0300614740255354</v>
      </c>
      <c r="FE9" s="53">
        <v>1862706997.92</v>
      </c>
      <c r="FF9" s="35">
        <f t="shared" si="16"/>
        <v>0.149512235465565</v>
      </c>
      <c r="FG9" s="35">
        <f t="shared" si="17"/>
        <v>0.0479951157385808</v>
      </c>
      <c r="FH9" s="52">
        <v>1150500558.83</v>
      </c>
      <c r="FI9" s="35">
        <f>FH9/D9</f>
        <v>0.125824815741648</v>
      </c>
      <c r="FJ9" s="35">
        <f t="shared" si="101"/>
        <v>0.617649775361724</v>
      </c>
      <c r="FK9" s="35"/>
      <c r="FL9" s="35"/>
      <c r="FM9" s="35"/>
      <c r="FN9" s="35"/>
      <c r="FO9" s="61">
        <v>426900</v>
      </c>
      <c r="FP9" s="66">
        <v>434900</v>
      </c>
      <c r="FQ9" s="90">
        <f t="shared" si="18"/>
        <v>4363.333328461</v>
      </c>
      <c r="FR9" s="35"/>
      <c r="FS9" s="38">
        <f t="shared" si="20"/>
        <v>0.0653855752433242</v>
      </c>
      <c r="FT9" s="53"/>
      <c r="FU9" s="53">
        <v>1814440258.26</v>
      </c>
      <c r="FV9" s="35">
        <f t="shared" si="21"/>
        <v>0.145638052272363</v>
      </c>
      <c r="FW9" s="38">
        <f t="shared" si="104"/>
        <v>0.00105160161718362</v>
      </c>
      <c r="FX9" s="52">
        <v>1003370413.95</v>
      </c>
      <c r="FY9" s="35">
        <f>FX9/D9</f>
        <v>0.109733886252318</v>
      </c>
      <c r="FZ9" s="35">
        <f t="shared" si="102"/>
        <v>0.55299170605496</v>
      </c>
      <c r="GA9" s="66">
        <v>217900</v>
      </c>
      <c r="GB9" s="66"/>
      <c r="GC9" s="52">
        <f t="shared" si="22"/>
        <v>8326.94014804956</v>
      </c>
      <c r="GD9" s="35"/>
      <c r="GE9" s="38">
        <f t="shared" si="24"/>
        <v>0.0302600472813239</v>
      </c>
      <c r="GF9" s="68"/>
      <c r="GG9" s="52">
        <f t="shared" si="103"/>
        <v>1202741679.03</v>
      </c>
      <c r="GH9" s="38">
        <f t="shared" si="25"/>
        <v>0.0965393898880413</v>
      </c>
      <c r="GI9" s="38">
        <f t="shared" si="26"/>
        <v>0.216990893011434</v>
      </c>
      <c r="GJ9" s="68"/>
      <c r="GK9" s="68"/>
      <c r="GL9" s="68"/>
      <c r="GM9" s="68"/>
      <c r="GN9" s="68"/>
      <c r="GO9" s="68"/>
      <c r="GP9" s="68"/>
      <c r="GQ9" s="68"/>
      <c r="GR9" s="68"/>
      <c r="GS9" s="68"/>
      <c r="GT9" s="68"/>
      <c r="GU9" s="68"/>
      <c r="GV9" s="68"/>
      <c r="GW9" s="68"/>
      <c r="GX9" s="68"/>
    </row>
    <row r="10" spans="1:206">
      <c r="A10" s="12">
        <v>2015</v>
      </c>
      <c r="B10" s="28"/>
      <c r="C10" s="52">
        <v>11294380030.09</v>
      </c>
      <c r="D10" s="52">
        <f>C10-K10</f>
        <v>8305239774.22</v>
      </c>
      <c r="E10" s="52">
        <v>6557244862.44</v>
      </c>
      <c r="F10" s="52">
        <v>105227681.17</v>
      </c>
      <c r="G10" s="90">
        <v>1227220684.17</v>
      </c>
      <c r="H10" s="52">
        <v>534901347.04</v>
      </c>
      <c r="I10" s="52"/>
      <c r="J10" s="52">
        <v>-48786754.34</v>
      </c>
      <c r="K10" s="52">
        <v>2989140255.87</v>
      </c>
      <c r="L10" s="52">
        <v>3011302913.95</v>
      </c>
      <c r="M10" s="52">
        <v>501670546.62</v>
      </c>
      <c r="N10" s="52">
        <v>2509632367.33</v>
      </c>
      <c r="O10" s="53">
        <v>347206678.53</v>
      </c>
      <c r="P10" s="52">
        <v>609310.88</v>
      </c>
      <c r="Q10" s="52"/>
      <c r="R10" s="52">
        <v>5818376.39</v>
      </c>
      <c r="S10" s="52"/>
      <c r="T10" s="53">
        <f t="shared" si="27"/>
        <v>353634365.8</v>
      </c>
      <c r="U10" s="52">
        <v>744281217.14</v>
      </c>
      <c r="V10" s="52">
        <v>2400000000</v>
      </c>
      <c r="W10" s="52">
        <v>1500000</v>
      </c>
      <c r="X10" s="35"/>
      <c r="Y10" s="166">
        <f t="shared" si="28"/>
        <v>745781217.14</v>
      </c>
      <c r="Z10" s="53">
        <f t="shared" si="29"/>
        <v>2863266733.13</v>
      </c>
      <c r="AA10" s="166">
        <f t="shared" si="30"/>
        <v>2863266733.13</v>
      </c>
      <c r="AB10" s="35">
        <f t="shared" si="0"/>
        <v>0.206755524535603</v>
      </c>
      <c r="AC10" s="169"/>
      <c r="AD10" s="169">
        <f t="shared" si="31"/>
        <v>0.735342688318751</v>
      </c>
      <c r="AE10" s="35">
        <f t="shared" si="32"/>
        <v>0.580575901020726</v>
      </c>
      <c r="AF10" s="35">
        <f t="shared" si="33"/>
        <v>0.00931681782352435</v>
      </c>
      <c r="AG10" s="35">
        <f t="shared" si="34"/>
        <v>0.108657640428292</v>
      </c>
      <c r="AH10" s="35">
        <f t="shared" si="35"/>
        <v>0.0473599565106663</v>
      </c>
      <c r="AI10" s="35">
        <f t="shared" si="36"/>
        <v>0</v>
      </c>
      <c r="AJ10" s="35">
        <f t="shared" si="37"/>
        <v>-0.00431956018922902</v>
      </c>
      <c r="AK10" s="35">
        <f t="shared" si="38"/>
        <v>0.264657311681249</v>
      </c>
      <c r="AL10" s="35">
        <f t="shared" si="39"/>
        <v>0.266619584778219</v>
      </c>
      <c r="AM10" s="35">
        <f t="shared" si="40"/>
        <v>0.222201870367736</v>
      </c>
      <c r="AN10" s="35">
        <f t="shared" si="41"/>
        <v>0.78953107203408</v>
      </c>
      <c r="AO10" s="35">
        <f t="shared" si="42"/>
        <v>0.0126700353067028</v>
      </c>
      <c r="AP10" s="35">
        <f t="shared" si="43"/>
        <v>0.147764630225291</v>
      </c>
      <c r="AQ10" s="35">
        <f t="shared" si="44"/>
        <v>0.0644052864915915</v>
      </c>
      <c r="AR10" s="35">
        <f t="shared" si="45"/>
        <v>0</v>
      </c>
      <c r="AS10" s="35">
        <f t="shared" si="46"/>
        <v>-0.005874213829616</v>
      </c>
      <c r="AT10" s="35">
        <f t="shared" si="47"/>
        <v>0.150469779869341</v>
      </c>
      <c r="AU10" s="35">
        <f t="shared" si="48"/>
        <v>0.120501608062002</v>
      </c>
      <c r="AV10" s="35">
        <f t="shared" si="49"/>
        <v>0.120825741907603</v>
      </c>
      <c r="AW10" s="35">
        <f t="shared" si="50"/>
        <v>0.434957892425504</v>
      </c>
      <c r="AX10" s="35">
        <f t="shared" si="51"/>
        <v>0.168245003540183</v>
      </c>
      <c r="AY10" s="35">
        <f t="shared" si="52"/>
        <v>0.099437091957322</v>
      </c>
      <c r="AZ10" s="35" t="e">
        <f t="shared" si="53"/>
        <v>#DIV/0!</v>
      </c>
      <c r="BA10" s="35"/>
      <c r="BB10" s="35">
        <f t="shared" si="54"/>
        <v>0.242825500889958</v>
      </c>
      <c r="BC10" s="35">
        <f t="shared" si="55"/>
        <v>0.208278219048797</v>
      </c>
      <c r="BD10" s="35">
        <f t="shared" si="56"/>
        <v>0.200835017389606</v>
      </c>
      <c r="BE10" s="166">
        <v>3494443722.26</v>
      </c>
      <c r="BF10" s="166">
        <v>1164592969.7</v>
      </c>
      <c r="BG10" s="166">
        <v>63134705.88</v>
      </c>
      <c r="BH10" s="166">
        <v>7285746.62</v>
      </c>
      <c r="BI10" s="166">
        <f t="shared" si="57"/>
        <v>4729457144.46</v>
      </c>
      <c r="BJ10" s="166">
        <f t="shared" si="58"/>
        <v>258164973.17</v>
      </c>
      <c r="BK10" s="166">
        <f t="shared" si="59"/>
        <v>147650203.01</v>
      </c>
      <c r="BL10" s="166">
        <f t="shared" si="60"/>
        <v>2995681.53</v>
      </c>
      <c r="BM10" s="166">
        <f t="shared" si="61"/>
        <v>0</v>
      </c>
      <c r="BN10" s="166">
        <f t="shared" si="62"/>
        <v>408810857.71</v>
      </c>
      <c r="BO10" s="35">
        <f t="shared" si="63"/>
        <v>0.0797721683407502</v>
      </c>
      <c r="BP10" s="37">
        <f t="shared" si="64"/>
        <v>0.14519027800412</v>
      </c>
      <c r="BQ10" s="35">
        <f t="shared" si="65"/>
        <v>0.049812606080298</v>
      </c>
      <c r="BR10" s="35">
        <f t="shared" si="66"/>
        <v>0</v>
      </c>
      <c r="BS10" s="35">
        <f t="shared" si="67"/>
        <v>0.0946179878143898</v>
      </c>
      <c r="BT10" s="166">
        <v>1122465439.79</v>
      </c>
      <c r="BU10" s="166">
        <v>290659906.93</v>
      </c>
      <c r="BV10" s="166">
        <v>47357477.87</v>
      </c>
      <c r="BW10" s="166">
        <v>5329726.99</v>
      </c>
      <c r="BX10" s="166">
        <f t="shared" si="2"/>
        <v>1465812551.58</v>
      </c>
      <c r="BY10" s="166">
        <f t="shared" si="68"/>
        <v>288790160.63</v>
      </c>
      <c r="BZ10" s="166">
        <f t="shared" si="69"/>
        <v>48561655.76</v>
      </c>
      <c r="CA10" s="166">
        <f t="shared" si="70"/>
        <v>5536791.08</v>
      </c>
      <c r="CB10" s="166">
        <f t="shared" si="71"/>
        <v>953094.4</v>
      </c>
      <c r="CC10" s="166">
        <f t="shared" si="72"/>
        <v>343841701.87</v>
      </c>
      <c r="CD10" s="37">
        <f t="shared" si="73"/>
        <v>0.346406050232149</v>
      </c>
      <c r="CE10" s="37">
        <f t="shared" si="74"/>
        <v>0.200586561552237</v>
      </c>
      <c r="CF10" s="37">
        <f t="shared" si="75"/>
        <v>0.132393595251141</v>
      </c>
      <c r="CG10" s="37">
        <f t="shared" si="76"/>
        <v>0.217768885187596</v>
      </c>
      <c r="CH10" s="37">
        <f t="shared" si="77"/>
        <v>0.306462241829968</v>
      </c>
      <c r="CI10" s="166">
        <f t="shared" si="3"/>
        <v>2371978282.47</v>
      </c>
      <c r="CJ10" s="166">
        <f t="shared" si="4"/>
        <v>873933062.77</v>
      </c>
      <c r="CK10" s="166">
        <f t="shared" si="5"/>
        <v>15777228.01</v>
      </c>
      <c r="CL10" s="166">
        <f t="shared" si="6"/>
        <v>1956019.63</v>
      </c>
      <c r="CM10" s="166">
        <f t="shared" si="78"/>
        <v>3263644592.88</v>
      </c>
      <c r="CN10" s="166">
        <f t="shared" si="79"/>
        <v>-30625187.46</v>
      </c>
      <c r="CO10" s="166">
        <f t="shared" si="80"/>
        <v>99088547.2499999</v>
      </c>
      <c r="CP10" s="166">
        <f t="shared" si="81"/>
        <v>-2541109.55</v>
      </c>
      <c r="CQ10" s="166">
        <f t="shared" si="82"/>
        <v>-953094.4</v>
      </c>
      <c r="CR10" s="166">
        <f t="shared" si="83"/>
        <v>64969155.8400002</v>
      </c>
      <c r="CS10" s="35">
        <f t="shared" si="84"/>
        <v>-0.012746667456071</v>
      </c>
      <c r="CT10" s="35">
        <f t="shared" si="85"/>
        <v>0.127881846312742</v>
      </c>
      <c r="CU10" s="35">
        <f t="shared" si="86"/>
        <v>-0.138719441198025</v>
      </c>
      <c r="CV10" s="35">
        <f t="shared" si="87"/>
        <v>-0.327623596109088</v>
      </c>
      <c r="CW10" s="35">
        <f t="shared" si="88"/>
        <v>0.0203112685606269</v>
      </c>
      <c r="CX10" s="166">
        <v>49990123.4</v>
      </c>
      <c r="CY10" s="166">
        <v>86960191.83</v>
      </c>
      <c r="CZ10" s="166">
        <v>230336031.05</v>
      </c>
      <c r="DA10" s="166"/>
      <c r="DB10" s="166"/>
      <c r="DC10" s="166"/>
      <c r="DD10" s="166"/>
      <c r="DE10" s="166"/>
      <c r="DF10" s="166">
        <v>89437648.94</v>
      </c>
      <c r="DG10" s="166">
        <v>52362211.88</v>
      </c>
      <c r="DH10" s="166">
        <v>21465502.61</v>
      </c>
      <c r="DI10" s="166"/>
      <c r="DJ10" s="166"/>
      <c r="DK10" s="166"/>
      <c r="DL10" s="166"/>
      <c r="DM10" s="166"/>
      <c r="DN10" s="166">
        <v>90485456.9</v>
      </c>
      <c r="DO10" s="166">
        <v>44203354.53</v>
      </c>
      <c r="DP10" s="166"/>
      <c r="DQ10" s="166"/>
      <c r="DR10" s="166"/>
      <c r="DS10" s="166"/>
      <c r="DT10" s="166">
        <v>65459894.12</v>
      </c>
      <c r="DU10" s="166">
        <v>55940232.9</v>
      </c>
      <c r="DV10" s="166">
        <f t="shared" si="7"/>
        <v>786640648.16</v>
      </c>
      <c r="DW10" s="166">
        <v>5608464869.85</v>
      </c>
      <c r="DX10" s="166">
        <v>674040740.42</v>
      </c>
      <c r="DY10" s="166">
        <v>171674547.33</v>
      </c>
      <c r="DZ10" s="166"/>
      <c r="EA10" s="166">
        <f t="shared" si="8"/>
        <v>6454180157.6</v>
      </c>
      <c r="EB10" s="166">
        <f t="shared" si="89"/>
        <v>575734230.75</v>
      </c>
      <c r="EC10" s="166">
        <f t="shared" si="90"/>
        <v>63229099.9299999</v>
      </c>
      <c r="ED10" s="166">
        <f t="shared" si="91"/>
        <v>20804115.07</v>
      </c>
      <c r="EE10" s="166">
        <f t="shared" si="92"/>
        <v>0</v>
      </c>
      <c r="EF10" s="166">
        <f t="shared" si="93"/>
        <v>659767445.75</v>
      </c>
      <c r="EG10" s="35">
        <f t="shared" si="94"/>
        <v>0.114397982335283</v>
      </c>
      <c r="EH10" s="35">
        <f t="shared" si="95"/>
        <v>0.103516527417973</v>
      </c>
      <c r="EI10" s="35">
        <f t="shared" si="96"/>
        <v>0.137893918366639</v>
      </c>
      <c r="EJ10" s="35" t="e">
        <f t="shared" si="97"/>
        <v>#DIV/0!</v>
      </c>
      <c r="EK10" s="35">
        <f t="shared" si="98"/>
        <v>0.113862694730171</v>
      </c>
      <c r="EL10" s="35">
        <f t="shared" si="99"/>
        <v>0.166595842715121</v>
      </c>
      <c r="EM10" s="35">
        <f t="shared" si="9"/>
        <v>0.167831049625333</v>
      </c>
      <c r="EN10" s="53">
        <v>6716153941</v>
      </c>
      <c r="EO10" s="35">
        <f t="shared" si="10"/>
        <v>0.594645648818892</v>
      </c>
      <c r="EP10" s="35">
        <f t="shared" si="11"/>
        <v>0.066176646746853</v>
      </c>
      <c r="EQ10" s="35"/>
      <c r="ER10" s="35">
        <f t="shared" si="105"/>
        <v>0</v>
      </c>
      <c r="ES10" s="35">
        <f t="shared" si="100"/>
        <v>0</v>
      </c>
      <c r="ET10" s="35"/>
      <c r="EU10" s="35"/>
      <c r="EV10" s="35"/>
      <c r="EW10" s="35"/>
      <c r="EX10" s="61">
        <f>134.26*10000</f>
        <v>1342600</v>
      </c>
      <c r="EY10" s="61"/>
      <c r="EZ10" s="12"/>
      <c r="FA10" s="12"/>
      <c r="FB10" s="12"/>
      <c r="FC10" s="12"/>
      <c r="FD10" s="35"/>
      <c r="FE10" s="53">
        <v>1777400457.26</v>
      </c>
      <c r="FF10" s="35">
        <f t="shared" si="16"/>
        <v>0.157370342818705</v>
      </c>
      <c r="FG10" s="35">
        <f t="shared" si="17"/>
        <v>0.328784118987473</v>
      </c>
      <c r="FH10" s="35"/>
      <c r="FI10" s="35"/>
      <c r="FJ10" s="35"/>
      <c r="FK10" s="35"/>
      <c r="FL10" s="35"/>
      <c r="FM10" s="35"/>
      <c r="FN10" s="35"/>
      <c r="FO10" s="61">
        <f>40.07*10000</f>
        <v>400700</v>
      </c>
      <c r="FP10" s="61"/>
      <c r="FQ10" s="12"/>
      <c r="FR10" s="35"/>
      <c r="FS10" s="35"/>
      <c r="FT10" s="53"/>
      <c r="FU10" s="53">
        <v>1812534194.37</v>
      </c>
      <c r="FV10" s="35">
        <f t="shared" si="21"/>
        <v>0.160481070190761</v>
      </c>
      <c r="FW10" s="36">
        <f t="shared" si="104"/>
        <v>0.18233190429337</v>
      </c>
      <c r="FX10" s="66"/>
      <c r="FY10" s="35"/>
      <c r="FZ10" s="35"/>
      <c r="GA10" s="66">
        <f>21.15*10000</f>
        <v>211500</v>
      </c>
      <c r="GB10" s="66"/>
      <c r="GC10" s="52"/>
      <c r="GD10" s="35"/>
      <c r="GE10" s="35"/>
      <c r="GF10" s="68"/>
      <c r="GG10" s="52">
        <f t="shared" si="103"/>
        <v>988291437.46</v>
      </c>
      <c r="GH10" s="38">
        <f t="shared" si="25"/>
        <v>0.0875029381716426</v>
      </c>
      <c r="GI10" s="38">
        <f t="shared" si="26"/>
        <v>0.526858986015016</v>
      </c>
      <c r="GJ10" s="68"/>
      <c r="GK10" s="68"/>
      <c r="GL10" s="68"/>
      <c r="GM10" s="68"/>
      <c r="GN10" s="68"/>
      <c r="GO10" s="68"/>
      <c r="GP10" s="68"/>
      <c r="GQ10" s="68"/>
      <c r="GR10" s="68"/>
      <c r="GS10" s="68"/>
      <c r="GT10" s="68"/>
      <c r="GU10" s="68"/>
      <c r="GV10" s="68"/>
      <c r="GW10" s="68"/>
      <c r="GX10" s="68"/>
    </row>
    <row r="11" spans="1:206">
      <c r="A11" s="12">
        <v>2014</v>
      </c>
      <c r="B11" s="28"/>
      <c r="C11" s="52">
        <v>9817189662.62</v>
      </c>
      <c r="D11" s="52">
        <f>C11-K11</f>
        <v>7412073052.34</v>
      </c>
      <c r="E11" s="52">
        <v>5850369613.46</v>
      </c>
      <c r="F11" s="52">
        <v>73331546.33</v>
      </c>
      <c r="G11" s="90">
        <v>1050482287.92</v>
      </c>
      <c r="H11" s="52">
        <v>486522922.46</v>
      </c>
      <c r="I11" s="52"/>
      <c r="J11" s="52">
        <v>-48633317.83</v>
      </c>
      <c r="K11" s="52">
        <v>2405116610.28</v>
      </c>
      <c r="L11" s="52">
        <v>2492226431.36</v>
      </c>
      <c r="M11" s="52">
        <v>402320381.83</v>
      </c>
      <c r="N11" s="52">
        <v>2089906049.53</v>
      </c>
      <c r="O11" s="53">
        <v>278241476.55</v>
      </c>
      <c r="P11" s="52">
        <v>609310.83</v>
      </c>
      <c r="Q11" s="52"/>
      <c r="R11" s="52">
        <v>3941422.94</v>
      </c>
      <c r="S11" s="52"/>
      <c r="T11" s="53">
        <f t="shared" si="27"/>
        <v>282792210.32</v>
      </c>
      <c r="U11" s="52">
        <v>881597421.73</v>
      </c>
      <c r="V11" s="52">
        <v>1800000000</v>
      </c>
      <c r="W11" s="52">
        <v>33009447.38</v>
      </c>
      <c r="X11" s="162">
        <v>1000000</v>
      </c>
      <c r="Y11" s="166">
        <f t="shared" si="28"/>
        <v>914606869.11</v>
      </c>
      <c r="Z11" s="53">
        <f t="shared" si="29"/>
        <v>2372698259.85</v>
      </c>
      <c r="AA11" s="166">
        <f t="shared" si="30"/>
        <v>2372698259.85</v>
      </c>
      <c r="AB11" s="35">
        <f t="shared" si="0"/>
        <v>0.295578393685404</v>
      </c>
      <c r="AC11" s="169"/>
      <c r="AD11" s="169">
        <f t="shared" si="31"/>
        <v>0.755009662343823</v>
      </c>
      <c r="AE11" s="35">
        <f t="shared" si="32"/>
        <v>0.595931199713489</v>
      </c>
      <c r="AF11" s="35">
        <f t="shared" si="33"/>
        <v>0.00746970862844972</v>
      </c>
      <c r="AG11" s="35">
        <f t="shared" si="34"/>
        <v>0.107004379463078</v>
      </c>
      <c r="AH11" s="35">
        <f t="shared" si="35"/>
        <v>0.0495582686267627</v>
      </c>
      <c r="AI11" s="35">
        <f t="shared" si="36"/>
        <v>0</v>
      </c>
      <c r="AJ11" s="35">
        <f t="shared" si="37"/>
        <v>-0.00495389408795641</v>
      </c>
      <c r="AK11" s="35">
        <f t="shared" si="38"/>
        <v>0.244990337656177</v>
      </c>
      <c r="AL11" s="35">
        <f t="shared" si="39"/>
        <v>0.253863530909403</v>
      </c>
      <c r="AM11" s="35">
        <f t="shared" si="40"/>
        <v>0.212882313712196</v>
      </c>
      <c r="AN11" s="35">
        <f t="shared" si="41"/>
        <v>0.78930274595891</v>
      </c>
      <c r="AO11" s="35">
        <f t="shared" si="42"/>
        <v>0.00989352719707061</v>
      </c>
      <c r="AP11" s="35">
        <f t="shared" si="43"/>
        <v>0.141725841138109</v>
      </c>
      <c r="AQ11" s="35">
        <f t="shared" si="44"/>
        <v>0.0656392508579505</v>
      </c>
      <c r="AR11" s="35">
        <f t="shared" si="45"/>
        <v>0</v>
      </c>
      <c r="AS11" s="35">
        <f t="shared" si="46"/>
        <v>-0.00656136515204021</v>
      </c>
      <c r="AT11" s="35">
        <f t="shared" si="47"/>
        <v>0.168491970709073</v>
      </c>
      <c r="AU11" s="35">
        <f t="shared" si="48"/>
        <v>0.139365932964677</v>
      </c>
      <c r="AV11" s="35">
        <f t="shared" si="49"/>
        <v>0.145892321274597</v>
      </c>
      <c r="AW11" s="35">
        <f t="shared" si="50"/>
        <v>0.186131474623211</v>
      </c>
      <c r="AX11" s="35">
        <f t="shared" si="51"/>
        <v>0.168516295266466</v>
      </c>
      <c r="AY11" s="35">
        <f t="shared" si="52"/>
        <v>0.0714140506203791</v>
      </c>
      <c r="AZ11" s="35" t="e">
        <f t="shared" si="53"/>
        <v>#DIV/0!</v>
      </c>
      <c r="BA11" s="35"/>
      <c r="BB11" s="35">
        <f t="shared" si="54"/>
        <v>0.268419373073552</v>
      </c>
      <c r="BC11" s="35">
        <f t="shared" si="55"/>
        <v>0.261491329920826</v>
      </c>
      <c r="BD11" s="35">
        <f t="shared" si="56"/>
        <v>0.300972112855687</v>
      </c>
      <c r="BE11" s="166">
        <v>3236278749.09</v>
      </c>
      <c r="BF11" s="166">
        <v>1016942766.69</v>
      </c>
      <c r="BG11" s="166">
        <v>60139024.35</v>
      </c>
      <c r="BH11" s="166">
        <v>7285746.62</v>
      </c>
      <c r="BI11" s="166">
        <f t="shared" si="57"/>
        <v>4320646286.75</v>
      </c>
      <c r="BJ11" s="166">
        <f t="shared" si="58"/>
        <v>978165381.1</v>
      </c>
      <c r="BK11" s="166">
        <f t="shared" si="59"/>
        <v>116283693.01</v>
      </c>
      <c r="BL11" s="166">
        <f t="shared" si="60"/>
        <v>4487926.7</v>
      </c>
      <c r="BM11" s="166">
        <f t="shared" si="61"/>
        <v>-217012.899999999</v>
      </c>
      <c r="BN11" s="166">
        <f t="shared" si="62"/>
        <v>1098719987.91</v>
      </c>
      <c r="BO11" s="37">
        <f t="shared" si="63"/>
        <v>0.43317815436817</v>
      </c>
      <c r="BP11" s="37">
        <f t="shared" si="64"/>
        <v>0.129109555888753</v>
      </c>
      <c r="BQ11" s="35">
        <f t="shared" si="65"/>
        <v>0.0806439924729859</v>
      </c>
      <c r="BR11" s="35">
        <f t="shared" si="66"/>
        <v>-0.0289244110012471</v>
      </c>
      <c r="BS11" s="37">
        <f t="shared" si="67"/>
        <v>0.341013383299791</v>
      </c>
      <c r="BT11" s="166">
        <v>833675279.16</v>
      </c>
      <c r="BU11" s="166">
        <v>242098251.17</v>
      </c>
      <c r="BV11" s="166">
        <v>41820686.79</v>
      </c>
      <c r="BW11" s="166">
        <v>4376632.59</v>
      </c>
      <c r="BX11" s="166">
        <f t="shared" si="2"/>
        <v>1121970849.71</v>
      </c>
      <c r="BY11" s="166">
        <f t="shared" si="68"/>
        <v>214639403.94</v>
      </c>
      <c r="BZ11" s="166">
        <f t="shared" si="69"/>
        <v>40119856.82</v>
      </c>
      <c r="CA11" s="166">
        <f t="shared" si="70"/>
        <v>4976640.15</v>
      </c>
      <c r="CB11" s="166">
        <f t="shared" si="71"/>
        <v>978516.8</v>
      </c>
      <c r="CC11" s="166">
        <f t="shared" si="72"/>
        <v>260714417.71</v>
      </c>
      <c r="CD11" s="37">
        <f t="shared" si="73"/>
        <v>0.346731768758505</v>
      </c>
      <c r="CE11" s="37">
        <f t="shared" si="74"/>
        <v>0.198634398243992</v>
      </c>
      <c r="CF11" s="37">
        <f t="shared" si="75"/>
        <v>0.135073115030667</v>
      </c>
      <c r="CG11" s="37">
        <f t="shared" si="76"/>
        <v>0.28795863957302</v>
      </c>
      <c r="CH11" s="37">
        <f t="shared" si="77"/>
        <v>0.302714044299874</v>
      </c>
      <c r="CI11" s="166">
        <f t="shared" si="3"/>
        <v>2402603469.93</v>
      </c>
      <c r="CJ11" s="166">
        <f t="shared" si="4"/>
        <v>774844515.52</v>
      </c>
      <c r="CK11" s="166">
        <f t="shared" si="5"/>
        <v>18318337.56</v>
      </c>
      <c r="CL11" s="166">
        <f t="shared" si="6"/>
        <v>2909114.03</v>
      </c>
      <c r="CM11" s="166">
        <f t="shared" si="78"/>
        <v>3198675437.04</v>
      </c>
      <c r="CN11" s="166">
        <f t="shared" si="79"/>
        <v>763525977.160001</v>
      </c>
      <c r="CO11" s="166">
        <f t="shared" si="80"/>
        <v>76163836.1900002</v>
      </c>
      <c r="CP11" s="166">
        <f t="shared" si="81"/>
        <v>-488713.449999996</v>
      </c>
      <c r="CQ11" s="166">
        <f t="shared" si="82"/>
        <v>-1195529.7</v>
      </c>
      <c r="CR11" s="166">
        <f t="shared" si="83"/>
        <v>838005570.200001</v>
      </c>
      <c r="CS11" s="37">
        <f t="shared" si="84"/>
        <v>0.465826649763618</v>
      </c>
      <c r="CT11" s="35">
        <f t="shared" si="85"/>
        <v>0.109010937962443</v>
      </c>
      <c r="CU11" s="35">
        <f t="shared" si="86"/>
        <v>-0.0259856502617098</v>
      </c>
      <c r="CV11" s="35">
        <f t="shared" si="87"/>
        <v>-0.291262720625938</v>
      </c>
      <c r="CW11" s="37">
        <f t="shared" si="88"/>
        <v>0.354986346024638</v>
      </c>
      <c r="CX11" s="166">
        <v>40593526.4</v>
      </c>
      <c r="CY11" s="166">
        <v>30564249.2</v>
      </c>
      <c r="CZ11" s="166">
        <v>193194823.93</v>
      </c>
      <c r="DA11" s="166"/>
      <c r="DB11" s="166"/>
      <c r="DC11" s="166"/>
      <c r="DD11" s="166"/>
      <c r="DE11" s="166"/>
      <c r="DF11" s="166">
        <v>68948146.29</v>
      </c>
      <c r="DG11" s="166">
        <v>148687513.67</v>
      </c>
      <c r="DH11" s="166"/>
      <c r="DI11" s="166"/>
      <c r="DJ11" s="166"/>
      <c r="DK11" s="166"/>
      <c r="DL11" s="166"/>
      <c r="DM11" s="166"/>
      <c r="DN11" s="166"/>
      <c r="DO11" s="166"/>
      <c r="DP11" s="166"/>
      <c r="DQ11" s="166"/>
      <c r="DR11" s="166"/>
      <c r="DS11" s="166"/>
      <c r="DT11" s="166"/>
      <c r="DU11" s="166">
        <v>22664790.95</v>
      </c>
      <c r="DV11" s="166">
        <f t="shared" si="7"/>
        <v>504653050.44</v>
      </c>
      <c r="DW11" s="166">
        <v>5032730639.1</v>
      </c>
      <c r="DX11" s="166">
        <v>610811640.49</v>
      </c>
      <c r="DY11" s="166">
        <v>150870432.26</v>
      </c>
      <c r="DZ11" s="166"/>
      <c r="EA11" s="166">
        <f t="shared" si="8"/>
        <v>5794412711.85</v>
      </c>
      <c r="EB11" s="166">
        <f t="shared" si="89"/>
        <v>612757542.51</v>
      </c>
      <c r="EC11" s="166">
        <f t="shared" si="90"/>
        <v>88130692.4</v>
      </c>
      <c r="ED11" s="166">
        <f t="shared" si="91"/>
        <v>28932293.93</v>
      </c>
      <c r="EE11" s="166">
        <f t="shared" si="92"/>
        <v>0</v>
      </c>
      <c r="EF11" s="166">
        <f t="shared" si="93"/>
        <v>729820528.84</v>
      </c>
      <c r="EG11" s="35">
        <f t="shared" si="94"/>
        <v>0.138633771998011</v>
      </c>
      <c r="EH11" s="37">
        <f t="shared" si="95"/>
        <v>0.168612788972031</v>
      </c>
      <c r="EI11" s="37">
        <f t="shared" si="96"/>
        <v>0.237270261185232</v>
      </c>
      <c r="EJ11" s="35" t="e">
        <f t="shared" si="97"/>
        <v>#DIV/0!</v>
      </c>
      <c r="EK11" s="37">
        <f t="shared" si="98"/>
        <v>0.144102526416303</v>
      </c>
      <c r="EL11" s="35">
        <f t="shared" si="99"/>
        <v>0.161430107941859</v>
      </c>
      <c r="EM11" s="35">
        <f t="shared" si="9"/>
        <v>0.167276871362658</v>
      </c>
      <c r="EN11" s="53">
        <v>6299288172.83</v>
      </c>
      <c r="EO11" s="35">
        <f t="shared" si="10"/>
        <v>0.641659007242695</v>
      </c>
      <c r="EP11" s="35">
        <f t="shared" si="11"/>
        <v>0.128486602465251</v>
      </c>
      <c r="EQ11" s="35"/>
      <c r="ER11" s="35">
        <f t="shared" si="105"/>
        <v>0</v>
      </c>
      <c r="ES11" s="35">
        <f t="shared" si="100"/>
        <v>0</v>
      </c>
      <c r="ET11" s="35"/>
      <c r="EU11" s="35"/>
      <c r="EV11" s="35"/>
      <c r="EW11" s="35"/>
      <c r="EX11" s="61"/>
      <c r="EY11" s="61"/>
      <c r="EZ11" s="12"/>
      <c r="FA11" s="12"/>
      <c r="FB11" s="12"/>
      <c r="FC11" s="12"/>
      <c r="FD11" s="35"/>
      <c r="FE11" s="53">
        <v>1337614163.1</v>
      </c>
      <c r="FF11" s="35">
        <f t="shared" si="16"/>
        <v>0.136252248257269</v>
      </c>
      <c r="FG11" s="35">
        <f t="shared" si="17"/>
        <v>0.200613911309681</v>
      </c>
      <c r="FH11" s="35"/>
      <c r="FI11" s="35"/>
      <c r="FJ11" s="35"/>
      <c r="FK11" s="35"/>
      <c r="FL11" s="35"/>
      <c r="FM11" s="35"/>
      <c r="FN11" s="35"/>
      <c r="FO11" s="61"/>
      <c r="FP11" s="61"/>
      <c r="FQ11" s="12"/>
      <c r="FR11" s="35"/>
      <c r="FS11" s="35"/>
      <c r="FT11" s="53"/>
      <c r="FU11" s="53">
        <v>1533016395.64</v>
      </c>
      <c r="FV11" s="35">
        <f t="shared" si="21"/>
        <v>0.15615633886316</v>
      </c>
      <c r="FW11" s="36">
        <f t="shared" si="104"/>
        <v>0.322096140461323</v>
      </c>
      <c r="FX11" s="66"/>
      <c r="FY11" s="35"/>
      <c r="FZ11" s="35"/>
      <c r="GA11" s="66"/>
      <c r="GB11" s="66"/>
      <c r="GC11" s="52"/>
      <c r="GD11" s="35"/>
      <c r="GE11" s="35"/>
      <c r="GF11" s="68"/>
      <c r="GG11" s="52">
        <f t="shared" si="103"/>
        <v>647270931.050001</v>
      </c>
      <c r="GH11" s="38">
        <f t="shared" si="25"/>
        <v>0.0659324056368753</v>
      </c>
      <c r="GI11" s="38">
        <f t="shared" si="26"/>
        <v>0.185741150558388</v>
      </c>
      <c r="GJ11" s="68"/>
      <c r="GK11" s="68"/>
      <c r="GL11" s="68"/>
      <c r="GM11" s="68"/>
      <c r="GN11" s="68"/>
      <c r="GO11" s="68"/>
      <c r="GP11" s="68"/>
      <c r="GQ11" s="68"/>
      <c r="GR11" s="68"/>
      <c r="GS11" s="68"/>
      <c r="GT11" s="68"/>
      <c r="GU11" s="68"/>
      <c r="GV11" s="68"/>
      <c r="GW11" s="68"/>
      <c r="GX11" s="68"/>
    </row>
    <row r="12" spans="1:206">
      <c r="A12" s="12">
        <v>2013</v>
      </c>
      <c r="B12" s="28"/>
      <c r="C12" s="52">
        <v>8401589320.86</v>
      </c>
      <c r="D12" s="52">
        <f>C12-K12</f>
        <v>6505436785.4</v>
      </c>
      <c r="E12" s="52">
        <v>5105514283.36</v>
      </c>
      <c r="F12" s="52">
        <v>61824129.87</v>
      </c>
      <c r="G12" s="90">
        <v>898988137.5</v>
      </c>
      <c r="H12" s="52">
        <v>454094215.19</v>
      </c>
      <c r="I12" s="52"/>
      <c r="J12" s="52">
        <v>-14983980.52</v>
      </c>
      <c r="K12" s="52">
        <v>1896152535.46</v>
      </c>
      <c r="L12" s="52">
        <v>1975619151.91</v>
      </c>
      <c r="M12" s="52">
        <v>369200360.24</v>
      </c>
      <c r="N12" s="52">
        <v>1606418791.67</v>
      </c>
      <c r="O12" s="53">
        <v>219694983.14</v>
      </c>
      <c r="P12" s="52">
        <v>607223.1</v>
      </c>
      <c r="Q12" s="52"/>
      <c r="R12" s="52">
        <v>4660469.56</v>
      </c>
      <c r="S12" s="52"/>
      <c r="T12" s="53">
        <f t="shared" si="27"/>
        <v>224962675.8</v>
      </c>
      <c r="U12" s="52">
        <v>1013655627.57</v>
      </c>
      <c r="V12" s="52"/>
      <c r="W12" s="52"/>
      <c r="X12" s="35"/>
      <c r="Y12" s="165">
        <f t="shared" si="28"/>
        <v>1013655627.57</v>
      </c>
      <c r="Z12" s="53">
        <f t="shared" si="29"/>
        <v>1831381467.47</v>
      </c>
      <c r="AA12" s="166">
        <f t="shared" si="30"/>
        <v>1831381467.47</v>
      </c>
      <c r="AB12" s="35">
        <f t="shared" si="0"/>
        <v>0.301439491013457</v>
      </c>
      <c r="AC12" s="169"/>
      <c r="AD12" s="169">
        <f t="shared" si="31"/>
        <v>0.774310256899595</v>
      </c>
      <c r="AE12" s="35">
        <f t="shared" si="32"/>
        <v>0.607684342614046</v>
      </c>
      <c r="AF12" s="35">
        <f t="shared" si="33"/>
        <v>0.00735862317341543</v>
      </c>
      <c r="AG12" s="35">
        <f t="shared" si="34"/>
        <v>0.107002151993782</v>
      </c>
      <c r="AH12" s="35">
        <f t="shared" si="35"/>
        <v>0.0540486088819583</v>
      </c>
      <c r="AI12" s="35">
        <f t="shared" si="36"/>
        <v>0</v>
      </c>
      <c r="AJ12" s="35">
        <f t="shared" si="37"/>
        <v>-0.00178346976360732</v>
      </c>
      <c r="AK12" s="35">
        <f t="shared" si="38"/>
        <v>0.225689743100405</v>
      </c>
      <c r="AL12" s="35">
        <f t="shared" si="39"/>
        <v>0.235148264984199</v>
      </c>
      <c r="AM12" s="35">
        <f t="shared" si="40"/>
        <v>0.191204155585358</v>
      </c>
      <c r="AN12" s="35">
        <f t="shared" si="41"/>
        <v>0.784807300690122</v>
      </c>
      <c r="AO12" s="35">
        <f t="shared" si="42"/>
        <v>0.00950345563402452</v>
      </c>
      <c r="AP12" s="35">
        <f t="shared" si="43"/>
        <v>0.138190281015039</v>
      </c>
      <c r="AQ12" s="35">
        <f t="shared" si="44"/>
        <v>0.0698022638862794</v>
      </c>
      <c r="AR12" s="35">
        <f t="shared" si="45"/>
        <v>0</v>
      </c>
      <c r="AS12" s="35">
        <f t="shared" si="46"/>
        <v>-0.00230330122546548</v>
      </c>
      <c r="AT12" s="35">
        <f t="shared" si="47"/>
        <v>0.188412255311032</v>
      </c>
      <c r="AU12" s="35">
        <f t="shared" si="48"/>
        <v>0.164487351910751</v>
      </c>
      <c r="AV12" s="35">
        <f t="shared" si="49"/>
        <v>0.151374959998005</v>
      </c>
      <c r="AW12" s="35">
        <f t="shared" si="50"/>
        <v>0.25949255659981</v>
      </c>
      <c r="AX12" s="35">
        <f t="shared" si="51"/>
        <v>0.243530088284367</v>
      </c>
      <c r="AY12" s="35">
        <f t="shared" si="52"/>
        <v>0.15770918472697</v>
      </c>
      <c r="AZ12" s="35" t="e">
        <f t="shared" si="53"/>
        <v>#DIV/0!</v>
      </c>
      <c r="BA12" s="35"/>
      <c r="BB12" s="35">
        <f t="shared" si="54"/>
        <v>0.278534289794259</v>
      </c>
      <c r="BC12" s="35">
        <f t="shared" si="55"/>
        <v>0.326243114046818</v>
      </c>
      <c r="BD12" s="36">
        <f t="shared" si="56"/>
        <v>0.330293877918502</v>
      </c>
      <c r="BE12" s="166">
        <v>2258113367.99</v>
      </c>
      <c r="BF12" s="166">
        <v>900659073.68</v>
      </c>
      <c r="BG12" s="166">
        <v>55651097.65</v>
      </c>
      <c r="BH12" s="166">
        <v>7502759.52</v>
      </c>
      <c r="BI12" s="166">
        <f t="shared" si="57"/>
        <v>3221926298.84</v>
      </c>
      <c r="BJ12" s="166">
        <f t="shared" si="58"/>
        <v>2258113367.99</v>
      </c>
      <c r="BK12" s="166">
        <f t="shared" si="59"/>
        <v>900659073.68</v>
      </c>
      <c r="BL12" s="166">
        <f t="shared" si="60"/>
        <v>55651097.65</v>
      </c>
      <c r="BM12" s="166">
        <f t="shared" si="61"/>
        <v>7502759.52</v>
      </c>
      <c r="BN12" s="166">
        <f t="shared" si="62"/>
        <v>3221926298.84</v>
      </c>
      <c r="BO12" s="35" t="e">
        <f t="shared" si="63"/>
        <v>#DIV/0!</v>
      </c>
      <c r="BP12" s="35" t="e">
        <f t="shared" si="64"/>
        <v>#DIV/0!</v>
      </c>
      <c r="BQ12" s="35" t="e">
        <f t="shared" si="65"/>
        <v>#DIV/0!</v>
      </c>
      <c r="BR12" s="35" t="e">
        <f t="shared" si="66"/>
        <v>#DIV/0!</v>
      </c>
      <c r="BS12" s="35" t="e">
        <f t="shared" si="67"/>
        <v>#DIV/0!</v>
      </c>
      <c r="BT12" s="166">
        <v>619035875.22</v>
      </c>
      <c r="BU12" s="166">
        <v>201978394.35</v>
      </c>
      <c r="BV12" s="166">
        <v>36844046.64</v>
      </c>
      <c r="BW12" s="166">
        <v>3398115.79</v>
      </c>
      <c r="BX12" s="166">
        <f t="shared" si="2"/>
        <v>861256432</v>
      </c>
      <c r="BY12" s="166">
        <f t="shared" si="68"/>
        <v>619035875.22</v>
      </c>
      <c r="BZ12" s="166">
        <f t="shared" si="69"/>
        <v>201978394.35</v>
      </c>
      <c r="CA12" s="166">
        <f t="shared" si="70"/>
        <v>36844046.64</v>
      </c>
      <c r="CB12" s="166">
        <f t="shared" si="71"/>
        <v>3398115.79</v>
      </c>
      <c r="CC12" s="166">
        <f t="shared" si="72"/>
        <v>861256432</v>
      </c>
      <c r="CD12" s="35" t="e">
        <f t="shared" si="73"/>
        <v>#DIV/0!</v>
      </c>
      <c r="CE12" s="35" t="e">
        <f t="shared" si="74"/>
        <v>#DIV/0!</v>
      </c>
      <c r="CF12" s="35" t="e">
        <f t="shared" si="75"/>
        <v>#DIV/0!</v>
      </c>
      <c r="CG12" s="35" t="e">
        <f t="shared" si="76"/>
        <v>#DIV/0!</v>
      </c>
      <c r="CH12" s="35" t="e">
        <f t="shared" si="77"/>
        <v>#DIV/0!</v>
      </c>
      <c r="CI12" s="166">
        <f t="shared" si="3"/>
        <v>1639077492.77</v>
      </c>
      <c r="CJ12" s="166">
        <f t="shared" si="4"/>
        <v>698680679.33</v>
      </c>
      <c r="CK12" s="166">
        <f t="shared" si="5"/>
        <v>18807051.01</v>
      </c>
      <c r="CL12" s="166">
        <f t="shared" si="6"/>
        <v>4104643.73</v>
      </c>
      <c r="CM12" s="166">
        <f t="shared" si="78"/>
        <v>2360669866.84</v>
      </c>
      <c r="CN12" s="166">
        <f t="shared" si="79"/>
        <v>1639077492.77</v>
      </c>
      <c r="CO12" s="166">
        <f t="shared" si="80"/>
        <v>698680679.33</v>
      </c>
      <c r="CP12" s="166">
        <f t="shared" si="81"/>
        <v>18807051.01</v>
      </c>
      <c r="CQ12" s="166">
        <f t="shared" si="82"/>
        <v>4104643.73</v>
      </c>
      <c r="CR12" s="166">
        <f t="shared" si="83"/>
        <v>2360669866.84</v>
      </c>
      <c r="CS12" s="35" t="e">
        <f t="shared" si="84"/>
        <v>#DIV/0!</v>
      </c>
      <c r="CT12" s="35" t="e">
        <f t="shared" si="85"/>
        <v>#DIV/0!</v>
      </c>
      <c r="CU12" s="35" t="e">
        <f t="shared" si="86"/>
        <v>#DIV/0!</v>
      </c>
      <c r="CV12" s="35" t="e">
        <f t="shared" si="87"/>
        <v>#DIV/0!</v>
      </c>
      <c r="CW12" s="35" t="e">
        <f t="shared" si="88"/>
        <v>#DIV/0!</v>
      </c>
      <c r="CX12" s="166">
        <v>375987217.96</v>
      </c>
      <c r="CY12" s="166">
        <v>175413435.06</v>
      </c>
      <c r="CZ12" s="166">
        <v>156702624.68</v>
      </c>
      <c r="DA12" s="166"/>
      <c r="DB12" s="166"/>
      <c r="DC12" s="166"/>
      <c r="DD12" s="166"/>
      <c r="DE12" s="166"/>
      <c r="DF12" s="166">
        <v>23940481.05</v>
      </c>
      <c r="DG12" s="166">
        <v>10935865.95</v>
      </c>
      <c r="DH12" s="166"/>
      <c r="DI12" s="166"/>
      <c r="DJ12" s="166"/>
      <c r="DK12" s="166"/>
      <c r="DL12" s="166"/>
      <c r="DM12" s="166"/>
      <c r="DN12" s="166"/>
      <c r="DO12" s="166"/>
      <c r="DP12" s="166"/>
      <c r="DQ12" s="166"/>
      <c r="DR12" s="166"/>
      <c r="DS12" s="166"/>
      <c r="DT12" s="166"/>
      <c r="DU12" s="166">
        <v>198238.72</v>
      </c>
      <c r="DV12" s="166">
        <f t="shared" si="7"/>
        <v>743177863.42</v>
      </c>
      <c r="DW12" s="166">
        <v>4419973096.59</v>
      </c>
      <c r="DX12" s="166">
        <v>522680948.09</v>
      </c>
      <c r="DY12" s="166">
        <v>121938138.33</v>
      </c>
      <c r="DZ12" s="166"/>
      <c r="EA12" s="166">
        <f t="shared" si="8"/>
        <v>5064592183.01</v>
      </c>
      <c r="EB12" s="166">
        <f t="shared" si="89"/>
        <v>4419973096.59</v>
      </c>
      <c r="EC12" s="166">
        <f t="shared" si="90"/>
        <v>522680948.09</v>
      </c>
      <c r="ED12" s="166">
        <f t="shared" si="91"/>
        <v>121938138.33</v>
      </c>
      <c r="EE12" s="166">
        <f t="shared" si="92"/>
        <v>0</v>
      </c>
      <c r="EF12" s="166">
        <f t="shared" si="93"/>
        <v>5064592183.01</v>
      </c>
      <c r="EG12" s="35" t="e">
        <f t="shared" si="94"/>
        <v>#DIV/0!</v>
      </c>
      <c r="EH12" s="35" t="e">
        <f t="shared" si="95"/>
        <v>#DIV/0!</v>
      </c>
      <c r="EI12" s="35" t="e">
        <f t="shared" si="96"/>
        <v>#DIV/0!</v>
      </c>
      <c r="EJ12" s="35" t="e">
        <f t="shared" si="97"/>
        <v>#DIV/0!</v>
      </c>
      <c r="EK12" s="35" t="e">
        <f t="shared" si="98"/>
        <v>#DIV/0!</v>
      </c>
      <c r="EL12" s="35">
        <f t="shared" si="99"/>
        <v>0.186878305913902</v>
      </c>
      <c r="EM12" s="35">
        <f t="shared" si="9"/>
        <v>0.194710263723817</v>
      </c>
      <c r="EN12" s="53">
        <v>5582067309.5</v>
      </c>
      <c r="EO12" s="35">
        <f t="shared" si="10"/>
        <v>0.664406113690952</v>
      </c>
      <c r="EP12" s="36">
        <f t="shared" si="11"/>
        <v>0.175685016617274</v>
      </c>
      <c r="EQ12" s="35"/>
      <c r="ER12" s="35">
        <f t="shared" si="105"/>
        <v>0</v>
      </c>
      <c r="ES12" s="35">
        <f t="shared" si="100"/>
        <v>0</v>
      </c>
      <c r="ET12" s="35"/>
      <c r="EU12" s="35"/>
      <c r="EV12" s="35"/>
      <c r="EW12" s="35"/>
      <c r="EX12" s="61"/>
      <c r="EY12" s="61"/>
      <c r="EZ12" s="12"/>
      <c r="FA12" s="12"/>
      <c r="FB12" s="12"/>
      <c r="FC12" s="12"/>
      <c r="FD12" s="35"/>
      <c r="FE12" s="53">
        <v>1114108499.41</v>
      </c>
      <c r="FF12" s="35">
        <f t="shared" si="16"/>
        <v>0.132606874349811</v>
      </c>
      <c r="FG12" s="35">
        <f t="shared" si="17"/>
        <v>0.254202201190984</v>
      </c>
      <c r="FH12" s="35"/>
      <c r="FI12" s="35"/>
      <c r="FJ12" s="35"/>
      <c r="FK12" s="35"/>
      <c r="FL12" s="35"/>
      <c r="FM12" s="35"/>
      <c r="FN12" s="35"/>
      <c r="FO12" s="61"/>
      <c r="FP12" s="61"/>
      <c r="FQ12" s="12"/>
      <c r="FR12" s="35"/>
      <c r="FS12" s="35"/>
      <c r="FT12" s="53"/>
      <c r="FU12" s="53">
        <v>1159534733.31</v>
      </c>
      <c r="FV12" s="35">
        <f t="shared" si="21"/>
        <v>0.138013736333319</v>
      </c>
      <c r="FW12" s="36">
        <f t="shared" si="104"/>
        <v>0.168608003012935</v>
      </c>
      <c r="FX12" s="66"/>
      <c r="FY12" s="35"/>
      <c r="FZ12" s="35"/>
      <c r="GA12" s="66"/>
      <c r="GB12" s="66"/>
      <c r="GC12" s="52"/>
      <c r="GD12" s="35"/>
      <c r="GE12" s="35"/>
      <c r="GF12" s="68"/>
      <c r="GG12" s="52">
        <f t="shared" si="103"/>
        <v>545878778.64</v>
      </c>
      <c r="GH12" s="38">
        <f t="shared" si="25"/>
        <v>0.0649732756259172</v>
      </c>
      <c r="GI12" s="38">
        <f t="shared" si="26"/>
        <v>0.237462117812026</v>
      </c>
      <c r="GJ12" s="68"/>
      <c r="GK12" s="68"/>
      <c r="GL12" s="68"/>
      <c r="GM12" s="68"/>
      <c r="GN12" s="68"/>
      <c r="GO12" s="68"/>
      <c r="GP12" s="68"/>
      <c r="GQ12" s="68"/>
      <c r="GR12" s="68"/>
      <c r="GS12" s="68"/>
      <c r="GT12" s="68"/>
      <c r="GU12" s="68"/>
      <c r="GV12" s="68"/>
      <c r="GW12" s="68"/>
      <c r="GX12" s="68"/>
    </row>
    <row r="13" spans="1:206">
      <c r="A13" s="12">
        <v>2012</v>
      </c>
      <c r="B13" s="28"/>
      <c r="C13" s="52">
        <v>7069591619.67</v>
      </c>
      <c r="D13" s="52">
        <f>C13-K13</f>
        <v>5586524211.47</v>
      </c>
      <c r="E13" s="52">
        <v>4434275940.28</v>
      </c>
      <c r="F13" s="52">
        <v>49086538.5</v>
      </c>
      <c r="G13" s="90">
        <v>722932356.82</v>
      </c>
      <c r="H13" s="52">
        <v>392235132.26</v>
      </c>
      <c r="I13" s="52"/>
      <c r="J13" s="52">
        <v>-12005756.39</v>
      </c>
      <c r="K13" s="52">
        <v>1483067408.2</v>
      </c>
      <c r="L13" s="52">
        <v>1489635747.01</v>
      </c>
      <c r="M13" s="52">
        <v>282068894.05</v>
      </c>
      <c r="N13" s="52">
        <v>1207566852.96</v>
      </c>
      <c r="O13" s="53">
        <v>193219276.65</v>
      </c>
      <c r="P13" s="52">
        <v>525965.22</v>
      </c>
      <c r="Q13" s="52"/>
      <c r="R13" s="52">
        <v>5884690.05</v>
      </c>
      <c r="S13" s="52"/>
      <c r="T13" s="53">
        <f t="shared" si="27"/>
        <v>199629931.92</v>
      </c>
      <c r="U13" s="52">
        <v>471457199.4</v>
      </c>
      <c r="V13" s="52">
        <v>157569660</v>
      </c>
      <c r="W13" s="52"/>
      <c r="X13" s="35"/>
      <c r="Y13" s="166">
        <f t="shared" si="28"/>
        <v>471457199.4</v>
      </c>
      <c r="Z13" s="53">
        <f t="shared" si="29"/>
        <v>1407196784.88</v>
      </c>
      <c r="AA13" s="166">
        <f t="shared" si="30"/>
        <v>1407196784.88</v>
      </c>
      <c r="AB13" s="35"/>
      <c r="AC13" s="169"/>
      <c r="AD13" s="169">
        <f t="shared" si="31"/>
        <v>0.790218800747471</v>
      </c>
      <c r="AE13" s="35">
        <f t="shared" si="32"/>
        <v>0.627232261612162</v>
      </c>
      <c r="AF13" s="35">
        <f t="shared" si="33"/>
        <v>0.00694333437357606</v>
      </c>
      <c r="AG13" s="35">
        <f t="shared" si="34"/>
        <v>0.102259422568138</v>
      </c>
      <c r="AH13" s="35">
        <f t="shared" si="35"/>
        <v>0.0554820070750153</v>
      </c>
      <c r="AI13" s="35">
        <f t="shared" si="36"/>
        <v>0</v>
      </c>
      <c r="AJ13" s="35">
        <f t="shared" si="37"/>
        <v>-0.00169822488141973</v>
      </c>
      <c r="AK13" s="35">
        <f t="shared" si="38"/>
        <v>0.209781199252529</v>
      </c>
      <c r="AL13" s="35">
        <f t="shared" si="39"/>
        <v>0.210710296598368</v>
      </c>
      <c r="AM13" s="35">
        <f t="shared" si="40"/>
        <v>0.170811401552551</v>
      </c>
      <c r="AN13" s="35">
        <f t="shared" si="41"/>
        <v>0.793745050128977</v>
      </c>
      <c r="AO13" s="35">
        <f t="shared" si="42"/>
        <v>0.00878659729053312</v>
      </c>
      <c r="AP13" s="35">
        <f t="shared" si="43"/>
        <v>0.129406466248854</v>
      </c>
      <c r="AQ13" s="35">
        <f t="shared" si="44"/>
        <v>0.0702109428711828</v>
      </c>
      <c r="AR13" s="35">
        <f t="shared" si="45"/>
        <v>0</v>
      </c>
      <c r="AS13" s="35">
        <f t="shared" si="46"/>
        <v>-0.00214905653954749</v>
      </c>
      <c r="AT13" s="35">
        <f t="shared" si="47"/>
        <v>0.160745719949092</v>
      </c>
      <c r="AU13" s="35">
        <f t="shared" si="48"/>
        <v>0.135885450828416</v>
      </c>
      <c r="AV13" s="35"/>
      <c r="AW13" s="35"/>
      <c r="AX13" s="35"/>
      <c r="AY13" s="35"/>
      <c r="AZ13" s="35"/>
      <c r="BA13" s="35"/>
      <c r="BB13" s="35"/>
      <c r="BC13" s="35"/>
      <c r="BD13" s="35">
        <f t="shared" si="56"/>
        <v>0.263561963932884</v>
      </c>
      <c r="BE13" s="166"/>
      <c r="BF13" s="166"/>
      <c r="BG13" s="166"/>
      <c r="BH13" s="166"/>
      <c r="BI13" s="166"/>
      <c r="BJ13" s="166"/>
      <c r="BK13" s="166"/>
      <c r="BL13" s="166"/>
      <c r="BM13" s="166"/>
      <c r="BN13" s="166"/>
      <c r="BO13" s="35"/>
      <c r="BP13" s="35"/>
      <c r="BQ13" s="35"/>
      <c r="BR13" s="35"/>
      <c r="BS13" s="35"/>
      <c r="BT13" s="166"/>
      <c r="BU13" s="166"/>
      <c r="BV13" s="166"/>
      <c r="BW13" s="166"/>
      <c r="BX13" s="166"/>
      <c r="BY13" s="166"/>
      <c r="BZ13" s="166"/>
      <c r="CA13" s="166"/>
      <c r="CB13" s="166"/>
      <c r="CC13" s="166"/>
      <c r="CD13" s="35"/>
      <c r="CE13" s="35"/>
      <c r="CF13" s="35"/>
      <c r="CG13" s="35"/>
      <c r="CH13" s="35"/>
      <c r="CI13" s="166"/>
      <c r="CJ13" s="166"/>
      <c r="CK13" s="166"/>
      <c r="CL13" s="166"/>
      <c r="CM13" s="166"/>
      <c r="CN13" s="166"/>
      <c r="CO13" s="166"/>
      <c r="CP13" s="166"/>
      <c r="CQ13" s="166"/>
      <c r="CR13" s="166"/>
      <c r="CS13" s="35"/>
      <c r="CT13" s="35"/>
      <c r="CU13" s="35"/>
      <c r="CV13" s="35"/>
      <c r="CW13" s="35"/>
      <c r="CX13" s="166"/>
      <c r="CY13" s="166"/>
      <c r="CZ13" s="166"/>
      <c r="DA13" s="166"/>
      <c r="DB13" s="166"/>
      <c r="DC13" s="166"/>
      <c r="DD13" s="166"/>
      <c r="DE13" s="166"/>
      <c r="DF13" s="166"/>
      <c r="DG13" s="166"/>
      <c r="DH13" s="166"/>
      <c r="DI13" s="166"/>
      <c r="DJ13" s="166"/>
      <c r="DK13" s="166"/>
      <c r="DL13" s="166"/>
      <c r="DM13" s="166"/>
      <c r="DN13" s="166"/>
      <c r="DO13" s="166"/>
      <c r="DP13" s="166"/>
      <c r="DQ13" s="166"/>
      <c r="DR13" s="166"/>
      <c r="DS13" s="166"/>
      <c r="DT13" s="166"/>
      <c r="DU13" s="166"/>
      <c r="DV13" s="166"/>
      <c r="DW13" s="166"/>
      <c r="DX13" s="166"/>
      <c r="DY13" s="166"/>
      <c r="DZ13" s="166"/>
      <c r="EA13" s="166"/>
      <c r="EB13" s="166"/>
      <c r="EC13" s="166"/>
      <c r="ED13" s="166"/>
      <c r="EE13" s="166"/>
      <c r="EF13" s="166"/>
      <c r="EG13" s="35"/>
      <c r="EH13" s="35"/>
      <c r="EI13" s="35"/>
      <c r="EJ13" s="35"/>
      <c r="EK13" s="35"/>
      <c r="EL13" s="35">
        <f t="shared" si="99"/>
        <v>0.189354273094056</v>
      </c>
      <c r="EM13" s="35">
        <f t="shared" si="9"/>
        <v>0.190192901880534</v>
      </c>
      <c r="EN13" s="53">
        <v>4747927574.65</v>
      </c>
      <c r="EO13" s="35">
        <f t="shared" si="10"/>
        <v>0.671598563266322</v>
      </c>
      <c r="EP13" s="35">
        <f t="shared" si="11"/>
        <v>0.147674057203287</v>
      </c>
      <c r="EQ13" s="35"/>
      <c r="ER13" s="35">
        <f t="shared" si="105"/>
        <v>0</v>
      </c>
      <c r="ES13" s="35">
        <f t="shared" si="100"/>
        <v>0</v>
      </c>
      <c r="ET13" s="35"/>
      <c r="EU13" s="35"/>
      <c r="EV13" s="35"/>
      <c r="EW13" s="35"/>
      <c r="EX13" s="90">
        <v>1026410</v>
      </c>
      <c r="EY13" s="61"/>
      <c r="EZ13" s="12"/>
      <c r="FA13" s="12"/>
      <c r="FB13" s="35">
        <f>(EX13-EX14)/EX14</f>
        <v>0.143465410619731</v>
      </c>
      <c r="FC13" s="12"/>
      <c r="FD13" s="35"/>
      <c r="FE13" s="53">
        <v>888300545.44</v>
      </c>
      <c r="FF13" s="35">
        <f t="shared" si="16"/>
        <v>0.125650899405341</v>
      </c>
      <c r="FG13" s="35">
        <f t="shared" si="17"/>
        <v>0.225242131641379</v>
      </c>
      <c r="FH13" s="35"/>
      <c r="FI13" s="35"/>
      <c r="FJ13" s="35"/>
      <c r="FK13" s="35"/>
      <c r="FL13" s="35"/>
      <c r="FM13" s="35"/>
      <c r="FN13" s="35"/>
      <c r="FO13" s="90">
        <v>209943</v>
      </c>
      <c r="FP13" s="61"/>
      <c r="FQ13" s="12"/>
      <c r="FR13" s="35"/>
      <c r="FS13" s="38">
        <f>(FO13-FO14)/FO14</f>
        <v>0.225808523433896</v>
      </c>
      <c r="FT13" s="53"/>
      <c r="FU13" s="53">
        <v>992235831.28</v>
      </c>
      <c r="FV13" s="35">
        <f t="shared" si="21"/>
        <v>0.140352637699646</v>
      </c>
      <c r="FW13" s="36">
        <f t="shared" si="104"/>
        <v>0.228014642673267</v>
      </c>
      <c r="FX13" s="66"/>
      <c r="FY13" s="35"/>
      <c r="FZ13" s="35"/>
      <c r="GA13" s="66"/>
      <c r="GB13" s="66"/>
      <c r="GC13" s="52"/>
      <c r="GD13" s="35"/>
      <c r="GE13" s="35">
        <f>AVERAGE(GE3:GE8)</f>
        <v>0.0476800482081702</v>
      </c>
      <c r="GF13" s="68"/>
      <c r="GG13" s="52">
        <f t="shared" si="103"/>
        <v>441127668.3</v>
      </c>
      <c r="GH13" s="38">
        <f t="shared" si="25"/>
        <v>0.0623978996286905</v>
      </c>
      <c r="GI13" s="38">
        <f t="shared" si="26"/>
        <v>0.048905071498894</v>
      </c>
      <c r="GJ13" s="68"/>
      <c r="GK13" s="68"/>
      <c r="GL13" s="68"/>
      <c r="GM13" s="68"/>
      <c r="GN13" s="68"/>
      <c r="GO13" s="68"/>
      <c r="GP13" s="68"/>
      <c r="GQ13" s="68"/>
      <c r="GR13" s="68"/>
      <c r="GS13" s="68"/>
      <c r="GT13" s="68"/>
      <c r="GU13" s="68"/>
      <c r="GV13" s="68"/>
      <c r="GW13" s="68"/>
      <c r="GX13" s="68"/>
    </row>
    <row r="14" s="9" customFormat="1" spans="1:206">
      <c r="A14" s="12">
        <v>2011</v>
      </c>
      <c r="B14" s="28"/>
      <c r="C14" s="54">
        <v>6090560144.37</v>
      </c>
      <c r="D14" s="5">
        <v>4918210905.33</v>
      </c>
      <c r="E14" s="54">
        <v>3904021616.31</v>
      </c>
      <c r="F14" s="54">
        <v>38337737.52</v>
      </c>
      <c r="G14" s="158">
        <v>680579360.24</v>
      </c>
      <c r="H14" s="54">
        <v>302225303.95</v>
      </c>
      <c r="I14" s="54"/>
      <c r="J14" s="54">
        <v>-6953112.69</v>
      </c>
      <c r="K14" s="54">
        <v>1173123730.26</v>
      </c>
      <c r="L14" s="54">
        <v>1175589345.02</v>
      </c>
      <c r="M14" s="54">
        <v>219904631.94</v>
      </c>
      <c r="N14" s="54">
        <v>955684713.08</v>
      </c>
      <c r="O14" s="55"/>
      <c r="P14" s="54"/>
      <c r="Q14" s="54"/>
      <c r="R14" s="54"/>
      <c r="S14" s="54"/>
      <c r="T14" s="54"/>
      <c r="U14" s="54"/>
      <c r="V14" s="54"/>
      <c r="W14" s="54"/>
      <c r="X14" s="38"/>
      <c r="Y14" s="167"/>
      <c r="Z14" s="55"/>
      <c r="AA14" s="167"/>
      <c r="AB14" s="38"/>
      <c r="AC14" s="172"/>
      <c r="AD14" s="172"/>
      <c r="AE14" s="38">
        <f>AVERAGE(AE3:AE13)</f>
        <v>0.584619762955649</v>
      </c>
      <c r="AF14" s="38"/>
      <c r="AG14" s="38"/>
      <c r="AH14" s="38"/>
      <c r="AI14" s="38"/>
      <c r="AJ14" s="38"/>
      <c r="AK14" s="38"/>
      <c r="AL14" s="38"/>
      <c r="AM14" s="38"/>
      <c r="AN14" s="38"/>
      <c r="AO14" s="38"/>
      <c r="AP14" s="38"/>
      <c r="AQ14" s="38"/>
      <c r="AR14" s="38"/>
      <c r="AS14" s="38"/>
      <c r="AT14" s="35">
        <f t="shared" si="47"/>
        <v>0.104261047185661</v>
      </c>
      <c r="AU14" s="35">
        <f t="shared" si="48"/>
        <v>0.0767658147575531</v>
      </c>
      <c r="AV14" s="38"/>
      <c r="AW14" s="38"/>
      <c r="AX14" s="38"/>
      <c r="AY14" s="38"/>
      <c r="AZ14" s="38"/>
      <c r="BA14" s="38"/>
      <c r="BB14" s="38"/>
      <c r="BC14" s="38"/>
      <c r="BD14" s="35">
        <f t="shared" si="56"/>
        <v>0.173794144238016</v>
      </c>
      <c r="BE14" s="167"/>
      <c r="BF14" s="167"/>
      <c r="BG14" s="167"/>
      <c r="BH14" s="167"/>
      <c r="BI14" s="167"/>
      <c r="BJ14" s="167"/>
      <c r="BK14" s="167"/>
      <c r="BL14" s="167"/>
      <c r="BM14" s="167"/>
      <c r="BN14" s="167"/>
      <c r="BO14" s="38"/>
      <c r="BP14" s="38"/>
      <c r="BQ14" s="38"/>
      <c r="BR14" s="38"/>
      <c r="BS14" s="38"/>
      <c r="BT14" s="167"/>
      <c r="BU14" s="167"/>
      <c r="BV14" s="167"/>
      <c r="BW14" s="167"/>
      <c r="BX14" s="167"/>
      <c r="BY14" s="167"/>
      <c r="BZ14" s="167"/>
      <c r="CA14" s="167"/>
      <c r="CB14" s="167"/>
      <c r="CC14" s="167"/>
      <c r="CD14" s="38"/>
      <c r="CE14" s="38"/>
      <c r="CF14" s="38"/>
      <c r="CG14" s="38"/>
      <c r="CH14" s="38"/>
      <c r="CI14" s="167"/>
      <c r="CJ14" s="167"/>
      <c r="CK14" s="167"/>
      <c r="CL14" s="167"/>
      <c r="CM14" s="167"/>
      <c r="CN14" s="167"/>
      <c r="CO14" s="167"/>
      <c r="CP14" s="167"/>
      <c r="CQ14" s="167"/>
      <c r="CR14" s="167"/>
      <c r="CS14" s="38"/>
      <c r="CT14" s="38"/>
      <c r="CU14" s="38"/>
      <c r="CV14" s="38"/>
      <c r="CW14" s="38"/>
      <c r="CX14" s="167"/>
      <c r="CY14" s="167"/>
      <c r="CZ14" s="167"/>
      <c r="DA14" s="167"/>
      <c r="DB14" s="167"/>
      <c r="DC14" s="167"/>
      <c r="DD14" s="167"/>
      <c r="DE14" s="167"/>
      <c r="DF14" s="167"/>
      <c r="DG14" s="167"/>
      <c r="DH14" s="167"/>
      <c r="DI14" s="167"/>
      <c r="DJ14" s="167"/>
      <c r="DK14" s="167"/>
      <c r="DL14" s="167"/>
      <c r="DM14" s="167"/>
      <c r="DN14" s="167"/>
      <c r="DO14" s="167"/>
      <c r="DP14" s="167"/>
      <c r="DQ14" s="167"/>
      <c r="DR14" s="167"/>
      <c r="DS14" s="167"/>
      <c r="DT14" s="167"/>
      <c r="DU14" s="167"/>
      <c r="DV14" s="167"/>
      <c r="DW14" s="167"/>
      <c r="DX14" s="167"/>
      <c r="DY14" s="167"/>
      <c r="DZ14" s="167"/>
      <c r="EA14" s="167"/>
      <c r="EB14" s="167"/>
      <c r="EC14" s="167"/>
      <c r="ED14" s="167"/>
      <c r="EE14" s="167"/>
      <c r="EF14" s="167"/>
      <c r="EG14" s="38"/>
      <c r="EH14" s="38"/>
      <c r="EI14" s="38"/>
      <c r="EJ14" s="38"/>
      <c r="EK14" s="38"/>
      <c r="EL14" s="38"/>
      <c r="EM14" s="38"/>
      <c r="EN14" s="55">
        <f>41.37*100000000</f>
        <v>4137000000</v>
      </c>
      <c r="EO14" s="35">
        <f t="shared" si="10"/>
        <v>0.67924786915111</v>
      </c>
      <c r="EP14" s="35">
        <f t="shared" si="11"/>
        <v>0.0415407854984893</v>
      </c>
      <c r="EQ14" s="38"/>
      <c r="ER14" s="38"/>
      <c r="ES14" s="38"/>
      <c r="ET14" s="38"/>
      <c r="EU14" s="38"/>
      <c r="EV14" s="38"/>
      <c r="EW14" s="38"/>
      <c r="EX14" s="90">
        <v>897631</v>
      </c>
      <c r="EY14" s="62"/>
      <c r="EZ14" s="21"/>
      <c r="FA14" s="21"/>
      <c r="FB14" s="35">
        <f>(EX14-EX15)/EX15</f>
        <v>-0.0397778814226543</v>
      </c>
      <c r="FC14" s="21"/>
      <c r="FD14" s="38"/>
      <c r="FE14" s="55">
        <f>7.25*100000000</f>
        <v>725000000</v>
      </c>
      <c r="FF14" s="35">
        <f t="shared" si="16"/>
        <v>0.119036670325007</v>
      </c>
      <c r="FG14" s="35">
        <f t="shared" si="17"/>
        <v>0.200331125827815</v>
      </c>
      <c r="FH14" s="38"/>
      <c r="FI14" s="38"/>
      <c r="FJ14" s="38"/>
      <c r="FK14" s="38"/>
      <c r="FL14" s="38"/>
      <c r="FM14" s="38"/>
      <c r="FN14" s="38"/>
      <c r="FO14" s="90">
        <v>171269</v>
      </c>
      <c r="FP14" s="62"/>
      <c r="FQ14" s="21"/>
      <c r="FR14" s="38"/>
      <c r="FS14" s="38">
        <f>(FO14-FO15)/FO15</f>
        <v>0.15016654578666</v>
      </c>
      <c r="FT14" s="55"/>
      <c r="FU14" s="55">
        <f>8.08*100000000</f>
        <v>808000000</v>
      </c>
      <c r="FV14" s="35">
        <f t="shared" si="21"/>
        <v>0.132664316720836</v>
      </c>
      <c r="FW14" s="36">
        <f t="shared" si="104"/>
        <v>0.385934819897084</v>
      </c>
      <c r="FX14" s="67"/>
      <c r="FY14" s="38"/>
      <c r="FZ14" s="38"/>
      <c r="GA14" s="67"/>
      <c r="GB14" s="67"/>
      <c r="GC14" s="54"/>
      <c r="GD14" s="38"/>
      <c r="GE14" s="38"/>
      <c r="GF14" s="104"/>
      <c r="GG14" s="52">
        <f t="shared" si="103"/>
        <v>420560144.37</v>
      </c>
      <c r="GH14" s="38">
        <f t="shared" si="25"/>
        <v>0.0690511438030471</v>
      </c>
      <c r="GI14" s="38">
        <f t="shared" si="26"/>
        <v>0.179666862103303</v>
      </c>
      <c r="GJ14" s="104"/>
      <c r="GK14" s="104"/>
      <c r="GL14" s="104"/>
      <c r="GM14" s="104"/>
      <c r="GN14" s="104"/>
      <c r="GO14" s="104"/>
      <c r="GP14" s="104"/>
      <c r="GQ14" s="104"/>
      <c r="GR14" s="104"/>
      <c r="GS14" s="104"/>
      <c r="GT14" s="104"/>
      <c r="GU14" s="104"/>
      <c r="GV14" s="104"/>
      <c r="GW14" s="104"/>
      <c r="GX14" s="104"/>
    </row>
    <row r="15" s="9" customFormat="1" spans="1:206">
      <c r="A15" s="12">
        <v>2010</v>
      </c>
      <c r="B15" s="42"/>
      <c r="C15" s="54">
        <v>5515507551.31</v>
      </c>
      <c r="D15" s="5">
        <v>4567577125.8</v>
      </c>
      <c r="E15" s="54">
        <v>3696139678.48</v>
      </c>
      <c r="F15" s="54">
        <v>2295929.48</v>
      </c>
      <c r="G15" s="158">
        <v>584158626.91</v>
      </c>
      <c r="H15" s="54">
        <v>296739605.28</v>
      </c>
      <c r="I15" s="54"/>
      <c r="J15" s="54">
        <v>-11756714.35</v>
      </c>
      <c r="K15" s="54">
        <v>953919815.3</v>
      </c>
      <c r="L15" s="54">
        <v>972600789.6</v>
      </c>
      <c r="M15" s="54">
        <v>158416532.7</v>
      </c>
      <c r="N15" s="54">
        <v>814184256.9</v>
      </c>
      <c r="O15" s="55"/>
      <c r="P15" s="54"/>
      <c r="Q15" s="54"/>
      <c r="R15" s="54"/>
      <c r="S15" s="54"/>
      <c r="T15" s="54"/>
      <c r="U15" s="54"/>
      <c r="V15" s="54"/>
      <c r="W15" s="54"/>
      <c r="X15" s="38"/>
      <c r="Y15" s="167"/>
      <c r="Z15" s="55"/>
      <c r="AA15" s="167"/>
      <c r="AB15" s="38"/>
      <c r="AC15" s="172"/>
      <c r="AD15" s="172"/>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5"/>
      <c r="BE15" s="167"/>
      <c r="BF15" s="167"/>
      <c r="BG15" s="167"/>
      <c r="BH15" s="167"/>
      <c r="BI15" s="167"/>
      <c r="BJ15" s="167"/>
      <c r="BK15" s="167"/>
      <c r="BL15" s="167"/>
      <c r="BM15" s="167"/>
      <c r="BN15" s="167"/>
      <c r="BO15" s="38"/>
      <c r="BP15" s="38"/>
      <c r="BQ15" s="38"/>
      <c r="BR15" s="38"/>
      <c r="BS15" s="38"/>
      <c r="BT15" s="167"/>
      <c r="BU15" s="167"/>
      <c r="BV15" s="167"/>
      <c r="BW15" s="167"/>
      <c r="BX15" s="167"/>
      <c r="BY15" s="167"/>
      <c r="BZ15" s="167"/>
      <c r="CA15" s="167"/>
      <c r="CB15" s="167"/>
      <c r="CC15" s="167"/>
      <c r="CD15" s="38"/>
      <c r="CE15" s="38"/>
      <c r="CF15" s="38"/>
      <c r="CG15" s="38"/>
      <c r="CH15" s="38"/>
      <c r="CI15" s="167"/>
      <c r="CJ15" s="167"/>
      <c r="CK15" s="167"/>
      <c r="CL15" s="167"/>
      <c r="CM15" s="167"/>
      <c r="CN15" s="167"/>
      <c r="CO15" s="167"/>
      <c r="CP15" s="167"/>
      <c r="CQ15" s="167"/>
      <c r="CR15" s="167"/>
      <c r="CS15" s="38"/>
      <c r="CT15" s="38"/>
      <c r="CU15" s="38"/>
      <c r="CV15" s="38"/>
      <c r="CW15" s="38"/>
      <c r="CX15" s="167"/>
      <c r="CY15" s="167"/>
      <c r="CZ15" s="167"/>
      <c r="DA15" s="167"/>
      <c r="DB15" s="167"/>
      <c r="DC15" s="167"/>
      <c r="DD15" s="167"/>
      <c r="DE15" s="167"/>
      <c r="DF15" s="167"/>
      <c r="DG15" s="167"/>
      <c r="DH15" s="167"/>
      <c r="DI15" s="167"/>
      <c r="DJ15" s="167"/>
      <c r="DK15" s="167"/>
      <c r="DL15" s="167"/>
      <c r="DM15" s="167"/>
      <c r="DN15" s="167"/>
      <c r="DO15" s="167"/>
      <c r="DP15" s="167"/>
      <c r="DQ15" s="167"/>
      <c r="DR15" s="167"/>
      <c r="DS15" s="167"/>
      <c r="DT15" s="167"/>
      <c r="DU15" s="167"/>
      <c r="DV15" s="167"/>
      <c r="DW15" s="167"/>
      <c r="DX15" s="167"/>
      <c r="DY15" s="167"/>
      <c r="DZ15" s="167"/>
      <c r="EA15" s="167"/>
      <c r="EB15" s="167"/>
      <c r="EC15" s="167"/>
      <c r="ED15" s="167"/>
      <c r="EE15" s="167"/>
      <c r="EF15" s="167"/>
      <c r="EG15" s="38"/>
      <c r="EH15" s="38"/>
      <c r="EI15" s="38"/>
      <c r="EJ15" s="38"/>
      <c r="EK15" s="38"/>
      <c r="EL15" s="38"/>
      <c r="EM15" s="38"/>
      <c r="EN15" s="55">
        <f>39.72*100000000</f>
        <v>3972000000</v>
      </c>
      <c r="EO15" s="35">
        <f t="shared" si="10"/>
        <v>0.720151312104831</v>
      </c>
      <c r="EP15" s="38"/>
      <c r="EQ15" s="38"/>
      <c r="ER15" s="38"/>
      <c r="ES15" s="38"/>
      <c r="ET15" s="38"/>
      <c r="EU15" s="38"/>
      <c r="EV15" s="38"/>
      <c r="EW15" s="38"/>
      <c r="EX15" s="90">
        <v>934816</v>
      </c>
      <c r="EY15" s="62"/>
      <c r="EZ15" s="21"/>
      <c r="FA15" s="21"/>
      <c r="FB15" s="38"/>
      <c r="FC15" s="21"/>
      <c r="FD15" s="38"/>
      <c r="FE15" s="55">
        <f>6.04*100000000</f>
        <v>604000000</v>
      </c>
      <c r="FF15" s="35">
        <f t="shared" si="16"/>
        <v>0.109509414026012</v>
      </c>
      <c r="FG15" s="38"/>
      <c r="FH15" s="38"/>
      <c r="FI15" s="38"/>
      <c r="FJ15" s="38"/>
      <c r="FK15" s="38"/>
      <c r="FL15" s="38"/>
      <c r="FM15" s="38"/>
      <c r="FN15" s="38"/>
      <c r="FO15" s="90">
        <v>148908</v>
      </c>
      <c r="FP15" s="62"/>
      <c r="FQ15" s="21"/>
      <c r="FR15" s="38"/>
      <c r="FS15" s="38"/>
      <c r="FT15" s="55"/>
      <c r="FU15" s="55">
        <f>5.83*100000000</f>
        <v>583000000</v>
      </c>
      <c r="FV15" s="35">
        <f t="shared" si="21"/>
        <v>0.105701967511862</v>
      </c>
      <c r="FW15" s="38"/>
      <c r="FX15" s="67"/>
      <c r="FY15" s="38"/>
      <c r="FZ15" s="38"/>
      <c r="GA15" s="67"/>
      <c r="GB15" s="67"/>
      <c r="GC15" s="54"/>
      <c r="GD15" s="38"/>
      <c r="GE15" s="38"/>
      <c r="GF15" s="104"/>
      <c r="GG15" s="52">
        <f t="shared" si="103"/>
        <v>356507551.31</v>
      </c>
      <c r="GH15" s="38">
        <f t="shared" si="25"/>
        <v>0.0646373063572954</v>
      </c>
      <c r="GI15" s="190"/>
      <c r="GJ15" s="104"/>
      <c r="GK15" s="104"/>
      <c r="GL15" s="104"/>
      <c r="GM15" s="104"/>
      <c r="GN15" s="104"/>
      <c r="GO15" s="104"/>
      <c r="GP15" s="104"/>
      <c r="GQ15" s="104"/>
      <c r="GR15" s="104"/>
      <c r="GS15" s="104"/>
      <c r="GT15" s="104"/>
      <c r="GU15" s="104"/>
      <c r="GV15" s="104"/>
      <c r="GW15" s="104"/>
      <c r="GX15" s="104"/>
    </row>
    <row r="16" s="150" customFormat="1" spans="1:206">
      <c r="A16" s="156"/>
      <c r="B16" s="156"/>
      <c r="C16" s="157"/>
      <c r="D16" s="157"/>
      <c r="E16" s="157"/>
      <c r="F16" s="157"/>
      <c r="G16" s="159"/>
      <c r="H16" s="157"/>
      <c r="I16" s="157"/>
      <c r="J16" s="157"/>
      <c r="K16" s="157"/>
      <c r="L16" s="157"/>
      <c r="M16" s="157"/>
      <c r="N16" s="157"/>
      <c r="O16" s="161"/>
      <c r="P16" s="157"/>
      <c r="Q16" s="157"/>
      <c r="R16" s="157"/>
      <c r="S16" s="157"/>
      <c r="T16" s="157"/>
      <c r="U16" s="157"/>
      <c r="V16" s="157"/>
      <c r="W16" s="157"/>
      <c r="X16" s="163"/>
      <c r="Y16" s="168">
        <f>AVERAGE(Y3:Y13)</f>
        <v>786363966.485455</v>
      </c>
      <c r="Z16" s="161"/>
      <c r="AA16" s="168">
        <f>AVERAGE(AA3:AA7)</f>
        <v>6259854237.58891</v>
      </c>
      <c r="AB16" s="163">
        <f>AVERAGE(AB3:AB7)</f>
        <v>0.105149065884512</v>
      </c>
      <c r="AC16" s="173"/>
      <c r="AD16" s="173"/>
      <c r="AE16" s="163">
        <f>AVERAGE(AE3:AE13)</f>
        <v>0.584619762955649</v>
      </c>
      <c r="AF16" s="163"/>
      <c r="AG16" s="163">
        <f>AVERAGE(AG3:AG13)</f>
        <v>0.0993446854334041</v>
      </c>
      <c r="AH16" s="163">
        <f>AVERAGE(AH3:AH13)</f>
        <v>0.0309222154701446</v>
      </c>
      <c r="AI16" s="163">
        <f>AVERAGE(AI3:AI8)</f>
        <v>0.0295989969995942</v>
      </c>
      <c r="AJ16" s="163"/>
      <c r="AK16" s="163">
        <f>AVERAGE(AK3:AK13)</f>
        <v>0.279274862676869</v>
      </c>
      <c r="AL16" s="163">
        <f>AVERAGE(AL3:AL13)</f>
        <v>0.281248299615602</v>
      </c>
      <c r="AM16" s="163"/>
      <c r="AN16" s="163">
        <f>AVERAGE(AN3:AN13)</f>
        <v>0.802563590041234</v>
      </c>
      <c r="AO16" s="163"/>
      <c r="AP16" s="163"/>
      <c r="AQ16" s="163"/>
      <c r="AR16" s="163"/>
      <c r="AS16" s="163"/>
      <c r="AT16" s="163"/>
      <c r="AU16" s="163"/>
      <c r="AV16" s="163"/>
      <c r="AW16" s="163"/>
      <c r="AX16" s="163"/>
      <c r="AY16" s="163"/>
      <c r="AZ16" s="163"/>
      <c r="BA16" s="163"/>
      <c r="BB16" s="163">
        <f>AVERAGE(BB3:BB12)</f>
        <v>0.178896760106357</v>
      </c>
      <c r="BC16" s="163"/>
      <c r="BD16" s="163"/>
      <c r="BE16" s="168"/>
      <c r="BF16" s="168"/>
      <c r="BG16" s="168"/>
      <c r="BH16" s="168"/>
      <c r="BI16" s="168"/>
      <c r="BJ16" s="168"/>
      <c r="BK16" s="168"/>
      <c r="BL16" s="168"/>
      <c r="BM16" s="168"/>
      <c r="BN16" s="168"/>
      <c r="BO16" s="163"/>
      <c r="BP16" s="163"/>
      <c r="BQ16" s="163"/>
      <c r="BR16" s="163"/>
      <c r="BS16" s="163"/>
      <c r="BT16" s="168"/>
      <c r="BU16" s="168"/>
      <c r="BV16" s="168"/>
      <c r="BW16" s="168"/>
      <c r="BX16" s="168"/>
      <c r="BY16" s="168"/>
      <c r="BZ16" s="168"/>
      <c r="CA16" s="168"/>
      <c r="CB16" s="168"/>
      <c r="CC16" s="168"/>
      <c r="CD16" s="163"/>
      <c r="CE16" s="163"/>
      <c r="CF16" s="163"/>
      <c r="CG16" s="163"/>
      <c r="CH16" s="163"/>
      <c r="CI16" s="168"/>
      <c r="CJ16" s="168"/>
      <c r="CK16" s="168"/>
      <c r="CL16" s="168"/>
      <c r="CM16" s="168"/>
      <c r="CN16" s="168"/>
      <c r="CO16" s="168"/>
      <c r="CP16" s="168"/>
      <c r="CQ16" s="168"/>
      <c r="CR16" s="168"/>
      <c r="CS16" s="163"/>
      <c r="CT16" s="163"/>
      <c r="CU16" s="163"/>
      <c r="CV16" s="163"/>
      <c r="CW16" s="163"/>
      <c r="CX16" s="168"/>
      <c r="CY16" s="168"/>
      <c r="CZ16" s="168"/>
      <c r="DA16" s="168"/>
      <c r="DB16" s="168"/>
      <c r="DC16" s="168"/>
      <c r="DD16" s="168"/>
      <c r="DE16" s="168"/>
      <c r="DF16" s="168"/>
      <c r="DG16" s="168"/>
      <c r="DH16" s="168"/>
      <c r="DI16" s="168"/>
      <c r="DJ16" s="168"/>
      <c r="DK16" s="168"/>
      <c r="DL16" s="168"/>
      <c r="DM16" s="168"/>
      <c r="DN16" s="168"/>
      <c r="DO16" s="168"/>
      <c r="DP16" s="168"/>
      <c r="DQ16" s="168"/>
      <c r="DR16" s="168"/>
      <c r="DS16" s="168"/>
      <c r="DT16" s="168"/>
      <c r="DU16" s="168"/>
      <c r="DV16" s="168"/>
      <c r="DW16" s="168"/>
      <c r="DX16" s="168"/>
      <c r="DY16" s="168"/>
      <c r="DZ16" s="168"/>
      <c r="EA16" s="168"/>
      <c r="EB16" s="168"/>
      <c r="EC16" s="168"/>
      <c r="ED16" s="168"/>
      <c r="EE16" s="168"/>
      <c r="EF16" s="168"/>
      <c r="EG16" s="163"/>
      <c r="EH16" s="163"/>
      <c r="EI16" s="163"/>
      <c r="EJ16" s="163"/>
      <c r="EK16" s="163"/>
      <c r="EL16" s="163"/>
      <c r="EM16" s="163"/>
      <c r="EN16" s="161"/>
      <c r="EO16" s="163"/>
      <c r="EP16" s="163">
        <f>AVERAGE(EP3:EP14)</f>
        <v>0.111230679093464</v>
      </c>
      <c r="EQ16" s="163"/>
      <c r="ER16" s="163"/>
      <c r="ES16" s="163"/>
      <c r="ET16" s="163"/>
      <c r="EU16" s="163"/>
      <c r="EV16" s="163"/>
      <c r="EW16" s="163"/>
      <c r="EX16" s="184"/>
      <c r="EY16" s="184"/>
      <c r="EZ16" s="156"/>
      <c r="FA16" s="156"/>
      <c r="FB16" s="163"/>
      <c r="FC16" s="156"/>
      <c r="FD16" s="163"/>
      <c r="FE16" s="161"/>
      <c r="FF16" s="163"/>
      <c r="FG16" s="163">
        <f>AVERAGE(FG3:FG14)</f>
        <v>0.184243200908402</v>
      </c>
      <c r="FH16" s="163"/>
      <c r="FI16" s="163"/>
      <c r="FJ16" s="163"/>
      <c r="FK16" s="163"/>
      <c r="FL16" s="163"/>
      <c r="FM16" s="163"/>
      <c r="FN16" s="163"/>
      <c r="FO16" s="184"/>
      <c r="FP16" s="184"/>
      <c r="FQ16" s="156"/>
      <c r="FR16" s="163"/>
      <c r="FS16" s="163"/>
      <c r="FT16" s="161"/>
      <c r="FU16" s="161"/>
      <c r="FV16" s="163"/>
      <c r="FW16" s="163">
        <f>AVERAGE(FW3:FW14)</f>
        <v>0.138347732196539</v>
      </c>
      <c r="FX16" s="186"/>
      <c r="FY16" s="163"/>
      <c r="FZ16" s="163"/>
      <c r="GA16" s="186"/>
      <c r="GB16" s="186"/>
      <c r="GC16" s="157"/>
      <c r="GD16" s="163"/>
      <c r="GE16" s="163"/>
      <c r="GF16" s="187"/>
      <c r="GG16" s="157"/>
      <c r="GH16" s="187"/>
      <c r="GI16" s="191"/>
      <c r="GJ16" s="187"/>
      <c r="GK16" s="187"/>
      <c r="GL16" s="187"/>
      <c r="GM16" s="187"/>
      <c r="GN16" s="187"/>
      <c r="GO16" s="187"/>
      <c r="GP16" s="187"/>
      <c r="GQ16" s="187"/>
      <c r="GR16" s="187"/>
      <c r="GS16" s="187"/>
      <c r="GT16" s="187"/>
      <c r="GU16" s="187"/>
      <c r="GV16" s="187"/>
      <c r="GW16" s="187"/>
      <c r="GX16" s="187"/>
    </row>
    <row r="17" spans="1:206">
      <c r="A17" s="12">
        <v>2022</v>
      </c>
      <c r="B17" s="12" t="s">
        <v>128</v>
      </c>
      <c r="C17" s="52">
        <v>5341040998.68</v>
      </c>
      <c r="D17" s="52">
        <v>4707096929.93</v>
      </c>
      <c r="E17" s="52">
        <v>3647876549.07</v>
      </c>
      <c r="F17" s="52">
        <v>88370313.75</v>
      </c>
      <c r="G17" s="90">
        <v>472899300.13</v>
      </c>
      <c r="H17" s="52">
        <v>323539701.93</v>
      </c>
      <c r="I17" s="52">
        <v>178601844.82</v>
      </c>
      <c r="J17" s="52">
        <v>-4190779.77</v>
      </c>
      <c r="K17" s="52">
        <v>705693335.16</v>
      </c>
      <c r="L17" s="52">
        <v>-474409780.91</v>
      </c>
      <c r="M17" s="52">
        <v>80152748.71</v>
      </c>
      <c r="N17" s="52">
        <v>-554562529.62</v>
      </c>
      <c r="O17" s="53"/>
      <c r="P17" s="52"/>
      <c r="Q17" s="52"/>
      <c r="R17" s="52"/>
      <c r="S17" s="52"/>
      <c r="T17" s="52"/>
      <c r="U17" s="52"/>
      <c r="V17" s="52"/>
      <c r="W17" s="52"/>
      <c r="X17" s="35"/>
      <c r="Y17" s="166"/>
      <c r="Z17" s="52"/>
      <c r="AA17" s="166"/>
      <c r="AB17" s="35"/>
      <c r="AC17" s="169"/>
      <c r="AD17" s="169">
        <f t="shared" ref="AD17:AD33" si="106">D17/C17</f>
        <v>0.881307020690035</v>
      </c>
      <c r="AE17" s="35">
        <f t="shared" ref="AE17:AE27" si="107">E17/$C17</f>
        <v>0.682989804791153</v>
      </c>
      <c r="AF17" s="35">
        <f t="shared" ref="AF17:AF27" si="108">F17/$C17</f>
        <v>0.0165455224499943</v>
      </c>
      <c r="AG17" s="35">
        <f t="shared" ref="AG17:AG27" si="109">G17/$C17</f>
        <v>0.0885406609398568</v>
      </c>
      <c r="AH17" s="35">
        <f t="shared" ref="AH17:AH27" si="110">H17/$C17</f>
        <v>0.0605761502317545</v>
      </c>
      <c r="AI17" s="35">
        <f t="shared" ref="AI17:AI27" si="111">I17/$C17</f>
        <v>0.0334395195363863</v>
      </c>
      <c r="AJ17" s="35"/>
      <c r="AK17" s="35">
        <f t="shared" ref="AK17:AK27" si="112">K17/C17</f>
        <v>0.132126552732774</v>
      </c>
      <c r="AL17" s="35">
        <f t="shared" ref="AL17:AL27" si="113">L17/C17</f>
        <v>-0.0888234673778477</v>
      </c>
      <c r="AM17" s="35">
        <f t="shared" ref="AM17:AM27" si="114">N17/C17</f>
        <v>-0.103830419904482</v>
      </c>
      <c r="AN17" s="35"/>
      <c r="AO17" s="35"/>
      <c r="AP17" s="35"/>
      <c r="AQ17" s="35"/>
      <c r="AR17" s="35"/>
      <c r="AS17" s="35"/>
      <c r="AT17" s="35">
        <f>(C17-C18)/C18</f>
        <v>0.044059172814461</v>
      </c>
      <c r="AU17" s="35">
        <f>(D17-D18)/D18</f>
        <v>0.094328356754189</v>
      </c>
      <c r="AV17" s="35"/>
      <c r="AW17" s="35"/>
      <c r="AX17" s="35"/>
      <c r="AY17" s="35"/>
      <c r="AZ17" s="35"/>
      <c r="BA17" s="35"/>
      <c r="BB17" s="35">
        <f>(K17-K18)/K18</f>
        <v>-0.195786910314571</v>
      </c>
      <c r="BC17" s="35"/>
      <c r="BD17" s="35"/>
      <c r="BE17" s="166"/>
      <c r="BF17" s="166"/>
      <c r="BG17" s="166"/>
      <c r="BH17" s="166"/>
      <c r="BI17" s="166"/>
      <c r="BJ17" s="166"/>
      <c r="BK17" s="166"/>
      <c r="BL17" s="166"/>
      <c r="BM17" s="166"/>
      <c r="BN17" s="166"/>
      <c r="BO17" s="35"/>
      <c r="BP17" s="35"/>
      <c r="BQ17" s="35"/>
      <c r="BR17" s="35"/>
      <c r="BS17" s="35"/>
      <c r="BT17" s="166"/>
      <c r="BU17" s="166"/>
      <c r="BV17" s="166"/>
      <c r="BW17" s="166"/>
      <c r="BX17" s="166"/>
      <c r="BY17" s="166"/>
      <c r="BZ17" s="166"/>
      <c r="CA17" s="166"/>
      <c r="CB17" s="166"/>
      <c r="CC17" s="166"/>
      <c r="CD17" s="35"/>
      <c r="CE17" s="35"/>
      <c r="CF17" s="35"/>
      <c r="CG17" s="35"/>
      <c r="CH17" s="35"/>
      <c r="CI17" s="166"/>
      <c r="CJ17" s="166"/>
      <c r="CK17" s="166"/>
      <c r="CL17" s="166"/>
      <c r="CM17" s="166"/>
      <c r="CN17" s="166"/>
      <c r="CO17" s="166"/>
      <c r="CP17" s="166"/>
      <c r="CQ17" s="166"/>
      <c r="CR17" s="166"/>
      <c r="CS17" s="35"/>
      <c r="CT17" s="35"/>
      <c r="CU17" s="35"/>
      <c r="CV17" s="35"/>
      <c r="CW17" s="35"/>
      <c r="CX17" s="166"/>
      <c r="CY17" s="166"/>
      <c r="CZ17" s="166"/>
      <c r="DA17" s="166"/>
      <c r="DB17" s="166"/>
      <c r="DC17" s="166"/>
      <c r="DD17" s="166"/>
      <c r="DE17" s="166"/>
      <c r="DF17" s="166"/>
      <c r="DG17" s="166"/>
      <c r="DH17" s="166"/>
      <c r="DI17" s="166"/>
      <c r="DJ17" s="166"/>
      <c r="DK17" s="166"/>
      <c r="DL17" s="166"/>
      <c r="DM17" s="166"/>
      <c r="DN17" s="166"/>
      <c r="DO17" s="166"/>
      <c r="DP17" s="166"/>
      <c r="DQ17" s="166"/>
      <c r="DR17" s="166"/>
      <c r="DS17" s="166"/>
      <c r="DT17" s="166"/>
      <c r="DU17" s="166"/>
      <c r="DV17" s="166"/>
      <c r="DW17" s="166"/>
      <c r="DX17" s="166"/>
      <c r="DY17" s="166"/>
      <c r="DZ17" s="166"/>
      <c r="EA17" s="166"/>
      <c r="EB17" s="166"/>
      <c r="EC17" s="166"/>
      <c r="ED17" s="166"/>
      <c r="EE17" s="166"/>
      <c r="EF17" s="166"/>
      <c r="EG17" s="35"/>
      <c r="EH17" s="35"/>
      <c r="EI17" s="35"/>
      <c r="EJ17" s="35"/>
      <c r="EK17" s="35"/>
      <c r="EL17" s="35">
        <f t="shared" ref="EL17:EL27" si="115">M17/L17</f>
        <v>-0.16895256365974</v>
      </c>
      <c r="EM17" s="35">
        <f t="shared" ref="EM17:EM27" si="116">M17/K17</f>
        <v>0.113580141283079</v>
      </c>
      <c r="EN17" s="53"/>
      <c r="EO17" s="35">
        <f t="shared" ref="EO17:EO27" si="117">EN17/C17</f>
        <v>0</v>
      </c>
      <c r="EP17" s="35"/>
      <c r="EQ17" s="35"/>
      <c r="ER17" s="35">
        <f t="shared" ref="ER17:ER33" si="118">EQ17/D17</f>
        <v>0</v>
      </c>
      <c r="ES17" s="35" t="e">
        <f t="shared" ref="ES17:ES33" si="119">EQ17/EN17</f>
        <v>#DIV/0!</v>
      </c>
      <c r="ET17" s="35"/>
      <c r="EU17" s="35"/>
      <c r="EV17" s="35"/>
      <c r="EW17" s="35"/>
      <c r="EX17" s="61"/>
      <c r="EY17" s="61"/>
      <c r="EZ17" s="12"/>
      <c r="FA17" s="12"/>
      <c r="FB17" s="35"/>
      <c r="FC17" s="12"/>
      <c r="FD17" s="35"/>
      <c r="FE17" s="53"/>
      <c r="FF17" s="35">
        <f t="shared" ref="FF17:FF27" si="120">FE17/C17</f>
        <v>0</v>
      </c>
      <c r="FG17" s="35"/>
      <c r="FH17" s="35"/>
      <c r="FI17" s="35"/>
      <c r="FJ17" s="35"/>
      <c r="FK17" s="35"/>
      <c r="FL17" s="35"/>
      <c r="FM17" s="35"/>
      <c r="FN17" s="35"/>
      <c r="FO17" s="61"/>
      <c r="FP17" s="61"/>
      <c r="FQ17" s="12"/>
      <c r="FR17" s="35"/>
      <c r="FS17" s="35"/>
      <c r="FT17" s="53"/>
      <c r="FU17" s="53"/>
      <c r="FV17" s="35">
        <f t="shared" ref="FV17:FV33" si="121">FU17/C17</f>
        <v>0</v>
      </c>
      <c r="FW17" s="35"/>
      <c r="FX17" s="66"/>
      <c r="FY17" s="35"/>
      <c r="FZ17" s="35"/>
      <c r="GA17" s="66"/>
      <c r="GB17" s="66"/>
      <c r="GC17" s="52"/>
      <c r="GD17" s="35"/>
      <c r="GE17" s="35"/>
      <c r="GF17" s="68"/>
      <c r="GG17" s="52"/>
      <c r="GH17" s="68"/>
      <c r="GI17" s="192"/>
      <c r="GJ17" s="68"/>
      <c r="GK17" s="68"/>
      <c r="GL17" s="68"/>
      <c r="GM17" s="68"/>
      <c r="GN17" s="68"/>
      <c r="GO17" s="68"/>
      <c r="GP17" s="68"/>
      <c r="GQ17" s="68"/>
      <c r="GR17" s="68"/>
      <c r="GS17" s="68"/>
      <c r="GT17" s="68"/>
      <c r="GU17" s="68"/>
      <c r="GV17" s="68"/>
      <c r="GW17" s="68"/>
      <c r="GX17" s="68"/>
    </row>
    <row r="18" spans="1:206">
      <c r="A18" s="12">
        <v>2021</v>
      </c>
      <c r="B18" s="12"/>
      <c r="C18" s="52">
        <v>5115649704.3</v>
      </c>
      <c r="D18" s="52">
        <v>4301356992.97</v>
      </c>
      <c r="E18" s="52">
        <v>3331842758.91</v>
      </c>
      <c r="F18" s="52">
        <v>112595334.52</v>
      </c>
      <c r="G18" s="90">
        <v>412424113.48</v>
      </c>
      <c r="H18" s="52">
        <v>254493095.03</v>
      </c>
      <c r="I18" s="52">
        <v>170105530.96</v>
      </c>
      <c r="J18" s="52">
        <v>19896160.07</v>
      </c>
      <c r="K18" s="52">
        <v>877495460.11</v>
      </c>
      <c r="L18" s="52">
        <v>876523604.02</v>
      </c>
      <c r="M18" s="52">
        <v>92303153.39</v>
      </c>
      <c r="N18" s="52">
        <v>784220450.63</v>
      </c>
      <c r="O18" s="53"/>
      <c r="P18" s="52"/>
      <c r="Q18" s="52"/>
      <c r="R18" s="52"/>
      <c r="S18" s="52"/>
      <c r="T18" s="52"/>
      <c r="U18" s="52"/>
      <c r="V18" s="52"/>
      <c r="W18" s="52"/>
      <c r="X18" s="35"/>
      <c r="Y18" s="166"/>
      <c r="Z18" s="52"/>
      <c r="AA18" s="166"/>
      <c r="AB18" s="35"/>
      <c r="AC18" s="169"/>
      <c r="AD18" s="169">
        <f t="shared" si="106"/>
        <v>0.840823207530113</v>
      </c>
      <c r="AE18" s="35">
        <f t="shared" si="107"/>
        <v>0.651303930390189</v>
      </c>
      <c r="AF18" s="35">
        <f t="shared" si="108"/>
        <v>0.0220099774277658</v>
      </c>
      <c r="AG18" s="35">
        <f t="shared" si="109"/>
        <v>0.0806200849001318</v>
      </c>
      <c r="AH18" s="35">
        <f t="shared" si="110"/>
        <v>0.0497479518224408</v>
      </c>
      <c r="AI18" s="35">
        <f t="shared" si="111"/>
        <v>0.0332519896381913</v>
      </c>
      <c r="AJ18" s="35"/>
      <c r="AK18" s="35">
        <f t="shared" si="112"/>
        <v>0.171531576795107</v>
      </c>
      <c r="AL18" s="35">
        <f t="shared" si="113"/>
        <v>0.171341599735265</v>
      </c>
      <c r="AM18" s="35">
        <f t="shared" si="114"/>
        <v>0.153298309297999</v>
      </c>
      <c r="AN18" s="35"/>
      <c r="AO18" s="35"/>
      <c r="AP18" s="35"/>
      <c r="AQ18" s="35"/>
      <c r="AR18" s="35"/>
      <c r="AS18" s="35"/>
      <c r="AT18" s="35">
        <f t="shared" ref="AT18:AT27" si="122">(C18-C19)/C19</f>
        <v>-0.00150781658783711</v>
      </c>
      <c r="AU18" s="35">
        <f t="shared" ref="AU18:AU27" si="123">(D18-D19)/D19</f>
        <v>0.0577606487299761</v>
      </c>
      <c r="AV18" s="35"/>
      <c r="AW18" s="35"/>
      <c r="AX18" s="35"/>
      <c r="AY18" s="35"/>
      <c r="AZ18" s="35"/>
      <c r="BA18" s="35"/>
      <c r="BB18" s="35">
        <f t="shared" ref="BB18:BB26" si="124">(K18-K19)/K19</f>
        <v>-0.249211040407186</v>
      </c>
      <c r="BC18" s="35"/>
      <c r="BD18" s="35"/>
      <c r="BE18" s="166"/>
      <c r="BF18" s="166"/>
      <c r="BG18" s="166"/>
      <c r="BH18" s="166"/>
      <c r="BI18" s="166"/>
      <c r="BJ18" s="166"/>
      <c r="BK18" s="166"/>
      <c r="BL18" s="166"/>
      <c r="BM18" s="166"/>
      <c r="BN18" s="166"/>
      <c r="BO18" s="35"/>
      <c r="BP18" s="35"/>
      <c r="BQ18" s="35"/>
      <c r="BR18" s="35"/>
      <c r="BS18" s="35"/>
      <c r="BT18" s="166"/>
      <c r="BU18" s="166"/>
      <c r="BV18" s="166"/>
      <c r="BW18" s="166"/>
      <c r="BX18" s="166"/>
      <c r="BY18" s="166"/>
      <c r="BZ18" s="166"/>
      <c r="CA18" s="166"/>
      <c r="CB18" s="166"/>
      <c r="CC18" s="166"/>
      <c r="CD18" s="35"/>
      <c r="CE18" s="35"/>
      <c r="CF18" s="35"/>
      <c r="CG18" s="35"/>
      <c r="CH18" s="35"/>
      <c r="CI18" s="166"/>
      <c r="CJ18" s="166"/>
      <c r="CK18" s="166"/>
      <c r="CL18" s="166"/>
      <c r="CM18" s="166"/>
      <c r="CN18" s="166"/>
      <c r="CO18" s="166"/>
      <c r="CP18" s="166"/>
      <c r="CQ18" s="166"/>
      <c r="CR18" s="166"/>
      <c r="CS18" s="35"/>
      <c r="CT18" s="35"/>
      <c r="CU18" s="35"/>
      <c r="CV18" s="35"/>
      <c r="CW18" s="35"/>
      <c r="CX18" s="166"/>
      <c r="CY18" s="166"/>
      <c r="CZ18" s="166"/>
      <c r="DA18" s="166"/>
      <c r="DB18" s="166"/>
      <c r="DC18" s="166"/>
      <c r="DD18" s="166"/>
      <c r="DE18" s="166"/>
      <c r="DF18" s="166"/>
      <c r="DG18" s="166"/>
      <c r="DH18" s="166"/>
      <c r="DI18" s="166"/>
      <c r="DJ18" s="166"/>
      <c r="DK18" s="166"/>
      <c r="DL18" s="166"/>
      <c r="DM18" s="166"/>
      <c r="DN18" s="166"/>
      <c r="DO18" s="166"/>
      <c r="DP18" s="166"/>
      <c r="DQ18" s="166"/>
      <c r="DR18" s="166"/>
      <c r="DS18" s="166"/>
      <c r="DT18" s="166"/>
      <c r="DU18" s="166"/>
      <c r="DV18" s="166"/>
      <c r="DW18" s="166"/>
      <c r="DX18" s="166"/>
      <c r="DY18" s="166"/>
      <c r="DZ18" s="166"/>
      <c r="EA18" s="166"/>
      <c r="EB18" s="166"/>
      <c r="EC18" s="166"/>
      <c r="ED18" s="166"/>
      <c r="EE18" s="166"/>
      <c r="EF18" s="166"/>
      <c r="EG18" s="35"/>
      <c r="EH18" s="35"/>
      <c r="EI18" s="35"/>
      <c r="EJ18" s="35"/>
      <c r="EK18" s="35"/>
      <c r="EL18" s="35">
        <f t="shared" si="115"/>
        <v>0.105305952933464</v>
      </c>
      <c r="EM18" s="35">
        <f t="shared" si="116"/>
        <v>0.105189323006217</v>
      </c>
      <c r="EN18" s="53"/>
      <c r="EO18" s="35">
        <f t="shared" si="117"/>
        <v>0</v>
      </c>
      <c r="EP18" s="35"/>
      <c r="EQ18" s="35"/>
      <c r="ER18" s="35">
        <f t="shared" si="118"/>
        <v>0</v>
      </c>
      <c r="ES18" s="35" t="e">
        <f t="shared" si="119"/>
        <v>#DIV/0!</v>
      </c>
      <c r="ET18" s="35"/>
      <c r="EU18" s="35"/>
      <c r="EV18" s="35"/>
      <c r="EW18" s="35"/>
      <c r="EX18" s="61"/>
      <c r="EY18" s="61"/>
      <c r="EZ18" s="12"/>
      <c r="FA18" s="12"/>
      <c r="FB18" s="35"/>
      <c r="FC18" s="12"/>
      <c r="FD18" s="35"/>
      <c r="FE18" s="53"/>
      <c r="FF18" s="35">
        <f t="shared" si="120"/>
        <v>0</v>
      </c>
      <c r="FG18" s="35"/>
      <c r="FH18" s="35"/>
      <c r="FI18" s="35"/>
      <c r="FJ18" s="35"/>
      <c r="FK18" s="35"/>
      <c r="FL18" s="35"/>
      <c r="FM18" s="35"/>
      <c r="FN18" s="35"/>
      <c r="FO18" s="61"/>
      <c r="FP18" s="61"/>
      <c r="FQ18" s="12"/>
      <c r="FR18" s="35"/>
      <c r="FS18" s="35"/>
      <c r="FT18" s="53"/>
      <c r="FU18" s="53"/>
      <c r="FV18" s="35">
        <f t="shared" si="121"/>
        <v>0</v>
      </c>
      <c r="FW18" s="35"/>
      <c r="FX18" s="66"/>
      <c r="FY18" s="35"/>
      <c r="FZ18" s="35"/>
      <c r="GA18" s="66"/>
      <c r="GB18" s="66"/>
      <c r="GC18" s="52"/>
      <c r="GD18" s="35"/>
      <c r="GE18" s="35"/>
      <c r="GF18" s="68"/>
      <c r="GG18" s="52"/>
      <c r="GH18" s="68"/>
      <c r="GI18" s="192"/>
      <c r="GJ18" s="68"/>
      <c r="GK18" s="68"/>
      <c r="GL18" s="68"/>
      <c r="GM18" s="68"/>
      <c r="GN18" s="68"/>
      <c r="GO18" s="68"/>
      <c r="GP18" s="68"/>
      <c r="GQ18" s="68"/>
      <c r="GR18" s="68"/>
      <c r="GS18" s="68"/>
      <c r="GT18" s="68"/>
      <c r="GU18" s="68"/>
      <c r="GV18" s="68"/>
      <c r="GW18" s="68"/>
      <c r="GX18" s="68"/>
    </row>
    <row r="19" spans="1:206">
      <c r="A19" s="12">
        <v>2020</v>
      </c>
      <c r="B19" s="12"/>
      <c r="C19" s="52">
        <v>5123374813.83</v>
      </c>
      <c r="D19" s="52">
        <v>4066474772.09</v>
      </c>
      <c r="E19" s="52">
        <v>3163314751.7</v>
      </c>
      <c r="F19" s="52">
        <v>58071354.48</v>
      </c>
      <c r="G19" s="90">
        <v>396987588.96</v>
      </c>
      <c r="H19" s="52">
        <v>280653551.38</v>
      </c>
      <c r="I19" s="52">
        <v>154130171.85</v>
      </c>
      <c r="J19" s="52">
        <v>13317353.72</v>
      </c>
      <c r="K19" s="52">
        <v>1168764469.56</v>
      </c>
      <c r="L19" s="52">
        <v>1130076526.92</v>
      </c>
      <c r="M19" s="52">
        <v>158704875.24</v>
      </c>
      <c r="N19" s="52">
        <v>971371651.68</v>
      </c>
      <c r="O19" s="53"/>
      <c r="P19" s="52"/>
      <c r="Q19" s="52"/>
      <c r="R19" s="52"/>
      <c r="S19" s="52"/>
      <c r="T19" s="52"/>
      <c r="U19" s="52"/>
      <c r="V19" s="52"/>
      <c r="W19" s="52"/>
      <c r="X19" s="35"/>
      <c r="Y19" s="166"/>
      <c r="Z19" s="52"/>
      <c r="AA19" s="166"/>
      <c r="AB19" s="35"/>
      <c r="AC19" s="169"/>
      <c r="AD19" s="169">
        <f t="shared" si="106"/>
        <v>0.79371018515237</v>
      </c>
      <c r="AE19" s="35">
        <f t="shared" si="107"/>
        <v>0.617427938936065</v>
      </c>
      <c r="AF19" s="35">
        <f t="shared" si="108"/>
        <v>0.0113345903023223</v>
      </c>
      <c r="AG19" s="35">
        <f t="shared" si="109"/>
        <v>0.0774855643761168</v>
      </c>
      <c r="AH19" s="35">
        <f t="shared" si="110"/>
        <v>0.0547790395155954</v>
      </c>
      <c r="AI19" s="35">
        <f t="shared" si="111"/>
        <v>0.0300837197063822</v>
      </c>
      <c r="AJ19" s="35"/>
      <c r="AK19" s="35">
        <f t="shared" si="112"/>
        <v>0.228123944085653</v>
      </c>
      <c r="AL19" s="35">
        <f t="shared" si="113"/>
        <v>0.220572682652356</v>
      </c>
      <c r="AM19" s="35">
        <f t="shared" si="114"/>
        <v>0.189596054744597</v>
      </c>
      <c r="AN19" s="35"/>
      <c r="AO19" s="35"/>
      <c r="AP19" s="35"/>
      <c r="AQ19" s="35"/>
      <c r="AR19" s="35"/>
      <c r="AS19" s="35"/>
      <c r="AT19" s="35">
        <f t="shared" si="122"/>
        <v>0.0959455191484949</v>
      </c>
      <c r="AU19" s="35">
        <f t="shared" si="123"/>
        <v>0.0604969481231956</v>
      </c>
      <c r="AV19" s="35"/>
      <c r="AW19" s="35"/>
      <c r="AX19" s="35"/>
      <c r="AY19" s="35"/>
      <c r="AZ19" s="35"/>
      <c r="BA19" s="35"/>
      <c r="BB19" s="35">
        <f t="shared" si="124"/>
        <v>0.255459950471677</v>
      </c>
      <c r="BC19" s="35"/>
      <c r="BD19" s="35"/>
      <c r="BE19" s="166"/>
      <c r="BF19" s="166"/>
      <c r="BG19" s="166"/>
      <c r="BH19" s="166"/>
      <c r="BI19" s="166"/>
      <c r="BJ19" s="166"/>
      <c r="BK19" s="166"/>
      <c r="BL19" s="166"/>
      <c r="BM19" s="166"/>
      <c r="BN19" s="166"/>
      <c r="BO19" s="35"/>
      <c r="BP19" s="35"/>
      <c r="BQ19" s="35"/>
      <c r="BR19" s="35"/>
      <c r="BS19" s="35"/>
      <c r="BT19" s="166"/>
      <c r="BU19" s="166"/>
      <c r="BV19" s="166"/>
      <c r="BW19" s="166"/>
      <c r="BX19" s="166"/>
      <c r="BY19" s="166"/>
      <c r="BZ19" s="166"/>
      <c r="CA19" s="166"/>
      <c r="CB19" s="166"/>
      <c r="CC19" s="166"/>
      <c r="CD19" s="35"/>
      <c r="CE19" s="35"/>
      <c r="CF19" s="35"/>
      <c r="CG19" s="35"/>
      <c r="CH19" s="35"/>
      <c r="CI19" s="166"/>
      <c r="CJ19" s="166"/>
      <c r="CK19" s="166"/>
      <c r="CL19" s="166"/>
      <c r="CM19" s="166"/>
      <c r="CN19" s="166"/>
      <c r="CO19" s="166"/>
      <c r="CP19" s="166"/>
      <c r="CQ19" s="166"/>
      <c r="CR19" s="166"/>
      <c r="CS19" s="35"/>
      <c r="CT19" s="35"/>
      <c r="CU19" s="35"/>
      <c r="CV19" s="35"/>
      <c r="CW19" s="35"/>
      <c r="CX19" s="166"/>
      <c r="CY19" s="166"/>
      <c r="CZ19" s="166"/>
      <c r="DA19" s="166"/>
      <c r="DB19" s="166"/>
      <c r="DC19" s="166"/>
      <c r="DD19" s="166"/>
      <c r="DE19" s="166"/>
      <c r="DF19" s="166"/>
      <c r="DG19" s="166"/>
      <c r="DH19" s="166"/>
      <c r="DI19" s="166"/>
      <c r="DJ19" s="166"/>
      <c r="DK19" s="166"/>
      <c r="DL19" s="166"/>
      <c r="DM19" s="166"/>
      <c r="DN19" s="166"/>
      <c r="DO19" s="166"/>
      <c r="DP19" s="166"/>
      <c r="DQ19" s="166"/>
      <c r="DR19" s="166"/>
      <c r="DS19" s="166"/>
      <c r="DT19" s="166"/>
      <c r="DU19" s="166"/>
      <c r="DV19" s="166"/>
      <c r="DW19" s="166"/>
      <c r="DX19" s="166"/>
      <c r="DY19" s="166"/>
      <c r="DZ19" s="166"/>
      <c r="EA19" s="166"/>
      <c r="EB19" s="166"/>
      <c r="EC19" s="166"/>
      <c r="ED19" s="166"/>
      <c r="EE19" s="166"/>
      <c r="EF19" s="166"/>
      <c r="EG19" s="35"/>
      <c r="EH19" s="35"/>
      <c r="EI19" s="35"/>
      <c r="EJ19" s="35"/>
      <c r="EK19" s="35"/>
      <c r="EL19" s="35">
        <f t="shared" si="115"/>
        <v>0.140437281422477</v>
      </c>
      <c r="EM19" s="35">
        <f t="shared" si="116"/>
        <v>0.135788586471787</v>
      </c>
      <c r="EN19" s="53"/>
      <c r="EO19" s="35">
        <f t="shared" si="117"/>
        <v>0</v>
      </c>
      <c r="EP19" s="35"/>
      <c r="EQ19" s="35"/>
      <c r="ER19" s="35">
        <f t="shared" si="118"/>
        <v>0</v>
      </c>
      <c r="ES19" s="35" t="e">
        <f t="shared" si="119"/>
        <v>#DIV/0!</v>
      </c>
      <c r="ET19" s="35"/>
      <c r="EU19" s="35"/>
      <c r="EV19" s="35"/>
      <c r="EW19" s="35"/>
      <c r="EX19" s="61"/>
      <c r="EY19" s="61"/>
      <c r="EZ19" s="12"/>
      <c r="FA19" s="12"/>
      <c r="FB19" s="35"/>
      <c r="FC19" s="12"/>
      <c r="FD19" s="35"/>
      <c r="FE19" s="53"/>
      <c r="FF19" s="35">
        <f t="shared" si="120"/>
        <v>0</v>
      </c>
      <c r="FG19" s="35"/>
      <c r="FH19" s="35"/>
      <c r="FI19" s="35"/>
      <c r="FJ19" s="35"/>
      <c r="FK19" s="35"/>
      <c r="FL19" s="35"/>
      <c r="FM19" s="35"/>
      <c r="FN19" s="35"/>
      <c r="FO19" s="61"/>
      <c r="FP19" s="61"/>
      <c r="FQ19" s="12"/>
      <c r="FR19" s="35"/>
      <c r="FS19" s="35"/>
      <c r="FT19" s="53"/>
      <c r="FU19" s="53"/>
      <c r="FV19" s="35">
        <f t="shared" si="121"/>
        <v>0</v>
      </c>
      <c r="FW19" s="35"/>
      <c r="FX19" s="66"/>
      <c r="FY19" s="35"/>
      <c r="FZ19" s="35"/>
      <c r="GA19" s="66"/>
      <c r="GB19" s="66"/>
      <c r="GC19" s="52"/>
      <c r="GD19" s="35"/>
      <c r="GE19" s="35"/>
      <c r="GF19" s="68"/>
      <c r="GG19" s="52"/>
      <c r="GH19" s="68"/>
      <c r="GI19" s="192"/>
      <c r="GJ19" s="68"/>
      <c r="GK19" s="68"/>
      <c r="GL19" s="68"/>
      <c r="GM19" s="68"/>
      <c r="GN19" s="68"/>
      <c r="GO19" s="68"/>
      <c r="GP19" s="68"/>
      <c r="GQ19" s="68"/>
      <c r="GR19" s="68"/>
      <c r="GS19" s="68"/>
      <c r="GT19" s="68"/>
      <c r="GU19" s="68"/>
      <c r="GV19" s="68"/>
      <c r="GW19" s="68"/>
      <c r="GX19" s="68"/>
    </row>
    <row r="20" spans="1:206">
      <c r="A20" s="12">
        <v>2019</v>
      </c>
      <c r="B20" s="12"/>
      <c r="C20" s="52">
        <v>4674844437.35</v>
      </c>
      <c r="D20" s="52">
        <v>3834499268.75</v>
      </c>
      <c r="E20" s="52">
        <v>2826059472.05</v>
      </c>
      <c r="F20" s="52">
        <v>60986903.06</v>
      </c>
      <c r="G20" s="90">
        <v>456289303.83</v>
      </c>
      <c r="H20" s="52">
        <v>295102319.26</v>
      </c>
      <c r="I20" s="52">
        <v>147189722.34</v>
      </c>
      <c r="J20" s="52">
        <v>48871548.21</v>
      </c>
      <c r="K20" s="52">
        <v>930945243.71</v>
      </c>
      <c r="L20" s="52">
        <v>928021905.68</v>
      </c>
      <c r="M20" s="52">
        <v>136691992.21</v>
      </c>
      <c r="N20" s="52">
        <v>791329913.47</v>
      </c>
      <c r="O20" s="53"/>
      <c r="P20" s="52"/>
      <c r="Q20" s="52"/>
      <c r="R20" s="52"/>
      <c r="S20" s="52"/>
      <c r="T20" s="52"/>
      <c r="U20" s="52"/>
      <c r="V20" s="52"/>
      <c r="W20" s="52"/>
      <c r="X20" s="35"/>
      <c r="Y20" s="166"/>
      <c r="Z20" s="52"/>
      <c r="AA20" s="166"/>
      <c r="AB20" s="35"/>
      <c r="AC20" s="169"/>
      <c r="AD20" s="169">
        <f t="shared" si="106"/>
        <v>0.820241041202141</v>
      </c>
      <c r="AE20" s="35">
        <f t="shared" si="107"/>
        <v>0.60452481572884</v>
      </c>
      <c r="AF20" s="35">
        <f t="shared" si="108"/>
        <v>0.0130457609611008</v>
      </c>
      <c r="AG20" s="35">
        <f t="shared" si="109"/>
        <v>0.0976052379806362</v>
      </c>
      <c r="AH20" s="35">
        <f t="shared" si="110"/>
        <v>0.0631255912821952</v>
      </c>
      <c r="AI20" s="35">
        <f t="shared" si="111"/>
        <v>0.0314854802790906</v>
      </c>
      <c r="AJ20" s="35"/>
      <c r="AK20" s="35">
        <f t="shared" si="112"/>
        <v>0.199139298897766</v>
      </c>
      <c r="AL20" s="35">
        <f t="shared" si="113"/>
        <v>0.198513965141921</v>
      </c>
      <c r="AM20" s="35">
        <f t="shared" si="114"/>
        <v>0.16927406335655</v>
      </c>
      <c r="AN20" s="35"/>
      <c r="AO20" s="35"/>
      <c r="AP20" s="35"/>
      <c r="AQ20" s="35"/>
      <c r="AR20" s="35"/>
      <c r="AS20" s="35"/>
      <c r="AT20" s="35">
        <f t="shared" si="122"/>
        <v>0.12201698396675</v>
      </c>
      <c r="AU20" s="35">
        <f t="shared" si="123"/>
        <v>0.098899376876465</v>
      </c>
      <c r="AV20" s="35"/>
      <c r="AW20" s="35"/>
      <c r="AX20" s="35"/>
      <c r="AY20" s="35"/>
      <c r="AZ20" s="35"/>
      <c r="BA20" s="35"/>
      <c r="BB20" s="35">
        <f t="shared" si="124"/>
        <v>0.165801025420742</v>
      </c>
      <c r="BC20" s="35"/>
      <c r="BD20" s="35"/>
      <c r="BE20" s="166"/>
      <c r="BF20" s="166"/>
      <c r="BG20" s="166"/>
      <c r="BH20" s="166"/>
      <c r="BI20" s="166"/>
      <c r="BJ20" s="166"/>
      <c r="BK20" s="166"/>
      <c r="BL20" s="166"/>
      <c r="BM20" s="166"/>
      <c r="BN20" s="166"/>
      <c r="BO20" s="35"/>
      <c r="BP20" s="35"/>
      <c r="BQ20" s="35"/>
      <c r="BR20" s="35"/>
      <c r="BS20" s="35"/>
      <c r="BT20" s="166"/>
      <c r="BU20" s="166"/>
      <c r="BV20" s="166"/>
      <c r="BW20" s="166"/>
      <c r="BX20" s="166"/>
      <c r="BY20" s="166"/>
      <c r="BZ20" s="166"/>
      <c r="CA20" s="166"/>
      <c r="CB20" s="166"/>
      <c r="CC20" s="166"/>
      <c r="CD20" s="35"/>
      <c r="CE20" s="35"/>
      <c r="CF20" s="35"/>
      <c r="CG20" s="35"/>
      <c r="CH20" s="35"/>
      <c r="CI20" s="166"/>
      <c r="CJ20" s="166"/>
      <c r="CK20" s="166"/>
      <c r="CL20" s="166"/>
      <c r="CM20" s="166"/>
      <c r="CN20" s="166"/>
      <c r="CO20" s="166"/>
      <c r="CP20" s="166"/>
      <c r="CQ20" s="166"/>
      <c r="CR20" s="166"/>
      <c r="CS20" s="35"/>
      <c r="CT20" s="35"/>
      <c r="CU20" s="35"/>
      <c r="CV20" s="35"/>
      <c r="CW20" s="35"/>
      <c r="CX20" s="166"/>
      <c r="CY20" s="166"/>
      <c r="CZ20" s="166"/>
      <c r="DA20" s="166"/>
      <c r="DB20" s="166"/>
      <c r="DC20" s="166"/>
      <c r="DD20" s="166"/>
      <c r="DE20" s="166"/>
      <c r="DF20" s="166"/>
      <c r="DG20" s="166"/>
      <c r="DH20" s="166"/>
      <c r="DI20" s="166"/>
      <c r="DJ20" s="166"/>
      <c r="DK20" s="166"/>
      <c r="DL20" s="166"/>
      <c r="DM20" s="166"/>
      <c r="DN20" s="166"/>
      <c r="DO20" s="166"/>
      <c r="DP20" s="166"/>
      <c r="DQ20" s="166"/>
      <c r="DR20" s="166"/>
      <c r="DS20" s="166"/>
      <c r="DT20" s="166"/>
      <c r="DU20" s="166"/>
      <c r="DV20" s="166"/>
      <c r="DW20" s="166"/>
      <c r="DX20" s="166"/>
      <c r="DY20" s="166"/>
      <c r="DZ20" s="166"/>
      <c r="EA20" s="166"/>
      <c r="EB20" s="166"/>
      <c r="EC20" s="166"/>
      <c r="ED20" s="166"/>
      <c r="EE20" s="166"/>
      <c r="EF20" s="166"/>
      <c r="EG20" s="35"/>
      <c r="EH20" s="35"/>
      <c r="EI20" s="35"/>
      <c r="EJ20" s="35"/>
      <c r="EK20" s="35"/>
      <c r="EL20" s="35">
        <f t="shared" si="115"/>
        <v>0.147293928487432</v>
      </c>
      <c r="EM20" s="35">
        <f t="shared" si="116"/>
        <v>0.1468313986602</v>
      </c>
      <c r="EN20" s="53"/>
      <c r="EO20" s="35">
        <f t="shared" si="117"/>
        <v>0</v>
      </c>
      <c r="EP20" s="35"/>
      <c r="EQ20" s="35"/>
      <c r="ER20" s="35">
        <f t="shared" si="118"/>
        <v>0</v>
      </c>
      <c r="ES20" s="35" t="e">
        <f t="shared" si="119"/>
        <v>#DIV/0!</v>
      </c>
      <c r="ET20" s="35"/>
      <c r="EU20" s="35"/>
      <c r="EV20" s="35"/>
      <c r="EW20" s="35"/>
      <c r="EX20" s="61"/>
      <c r="EY20" s="61"/>
      <c r="EZ20" s="12"/>
      <c r="FA20" s="12"/>
      <c r="FB20" s="35"/>
      <c r="FC20" s="12"/>
      <c r="FD20" s="35"/>
      <c r="FE20" s="53"/>
      <c r="FF20" s="35">
        <f t="shared" si="120"/>
        <v>0</v>
      </c>
      <c r="FG20" s="35"/>
      <c r="FH20" s="35"/>
      <c r="FI20" s="35"/>
      <c r="FJ20" s="35"/>
      <c r="FK20" s="35"/>
      <c r="FL20" s="35"/>
      <c r="FM20" s="35"/>
      <c r="FN20" s="35"/>
      <c r="FO20" s="61"/>
      <c r="FP20" s="61"/>
      <c r="FQ20" s="12"/>
      <c r="FR20" s="35"/>
      <c r="FS20" s="35"/>
      <c r="FT20" s="53"/>
      <c r="FU20" s="53"/>
      <c r="FV20" s="35">
        <f t="shared" si="121"/>
        <v>0</v>
      </c>
      <c r="FW20" s="35"/>
      <c r="FX20" s="66"/>
      <c r="FY20" s="35"/>
      <c r="FZ20" s="35"/>
      <c r="GA20" s="66"/>
      <c r="GB20" s="66"/>
      <c r="GC20" s="52"/>
      <c r="GD20" s="35"/>
      <c r="GE20" s="35"/>
      <c r="GF20" s="68"/>
      <c r="GG20" s="52"/>
      <c r="GH20" s="68"/>
      <c r="GI20" s="192"/>
      <c r="GJ20" s="68"/>
      <c r="GK20" s="68"/>
      <c r="GL20" s="68"/>
      <c r="GM20" s="68"/>
      <c r="GN20" s="68"/>
      <c r="GO20" s="68"/>
      <c r="GP20" s="68"/>
      <c r="GQ20" s="68"/>
      <c r="GR20" s="68"/>
      <c r="GS20" s="68"/>
      <c r="GT20" s="68"/>
      <c r="GU20" s="68"/>
      <c r="GV20" s="68"/>
      <c r="GW20" s="68"/>
      <c r="GX20" s="68"/>
    </row>
    <row r="21" spans="1:206">
      <c r="A21" s="12">
        <v>2018</v>
      </c>
      <c r="B21" s="12"/>
      <c r="C21" s="52">
        <v>4166464950.31</v>
      </c>
      <c r="D21" s="52">
        <v>3489399802.6</v>
      </c>
      <c r="E21" s="52">
        <v>2536752982.51</v>
      </c>
      <c r="F21" s="52">
        <v>69471930.17</v>
      </c>
      <c r="G21" s="90">
        <v>431287622.3</v>
      </c>
      <c r="H21" s="52">
        <v>275838076.26</v>
      </c>
      <c r="I21" s="52">
        <v>121868260.76</v>
      </c>
      <c r="J21" s="52">
        <v>54180930.6</v>
      </c>
      <c r="K21" s="52">
        <v>798545569.45</v>
      </c>
      <c r="L21" s="52">
        <v>792565637.37</v>
      </c>
      <c r="M21" s="52">
        <v>111327569.02</v>
      </c>
      <c r="N21" s="52">
        <v>681238068.35</v>
      </c>
      <c r="O21" s="53"/>
      <c r="P21" s="52"/>
      <c r="Q21" s="52"/>
      <c r="R21" s="52"/>
      <c r="S21" s="52"/>
      <c r="T21" s="52"/>
      <c r="U21" s="52"/>
      <c r="V21" s="52"/>
      <c r="W21" s="52"/>
      <c r="X21" s="35"/>
      <c r="Y21" s="166"/>
      <c r="Z21" s="52"/>
      <c r="AA21" s="166"/>
      <c r="AB21" s="35"/>
      <c r="AC21" s="169"/>
      <c r="AD21" s="169">
        <f t="shared" si="106"/>
        <v>0.837496497442124</v>
      </c>
      <c r="AE21" s="35">
        <f t="shared" si="107"/>
        <v>0.608850191412568</v>
      </c>
      <c r="AF21" s="35">
        <f t="shared" si="108"/>
        <v>0.0166740704646588</v>
      </c>
      <c r="AG21" s="35">
        <f t="shared" si="109"/>
        <v>0.103514040666035</v>
      </c>
      <c r="AH21" s="35">
        <f t="shared" si="110"/>
        <v>0.0662043433821462</v>
      </c>
      <c r="AI21" s="35">
        <f t="shared" si="111"/>
        <v>0.0292497986214747</v>
      </c>
      <c r="AJ21" s="35"/>
      <c r="AK21" s="35">
        <f t="shared" si="112"/>
        <v>0.191660215308084</v>
      </c>
      <c r="AL21" s="35">
        <f t="shared" si="113"/>
        <v>0.190224962125514</v>
      </c>
      <c r="AM21" s="35">
        <f t="shared" si="114"/>
        <v>0.163505051998413</v>
      </c>
      <c r="AN21" s="35"/>
      <c r="AO21" s="35"/>
      <c r="AP21" s="35"/>
      <c r="AQ21" s="35"/>
      <c r="AR21" s="35"/>
      <c r="AS21" s="35"/>
      <c r="AT21" s="35">
        <f t="shared" si="122"/>
        <v>0.154346322704087</v>
      </c>
      <c r="AU21" s="35">
        <f t="shared" si="123"/>
        <v>0.126433621711242</v>
      </c>
      <c r="AV21" s="35"/>
      <c r="AW21" s="35"/>
      <c r="AX21" s="35"/>
      <c r="AY21" s="35"/>
      <c r="AZ21" s="35"/>
      <c r="BA21" s="35"/>
      <c r="BB21" s="35">
        <f t="shared" si="124"/>
        <v>0.306884408887428</v>
      </c>
      <c r="BC21" s="35"/>
      <c r="BD21" s="35"/>
      <c r="BE21" s="166"/>
      <c r="BF21" s="166"/>
      <c r="BG21" s="166"/>
      <c r="BH21" s="166"/>
      <c r="BI21" s="166"/>
      <c r="BJ21" s="166"/>
      <c r="BK21" s="166"/>
      <c r="BL21" s="166"/>
      <c r="BM21" s="166"/>
      <c r="BN21" s="166"/>
      <c r="BO21" s="35"/>
      <c r="BP21" s="35"/>
      <c r="BQ21" s="35"/>
      <c r="BR21" s="35"/>
      <c r="BS21" s="35"/>
      <c r="BT21" s="166"/>
      <c r="BU21" s="166"/>
      <c r="BV21" s="166"/>
      <c r="BW21" s="166"/>
      <c r="BX21" s="166"/>
      <c r="BY21" s="166"/>
      <c r="BZ21" s="166"/>
      <c r="CA21" s="166"/>
      <c r="CB21" s="166"/>
      <c r="CC21" s="166"/>
      <c r="CD21" s="35"/>
      <c r="CE21" s="35"/>
      <c r="CF21" s="35"/>
      <c r="CG21" s="35"/>
      <c r="CH21" s="35"/>
      <c r="CI21" s="166"/>
      <c r="CJ21" s="166"/>
      <c r="CK21" s="166"/>
      <c r="CL21" s="166"/>
      <c r="CM21" s="166"/>
      <c r="CN21" s="166"/>
      <c r="CO21" s="166"/>
      <c r="CP21" s="166"/>
      <c r="CQ21" s="166"/>
      <c r="CR21" s="166"/>
      <c r="CS21" s="35"/>
      <c r="CT21" s="35"/>
      <c r="CU21" s="35"/>
      <c r="CV21" s="35"/>
      <c r="CW21" s="35"/>
      <c r="CX21" s="166"/>
      <c r="CY21" s="166"/>
      <c r="CZ21" s="166"/>
      <c r="DA21" s="166"/>
      <c r="DB21" s="166"/>
      <c r="DC21" s="166"/>
      <c r="DD21" s="166"/>
      <c r="DE21" s="166"/>
      <c r="DF21" s="166"/>
      <c r="DG21" s="166"/>
      <c r="DH21" s="166"/>
      <c r="DI21" s="166"/>
      <c r="DJ21" s="166"/>
      <c r="DK21" s="166"/>
      <c r="DL21" s="166"/>
      <c r="DM21" s="166"/>
      <c r="DN21" s="166"/>
      <c r="DO21" s="166"/>
      <c r="DP21" s="166"/>
      <c r="DQ21" s="166"/>
      <c r="DR21" s="166"/>
      <c r="DS21" s="166"/>
      <c r="DT21" s="166"/>
      <c r="DU21" s="166"/>
      <c r="DV21" s="166"/>
      <c r="DW21" s="166"/>
      <c r="DX21" s="166"/>
      <c r="DY21" s="166"/>
      <c r="DZ21" s="166"/>
      <c r="EA21" s="166"/>
      <c r="EB21" s="166"/>
      <c r="EC21" s="166"/>
      <c r="ED21" s="166"/>
      <c r="EE21" s="166"/>
      <c r="EF21" s="166"/>
      <c r="EG21" s="35"/>
      <c r="EH21" s="35"/>
      <c r="EI21" s="35"/>
      <c r="EJ21" s="35"/>
      <c r="EK21" s="35"/>
      <c r="EL21" s="35">
        <f t="shared" si="115"/>
        <v>0.140464794044595</v>
      </c>
      <c r="EM21" s="35">
        <f t="shared" si="116"/>
        <v>0.139412919286093</v>
      </c>
      <c r="EN21" s="53"/>
      <c r="EO21" s="35">
        <f t="shared" si="117"/>
        <v>0</v>
      </c>
      <c r="EP21" s="35"/>
      <c r="EQ21" s="35"/>
      <c r="ER21" s="35">
        <f t="shared" si="118"/>
        <v>0</v>
      </c>
      <c r="ES21" s="35" t="e">
        <f t="shared" si="119"/>
        <v>#DIV/0!</v>
      </c>
      <c r="ET21" s="35"/>
      <c r="EU21" s="35"/>
      <c r="EV21" s="35"/>
      <c r="EW21" s="35"/>
      <c r="EX21" s="61"/>
      <c r="EY21" s="61"/>
      <c r="EZ21" s="12"/>
      <c r="FA21" s="12"/>
      <c r="FB21" s="35"/>
      <c r="FC21" s="12"/>
      <c r="FD21" s="35"/>
      <c r="FE21" s="53"/>
      <c r="FF21" s="35">
        <f t="shared" si="120"/>
        <v>0</v>
      </c>
      <c r="FG21" s="35"/>
      <c r="FH21" s="35"/>
      <c r="FI21" s="35"/>
      <c r="FJ21" s="35"/>
      <c r="FK21" s="35"/>
      <c r="FL21" s="35"/>
      <c r="FM21" s="35"/>
      <c r="FN21" s="35"/>
      <c r="FO21" s="61"/>
      <c r="FP21" s="61"/>
      <c r="FQ21" s="12"/>
      <c r="FR21" s="35"/>
      <c r="FS21" s="35"/>
      <c r="FT21" s="53"/>
      <c r="FU21" s="53"/>
      <c r="FV21" s="35">
        <f t="shared" si="121"/>
        <v>0</v>
      </c>
      <c r="FW21" s="35"/>
      <c r="FX21" s="66"/>
      <c r="FY21" s="35"/>
      <c r="FZ21" s="35"/>
      <c r="GA21" s="66"/>
      <c r="GB21" s="66"/>
      <c r="GC21" s="52"/>
      <c r="GD21" s="35"/>
      <c r="GE21" s="35"/>
      <c r="GF21" s="68"/>
      <c r="GG21" s="52"/>
      <c r="GH21" s="68"/>
      <c r="GI21" s="192"/>
      <c r="GJ21" s="68"/>
      <c r="GK21" s="68"/>
      <c r="GL21" s="68"/>
      <c r="GM21" s="68"/>
      <c r="GN21" s="68"/>
      <c r="GO21" s="68"/>
      <c r="GP21" s="68"/>
      <c r="GQ21" s="68"/>
      <c r="GR21" s="68"/>
      <c r="GS21" s="68"/>
      <c r="GT21" s="68"/>
      <c r="GU21" s="68"/>
      <c r="GV21" s="68"/>
      <c r="GW21" s="68"/>
      <c r="GX21" s="68"/>
    </row>
    <row r="22" spans="1:206">
      <c r="A22" s="12">
        <v>2017</v>
      </c>
      <c r="B22" s="12"/>
      <c r="C22" s="52">
        <v>3609371700.99</v>
      </c>
      <c r="D22" s="52">
        <v>3097741167.65</v>
      </c>
      <c r="E22" s="52">
        <v>2191888497.77</v>
      </c>
      <c r="F22" s="52">
        <v>48204939.73</v>
      </c>
      <c r="G22" s="90">
        <v>426343808.79</v>
      </c>
      <c r="H22" s="52">
        <v>348081031.29</v>
      </c>
      <c r="I22" s="52"/>
      <c r="J22" s="52">
        <v>60447141.58</v>
      </c>
      <c r="K22" s="52">
        <v>611029991.65</v>
      </c>
      <c r="L22" s="52">
        <v>609177803.64</v>
      </c>
      <c r="M22" s="52">
        <v>97773235.58</v>
      </c>
      <c r="N22" s="52">
        <v>511404568.06</v>
      </c>
      <c r="O22" s="53"/>
      <c r="P22" s="52"/>
      <c r="Q22" s="52"/>
      <c r="R22" s="52"/>
      <c r="S22" s="52"/>
      <c r="T22" s="52"/>
      <c r="U22" s="52"/>
      <c r="V22" s="52"/>
      <c r="W22" s="52"/>
      <c r="X22" s="35"/>
      <c r="Y22" s="166"/>
      <c r="Z22" s="52"/>
      <c r="AA22" s="166"/>
      <c r="AB22" s="35"/>
      <c r="AC22" s="169"/>
      <c r="AD22" s="169">
        <f t="shared" si="106"/>
        <v>0.858249419642852</v>
      </c>
      <c r="AE22" s="35">
        <f t="shared" si="107"/>
        <v>0.60727702197277</v>
      </c>
      <c r="AF22" s="35">
        <f t="shared" si="108"/>
        <v>0.0133554933443896</v>
      </c>
      <c r="AG22" s="35">
        <f t="shared" si="109"/>
        <v>0.118121336373602</v>
      </c>
      <c r="AH22" s="35">
        <f t="shared" si="110"/>
        <v>0.0964381227886633</v>
      </c>
      <c r="AI22" s="35">
        <f t="shared" si="111"/>
        <v>0</v>
      </c>
      <c r="AJ22" s="35"/>
      <c r="AK22" s="35">
        <f t="shared" si="112"/>
        <v>0.169289849389134</v>
      </c>
      <c r="AL22" s="35">
        <f t="shared" si="113"/>
        <v>0.16877668860564</v>
      </c>
      <c r="AM22" s="35">
        <f t="shared" si="114"/>
        <v>0.141687975200706</v>
      </c>
      <c r="AN22" s="35"/>
      <c r="AO22" s="35"/>
      <c r="AP22" s="35"/>
      <c r="AQ22" s="35"/>
      <c r="AR22" s="35"/>
      <c r="AS22" s="35"/>
      <c r="AT22" s="35">
        <f t="shared" si="122"/>
        <v>0.142933638506007</v>
      </c>
      <c r="AU22" s="35">
        <f t="shared" si="123"/>
        <v>0.132220178094537</v>
      </c>
      <c r="AV22" s="35"/>
      <c r="AW22" s="35"/>
      <c r="AX22" s="35"/>
      <c r="AY22" s="35"/>
      <c r="AZ22" s="35"/>
      <c r="BA22" s="35"/>
      <c r="BB22" s="35">
        <f t="shared" si="124"/>
        <v>0.307320894137749</v>
      </c>
      <c r="BC22" s="35"/>
      <c r="BD22" s="35"/>
      <c r="BE22" s="166"/>
      <c r="BF22" s="166"/>
      <c r="BG22" s="166"/>
      <c r="BH22" s="166"/>
      <c r="BI22" s="166"/>
      <c r="BJ22" s="166"/>
      <c r="BK22" s="166"/>
      <c r="BL22" s="166"/>
      <c r="BM22" s="166"/>
      <c r="BN22" s="166"/>
      <c r="BO22" s="35"/>
      <c r="BP22" s="35"/>
      <c r="BQ22" s="35"/>
      <c r="BR22" s="35"/>
      <c r="BS22" s="35"/>
      <c r="BT22" s="166"/>
      <c r="BU22" s="166"/>
      <c r="BV22" s="166"/>
      <c r="BW22" s="166"/>
      <c r="BX22" s="166"/>
      <c r="BY22" s="166"/>
      <c r="BZ22" s="166"/>
      <c r="CA22" s="166"/>
      <c r="CB22" s="166"/>
      <c r="CC22" s="166"/>
      <c r="CD22" s="35"/>
      <c r="CE22" s="35"/>
      <c r="CF22" s="35"/>
      <c r="CG22" s="35"/>
      <c r="CH22" s="35"/>
      <c r="CI22" s="166"/>
      <c r="CJ22" s="166"/>
      <c r="CK22" s="166"/>
      <c r="CL22" s="166"/>
      <c r="CM22" s="166"/>
      <c r="CN22" s="166"/>
      <c r="CO22" s="166"/>
      <c r="CP22" s="166"/>
      <c r="CQ22" s="166"/>
      <c r="CR22" s="166"/>
      <c r="CS22" s="35"/>
      <c r="CT22" s="35"/>
      <c r="CU22" s="35"/>
      <c r="CV22" s="35"/>
      <c r="CW22" s="35"/>
      <c r="CX22" s="166"/>
      <c r="CY22" s="166"/>
      <c r="CZ22" s="166"/>
      <c r="DA22" s="166"/>
      <c r="DB22" s="166"/>
      <c r="DC22" s="166"/>
      <c r="DD22" s="166"/>
      <c r="DE22" s="166"/>
      <c r="DF22" s="166"/>
      <c r="DG22" s="166"/>
      <c r="DH22" s="166"/>
      <c r="DI22" s="166"/>
      <c r="DJ22" s="166"/>
      <c r="DK22" s="166"/>
      <c r="DL22" s="166"/>
      <c r="DM22" s="166"/>
      <c r="DN22" s="166"/>
      <c r="DO22" s="166"/>
      <c r="DP22" s="166"/>
      <c r="DQ22" s="166"/>
      <c r="DR22" s="166"/>
      <c r="DS22" s="166"/>
      <c r="DT22" s="166"/>
      <c r="DU22" s="166"/>
      <c r="DV22" s="166"/>
      <c r="DW22" s="166"/>
      <c r="DX22" s="166"/>
      <c r="DY22" s="166"/>
      <c r="DZ22" s="166"/>
      <c r="EA22" s="166"/>
      <c r="EB22" s="166"/>
      <c r="EC22" s="166"/>
      <c r="ED22" s="166"/>
      <c r="EE22" s="166"/>
      <c r="EF22" s="166"/>
      <c r="EG22" s="35"/>
      <c r="EH22" s="35"/>
      <c r="EI22" s="35"/>
      <c r="EJ22" s="35"/>
      <c r="EK22" s="35"/>
      <c r="EL22" s="35">
        <f t="shared" si="115"/>
        <v>0.160500325185486</v>
      </c>
      <c r="EM22" s="35">
        <f t="shared" si="116"/>
        <v>0.160013807695392</v>
      </c>
      <c r="EN22" s="53"/>
      <c r="EO22" s="35">
        <f t="shared" si="117"/>
        <v>0</v>
      </c>
      <c r="EP22" s="35"/>
      <c r="EQ22" s="35"/>
      <c r="ER22" s="35">
        <f t="shared" si="118"/>
        <v>0</v>
      </c>
      <c r="ES22" s="35" t="e">
        <f t="shared" si="119"/>
        <v>#DIV/0!</v>
      </c>
      <c r="ET22" s="35"/>
      <c r="EU22" s="35"/>
      <c r="EV22" s="35"/>
      <c r="EW22" s="35"/>
      <c r="EX22" s="61"/>
      <c r="EY22" s="61"/>
      <c r="EZ22" s="12"/>
      <c r="FA22" s="12"/>
      <c r="FB22" s="35"/>
      <c r="FC22" s="12"/>
      <c r="FD22" s="35"/>
      <c r="FE22" s="53"/>
      <c r="FF22" s="35">
        <f t="shared" si="120"/>
        <v>0</v>
      </c>
      <c r="FG22" s="35"/>
      <c r="FH22" s="35"/>
      <c r="FI22" s="35"/>
      <c r="FJ22" s="35"/>
      <c r="FK22" s="35"/>
      <c r="FL22" s="35"/>
      <c r="FM22" s="35"/>
      <c r="FN22" s="35"/>
      <c r="FO22" s="61"/>
      <c r="FP22" s="61"/>
      <c r="FQ22" s="12"/>
      <c r="FR22" s="35"/>
      <c r="FS22" s="35"/>
      <c r="FT22" s="53"/>
      <c r="FU22" s="53"/>
      <c r="FV22" s="35">
        <f t="shared" si="121"/>
        <v>0</v>
      </c>
      <c r="FW22" s="35"/>
      <c r="FX22" s="66"/>
      <c r="FY22" s="35"/>
      <c r="FZ22" s="35"/>
      <c r="GA22" s="66"/>
      <c r="GB22" s="66"/>
      <c r="GC22" s="52"/>
      <c r="GD22" s="35"/>
      <c r="GE22" s="35"/>
      <c r="GF22" s="68"/>
      <c r="GG22" s="52"/>
      <c r="GH22" s="68"/>
      <c r="GI22" s="192"/>
      <c r="GJ22" s="68"/>
      <c r="GK22" s="68"/>
      <c r="GL22" s="68"/>
      <c r="GM22" s="68"/>
      <c r="GN22" s="68"/>
      <c r="GO22" s="68"/>
      <c r="GP22" s="68"/>
      <c r="GQ22" s="68"/>
      <c r="GR22" s="68"/>
      <c r="GS22" s="68"/>
      <c r="GT22" s="68"/>
      <c r="GU22" s="68"/>
      <c r="GV22" s="68"/>
      <c r="GW22" s="68"/>
      <c r="GX22" s="68"/>
    </row>
    <row r="23" spans="1:206">
      <c r="A23" s="12">
        <v>2016</v>
      </c>
      <c r="B23" s="12"/>
      <c r="C23" s="52">
        <v>3157988862.51</v>
      </c>
      <c r="D23" s="52">
        <v>2735988306.5</v>
      </c>
      <c r="E23" s="52">
        <v>1999375701.46</v>
      </c>
      <c r="F23" s="52">
        <v>41681585.92</v>
      </c>
      <c r="G23" s="90">
        <v>275356128.36</v>
      </c>
      <c r="H23" s="52">
        <v>348943660.53</v>
      </c>
      <c r="I23" s="52"/>
      <c r="J23" s="52">
        <v>63247203.54</v>
      </c>
      <c r="K23" s="52">
        <v>467390978.29</v>
      </c>
      <c r="L23" s="52">
        <v>486262492.39</v>
      </c>
      <c r="M23" s="52">
        <v>75998454.21</v>
      </c>
      <c r="N23" s="52">
        <v>410264038.18</v>
      </c>
      <c r="O23" s="53"/>
      <c r="P23" s="52"/>
      <c r="Q23" s="52"/>
      <c r="R23" s="52"/>
      <c r="S23" s="52"/>
      <c r="T23" s="52"/>
      <c r="U23" s="52"/>
      <c r="V23" s="52"/>
      <c r="W23" s="52"/>
      <c r="X23" s="35"/>
      <c r="Y23" s="166"/>
      <c r="Z23" s="52"/>
      <c r="AA23" s="166"/>
      <c r="AB23" s="35"/>
      <c r="AC23" s="169"/>
      <c r="AD23" s="169">
        <f t="shared" si="106"/>
        <v>0.866370473620167</v>
      </c>
      <c r="AE23" s="35">
        <f t="shared" si="107"/>
        <v>0.633116767825101</v>
      </c>
      <c r="AF23" s="35">
        <f t="shared" si="108"/>
        <v>0.0131987754658739</v>
      </c>
      <c r="AG23" s="35">
        <f t="shared" si="109"/>
        <v>0.0871935083840493</v>
      </c>
      <c r="AH23" s="35">
        <f t="shared" si="110"/>
        <v>0.110495532353669</v>
      </c>
      <c r="AI23" s="35">
        <f t="shared" si="111"/>
        <v>0</v>
      </c>
      <c r="AJ23" s="35"/>
      <c r="AK23" s="35">
        <f t="shared" si="112"/>
        <v>0.148002731687443</v>
      </c>
      <c r="AL23" s="35">
        <f t="shared" si="113"/>
        <v>0.15397853303495</v>
      </c>
      <c r="AM23" s="35">
        <f t="shared" si="114"/>
        <v>0.129913073174653</v>
      </c>
      <c r="AN23" s="35"/>
      <c r="AO23" s="35"/>
      <c r="AP23" s="35"/>
      <c r="AQ23" s="35"/>
      <c r="AR23" s="35"/>
      <c r="AS23" s="35"/>
      <c r="AT23" s="35">
        <f t="shared" si="122"/>
        <v>0.144785649301856</v>
      </c>
      <c r="AU23" s="35">
        <f t="shared" si="123"/>
        <v>0.100242248591166</v>
      </c>
      <c r="AV23" s="35"/>
      <c r="AW23" s="35"/>
      <c r="AX23" s="35"/>
      <c r="AY23" s="35"/>
      <c r="AZ23" s="35"/>
      <c r="BA23" s="35"/>
      <c r="BB23" s="35">
        <f t="shared" si="124"/>
        <v>0.553780150807305</v>
      </c>
      <c r="BC23" s="35"/>
      <c r="BD23" s="35"/>
      <c r="BE23" s="166"/>
      <c r="BF23" s="166"/>
      <c r="BG23" s="166"/>
      <c r="BH23" s="166"/>
      <c r="BI23" s="166"/>
      <c r="BJ23" s="166"/>
      <c r="BK23" s="166"/>
      <c r="BL23" s="166"/>
      <c r="BM23" s="166"/>
      <c r="BN23" s="166"/>
      <c r="BO23" s="35"/>
      <c r="BP23" s="35"/>
      <c r="BQ23" s="35"/>
      <c r="BR23" s="35"/>
      <c r="BS23" s="35"/>
      <c r="BT23" s="166"/>
      <c r="BU23" s="166"/>
      <c r="BV23" s="166"/>
      <c r="BW23" s="166"/>
      <c r="BX23" s="166"/>
      <c r="BY23" s="166"/>
      <c r="BZ23" s="166"/>
      <c r="CA23" s="166"/>
      <c r="CB23" s="166"/>
      <c r="CC23" s="166"/>
      <c r="CD23" s="35"/>
      <c r="CE23" s="35"/>
      <c r="CF23" s="35"/>
      <c r="CG23" s="35"/>
      <c r="CH23" s="35"/>
      <c r="CI23" s="166"/>
      <c r="CJ23" s="166"/>
      <c r="CK23" s="166"/>
      <c r="CL23" s="166"/>
      <c r="CM23" s="166"/>
      <c r="CN23" s="166"/>
      <c r="CO23" s="166"/>
      <c r="CP23" s="166"/>
      <c r="CQ23" s="166"/>
      <c r="CR23" s="166"/>
      <c r="CS23" s="35"/>
      <c r="CT23" s="35"/>
      <c r="CU23" s="35"/>
      <c r="CV23" s="35"/>
      <c r="CW23" s="35"/>
      <c r="CX23" s="166"/>
      <c r="CY23" s="166"/>
      <c r="CZ23" s="166"/>
      <c r="DA23" s="166"/>
      <c r="DB23" s="166"/>
      <c r="DC23" s="166"/>
      <c r="DD23" s="166"/>
      <c r="DE23" s="166"/>
      <c r="DF23" s="166"/>
      <c r="DG23" s="166"/>
      <c r="DH23" s="166"/>
      <c r="DI23" s="166"/>
      <c r="DJ23" s="166"/>
      <c r="DK23" s="166"/>
      <c r="DL23" s="166"/>
      <c r="DM23" s="166"/>
      <c r="DN23" s="166"/>
      <c r="DO23" s="166"/>
      <c r="DP23" s="166"/>
      <c r="DQ23" s="166"/>
      <c r="DR23" s="166"/>
      <c r="DS23" s="166"/>
      <c r="DT23" s="166"/>
      <c r="DU23" s="166"/>
      <c r="DV23" s="166"/>
      <c r="DW23" s="166"/>
      <c r="DX23" s="166"/>
      <c r="DY23" s="166"/>
      <c r="DZ23" s="166"/>
      <c r="EA23" s="166"/>
      <c r="EB23" s="166"/>
      <c r="EC23" s="166"/>
      <c r="ED23" s="166"/>
      <c r="EE23" s="166"/>
      <c r="EF23" s="166"/>
      <c r="EG23" s="35"/>
      <c r="EH23" s="35"/>
      <c r="EI23" s="35"/>
      <c r="EJ23" s="35"/>
      <c r="EK23" s="35"/>
      <c r="EL23" s="35">
        <f t="shared" si="115"/>
        <v>0.156291006193927</v>
      </c>
      <c r="EM23" s="35">
        <f t="shared" si="116"/>
        <v>0.162601457323906</v>
      </c>
      <c r="EN23" s="53"/>
      <c r="EO23" s="35">
        <f t="shared" si="117"/>
        <v>0</v>
      </c>
      <c r="EP23" s="35"/>
      <c r="EQ23" s="35"/>
      <c r="ER23" s="35">
        <f t="shared" si="118"/>
        <v>0</v>
      </c>
      <c r="ES23" s="35" t="e">
        <f t="shared" si="119"/>
        <v>#DIV/0!</v>
      </c>
      <c r="ET23" s="35"/>
      <c r="EU23" s="35"/>
      <c r="EV23" s="35"/>
      <c r="EW23" s="35"/>
      <c r="EX23" s="61"/>
      <c r="EY23" s="61"/>
      <c r="EZ23" s="12"/>
      <c r="FA23" s="12"/>
      <c r="FB23" s="35"/>
      <c r="FC23" s="12"/>
      <c r="FD23" s="35"/>
      <c r="FE23" s="53"/>
      <c r="FF23" s="35">
        <f t="shared" si="120"/>
        <v>0</v>
      </c>
      <c r="FG23" s="35"/>
      <c r="FH23" s="35"/>
      <c r="FI23" s="35"/>
      <c r="FJ23" s="35"/>
      <c r="FK23" s="35"/>
      <c r="FL23" s="35"/>
      <c r="FM23" s="35"/>
      <c r="FN23" s="35"/>
      <c r="FO23" s="61"/>
      <c r="FP23" s="61"/>
      <c r="FQ23" s="12"/>
      <c r="FR23" s="35"/>
      <c r="FS23" s="35"/>
      <c r="FT23" s="53"/>
      <c r="FU23" s="53"/>
      <c r="FV23" s="35">
        <f t="shared" si="121"/>
        <v>0</v>
      </c>
      <c r="FW23" s="35"/>
      <c r="FX23" s="66"/>
      <c r="FY23" s="35"/>
      <c r="FZ23" s="35"/>
      <c r="GA23" s="66"/>
      <c r="GB23" s="66"/>
      <c r="GC23" s="52"/>
      <c r="GD23" s="35"/>
      <c r="GE23" s="35"/>
      <c r="GF23" s="68"/>
      <c r="GG23" s="52"/>
      <c r="GH23" s="68"/>
      <c r="GI23" s="192"/>
      <c r="GJ23" s="68"/>
      <c r="GK23" s="68"/>
      <c r="GL23" s="68"/>
      <c r="GM23" s="68"/>
      <c r="GN23" s="68"/>
      <c r="GO23" s="68"/>
      <c r="GP23" s="68"/>
      <c r="GQ23" s="68"/>
      <c r="GR23" s="68"/>
      <c r="GS23" s="68"/>
      <c r="GT23" s="68"/>
      <c r="GU23" s="68"/>
      <c r="GV23" s="68"/>
      <c r="GW23" s="68"/>
      <c r="GX23" s="68"/>
    </row>
    <row r="24" spans="1:206">
      <c r="A24" s="12">
        <v>2015</v>
      </c>
      <c r="B24" s="12"/>
      <c r="C24" s="52">
        <v>2758585298.86</v>
      </c>
      <c r="D24" s="52">
        <v>2486714457.66</v>
      </c>
      <c r="E24" s="52">
        <v>1791235863.03</v>
      </c>
      <c r="F24" s="52">
        <v>29457220.43</v>
      </c>
      <c r="G24" s="90">
        <v>270375444.3</v>
      </c>
      <c r="H24" s="52">
        <v>331331465.35</v>
      </c>
      <c r="I24" s="52"/>
      <c r="J24" s="52">
        <v>61164838.68</v>
      </c>
      <c r="K24" s="52">
        <v>300808951.67</v>
      </c>
      <c r="L24" s="52">
        <v>339119271.56</v>
      </c>
      <c r="M24" s="52">
        <v>65056564.18</v>
      </c>
      <c r="N24" s="52">
        <v>274062707.38</v>
      </c>
      <c r="O24" s="53"/>
      <c r="P24" s="52"/>
      <c r="Q24" s="52"/>
      <c r="R24" s="52"/>
      <c r="S24" s="52"/>
      <c r="T24" s="52"/>
      <c r="U24" s="52"/>
      <c r="V24" s="52"/>
      <c r="W24" s="52"/>
      <c r="X24" s="35"/>
      <c r="Y24" s="166"/>
      <c r="Z24" s="52"/>
      <c r="AA24" s="166"/>
      <c r="AB24" s="35"/>
      <c r="AC24" s="169"/>
      <c r="AD24" s="169">
        <f t="shared" si="106"/>
        <v>0.901445555693945</v>
      </c>
      <c r="AE24" s="35">
        <f t="shared" si="107"/>
        <v>0.64933133072602</v>
      </c>
      <c r="AF24" s="35">
        <f t="shared" si="108"/>
        <v>0.0106783794005476</v>
      </c>
      <c r="AG24" s="35">
        <f t="shared" si="109"/>
        <v>0.0980123559752653</v>
      </c>
      <c r="AH24" s="35">
        <f t="shared" si="110"/>
        <v>0.120109197089872</v>
      </c>
      <c r="AI24" s="35">
        <f t="shared" si="111"/>
        <v>0</v>
      </c>
      <c r="AJ24" s="35"/>
      <c r="AK24" s="35">
        <f t="shared" si="112"/>
        <v>0.109044643931914</v>
      </c>
      <c r="AL24" s="35">
        <f t="shared" si="113"/>
        <v>0.122932313059213</v>
      </c>
      <c r="AM24" s="35">
        <f t="shared" si="114"/>
        <v>0.0993490059898666</v>
      </c>
      <c r="AN24" s="35"/>
      <c r="AO24" s="35"/>
      <c r="AP24" s="35"/>
      <c r="AQ24" s="35"/>
      <c r="AR24" s="35"/>
      <c r="AS24" s="35"/>
      <c r="AT24" s="35">
        <f t="shared" si="122"/>
        <v>0.0441684194682816</v>
      </c>
      <c r="AU24" s="35">
        <f t="shared" si="123"/>
        <v>0.0674010756845321</v>
      </c>
      <c r="AV24" s="35"/>
      <c r="AW24" s="35"/>
      <c r="AX24" s="35"/>
      <c r="AY24" s="35"/>
      <c r="AZ24" s="35"/>
      <c r="BA24" s="35"/>
      <c r="BB24" s="35">
        <f t="shared" si="124"/>
        <v>-0.0680903445305802</v>
      </c>
      <c r="BC24" s="35"/>
      <c r="BD24" s="35"/>
      <c r="BE24" s="166"/>
      <c r="BF24" s="166"/>
      <c r="BG24" s="166"/>
      <c r="BH24" s="166"/>
      <c r="BI24" s="166"/>
      <c r="BJ24" s="166"/>
      <c r="BK24" s="166"/>
      <c r="BL24" s="166"/>
      <c r="BM24" s="166"/>
      <c r="BN24" s="166"/>
      <c r="BO24" s="35"/>
      <c r="BP24" s="35"/>
      <c r="BQ24" s="35"/>
      <c r="BR24" s="35"/>
      <c r="BS24" s="35"/>
      <c r="BT24" s="166"/>
      <c r="BU24" s="166"/>
      <c r="BV24" s="166"/>
      <c r="BW24" s="166"/>
      <c r="BX24" s="166"/>
      <c r="BY24" s="166"/>
      <c r="BZ24" s="166"/>
      <c r="CA24" s="166"/>
      <c r="CB24" s="166"/>
      <c r="CC24" s="166"/>
      <c r="CD24" s="35"/>
      <c r="CE24" s="35"/>
      <c r="CF24" s="35"/>
      <c r="CG24" s="35"/>
      <c r="CH24" s="35"/>
      <c r="CI24" s="166"/>
      <c r="CJ24" s="166"/>
      <c r="CK24" s="166"/>
      <c r="CL24" s="166"/>
      <c r="CM24" s="166"/>
      <c r="CN24" s="166"/>
      <c r="CO24" s="166"/>
      <c r="CP24" s="166"/>
      <c r="CQ24" s="166"/>
      <c r="CR24" s="166"/>
      <c r="CS24" s="35"/>
      <c r="CT24" s="35"/>
      <c r="CU24" s="35"/>
      <c r="CV24" s="35"/>
      <c r="CW24" s="35"/>
      <c r="CX24" s="166"/>
      <c r="CY24" s="166"/>
      <c r="CZ24" s="166"/>
      <c r="DA24" s="166"/>
      <c r="DB24" s="166"/>
      <c r="DC24" s="166"/>
      <c r="DD24" s="166"/>
      <c r="DE24" s="166"/>
      <c r="DF24" s="166"/>
      <c r="DG24" s="166"/>
      <c r="DH24" s="166"/>
      <c r="DI24" s="166"/>
      <c r="DJ24" s="166"/>
      <c r="DK24" s="166"/>
      <c r="DL24" s="166"/>
      <c r="DM24" s="166"/>
      <c r="DN24" s="166"/>
      <c r="DO24" s="166"/>
      <c r="DP24" s="166"/>
      <c r="DQ24" s="166"/>
      <c r="DR24" s="166"/>
      <c r="DS24" s="166"/>
      <c r="DT24" s="166"/>
      <c r="DU24" s="166"/>
      <c r="DV24" s="166"/>
      <c r="DW24" s="166"/>
      <c r="DX24" s="166"/>
      <c r="DY24" s="166"/>
      <c r="DZ24" s="166"/>
      <c r="EA24" s="166"/>
      <c r="EB24" s="166"/>
      <c r="EC24" s="166"/>
      <c r="ED24" s="166"/>
      <c r="EE24" s="166"/>
      <c r="EF24" s="166"/>
      <c r="EG24" s="35"/>
      <c r="EH24" s="35"/>
      <c r="EI24" s="35"/>
      <c r="EJ24" s="35"/>
      <c r="EK24" s="35"/>
      <c r="EL24" s="35">
        <f t="shared" si="115"/>
        <v>0.191839773306689</v>
      </c>
      <c r="EM24" s="35">
        <f t="shared" si="116"/>
        <v>0.216272035186538</v>
      </c>
      <c r="EN24" s="53"/>
      <c r="EO24" s="35">
        <f t="shared" si="117"/>
        <v>0</v>
      </c>
      <c r="EP24" s="35"/>
      <c r="EQ24" s="35"/>
      <c r="ER24" s="35">
        <f t="shared" si="118"/>
        <v>0</v>
      </c>
      <c r="ES24" s="35" t="e">
        <f t="shared" si="119"/>
        <v>#DIV/0!</v>
      </c>
      <c r="ET24" s="35"/>
      <c r="EU24" s="35"/>
      <c r="EV24" s="35"/>
      <c r="EW24" s="35"/>
      <c r="EX24" s="61"/>
      <c r="EY24" s="61"/>
      <c r="EZ24" s="12"/>
      <c r="FA24" s="12"/>
      <c r="FB24" s="35"/>
      <c r="FC24" s="12"/>
      <c r="FD24" s="35"/>
      <c r="FE24" s="53"/>
      <c r="FF24" s="35">
        <f t="shared" si="120"/>
        <v>0</v>
      </c>
      <c r="FG24" s="35"/>
      <c r="FH24" s="35"/>
      <c r="FI24" s="35"/>
      <c r="FJ24" s="35"/>
      <c r="FK24" s="35"/>
      <c r="FL24" s="35"/>
      <c r="FM24" s="35"/>
      <c r="FN24" s="35"/>
      <c r="FO24" s="61"/>
      <c r="FP24" s="61"/>
      <c r="FQ24" s="12"/>
      <c r="FR24" s="35"/>
      <c r="FS24" s="35"/>
      <c r="FT24" s="53"/>
      <c r="FU24" s="53"/>
      <c r="FV24" s="35">
        <f t="shared" si="121"/>
        <v>0</v>
      </c>
      <c r="FW24" s="35"/>
      <c r="FX24" s="66"/>
      <c r="FY24" s="35"/>
      <c r="FZ24" s="35"/>
      <c r="GA24" s="66"/>
      <c r="GB24" s="66"/>
      <c r="GC24" s="52"/>
      <c r="GD24" s="35"/>
      <c r="GE24" s="35"/>
      <c r="GF24" s="68"/>
      <c r="GG24" s="52"/>
      <c r="GH24" s="68"/>
      <c r="GI24" s="192"/>
      <c r="GJ24" s="68"/>
      <c r="GK24" s="68"/>
      <c r="GL24" s="68"/>
      <c r="GM24" s="68"/>
      <c r="GN24" s="68"/>
      <c r="GO24" s="68"/>
      <c r="GP24" s="68"/>
      <c r="GQ24" s="68"/>
      <c r="GR24" s="68"/>
      <c r="GS24" s="68"/>
      <c r="GT24" s="68"/>
      <c r="GU24" s="68"/>
      <c r="GV24" s="68"/>
      <c r="GW24" s="68"/>
      <c r="GX24" s="68"/>
    </row>
    <row r="25" spans="1:206">
      <c r="A25" s="12">
        <v>2014</v>
      </c>
      <c r="B25" s="12"/>
      <c r="C25" s="52">
        <v>2641896888.88</v>
      </c>
      <c r="D25" s="52">
        <v>2329690792.25</v>
      </c>
      <c r="E25" s="52">
        <v>1731095659.02</v>
      </c>
      <c r="F25" s="52">
        <v>45245619.17</v>
      </c>
      <c r="G25" s="90">
        <v>230995802.07</v>
      </c>
      <c r="H25" s="52">
        <v>288307740.26</v>
      </c>
      <c r="I25" s="52"/>
      <c r="J25" s="52">
        <v>33214100.66</v>
      </c>
      <c r="K25" s="52">
        <v>322787675.72</v>
      </c>
      <c r="L25" s="52">
        <v>344024306.1</v>
      </c>
      <c r="M25" s="52">
        <v>51394587.66</v>
      </c>
      <c r="N25" s="52">
        <v>292629718.44</v>
      </c>
      <c r="O25" s="53"/>
      <c r="P25" s="52"/>
      <c r="Q25" s="52"/>
      <c r="R25" s="52"/>
      <c r="S25" s="52"/>
      <c r="T25" s="52"/>
      <c r="U25" s="52"/>
      <c r="V25" s="52"/>
      <c r="W25" s="52"/>
      <c r="X25" s="35"/>
      <c r="Y25" s="166"/>
      <c r="Z25" s="52"/>
      <c r="AA25" s="166"/>
      <c r="AB25" s="35"/>
      <c r="AC25" s="169"/>
      <c r="AD25" s="169">
        <f t="shared" si="106"/>
        <v>0.881825025819855</v>
      </c>
      <c r="AE25" s="35">
        <f t="shared" si="107"/>
        <v>0.655247245381282</v>
      </c>
      <c r="AF25" s="35">
        <f t="shared" si="108"/>
        <v>0.0171261866276626</v>
      </c>
      <c r="AG25" s="35">
        <f t="shared" si="109"/>
        <v>0.0874355857877284</v>
      </c>
      <c r="AH25" s="35">
        <f t="shared" si="110"/>
        <v>0.109129066116666</v>
      </c>
      <c r="AI25" s="35">
        <f t="shared" si="111"/>
        <v>0</v>
      </c>
      <c r="AJ25" s="35"/>
      <c r="AK25" s="35">
        <f t="shared" si="112"/>
        <v>0.122180270198525</v>
      </c>
      <c r="AL25" s="35">
        <f t="shared" si="113"/>
        <v>0.130218672631787</v>
      </c>
      <c r="AM25" s="35">
        <f t="shared" si="114"/>
        <v>0.110765003612256</v>
      </c>
      <c r="AN25" s="35"/>
      <c r="AO25" s="35"/>
      <c r="AP25" s="35"/>
      <c r="AQ25" s="35"/>
      <c r="AR25" s="35"/>
      <c r="AS25" s="35"/>
      <c r="AT25" s="35">
        <f t="shared" si="122"/>
        <v>0.139637431020141</v>
      </c>
      <c r="AU25" s="35">
        <f t="shared" si="123"/>
        <v>0.122246156998732</v>
      </c>
      <c r="AV25" s="35"/>
      <c r="AW25" s="35"/>
      <c r="AX25" s="35"/>
      <c r="AY25" s="35"/>
      <c r="AZ25" s="35"/>
      <c r="BA25" s="35"/>
      <c r="BB25" s="35">
        <f t="shared" si="124"/>
        <v>0.269571861103629</v>
      </c>
      <c r="BC25" s="35"/>
      <c r="BD25" s="35"/>
      <c r="BE25" s="166"/>
      <c r="BF25" s="166"/>
      <c r="BG25" s="166"/>
      <c r="BH25" s="166"/>
      <c r="BI25" s="166"/>
      <c r="BJ25" s="166"/>
      <c r="BK25" s="166"/>
      <c r="BL25" s="166"/>
      <c r="BM25" s="166"/>
      <c r="BN25" s="166"/>
      <c r="BO25" s="35"/>
      <c r="BP25" s="35"/>
      <c r="BQ25" s="35"/>
      <c r="BR25" s="35"/>
      <c r="BS25" s="35"/>
      <c r="BT25" s="166"/>
      <c r="BU25" s="166"/>
      <c r="BV25" s="166"/>
      <c r="BW25" s="166"/>
      <c r="BX25" s="166"/>
      <c r="BY25" s="166"/>
      <c r="BZ25" s="166"/>
      <c r="CA25" s="166"/>
      <c r="CB25" s="166"/>
      <c r="CC25" s="166"/>
      <c r="CD25" s="35"/>
      <c r="CE25" s="35"/>
      <c r="CF25" s="35"/>
      <c r="CG25" s="35"/>
      <c r="CH25" s="35"/>
      <c r="CI25" s="166"/>
      <c r="CJ25" s="166"/>
      <c r="CK25" s="166"/>
      <c r="CL25" s="166"/>
      <c r="CM25" s="166"/>
      <c r="CN25" s="166"/>
      <c r="CO25" s="166"/>
      <c r="CP25" s="166"/>
      <c r="CQ25" s="166"/>
      <c r="CR25" s="166"/>
      <c r="CS25" s="35"/>
      <c r="CT25" s="35"/>
      <c r="CU25" s="35"/>
      <c r="CV25" s="35"/>
      <c r="CW25" s="35"/>
      <c r="CX25" s="166"/>
      <c r="CY25" s="166"/>
      <c r="CZ25" s="166"/>
      <c r="DA25" s="166"/>
      <c r="DB25" s="166"/>
      <c r="DC25" s="166"/>
      <c r="DD25" s="166"/>
      <c r="DE25" s="166"/>
      <c r="DF25" s="166"/>
      <c r="DG25" s="166"/>
      <c r="DH25" s="166"/>
      <c r="DI25" s="166"/>
      <c r="DJ25" s="166"/>
      <c r="DK25" s="166"/>
      <c r="DL25" s="166"/>
      <c r="DM25" s="166"/>
      <c r="DN25" s="166"/>
      <c r="DO25" s="166"/>
      <c r="DP25" s="166"/>
      <c r="DQ25" s="166"/>
      <c r="DR25" s="166"/>
      <c r="DS25" s="166"/>
      <c r="DT25" s="166"/>
      <c r="DU25" s="166"/>
      <c r="DV25" s="166"/>
      <c r="DW25" s="166"/>
      <c r="DX25" s="166"/>
      <c r="DY25" s="166"/>
      <c r="DZ25" s="166"/>
      <c r="EA25" s="166"/>
      <c r="EB25" s="166"/>
      <c r="EC25" s="166"/>
      <c r="ED25" s="166"/>
      <c r="EE25" s="166"/>
      <c r="EF25" s="166"/>
      <c r="EG25" s="35"/>
      <c r="EH25" s="35"/>
      <c r="EI25" s="35"/>
      <c r="EJ25" s="35"/>
      <c r="EK25" s="35"/>
      <c r="EL25" s="35">
        <f t="shared" si="115"/>
        <v>0.149392315451864</v>
      </c>
      <c r="EM25" s="35">
        <f t="shared" si="116"/>
        <v>0.159221034524818</v>
      </c>
      <c r="EN25" s="53"/>
      <c r="EO25" s="35">
        <f t="shared" si="117"/>
        <v>0</v>
      </c>
      <c r="EP25" s="35"/>
      <c r="EQ25" s="35"/>
      <c r="ER25" s="35">
        <f t="shared" si="118"/>
        <v>0</v>
      </c>
      <c r="ES25" s="35" t="e">
        <f t="shared" si="119"/>
        <v>#DIV/0!</v>
      </c>
      <c r="ET25" s="35"/>
      <c r="EU25" s="35"/>
      <c r="EV25" s="35"/>
      <c r="EW25" s="35"/>
      <c r="EX25" s="61"/>
      <c r="EY25" s="61"/>
      <c r="EZ25" s="12"/>
      <c r="FA25" s="12"/>
      <c r="FB25" s="35"/>
      <c r="FC25" s="12"/>
      <c r="FD25" s="35"/>
      <c r="FE25" s="53"/>
      <c r="FF25" s="35">
        <f t="shared" si="120"/>
        <v>0</v>
      </c>
      <c r="FG25" s="35"/>
      <c r="FH25" s="35"/>
      <c r="FI25" s="35"/>
      <c r="FJ25" s="35"/>
      <c r="FK25" s="35"/>
      <c r="FL25" s="35"/>
      <c r="FM25" s="35"/>
      <c r="FN25" s="35"/>
      <c r="FO25" s="61"/>
      <c r="FP25" s="61"/>
      <c r="FQ25" s="12"/>
      <c r="FR25" s="35"/>
      <c r="FS25" s="35"/>
      <c r="FT25" s="53"/>
      <c r="FU25" s="53"/>
      <c r="FV25" s="35">
        <f t="shared" si="121"/>
        <v>0</v>
      </c>
      <c r="FW25" s="35"/>
      <c r="FX25" s="66"/>
      <c r="FY25" s="35"/>
      <c r="FZ25" s="35"/>
      <c r="GA25" s="66"/>
      <c r="GB25" s="66"/>
      <c r="GC25" s="52"/>
      <c r="GD25" s="35"/>
      <c r="GE25" s="35"/>
      <c r="GF25" s="68"/>
      <c r="GG25" s="52"/>
      <c r="GH25" s="68"/>
      <c r="GI25" s="192"/>
      <c r="GJ25" s="68"/>
      <c r="GK25" s="68"/>
      <c r="GL25" s="68"/>
      <c r="GM25" s="68"/>
      <c r="GN25" s="68"/>
      <c r="GO25" s="68"/>
      <c r="GP25" s="68"/>
      <c r="GQ25" s="68"/>
      <c r="GR25" s="68"/>
      <c r="GS25" s="68"/>
      <c r="GT25" s="68"/>
      <c r="GU25" s="68"/>
      <c r="GV25" s="68"/>
      <c r="GW25" s="68"/>
      <c r="GX25" s="68"/>
    </row>
    <row r="26" spans="1:206">
      <c r="A26" s="12">
        <v>2013</v>
      </c>
      <c r="B26" s="12"/>
      <c r="C26" s="52">
        <v>2318190695.54</v>
      </c>
      <c r="D26" s="52">
        <v>2075917816.89</v>
      </c>
      <c r="E26" s="52">
        <v>1592757028.23</v>
      </c>
      <c r="F26" s="52">
        <v>37720238.9</v>
      </c>
      <c r="G26" s="90">
        <v>185459727.61</v>
      </c>
      <c r="H26" s="52">
        <v>225358687.3</v>
      </c>
      <c r="I26" s="52"/>
      <c r="J26" s="52">
        <v>33833713.16</v>
      </c>
      <c r="K26" s="52">
        <v>254249235.99</v>
      </c>
      <c r="L26" s="52">
        <v>262357521.58</v>
      </c>
      <c r="M26" s="52">
        <v>42004915.4</v>
      </c>
      <c r="N26" s="52">
        <v>220352606.18</v>
      </c>
      <c r="O26" s="53"/>
      <c r="P26" s="52"/>
      <c r="Q26" s="52"/>
      <c r="R26" s="52"/>
      <c r="S26" s="52"/>
      <c r="T26" s="52"/>
      <c r="U26" s="52"/>
      <c r="V26" s="52"/>
      <c r="W26" s="52"/>
      <c r="X26" s="35"/>
      <c r="Y26" s="166"/>
      <c r="Z26" s="52"/>
      <c r="AA26" s="166"/>
      <c r="AB26" s="35"/>
      <c r="AC26" s="169"/>
      <c r="AD26" s="169">
        <f t="shared" si="106"/>
        <v>0.895490530992074</v>
      </c>
      <c r="AE26" s="35">
        <f t="shared" si="107"/>
        <v>0.687069028140924</v>
      </c>
      <c r="AF26" s="35">
        <f t="shared" si="108"/>
        <v>0.0162714132933803</v>
      </c>
      <c r="AG26" s="35">
        <f t="shared" si="109"/>
        <v>0.0800019290763304</v>
      </c>
      <c r="AH26" s="35">
        <f t="shared" si="110"/>
        <v>0.0972131791114384</v>
      </c>
      <c r="AI26" s="35">
        <f t="shared" si="111"/>
        <v>0</v>
      </c>
      <c r="AJ26" s="35"/>
      <c r="AK26" s="35">
        <f t="shared" si="112"/>
        <v>0.109675721017755</v>
      </c>
      <c r="AL26" s="35">
        <f t="shared" si="113"/>
        <v>0.113173399446712</v>
      </c>
      <c r="AM26" s="35">
        <f t="shared" si="114"/>
        <v>0.095053701407714</v>
      </c>
      <c r="AN26" s="35"/>
      <c r="AO26" s="35"/>
      <c r="AP26" s="35"/>
      <c r="AQ26" s="35"/>
      <c r="AR26" s="35"/>
      <c r="AS26" s="35"/>
      <c r="AT26" s="35">
        <f t="shared" si="122"/>
        <v>0.321404611520922</v>
      </c>
      <c r="AU26" s="35">
        <f t="shared" si="123"/>
        <v>0.253116698760092</v>
      </c>
      <c r="AV26" s="35"/>
      <c r="AW26" s="35"/>
      <c r="AX26" s="35"/>
      <c r="AY26" s="35"/>
      <c r="AZ26" s="35"/>
      <c r="BA26" s="35"/>
      <c r="BB26" s="35">
        <f t="shared" si="124"/>
        <v>1.15947512084879</v>
      </c>
      <c r="BC26" s="35"/>
      <c r="BD26" s="35"/>
      <c r="BE26" s="166"/>
      <c r="BF26" s="166"/>
      <c r="BG26" s="166"/>
      <c r="BH26" s="166"/>
      <c r="BI26" s="166"/>
      <c r="BJ26" s="166"/>
      <c r="BK26" s="166"/>
      <c r="BL26" s="166"/>
      <c r="BM26" s="166"/>
      <c r="BN26" s="166"/>
      <c r="BO26" s="35"/>
      <c r="BP26" s="35"/>
      <c r="BQ26" s="35"/>
      <c r="BR26" s="35"/>
      <c r="BS26" s="35"/>
      <c r="BT26" s="166"/>
      <c r="BU26" s="166"/>
      <c r="BV26" s="166"/>
      <c r="BW26" s="166"/>
      <c r="BX26" s="166"/>
      <c r="BY26" s="166"/>
      <c r="BZ26" s="166"/>
      <c r="CA26" s="166"/>
      <c r="CB26" s="166"/>
      <c r="CC26" s="166"/>
      <c r="CD26" s="35"/>
      <c r="CE26" s="35"/>
      <c r="CF26" s="35"/>
      <c r="CG26" s="35"/>
      <c r="CH26" s="35"/>
      <c r="CI26" s="166"/>
      <c r="CJ26" s="166"/>
      <c r="CK26" s="166"/>
      <c r="CL26" s="166"/>
      <c r="CM26" s="166"/>
      <c r="CN26" s="166"/>
      <c r="CO26" s="166"/>
      <c r="CP26" s="166"/>
      <c r="CQ26" s="166"/>
      <c r="CR26" s="166"/>
      <c r="CS26" s="35"/>
      <c r="CT26" s="35"/>
      <c r="CU26" s="35"/>
      <c r="CV26" s="35"/>
      <c r="CW26" s="35"/>
      <c r="CX26" s="166"/>
      <c r="CY26" s="166"/>
      <c r="CZ26" s="166"/>
      <c r="DA26" s="166"/>
      <c r="DB26" s="166"/>
      <c r="DC26" s="166"/>
      <c r="DD26" s="166"/>
      <c r="DE26" s="166"/>
      <c r="DF26" s="166"/>
      <c r="DG26" s="166"/>
      <c r="DH26" s="166"/>
      <c r="DI26" s="166"/>
      <c r="DJ26" s="166"/>
      <c r="DK26" s="166"/>
      <c r="DL26" s="166"/>
      <c r="DM26" s="166"/>
      <c r="DN26" s="166"/>
      <c r="DO26" s="166"/>
      <c r="DP26" s="166"/>
      <c r="DQ26" s="166"/>
      <c r="DR26" s="166"/>
      <c r="DS26" s="166"/>
      <c r="DT26" s="166"/>
      <c r="DU26" s="166"/>
      <c r="DV26" s="166"/>
      <c r="DW26" s="166"/>
      <c r="DX26" s="166"/>
      <c r="DY26" s="166"/>
      <c r="DZ26" s="166"/>
      <c r="EA26" s="166"/>
      <c r="EB26" s="166"/>
      <c r="EC26" s="166"/>
      <c r="ED26" s="166"/>
      <c r="EE26" s="166"/>
      <c r="EF26" s="166"/>
      <c r="EG26" s="35"/>
      <c r="EH26" s="35"/>
      <c r="EI26" s="35"/>
      <c r="EJ26" s="35"/>
      <c r="EK26" s="35"/>
      <c r="EL26" s="35">
        <f t="shared" si="115"/>
        <v>0.160105626654167</v>
      </c>
      <c r="EM26" s="35">
        <f t="shared" si="116"/>
        <v>0.165211569806456</v>
      </c>
      <c r="EN26" s="53"/>
      <c r="EO26" s="35">
        <f t="shared" si="117"/>
        <v>0</v>
      </c>
      <c r="EP26" s="35"/>
      <c r="EQ26" s="35"/>
      <c r="ER26" s="35">
        <f t="shared" si="118"/>
        <v>0</v>
      </c>
      <c r="ES26" s="35" t="e">
        <f t="shared" si="119"/>
        <v>#DIV/0!</v>
      </c>
      <c r="ET26" s="35"/>
      <c r="EU26" s="35"/>
      <c r="EV26" s="35"/>
      <c r="EW26" s="35"/>
      <c r="EX26" s="61"/>
      <c r="EY26" s="61"/>
      <c r="EZ26" s="12"/>
      <c r="FA26" s="12"/>
      <c r="FB26" s="35"/>
      <c r="FC26" s="12"/>
      <c r="FD26" s="35"/>
      <c r="FE26" s="53"/>
      <c r="FF26" s="35">
        <f t="shared" si="120"/>
        <v>0</v>
      </c>
      <c r="FG26" s="35"/>
      <c r="FH26" s="35"/>
      <c r="FI26" s="35"/>
      <c r="FJ26" s="35"/>
      <c r="FK26" s="35"/>
      <c r="FL26" s="35"/>
      <c r="FM26" s="35"/>
      <c r="FN26" s="35"/>
      <c r="FO26" s="61"/>
      <c r="FP26" s="61"/>
      <c r="FQ26" s="12"/>
      <c r="FR26" s="35"/>
      <c r="FS26" s="35"/>
      <c r="FT26" s="53"/>
      <c r="FU26" s="53"/>
      <c r="FV26" s="35">
        <f t="shared" si="121"/>
        <v>0</v>
      </c>
      <c r="FW26" s="35"/>
      <c r="FX26" s="66"/>
      <c r="FY26" s="35"/>
      <c r="FZ26" s="35"/>
      <c r="GA26" s="66"/>
      <c r="GB26" s="66"/>
      <c r="GC26" s="52"/>
      <c r="GD26" s="35"/>
      <c r="GE26" s="35"/>
      <c r="GF26" s="68"/>
      <c r="GG26" s="52"/>
      <c r="GH26" s="68"/>
      <c r="GI26" s="192"/>
      <c r="GJ26" s="68"/>
      <c r="GK26" s="68"/>
      <c r="GL26" s="68"/>
      <c r="GM26" s="68"/>
      <c r="GN26" s="68"/>
      <c r="GO26" s="68"/>
      <c r="GP26" s="68"/>
      <c r="GQ26" s="68"/>
      <c r="GR26" s="68"/>
      <c r="GS26" s="68"/>
      <c r="GT26" s="68"/>
      <c r="GU26" s="68"/>
      <c r="GV26" s="68"/>
      <c r="GW26" s="68"/>
      <c r="GX26" s="68"/>
    </row>
    <row r="27" spans="1:206">
      <c r="A27" s="12">
        <v>2012</v>
      </c>
      <c r="B27" s="12"/>
      <c r="C27" s="52">
        <v>1754338281.65</v>
      </c>
      <c r="D27" s="52">
        <v>1656603745.64</v>
      </c>
      <c r="E27" s="52">
        <v>1254360858.52</v>
      </c>
      <c r="F27" s="52">
        <v>18491234.05</v>
      </c>
      <c r="G27" s="90">
        <v>159860886.9</v>
      </c>
      <c r="H27" s="52">
        <v>174611764.93</v>
      </c>
      <c r="I27" s="52"/>
      <c r="J27" s="52">
        <v>40927808.72</v>
      </c>
      <c r="K27" s="52">
        <v>117736589.57</v>
      </c>
      <c r="L27" s="52">
        <v>145320131.28</v>
      </c>
      <c r="M27" s="52">
        <v>22906699.05</v>
      </c>
      <c r="N27" s="52">
        <v>122413432.23</v>
      </c>
      <c r="O27" s="53"/>
      <c r="P27" s="52"/>
      <c r="Q27" s="52"/>
      <c r="R27" s="52"/>
      <c r="S27" s="52"/>
      <c r="T27" s="52"/>
      <c r="U27" s="52"/>
      <c r="V27" s="52"/>
      <c r="W27" s="52"/>
      <c r="X27" s="35"/>
      <c r="Y27" s="166"/>
      <c r="Z27" s="52"/>
      <c r="AA27" s="166"/>
      <c r="AB27" s="35"/>
      <c r="AC27" s="169"/>
      <c r="AD27" s="169">
        <f t="shared" si="106"/>
        <v>0.944289800301184</v>
      </c>
      <c r="AE27" s="35">
        <f t="shared" si="107"/>
        <v>0.715005122809178</v>
      </c>
      <c r="AF27" s="35">
        <f t="shared" si="108"/>
        <v>0.0105402898878821</v>
      </c>
      <c r="AG27" s="35">
        <f t="shared" si="109"/>
        <v>0.0911231822118404</v>
      </c>
      <c r="AH27" s="35">
        <f t="shared" si="110"/>
        <v>0.0995314112200602</v>
      </c>
      <c r="AI27" s="35">
        <f t="shared" si="111"/>
        <v>0</v>
      </c>
      <c r="AJ27" s="35"/>
      <c r="AK27" s="35">
        <f t="shared" si="112"/>
        <v>0.0671116801140916</v>
      </c>
      <c r="AL27" s="35">
        <f t="shared" si="113"/>
        <v>0.0828347262326868</v>
      </c>
      <c r="AM27" s="35">
        <f t="shared" si="114"/>
        <v>0.0697775528872727</v>
      </c>
      <c r="AN27" s="35"/>
      <c r="AO27" s="35"/>
      <c r="AP27" s="35"/>
      <c r="AQ27" s="35"/>
      <c r="AR27" s="35"/>
      <c r="AS27" s="35"/>
      <c r="AT27" s="35"/>
      <c r="AU27" s="35"/>
      <c r="AV27" s="35"/>
      <c r="AW27" s="35"/>
      <c r="AX27" s="35"/>
      <c r="AY27" s="35"/>
      <c r="AZ27" s="35"/>
      <c r="BA27" s="35"/>
      <c r="BB27" s="35"/>
      <c r="BC27" s="35"/>
      <c r="BD27" s="35"/>
      <c r="BE27" s="166"/>
      <c r="BF27" s="166"/>
      <c r="BG27" s="166"/>
      <c r="BH27" s="166"/>
      <c r="BI27" s="166"/>
      <c r="BJ27" s="166"/>
      <c r="BK27" s="166"/>
      <c r="BL27" s="166"/>
      <c r="BM27" s="166"/>
      <c r="BN27" s="166"/>
      <c r="BO27" s="35"/>
      <c r="BP27" s="35"/>
      <c r="BQ27" s="35"/>
      <c r="BR27" s="35"/>
      <c r="BS27" s="35"/>
      <c r="BT27" s="166"/>
      <c r="BU27" s="166"/>
      <c r="BV27" s="166"/>
      <c r="BW27" s="166"/>
      <c r="BX27" s="166"/>
      <c r="BY27" s="166"/>
      <c r="BZ27" s="166"/>
      <c r="CA27" s="166"/>
      <c r="CB27" s="166"/>
      <c r="CC27" s="166"/>
      <c r="CD27" s="35"/>
      <c r="CE27" s="35"/>
      <c r="CF27" s="35"/>
      <c r="CG27" s="35"/>
      <c r="CH27" s="35"/>
      <c r="CI27" s="166"/>
      <c r="CJ27" s="166"/>
      <c r="CK27" s="166"/>
      <c r="CL27" s="166"/>
      <c r="CM27" s="166"/>
      <c r="CN27" s="166"/>
      <c r="CO27" s="166"/>
      <c r="CP27" s="166"/>
      <c r="CQ27" s="166"/>
      <c r="CR27" s="166"/>
      <c r="CS27" s="35"/>
      <c r="CT27" s="35"/>
      <c r="CU27" s="35"/>
      <c r="CV27" s="35"/>
      <c r="CW27" s="35"/>
      <c r="CX27" s="166"/>
      <c r="CY27" s="166"/>
      <c r="CZ27" s="166"/>
      <c r="DA27" s="166"/>
      <c r="DB27" s="166"/>
      <c r="DC27" s="166"/>
      <c r="DD27" s="166"/>
      <c r="DE27" s="166"/>
      <c r="DF27" s="166"/>
      <c r="DG27" s="166"/>
      <c r="DH27" s="166"/>
      <c r="DI27" s="166"/>
      <c r="DJ27" s="166"/>
      <c r="DK27" s="166"/>
      <c r="DL27" s="166"/>
      <c r="DM27" s="166"/>
      <c r="DN27" s="166"/>
      <c r="DO27" s="166"/>
      <c r="DP27" s="166"/>
      <c r="DQ27" s="166"/>
      <c r="DR27" s="166"/>
      <c r="DS27" s="166"/>
      <c r="DT27" s="166"/>
      <c r="DU27" s="166"/>
      <c r="DV27" s="166"/>
      <c r="DW27" s="166"/>
      <c r="DX27" s="166"/>
      <c r="DY27" s="166"/>
      <c r="DZ27" s="166"/>
      <c r="EA27" s="166"/>
      <c r="EB27" s="166"/>
      <c r="EC27" s="166"/>
      <c r="ED27" s="166"/>
      <c r="EE27" s="166"/>
      <c r="EF27" s="166"/>
      <c r="EG27" s="35"/>
      <c r="EH27" s="35"/>
      <c r="EI27" s="35"/>
      <c r="EJ27" s="35"/>
      <c r="EK27" s="35"/>
      <c r="EL27" s="35">
        <f t="shared" si="115"/>
        <v>0.157629220729672</v>
      </c>
      <c r="EM27" s="35">
        <f t="shared" si="116"/>
        <v>0.194558880409738</v>
      </c>
      <c r="EN27" s="53"/>
      <c r="EO27" s="35">
        <f t="shared" si="117"/>
        <v>0</v>
      </c>
      <c r="EP27" s="35"/>
      <c r="EQ27" s="35"/>
      <c r="ER27" s="35">
        <f t="shared" si="118"/>
        <v>0</v>
      </c>
      <c r="ES27" s="35" t="e">
        <f t="shared" si="119"/>
        <v>#DIV/0!</v>
      </c>
      <c r="ET27" s="35"/>
      <c r="EU27" s="35"/>
      <c r="EV27" s="35"/>
      <c r="EW27" s="35"/>
      <c r="EX27" s="61"/>
      <c r="EY27" s="61"/>
      <c r="EZ27" s="90"/>
      <c r="FA27" s="90"/>
      <c r="FB27" s="90"/>
      <c r="FC27" s="88"/>
      <c r="FD27" s="35"/>
      <c r="FE27" s="53"/>
      <c r="FF27" s="35">
        <f t="shared" si="120"/>
        <v>0</v>
      </c>
      <c r="FG27" s="35"/>
      <c r="FH27" s="35"/>
      <c r="FI27" s="35"/>
      <c r="FJ27" s="35"/>
      <c r="FK27" s="35"/>
      <c r="FL27" s="35"/>
      <c r="FM27" s="35"/>
      <c r="FN27" s="35"/>
      <c r="FO27" s="61"/>
      <c r="FP27" s="61"/>
      <c r="FQ27" s="12"/>
      <c r="FR27" s="35"/>
      <c r="FS27" s="35"/>
      <c r="FT27" s="53"/>
      <c r="FU27" s="53"/>
      <c r="FV27" s="35">
        <f t="shared" si="121"/>
        <v>0</v>
      </c>
      <c r="FW27" s="35"/>
      <c r="FX27" s="66"/>
      <c r="FY27" s="35"/>
      <c r="FZ27" s="35"/>
      <c r="GA27" s="66"/>
      <c r="GB27" s="66"/>
      <c r="GC27" s="52"/>
      <c r="GD27" s="35"/>
      <c r="GE27" s="35"/>
      <c r="GF27" s="68"/>
      <c r="GG27" s="52"/>
      <c r="GH27" s="68"/>
      <c r="GI27" s="192"/>
      <c r="GJ27" s="68"/>
      <c r="GK27" s="68"/>
      <c r="GL27" s="68"/>
      <c r="GM27" s="68"/>
      <c r="GN27" s="68"/>
      <c r="GO27" s="68"/>
      <c r="GP27" s="68"/>
      <c r="GQ27" s="68"/>
      <c r="GR27" s="68"/>
      <c r="GS27" s="68"/>
      <c r="GT27" s="68"/>
      <c r="GU27" s="68"/>
      <c r="GV27" s="68"/>
      <c r="GW27" s="68"/>
      <c r="GX27" s="68"/>
    </row>
    <row r="28" spans="1:206">
      <c r="A28" s="12"/>
      <c r="B28" s="12"/>
      <c r="C28" s="52"/>
      <c r="D28" s="52"/>
      <c r="E28" s="53"/>
      <c r="F28" s="53"/>
      <c r="G28" s="90"/>
      <c r="H28" s="53"/>
      <c r="I28" s="53"/>
      <c r="J28" s="53"/>
      <c r="K28" s="53"/>
      <c r="L28" s="53"/>
      <c r="M28" s="53"/>
      <c r="N28" s="53"/>
      <c r="O28" s="53"/>
      <c r="P28" s="53"/>
      <c r="Q28" s="53"/>
      <c r="R28" s="53"/>
      <c r="S28" s="53"/>
      <c r="T28" s="53"/>
      <c r="U28" s="53"/>
      <c r="V28" s="53"/>
      <c r="W28" s="53"/>
      <c r="X28" s="35"/>
      <c r="Y28" s="166"/>
      <c r="Z28" s="53"/>
      <c r="AA28" s="166"/>
      <c r="AB28" s="35"/>
      <c r="AC28" s="169"/>
      <c r="AD28" s="169"/>
      <c r="AE28" s="35">
        <f>AVERAGE(AE17:AE27)</f>
        <v>0.646558472555826</v>
      </c>
      <c r="AF28" s="35"/>
      <c r="AG28" s="35">
        <f>AVERAGE(AG17:AG27)</f>
        <v>0.0917866806065084</v>
      </c>
      <c r="AH28" s="35">
        <f>AVERAGE(AH17:AH27)</f>
        <v>0.0843045077195001</v>
      </c>
      <c r="AI28" s="35">
        <f>AVERAGE(AI17:AI21)</f>
        <v>0.031502101556305</v>
      </c>
      <c r="AJ28" s="35"/>
      <c r="AK28" s="35"/>
      <c r="AL28" s="35"/>
      <c r="AM28" s="35"/>
      <c r="AN28" s="35"/>
      <c r="AO28" s="35"/>
      <c r="AP28" s="35"/>
      <c r="AQ28" s="35"/>
      <c r="AR28" s="35"/>
      <c r="AS28" s="35"/>
      <c r="AT28" s="35"/>
      <c r="AU28" s="35"/>
      <c r="AV28" s="35"/>
      <c r="AW28" s="35"/>
      <c r="AX28" s="35"/>
      <c r="AY28" s="35"/>
      <c r="AZ28" s="35"/>
      <c r="BA28" s="35"/>
      <c r="BB28" s="35"/>
      <c r="BC28" s="35"/>
      <c r="BD28" s="35"/>
      <c r="BE28" s="166"/>
      <c r="BF28" s="166"/>
      <c r="BG28" s="166"/>
      <c r="BH28" s="166"/>
      <c r="BI28" s="166"/>
      <c r="BJ28" s="166"/>
      <c r="BK28" s="166"/>
      <c r="BL28" s="166"/>
      <c r="BM28" s="166"/>
      <c r="BN28" s="166"/>
      <c r="BO28" s="35"/>
      <c r="BP28" s="35"/>
      <c r="BQ28" s="35"/>
      <c r="BR28" s="35"/>
      <c r="BS28" s="35"/>
      <c r="BT28" s="166"/>
      <c r="BU28" s="166"/>
      <c r="BV28" s="166"/>
      <c r="BW28" s="166"/>
      <c r="BX28" s="166"/>
      <c r="BY28" s="166"/>
      <c r="BZ28" s="166"/>
      <c r="CA28" s="166"/>
      <c r="CB28" s="166"/>
      <c r="CC28" s="166"/>
      <c r="CD28" s="35"/>
      <c r="CE28" s="35"/>
      <c r="CF28" s="35"/>
      <c r="CG28" s="35"/>
      <c r="CH28" s="35"/>
      <c r="CI28" s="166"/>
      <c r="CJ28" s="166"/>
      <c r="CK28" s="166"/>
      <c r="CL28" s="166"/>
      <c r="CM28" s="166"/>
      <c r="CN28" s="166"/>
      <c r="CO28" s="166"/>
      <c r="CP28" s="166"/>
      <c r="CQ28" s="166"/>
      <c r="CR28" s="166"/>
      <c r="CS28" s="35"/>
      <c r="CT28" s="35"/>
      <c r="CU28" s="35"/>
      <c r="CV28" s="35"/>
      <c r="CW28" s="35"/>
      <c r="CX28" s="166"/>
      <c r="CY28" s="166"/>
      <c r="CZ28" s="166"/>
      <c r="DA28" s="166"/>
      <c r="DB28" s="166"/>
      <c r="DC28" s="166"/>
      <c r="DD28" s="166"/>
      <c r="DE28" s="166"/>
      <c r="DF28" s="166"/>
      <c r="DG28" s="166"/>
      <c r="DH28" s="166"/>
      <c r="DI28" s="166"/>
      <c r="DJ28" s="166"/>
      <c r="DK28" s="166"/>
      <c r="DL28" s="166"/>
      <c r="DM28" s="166"/>
      <c r="DN28" s="166"/>
      <c r="DO28" s="166"/>
      <c r="DP28" s="166"/>
      <c r="DQ28" s="166"/>
      <c r="DR28" s="166"/>
      <c r="DS28" s="166"/>
      <c r="DT28" s="166"/>
      <c r="DU28" s="166"/>
      <c r="DV28" s="166"/>
      <c r="DW28" s="166"/>
      <c r="DX28" s="166"/>
      <c r="DY28" s="166"/>
      <c r="DZ28" s="166"/>
      <c r="EA28" s="166"/>
      <c r="EB28" s="166"/>
      <c r="EC28" s="166"/>
      <c r="ED28" s="166"/>
      <c r="EE28" s="166"/>
      <c r="EF28" s="166"/>
      <c r="EG28" s="35"/>
      <c r="EH28" s="35"/>
      <c r="EI28" s="35"/>
      <c r="EJ28" s="35"/>
      <c r="EK28" s="35"/>
      <c r="EL28" s="35"/>
      <c r="EM28" s="35"/>
      <c r="EN28" s="53"/>
      <c r="EO28" s="35"/>
      <c r="EP28" s="35"/>
      <c r="EQ28" s="53"/>
      <c r="ER28" s="35"/>
      <c r="ES28" s="35"/>
      <c r="ET28" s="35"/>
      <c r="EU28" s="35"/>
      <c r="EV28" s="35"/>
      <c r="EW28" s="35"/>
      <c r="EX28" s="61"/>
      <c r="EY28" s="61"/>
      <c r="EZ28" s="90"/>
      <c r="FA28" s="90"/>
      <c r="FB28" s="90"/>
      <c r="FC28" s="88"/>
      <c r="FD28" s="35"/>
      <c r="FE28" s="53"/>
      <c r="FF28" s="35"/>
      <c r="FG28" s="35"/>
      <c r="FH28" s="35"/>
      <c r="FI28" s="35"/>
      <c r="FJ28" s="35"/>
      <c r="FK28" s="35"/>
      <c r="FL28" s="35"/>
      <c r="FM28" s="35"/>
      <c r="FN28" s="35"/>
      <c r="FO28" s="61"/>
      <c r="FP28" s="61"/>
      <c r="FQ28" s="12"/>
      <c r="FR28" s="35"/>
      <c r="FS28" s="35"/>
      <c r="FT28" s="53"/>
      <c r="FU28" s="53"/>
      <c r="FV28" s="35"/>
      <c r="FW28" s="35"/>
      <c r="FX28" s="66"/>
      <c r="FY28" s="35"/>
      <c r="FZ28" s="35"/>
      <c r="GA28" s="66"/>
      <c r="GB28" s="66"/>
      <c r="GC28" s="52"/>
      <c r="GD28" s="35"/>
      <c r="GE28" s="35"/>
      <c r="GF28" s="68"/>
      <c r="GG28" s="52"/>
      <c r="GH28" s="68"/>
      <c r="GI28" s="192"/>
      <c r="GJ28" s="68"/>
      <c r="GK28" s="68"/>
      <c r="GL28" s="68"/>
      <c r="GM28" s="68"/>
      <c r="GN28" s="68"/>
      <c r="GO28" s="68"/>
      <c r="GP28" s="68"/>
      <c r="GQ28" s="68"/>
      <c r="GR28" s="68"/>
      <c r="GS28" s="68"/>
      <c r="GT28" s="68"/>
      <c r="GU28" s="68"/>
      <c r="GV28" s="68"/>
      <c r="GW28" s="68"/>
      <c r="GX28" s="68"/>
    </row>
    <row r="29" spans="1:206">
      <c r="A29" s="12">
        <v>2022</v>
      </c>
      <c r="B29" s="12" t="s">
        <v>130</v>
      </c>
      <c r="C29" s="52">
        <v>2436471672.19</v>
      </c>
      <c r="D29" s="52">
        <v>2026838681.39</v>
      </c>
      <c r="E29" s="53">
        <v>1545770407.17</v>
      </c>
      <c r="F29" s="53">
        <v>20935801.51</v>
      </c>
      <c r="G29" s="90">
        <v>330951760.6</v>
      </c>
      <c r="H29" s="53">
        <v>72964563.24</v>
      </c>
      <c r="I29" s="53">
        <v>64524845.73</v>
      </c>
      <c r="J29" s="53">
        <v>-8308696.86</v>
      </c>
      <c r="K29" s="53">
        <v>400347681.7</v>
      </c>
      <c r="L29" s="53">
        <v>401660975.31</v>
      </c>
      <c r="M29" s="53">
        <v>57707967.16</v>
      </c>
      <c r="N29" s="53">
        <v>343953008.15</v>
      </c>
      <c r="O29" s="53"/>
      <c r="P29" s="53"/>
      <c r="Q29" s="53"/>
      <c r="R29" s="53"/>
      <c r="S29" s="53"/>
      <c r="T29" s="53"/>
      <c r="U29" s="53"/>
      <c r="V29" s="53"/>
      <c r="W29" s="53"/>
      <c r="X29" s="35"/>
      <c r="Y29" s="166"/>
      <c r="Z29" s="53"/>
      <c r="AA29" s="166"/>
      <c r="AB29" s="35"/>
      <c r="AC29" s="35"/>
      <c r="AD29" s="35">
        <f t="shared" ref="AD29:AD34" si="125">E29/C29</f>
        <v>0.634429870379161</v>
      </c>
      <c r="AE29" s="35">
        <f t="shared" ref="AE29:AE38" si="126">E29/$C29</f>
        <v>0.634429870379161</v>
      </c>
      <c r="AF29" s="35">
        <f t="shared" ref="AF29:AF38" si="127">F29/$C29</f>
        <v>0.00859267183319314</v>
      </c>
      <c r="AG29" s="35">
        <f t="shared" ref="AG29:AG38" si="128">G29/$C29</f>
        <v>0.135832385977436</v>
      </c>
      <c r="AH29" s="35">
        <f t="shared" ref="AH29:AH38" si="129">H29/$C29</f>
        <v>0.0299468136949101</v>
      </c>
      <c r="AI29" s="35">
        <f t="shared" ref="AI29:AI38" si="130">I29/$C29</f>
        <v>0.0264829041381805</v>
      </c>
      <c r="AJ29" s="35"/>
      <c r="AK29" s="35">
        <f t="shared" ref="AK29:AK50" si="131">K29/C29</f>
        <v>0.16431452344371</v>
      </c>
      <c r="AL29" s="35">
        <f t="shared" ref="AL29:AL50" si="132">L29/C29</f>
        <v>0.16485353796417</v>
      </c>
      <c r="AM29" s="35">
        <f t="shared" ref="AM29:AM50" si="133">N29/C29</f>
        <v>0.141168482308206</v>
      </c>
      <c r="AN29" s="35"/>
      <c r="AO29" s="35"/>
      <c r="AP29" s="35"/>
      <c r="AQ29" s="35"/>
      <c r="AR29" s="35"/>
      <c r="AS29" s="35"/>
      <c r="AT29" s="35">
        <f t="shared" ref="AT29:AT38" si="134">(C29-C30)/C30</f>
        <v>0.265511357801264</v>
      </c>
      <c r="AU29" s="35">
        <f t="shared" ref="AU29:AU38" si="135">(D29-D30)/D30</f>
        <v>0.213788404573882</v>
      </c>
      <c r="AV29" s="35"/>
      <c r="AW29" s="35"/>
      <c r="AX29" s="35"/>
      <c r="AY29" s="35"/>
      <c r="AZ29" s="35"/>
      <c r="BA29" s="35"/>
      <c r="BB29" s="35">
        <f>(K29-K30)/K30</f>
        <v>0.482807717901446</v>
      </c>
      <c r="BC29" s="35"/>
      <c r="BD29" s="35"/>
      <c r="BE29" s="166"/>
      <c r="BF29" s="166"/>
      <c r="BG29" s="166"/>
      <c r="BH29" s="166"/>
      <c r="BI29" s="166"/>
      <c r="BJ29" s="166"/>
      <c r="BK29" s="166"/>
      <c r="BL29" s="166"/>
      <c r="BM29" s="166"/>
      <c r="BN29" s="166"/>
      <c r="BO29" s="35"/>
      <c r="BP29" s="35"/>
      <c r="BQ29" s="35"/>
      <c r="BR29" s="35"/>
      <c r="BS29" s="35"/>
      <c r="BT29" s="166"/>
      <c r="BU29" s="166"/>
      <c r="BV29" s="166"/>
      <c r="BW29" s="166"/>
      <c r="BX29" s="166"/>
      <c r="BY29" s="166"/>
      <c r="BZ29" s="166"/>
      <c r="CA29" s="166"/>
      <c r="CB29" s="166"/>
      <c r="CC29" s="166"/>
      <c r="CD29" s="35"/>
      <c r="CE29" s="35"/>
      <c r="CF29" s="35"/>
      <c r="CG29" s="35"/>
      <c r="CH29" s="35"/>
      <c r="CI29" s="166"/>
      <c r="CJ29" s="166"/>
      <c r="CK29" s="166"/>
      <c r="CL29" s="166"/>
      <c r="CM29" s="166"/>
      <c r="CN29" s="166"/>
      <c r="CO29" s="166"/>
      <c r="CP29" s="166"/>
      <c r="CQ29" s="166"/>
      <c r="CR29" s="166"/>
      <c r="CS29" s="35"/>
      <c r="CT29" s="35"/>
      <c r="CU29" s="35"/>
      <c r="CV29" s="35"/>
      <c r="CW29" s="35"/>
      <c r="CX29" s="166"/>
      <c r="CY29" s="166"/>
      <c r="CZ29" s="166"/>
      <c r="DA29" s="166"/>
      <c r="DB29" s="166"/>
      <c r="DC29" s="166"/>
      <c r="DD29" s="166"/>
      <c r="DE29" s="166"/>
      <c r="DF29" s="166"/>
      <c r="DG29" s="166"/>
      <c r="DH29" s="166"/>
      <c r="DI29" s="166"/>
      <c r="DJ29" s="166"/>
      <c r="DK29" s="166"/>
      <c r="DL29" s="166"/>
      <c r="DM29" s="166"/>
      <c r="DN29" s="166"/>
      <c r="DO29" s="166"/>
      <c r="DP29" s="166"/>
      <c r="DQ29" s="166"/>
      <c r="DR29" s="166"/>
      <c r="DS29" s="166"/>
      <c r="DT29" s="166"/>
      <c r="DU29" s="166"/>
      <c r="DV29" s="166"/>
      <c r="DW29" s="166"/>
      <c r="DX29" s="166"/>
      <c r="DY29" s="166"/>
      <c r="DZ29" s="166"/>
      <c r="EA29" s="166"/>
      <c r="EB29" s="166"/>
      <c r="EC29" s="166"/>
      <c r="ED29" s="166"/>
      <c r="EE29" s="166"/>
      <c r="EF29" s="166"/>
      <c r="EG29" s="35"/>
      <c r="EH29" s="35"/>
      <c r="EI29" s="35"/>
      <c r="EJ29" s="35"/>
      <c r="EK29" s="35"/>
      <c r="EL29" s="35">
        <f t="shared" ref="EL29:EL44" si="136">M29/L29</f>
        <v>0.143673323293261</v>
      </c>
      <c r="EM29" s="35">
        <f t="shared" ref="EM29:EM44" si="137">M29/K29</f>
        <v>0.14414462677779</v>
      </c>
      <c r="EN29" s="53">
        <v>1513144072.56</v>
      </c>
      <c r="EO29" s="35">
        <f t="shared" ref="EO29:EO50" si="138">EN29/C29</f>
        <v>0.62103905817215</v>
      </c>
      <c r="EP29" s="35"/>
      <c r="EQ29" s="53">
        <v>950994337.4</v>
      </c>
      <c r="ER29" s="35">
        <f t="shared" ref="ER29:ER34" si="139">EQ29/E29</f>
        <v>0.615223537071772</v>
      </c>
      <c r="ES29" s="35">
        <f t="shared" ref="ES29:ES34" si="140">EQ29/EN29</f>
        <v>0.628488955312146</v>
      </c>
      <c r="ET29" s="35"/>
      <c r="EU29" s="35"/>
      <c r="EV29" s="35"/>
      <c r="EW29" s="35"/>
      <c r="EX29" s="61">
        <v>336024</v>
      </c>
      <c r="EY29" s="61">
        <v>345013</v>
      </c>
      <c r="EZ29" s="90">
        <f t="shared" ref="EZ29:EZ34" si="141">EN29/EX29</f>
        <v>4503.08332904792</v>
      </c>
      <c r="FA29" s="90"/>
      <c r="FB29" s="90"/>
      <c r="FC29" s="88">
        <v>41924</v>
      </c>
      <c r="FD29" s="35"/>
      <c r="FE29" s="53"/>
      <c r="FF29" s="35">
        <f t="shared" ref="FF29:FF50" si="142">FE29/C29</f>
        <v>0</v>
      </c>
      <c r="FG29" s="35"/>
      <c r="FH29" s="35"/>
      <c r="FI29" s="35"/>
      <c r="FJ29" s="35"/>
      <c r="FK29" s="35"/>
      <c r="FL29" s="35"/>
      <c r="FM29" s="35"/>
      <c r="FN29" s="35"/>
      <c r="FO29" s="61"/>
      <c r="FP29" s="61"/>
      <c r="FQ29" s="12"/>
      <c r="FR29" s="35"/>
      <c r="FS29" s="35"/>
      <c r="FT29" s="53"/>
      <c r="FU29" s="53"/>
      <c r="FV29" s="35">
        <f t="shared" ref="FV29:FV34" si="143">FU29/C29</f>
        <v>0</v>
      </c>
      <c r="FW29" s="35"/>
      <c r="FX29" s="66"/>
      <c r="FY29" s="35"/>
      <c r="FZ29" s="35"/>
      <c r="GA29" s="66"/>
      <c r="GB29" s="66"/>
      <c r="GC29" s="52"/>
      <c r="GD29" s="35"/>
      <c r="GE29" s="35"/>
      <c r="GF29" s="68"/>
      <c r="GG29" s="52"/>
      <c r="GH29" s="68"/>
      <c r="GI29" s="192"/>
      <c r="GJ29" s="68"/>
      <c r="GK29" s="68"/>
      <c r="GL29" s="68"/>
      <c r="GM29" s="68"/>
      <c r="GN29" s="68"/>
      <c r="GO29" s="68"/>
      <c r="GP29" s="68"/>
      <c r="GQ29" s="68"/>
      <c r="GR29" s="68"/>
      <c r="GS29" s="68"/>
      <c r="GT29" s="68"/>
      <c r="GU29" s="68"/>
      <c r="GV29" s="68"/>
      <c r="GW29" s="68"/>
      <c r="GX29" s="68"/>
    </row>
    <row r="30" spans="1:206">
      <c r="A30" s="12">
        <v>2021</v>
      </c>
      <c r="B30" s="12"/>
      <c r="C30" s="52">
        <v>1925286294.09</v>
      </c>
      <c r="D30" s="52">
        <v>1669845150.73</v>
      </c>
      <c r="E30" s="53">
        <v>1147871732</v>
      </c>
      <c r="F30" s="53">
        <v>16340427.33</v>
      </c>
      <c r="G30" s="90">
        <v>387948874.88</v>
      </c>
      <c r="H30" s="53">
        <v>64998547.08</v>
      </c>
      <c r="I30" s="53">
        <v>55389752.79</v>
      </c>
      <c r="J30" s="53">
        <v>-2704183.35</v>
      </c>
      <c r="K30" s="53">
        <v>269992984.84</v>
      </c>
      <c r="L30" s="53">
        <v>261242466.36</v>
      </c>
      <c r="M30" s="53">
        <v>39840870.93</v>
      </c>
      <c r="N30" s="53">
        <v>221401595.43</v>
      </c>
      <c r="O30" s="53"/>
      <c r="P30" s="53"/>
      <c r="Q30" s="53"/>
      <c r="R30" s="53"/>
      <c r="S30" s="53"/>
      <c r="T30" s="53"/>
      <c r="U30" s="53"/>
      <c r="V30" s="53"/>
      <c r="W30" s="53"/>
      <c r="X30" s="35"/>
      <c r="Y30" s="166"/>
      <c r="Z30" s="53"/>
      <c r="AA30" s="166"/>
      <c r="AB30" s="35"/>
      <c r="AC30" s="35"/>
      <c r="AD30" s="35">
        <f t="shared" si="125"/>
        <v>0.596208333027452</v>
      </c>
      <c r="AE30" s="35">
        <f t="shared" si="126"/>
        <v>0.596208333027452</v>
      </c>
      <c r="AF30" s="35">
        <f t="shared" si="127"/>
        <v>0.00848727141524862</v>
      </c>
      <c r="AG30" s="35">
        <f t="shared" si="128"/>
        <v>0.201501914842939</v>
      </c>
      <c r="AH30" s="35">
        <f t="shared" si="129"/>
        <v>0.0337604580054012</v>
      </c>
      <c r="AI30" s="35">
        <f t="shared" si="130"/>
        <v>0.0287696188146295</v>
      </c>
      <c r="AJ30" s="35"/>
      <c r="AK30" s="35">
        <f t="shared" si="131"/>
        <v>0.140235239646587</v>
      </c>
      <c r="AL30" s="35">
        <f t="shared" si="132"/>
        <v>0.135690191719501</v>
      </c>
      <c r="AM30" s="35">
        <f t="shared" si="133"/>
        <v>0.114996713013348</v>
      </c>
      <c r="AN30" s="35"/>
      <c r="AO30" s="35"/>
      <c r="AP30" s="35"/>
      <c r="AQ30" s="35"/>
      <c r="AR30" s="35"/>
      <c r="AS30" s="35"/>
      <c r="AT30" s="35">
        <f t="shared" si="134"/>
        <v>0.137019947464054</v>
      </c>
      <c r="AU30" s="35">
        <f t="shared" si="135"/>
        <v>0.230655286224155</v>
      </c>
      <c r="AV30" s="35"/>
      <c r="AW30" s="35"/>
      <c r="AX30" s="35"/>
      <c r="AY30" s="35"/>
      <c r="AZ30" s="35"/>
      <c r="BA30" s="35"/>
      <c r="BB30" s="35">
        <f t="shared" ref="BB30:BB36" si="144">(K30-K31)/K31</f>
        <v>0.0308449051626719</v>
      </c>
      <c r="BC30" s="35"/>
      <c r="BD30" s="35"/>
      <c r="BE30" s="166"/>
      <c r="BF30" s="166"/>
      <c r="BG30" s="166"/>
      <c r="BH30" s="166"/>
      <c r="BI30" s="166"/>
      <c r="BJ30" s="166"/>
      <c r="BK30" s="166"/>
      <c r="BL30" s="166"/>
      <c r="BM30" s="166"/>
      <c r="BN30" s="166"/>
      <c r="BO30" s="35"/>
      <c r="BP30" s="35"/>
      <c r="BQ30" s="35"/>
      <c r="BR30" s="35"/>
      <c r="BS30" s="35"/>
      <c r="BT30" s="166"/>
      <c r="BU30" s="166"/>
      <c r="BV30" s="166"/>
      <c r="BW30" s="166"/>
      <c r="BX30" s="166"/>
      <c r="BY30" s="166"/>
      <c r="BZ30" s="166"/>
      <c r="CA30" s="166"/>
      <c r="CB30" s="166"/>
      <c r="CC30" s="166"/>
      <c r="CD30" s="35"/>
      <c r="CE30" s="35"/>
      <c r="CF30" s="35"/>
      <c r="CG30" s="35"/>
      <c r="CH30" s="35"/>
      <c r="CI30" s="166"/>
      <c r="CJ30" s="166"/>
      <c r="CK30" s="166"/>
      <c r="CL30" s="166"/>
      <c r="CM30" s="166"/>
      <c r="CN30" s="166"/>
      <c r="CO30" s="166"/>
      <c r="CP30" s="166"/>
      <c r="CQ30" s="166"/>
      <c r="CR30" s="166"/>
      <c r="CS30" s="35"/>
      <c r="CT30" s="35"/>
      <c r="CU30" s="35"/>
      <c r="CV30" s="35"/>
      <c r="CW30" s="35"/>
      <c r="CX30" s="166"/>
      <c r="CY30" s="166"/>
      <c r="CZ30" s="166"/>
      <c r="DA30" s="166"/>
      <c r="DB30" s="166"/>
      <c r="DC30" s="166"/>
      <c r="DD30" s="166"/>
      <c r="DE30" s="166"/>
      <c r="DF30" s="166"/>
      <c r="DG30" s="166"/>
      <c r="DH30" s="166"/>
      <c r="DI30" s="166"/>
      <c r="DJ30" s="166"/>
      <c r="DK30" s="166"/>
      <c r="DL30" s="166"/>
      <c r="DM30" s="166"/>
      <c r="DN30" s="166"/>
      <c r="DO30" s="166"/>
      <c r="DP30" s="166"/>
      <c r="DQ30" s="166"/>
      <c r="DR30" s="166"/>
      <c r="DS30" s="166"/>
      <c r="DT30" s="166"/>
      <c r="DU30" s="166"/>
      <c r="DV30" s="166"/>
      <c r="DW30" s="166"/>
      <c r="DX30" s="166"/>
      <c r="DY30" s="166"/>
      <c r="DZ30" s="166"/>
      <c r="EA30" s="166"/>
      <c r="EB30" s="166"/>
      <c r="EC30" s="166"/>
      <c r="ED30" s="166"/>
      <c r="EE30" s="166"/>
      <c r="EF30" s="166"/>
      <c r="EG30" s="35"/>
      <c r="EH30" s="35"/>
      <c r="EI30" s="35"/>
      <c r="EJ30" s="35"/>
      <c r="EK30" s="35"/>
      <c r="EL30" s="35">
        <f t="shared" si="136"/>
        <v>0.152505339139993</v>
      </c>
      <c r="EM30" s="35">
        <f t="shared" si="137"/>
        <v>0.147562615205021</v>
      </c>
      <c r="EN30" s="53">
        <v>1182064447.78</v>
      </c>
      <c r="EO30" s="35">
        <f t="shared" si="138"/>
        <v>0.613968141469947</v>
      </c>
      <c r="EP30" s="35"/>
      <c r="EQ30" s="53">
        <v>662778435.01</v>
      </c>
      <c r="ER30" s="35">
        <f t="shared" si="139"/>
        <v>0.577397645166507</v>
      </c>
      <c r="ES30" s="35">
        <f t="shared" si="140"/>
        <v>0.560695684786684</v>
      </c>
      <c r="ET30" s="35"/>
      <c r="EU30" s="35"/>
      <c r="EV30" s="35"/>
      <c r="EW30" s="35"/>
      <c r="EX30" s="61">
        <v>263559</v>
      </c>
      <c r="EY30" s="61">
        <v>275340</v>
      </c>
      <c r="EZ30" s="90">
        <f t="shared" si="141"/>
        <v>4485.00885107319</v>
      </c>
      <c r="FA30" s="90"/>
      <c r="FB30" s="90"/>
      <c r="FC30" s="88">
        <v>32935</v>
      </c>
      <c r="FD30" s="35"/>
      <c r="FE30" s="53"/>
      <c r="FF30" s="35">
        <f t="shared" si="142"/>
        <v>0</v>
      </c>
      <c r="FG30" s="35"/>
      <c r="FH30" s="35"/>
      <c r="FI30" s="35"/>
      <c r="FJ30" s="35"/>
      <c r="FK30" s="35"/>
      <c r="FL30" s="35"/>
      <c r="FM30" s="35"/>
      <c r="FN30" s="35"/>
      <c r="FO30" s="61"/>
      <c r="FP30" s="61"/>
      <c r="FQ30" s="12"/>
      <c r="FR30" s="35"/>
      <c r="FS30" s="35"/>
      <c r="FT30" s="53"/>
      <c r="FU30" s="53"/>
      <c r="FV30" s="35">
        <f t="shared" si="143"/>
        <v>0</v>
      </c>
      <c r="FW30" s="35"/>
      <c r="FX30" s="66"/>
      <c r="FY30" s="35"/>
      <c r="FZ30" s="35"/>
      <c r="GA30" s="66"/>
      <c r="GB30" s="66"/>
      <c r="GC30" s="52"/>
      <c r="GD30" s="35"/>
      <c r="GE30" s="35"/>
      <c r="GF30" s="68"/>
      <c r="GG30" s="52"/>
      <c r="GH30" s="68"/>
      <c r="GI30" s="192"/>
      <c r="GJ30" s="68"/>
      <c r="GK30" s="68"/>
      <c r="GL30" s="68"/>
      <c r="GM30" s="68"/>
      <c r="GN30" s="68"/>
      <c r="GO30" s="68"/>
      <c r="GP30" s="68"/>
      <c r="GQ30" s="68"/>
      <c r="GR30" s="68"/>
      <c r="GS30" s="68"/>
      <c r="GT30" s="68"/>
      <c r="GU30" s="68"/>
      <c r="GV30" s="68"/>
      <c r="GW30" s="68"/>
      <c r="GX30" s="68"/>
    </row>
    <row r="31" spans="1:206">
      <c r="A31" s="12">
        <v>2020</v>
      </c>
      <c r="B31" s="12"/>
      <c r="C31" s="52">
        <v>1693273982.03</v>
      </c>
      <c r="D31" s="52">
        <v>1356874804.36</v>
      </c>
      <c r="E31" s="53">
        <v>950816655.19</v>
      </c>
      <c r="F31" s="53">
        <v>15790503.76</v>
      </c>
      <c r="G31" s="90">
        <v>286850462.86</v>
      </c>
      <c r="H31" s="53">
        <v>61411717.01</v>
      </c>
      <c r="I31" s="53">
        <v>45221538.75</v>
      </c>
      <c r="J31" s="53">
        <v>-3216073.21</v>
      </c>
      <c r="K31" s="53">
        <v>261914264.2</v>
      </c>
      <c r="L31" s="53">
        <v>256945009.47</v>
      </c>
      <c r="M31" s="53">
        <v>51143969.08</v>
      </c>
      <c r="N31" s="53">
        <v>205801040.39</v>
      </c>
      <c r="O31" s="53"/>
      <c r="P31" s="53"/>
      <c r="Q31" s="53"/>
      <c r="R31" s="53"/>
      <c r="S31" s="53"/>
      <c r="T31" s="53"/>
      <c r="U31" s="53"/>
      <c r="V31" s="53"/>
      <c r="W31" s="53"/>
      <c r="X31" s="35"/>
      <c r="Y31" s="166"/>
      <c r="Z31" s="53"/>
      <c r="AA31" s="166"/>
      <c r="AB31" s="35"/>
      <c r="AC31" s="35"/>
      <c r="AD31" s="35">
        <f t="shared" si="125"/>
        <v>0.56152558019589</v>
      </c>
      <c r="AE31" s="35">
        <f t="shared" si="126"/>
        <v>0.56152558019589</v>
      </c>
      <c r="AF31" s="35">
        <f t="shared" si="127"/>
        <v>0.00932542750173801</v>
      </c>
      <c r="AG31" s="35">
        <f t="shared" si="128"/>
        <v>0.169405817312628</v>
      </c>
      <c r="AH31" s="35">
        <f t="shared" si="129"/>
        <v>0.0362680332077009</v>
      </c>
      <c r="AI31" s="35">
        <f t="shared" si="130"/>
        <v>0.0267065691848555</v>
      </c>
      <c r="AJ31" s="35"/>
      <c r="AK31" s="35">
        <f t="shared" si="131"/>
        <v>0.154679199574071</v>
      </c>
      <c r="AL31" s="35">
        <f t="shared" si="132"/>
        <v>0.151744497462814</v>
      </c>
      <c r="AM31" s="35">
        <f t="shared" si="133"/>
        <v>0.121540307460033</v>
      </c>
      <c r="AN31" s="35"/>
      <c r="AO31" s="35"/>
      <c r="AP31" s="35"/>
      <c r="AQ31" s="35"/>
      <c r="AR31" s="35"/>
      <c r="AS31" s="35"/>
      <c r="AT31" s="35">
        <f t="shared" si="134"/>
        <v>0.249512951393242</v>
      </c>
      <c r="AU31" s="35">
        <f t="shared" si="135"/>
        <v>0.193728550941432</v>
      </c>
      <c r="AV31" s="35"/>
      <c r="AW31" s="35"/>
      <c r="AX31" s="35"/>
      <c r="AY31" s="35"/>
      <c r="AZ31" s="35"/>
      <c r="BA31" s="35"/>
      <c r="BB31" s="35">
        <f t="shared" si="144"/>
        <v>0.129739274060072</v>
      </c>
      <c r="BC31" s="35"/>
      <c r="BD31" s="35"/>
      <c r="BE31" s="166"/>
      <c r="BF31" s="166"/>
      <c r="BG31" s="166"/>
      <c r="BH31" s="166"/>
      <c r="BI31" s="166"/>
      <c r="BJ31" s="166"/>
      <c r="BK31" s="166"/>
      <c r="BL31" s="166"/>
      <c r="BM31" s="166"/>
      <c r="BN31" s="166"/>
      <c r="BO31" s="35"/>
      <c r="BP31" s="35"/>
      <c r="BQ31" s="35"/>
      <c r="BR31" s="35"/>
      <c r="BS31" s="35"/>
      <c r="BT31" s="166"/>
      <c r="BU31" s="166"/>
      <c r="BV31" s="166"/>
      <c r="BW31" s="166"/>
      <c r="BX31" s="166"/>
      <c r="BY31" s="166"/>
      <c r="BZ31" s="166"/>
      <c r="CA31" s="166"/>
      <c r="CB31" s="166"/>
      <c r="CC31" s="166"/>
      <c r="CD31" s="35"/>
      <c r="CE31" s="35"/>
      <c r="CF31" s="35"/>
      <c r="CG31" s="35"/>
      <c r="CH31" s="35"/>
      <c r="CI31" s="166"/>
      <c r="CJ31" s="166"/>
      <c r="CK31" s="166"/>
      <c r="CL31" s="166"/>
      <c r="CM31" s="166"/>
      <c r="CN31" s="166"/>
      <c r="CO31" s="166"/>
      <c r="CP31" s="166"/>
      <c r="CQ31" s="166"/>
      <c r="CR31" s="166"/>
      <c r="CS31" s="35"/>
      <c r="CT31" s="35"/>
      <c r="CU31" s="35"/>
      <c r="CV31" s="35"/>
      <c r="CW31" s="35"/>
      <c r="CX31" s="166"/>
      <c r="CY31" s="166"/>
      <c r="CZ31" s="166"/>
      <c r="DA31" s="166"/>
      <c r="DB31" s="166"/>
      <c r="DC31" s="166"/>
      <c r="DD31" s="166"/>
      <c r="DE31" s="166"/>
      <c r="DF31" s="166"/>
      <c r="DG31" s="166"/>
      <c r="DH31" s="166"/>
      <c r="DI31" s="166"/>
      <c r="DJ31" s="166"/>
      <c r="DK31" s="166"/>
      <c r="DL31" s="166"/>
      <c r="DM31" s="166"/>
      <c r="DN31" s="166"/>
      <c r="DO31" s="166"/>
      <c r="DP31" s="166"/>
      <c r="DQ31" s="166"/>
      <c r="DR31" s="166"/>
      <c r="DS31" s="166"/>
      <c r="DT31" s="166"/>
      <c r="DU31" s="166"/>
      <c r="DV31" s="166"/>
      <c r="DW31" s="166"/>
      <c r="DX31" s="166"/>
      <c r="DY31" s="166"/>
      <c r="DZ31" s="166"/>
      <c r="EA31" s="166"/>
      <c r="EB31" s="166"/>
      <c r="EC31" s="166"/>
      <c r="ED31" s="166"/>
      <c r="EE31" s="166"/>
      <c r="EF31" s="166"/>
      <c r="EG31" s="35"/>
      <c r="EH31" s="35"/>
      <c r="EI31" s="35"/>
      <c r="EJ31" s="35"/>
      <c r="EK31" s="35"/>
      <c r="EL31" s="35">
        <f t="shared" si="136"/>
        <v>0.199046360875016</v>
      </c>
      <c r="EM31" s="35">
        <f t="shared" si="137"/>
        <v>0.195269888168237</v>
      </c>
      <c r="EN31" s="53">
        <v>1053969814.05</v>
      </c>
      <c r="EO31" s="35">
        <f t="shared" si="138"/>
        <v>0.622444935217416</v>
      </c>
      <c r="EP31" s="35"/>
      <c r="EQ31" s="53">
        <v>544506620.14</v>
      </c>
      <c r="ER31" s="35">
        <f t="shared" si="139"/>
        <v>0.572672572748731</v>
      </c>
      <c r="ES31" s="35">
        <f t="shared" si="140"/>
        <v>0.51662449235398</v>
      </c>
      <c r="ET31" s="35"/>
      <c r="EU31" s="35"/>
      <c r="EV31" s="35"/>
      <c r="EW31" s="35"/>
      <c r="EX31" s="61">
        <v>202456.02</v>
      </c>
      <c r="EY31" s="61">
        <v>203078.04</v>
      </c>
      <c r="EZ31" s="90">
        <f t="shared" si="141"/>
        <v>5205.9198538527</v>
      </c>
      <c r="FA31" s="90"/>
      <c r="FB31" s="90"/>
      <c r="FC31" s="90">
        <v>21155.2</v>
      </c>
      <c r="FD31" s="35"/>
      <c r="FE31" s="53"/>
      <c r="FF31" s="35">
        <f t="shared" si="142"/>
        <v>0</v>
      </c>
      <c r="FG31" s="35"/>
      <c r="FH31" s="35"/>
      <c r="FI31" s="35"/>
      <c r="FJ31" s="35"/>
      <c r="FK31" s="35"/>
      <c r="FL31" s="35"/>
      <c r="FM31" s="35"/>
      <c r="FN31" s="35"/>
      <c r="FO31" s="61"/>
      <c r="FP31" s="61"/>
      <c r="FQ31" s="12"/>
      <c r="FR31" s="35"/>
      <c r="FS31" s="35"/>
      <c r="FT31" s="53"/>
      <c r="FU31" s="53"/>
      <c r="FV31" s="35">
        <f t="shared" si="143"/>
        <v>0</v>
      </c>
      <c r="FW31" s="35"/>
      <c r="FX31" s="66"/>
      <c r="FY31" s="35"/>
      <c r="FZ31" s="35"/>
      <c r="GA31" s="66"/>
      <c r="GB31" s="66"/>
      <c r="GC31" s="52"/>
      <c r="GD31" s="35"/>
      <c r="GE31" s="35"/>
      <c r="GF31" s="68"/>
      <c r="GG31" s="52"/>
      <c r="GH31" s="68"/>
      <c r="GI31" s="192"/>
      <c r="GJ31" s="68"/>
      <c r="GK31" s="68"/>
      <c r="GL31" s="68"/>
      <c r="GM31" s="68"/>
      <c r="GN31" s="68"/>
      <c r="GO31" s="68"/>
      <c r="GP31" s="68"/>
      <c r="GQ31" s="68"/>
      <c r="GR31" s="68"/>
      <c r="GS31" s="68"/>
      <c r="GT31" s="68"/>
      <c r="GU31" s="68"/>
      <c r="GV31" s="68"/>
      <c r="GW31" s="68"/>
      <c r="GX31" s="68"/>
    </row>
    <row r="32" spans="1:206">
      <c r="A32" s="12">
        <v>2019</v>
      </c>
      <c r="B32" s="12"/>
      <c r="C32" s="52">
        <v>1355147203.67</v>
      </c>
      <c r="D32" s="52">
        <v>1136669474.22</v>
      </c>
      <c r="E32" s="53">
        <v>728988143.54</v>
      </c>
      <c r="F32" s="53">
        <v>13048238.93</v>
      </c>
      <c r="G32" s="90">
        <v>308762684.45</v>
      </c>
      <c r="H32" s="53">
        <v>53903006.32</v>
      </c>
      <c r="I32" s="53">
        <v>39482608.83</v>
      </c>
      <c r="J32" s="53">
        <v>-7515207.85</v>
      </c>
      <c r="K32" s="53">
        <v>231836026.43</v>
      </c>
      <c r="L32" s="53">
        <v>232004461.83</v>
      </c>
      <c r="M32" s="53">
        <v>33750491.3</v>
      </c>
      <c r="N32" s="53">
        <v>198253970.53</v>
      </c>
      <c r="O32" s="53"/>
      <c r="P32" s="53"/>
      <c r="Q32" s="53"/>
      <c r="R32" s="53"/>
      <c r="S32" s="53"/>
      <c r="T32" s="53"/>
      <c r="U32" s="53"/>
      <c r="V32" s="53"/>
      <c r="W32" s="53"/>
      <c r="X32" s="35"/>
      <c r="Y32" s="166"/>
      <c r="Z32" s="53"/>
      <c r="AA32" s="166"/>
      <c r="AB32" s="35"/>
      <c r="AC32" s="35"/>
      <c r="AD32" s="35">
        <f t="shared" si="125"/>
        <v>0.537940189498056</v>
      </c>
      <c r="AE32" s="37">
        <f t="shared" si="126"/>
        <v>0.537940189498056</v>
      </c>
      <c r="AF32" s="35">
        <f t="shared" si="127"/>
        <v>0.00962865059578978</v>
      </c>
      <c r="AG32" s="35">
        <f t="shared" si="128"/>
        <v>0.227844387394824</v>
      </c>
      <c r="AH32" s="35">
        <f t="shared" si="129"/>
        <v>0.0397764952575043</v>
      </c>
      <c r="AI32" s="35">
        <f t="shared" si="130"/>
        <v>0.0291352915189387</v>
      </c>
      <c r="AJ32" s="35"/>
      <c r="AK32" s="35">
        <f t="shared" si="131"/>
        <v>0.171078112991816</v>
      </c>
      <c r="AL32" s="35">
        <f t="shared" si="132"/>
        <v>0.171202406057207</v>
      </c>
      <c r="AM32" s="35">
        <f t="shared" si="133"/>
        <v>0.146297000055116</v>
      </c>
      <c r="AN32" s="35"/>
      <c r="AO32" s="35"/>
      <c r="AP32" s="35"/>
      <c r="AQ32" s="35"/>
      <c r="AR32" s="35"/>
      <c r="AS32" s="35"/>
      <c r="AT32" s="35">
        <f t="shared" si="134"/>
        <v>0.271906286261509</v>
      </c>
      <c r="AU32" s="35">
        <f t="shared" si="135"/>
        <v>0.289127693974249</v>
      </c>
      <c r="AV32" s="35"/>
      <c r="AW32" s="35"/>
      <c r="AX32" s="35"/>
      <c r="AY32" s="35"/>
      <c r="AZ32" s="35"/>
      <c r="BA32" s="35"/>
      <c r="BB32" s="35">
        <f t="shared" si="144"/>
        <v>-0.187040220446328</v>
      </c>
      <c r="BC32" s="35"/>
      <c r="BD32" s="35"/>
      <c r="BE32" s="166"/>
      <c r="BF32" s="166"/>
      <c r="BG32" s="166"/>
      <c r="BH32" s="166"/>
      <c r="BI32" s="166"/>
      <c r="BJ32" s="166"/>
      <c r="BK32" s="166"/>
      <c r="BL32" s="166"/>
      <c r="BM32" s="166"/>
      <c r="BN32" s="166"/>
      <c r="BO32" s="35"/>
      <c r="BP32" s="35"/>
      <c r="BQ32" s="35"/>
      <c r="BR32" s="35"/>
      <c r="BS32" s="35"/>
      <c r="BT32" s="166"/>
      <c r="BU32" s="166"/>
      <c r="BV32" s="166"/>
      <c r="BW32" s="166"/>
      <c r="BX32" s="166"/>
      <c r="BY32" s="166"/>
      <c r="BZ32" s="166"/>
      <c r="CA32" s="166"/>
      <c r="CB32" s="166"/>
      <c r="CC32" s="166"/>
      <c r="CD32" s="35"/>
      <c r="CE32" s="35"/>
      <c r="CF32" s="35"/>
      <c r="CG32" s="35"/>
      <c r="CH32" s="35"/>
      <c r="CI32" s="166"/>
      <c r="CJ32" s="166"/>
      <c r="CK32" s="166"/>
      <c r="CL32" s="166"/>
      <c r="CM32" s="166"/>
      <c r="CN32" s="166"/>
      <c r="CO32" s="166"/>
      <c r="CP32" s="166"/>
      <c r="CQ32" s="166"/>
      <c r="CR32" s="166"/>
      <c r="CS32" s="35"/>
      <c r="CT32" s="35"/>
      <c r="CU32" s="35"/>
      <c r="CV32" s="35"/>
      <c r="CW32" s="35"/>
      <c r="CX32" s="166"/>
      <c r="CY32" s="166"/>
      <c r="CZ32" s="166"/>
      <c r="DA32" s="166"/>
      <c r="DB32" s="166"/>
      <c r="DC32" s="166"/>
      <c r="DD32" s="166"/>
      <c r="DE32" s="166"/>
      <c r="DF32" s="166"/>
      <c r="DG32" s="166"/>
      <c r="DH32" s="166"/>
      <c r="DI32" s="166"/>
      <c r="DJ32" s="166"/>
      <c r="DK32" s="166"/>
      <c r="DL32" s="166"/>
      <c r="DM32" s="166"/>
      <c r="DN32" s="166"/>
      <c r="DO32" s="166"/>
      <c r="DP32" s="166"/>
      <c r="DQ32" s="166"/>
      <c r="DR32" s="166"/>
      <c r="DS32" s="166"/>
      <c r="DT32" s="166"/>
      <c r="DU32" s="166"/>
      <c r="DV32" s="166"/>
      <c r="DW32" s="166"/>
      <c r="DX32" s="166"/>
      <c r="DY32" s="166"/>
      <c r="DZ32" s="166"/>
      <c r="EA32" s="166"/>
      <c r="EB32" s="166"/>
      <c r="EC32" s="166"/>
      <c r="ED32" s="166"/>
      <c r="EE32" s="166"/>
      <c r="EF32" s="166"/>
      <c r="EG32" s="35"/>
      <c r="EH32" s="35"/>
      <c r="EI32" s="35"/>
      <c r="EJ32" s="35"/>
      <c r="EK32" s="35"/>
      <c r="EL32" s="35">
        <f t="shared" si="136"/>
        <v>0.145473457854145</v>
      </c>
      <c r="EM32" s="35">
        <f t="shared" si="137"/>
        <v>0.145579148416739</v>
      </c>
      <c r="EN32" s="90">
        <v>835148173.63</v>
      </c>
      <c r="EO32" s="35">
        <f t="shared" si="138"/>
        <v>0.616278564696335</v>
      </c>
      <c r="EP32" s="35"/>
      <c r="EQ32" s="53">
        <v>414874034.26</v>
      </c>
      <c r="ER32" s="35">
        <f t="shared" si="139"/>
        <v>0.569109440169154</v>
      </c>
      <c r="ES32" s="35">
        <f t="shared" si="140"/>
        <v>0.496766977836682</v>
      </c>
      <c r="ET32" s="35"/>
      <c r="EU32" s="35"/>
      <c r="EV32" s="35"/>
      <c r="EW32" s="35"/>
      <c r="EX32" s="61">
        <v>151841.23</v>
      </c>
      <c r="EY32" s="61">
        <v>158306.88</v>
      </c>
      <c r="EZ32" s="90">
        <f t="shared" si="141"/>
        <v>5500.1409935233</v>
      </c>
      <c r="FA32" s="90"/>
      <c r="FB32" s="90"/>
      <c r="FC32" s="90">
        <v>20533.18</v>
      </c>
      <c r="FD32" s="35"/>
      <c r="FE32" s="53"/>
      <c r="FF32" s="35">
        <f t="shared" si="142"/>
        <v>0</v>
      </c>
      <c r="FG32" s="35"/>
      <c r="FH32" s="35"/>
      <c r="FI32" s="35"/>
      <c r="FJ32" s="35"/>
      <c r="FK32" s="35"/>
      <c r="FL32" s="35"/>
      <c r="FM32" s="35"/>
      <c r="FN32" s="35"/>
      <c r="FO32" s="61"/>
      <c r="FP32" s="61"/>
      <c r="FQ32" s="12"/>
      <c r="FR32" s="35"/>
      <c r="FS32" s="35"/>
      <c r="FT32" s="53"/>
      <c r="FU32" s="53"/>
      <c r="FV32" s="35">
        <f t="shared" si="143"/>
        <v>0</v>
      </c>
      <c r="FW32" s="35"/>
      <c r="FX32" s="66"/>
      <c r="FY32" s="35"/>
      <c r="FZ32" s="35"/>
      <c r="GA32" s="66"/>
      <c r="GB32" s="66"/>
      <c r="GC32" s="52"/>
      <c r="GD32" s="35"/>
      <c r="GE32" s="35"/>
      <c r="GF32" s="68"/>
      <c r="GG32" s="52"/>
      <c r="GH32" s="68"/>
      <c r="GI32" s="192"/>
      <c r="GJ32" s="68"/>
      <c r="GK32" s="68"/>
      <c r="GL32" s="68"/>
      <c r="GM32" s="68"/>
      <c r="GN32" s="68"/>
      <c r="GO32" s="68"/>
      <c r="GP32" s="68"/>
      <c r="GQ32" s="68"/>
      <c r="GR32" s="68"/>
      <c r="GS32" s="68"/>
      <c r="GT32" s="68"/>
      <c r="GU32" s="68"/>
      <c r="GV32" s="68"/>
      <c r="GW32" s="68"/>
      <c r="GX32" s="68"/>
    </row>
    <row r="33" spans="1:206">
      <c r="A33" s="12">
        <v>2018</v>
      </c>
      <c r="B33" s="12"/>
      <c r="C33" s="52">
        <v>1065445794.48</v>
      </c>
      <c r="D33" s="52">
        <v>881735362.24</v>
      </c>
      <c r="E33" s="53">
        <v>578058411.02</v>
      </c>
      <c r="F33" s="53">
        <v>12108757.57</v>
      </c>
      <c r="G33" s="90">
        <v>216326402.44</v>
      </c>
      <c r="H33" s="53">
        <v>52211721.01</v>
      </c>
      <c r="I33" s="53">
        <v>20360287.94</v>
      </c>
      <c r="J33" s="53">
        <v>1697152.63</v>
      </c>
      <c r="K33" s="53">
        <v>285175272.21</v>
      </c>
      <c r="L33" s="53">
        <v>285154328.18</v>
      </c>
      <c r="M33" s="53">
        <v>45130726.95</v>
      </c>
      <c r="N33" s="53">
        <v>240023601.23</v>
      </c>
      <c r="O33" s="53"/>
      <c r="P33" s="53"/>
      <c r="Q33" s="53"/>
      <c r="R33" s="53"/>
      <c r="S33" s="53"/>
      <c r="T33" s="53"/>
      <c r="U33" s="53"/>
      <c r="V33" s="53"/>
      <c r="W33" s="53"/>
      <c r="X33" s="35"/>
      <c r="Y33" s="166"/>
      <c r="Z33" s="53"/>
      <c r="AA33" s="166"/>
      <c r="AB33" s="35"/>
      <c r="AC33" s="35"/>
      <c r="AD33" s="35">
        <f t="shared" si="125"/>
        <v>0.542550746377601</v>
      </c>
      <c r="AE33" s="35">
        <f t="shared" si="126"/>
        <v>0.542550746377601</v>
      </c>
      <c r="AF33" s="35">
        <f t="shared" si="127"/>
        <v>0.0113649681971008</v>
      </c>
      <c r="AG33" s="35">
        <f t="shared" si="128"/>
        <v>0.203038393469449</v>
      </c>
      <c r="AH33" s="35">
        <f t="shared" si="129"/>
        <v>0.0490045775022111</v>
      </c>
      <c r="AI33" s="35">
        <f t="shared" si="130"/>
        <v>0.0191096422225187</v>
      </c>
      <c r="AJ33" s="35"/>
      <c r="AK33" s="35">
        <f t="shared" si="131"/>
        <v>0.267658170586878</v>
      </c>
      <c r="AL33" s="35">
        <f t="shared" si="132"/>
        <v>0.267638513059383</v>
      </c>
      <c r="AM33" s="35">
        <f t="shared" si="133"/>
        <v>0.225279974329567</v>
      </c>
      <c r="AN33" s="35"/>
      <c r="AO33" s="35"/>
      <c r="AP33" s="35"/>
      <c r="AQ33" s="35"/>
      <c r="AR33" s="35"/>
      <c r="AS33" s="35"/>
      <c r="AT33" s="35">
        <f t="shared" si="134"/>
        <v>0.123689887095143</v>
      </c>
      <c r="AU33" s="35">
        <f t="shared" si="135"/>
        <v>0.113017505784953</v>
      </c>
      <c r="AV33" s="35"/>
      <c r="AW33" s="35"/>
      <c r="AX33" s="35"/>
      <c r="AY33" s="35"/>
      <c r="AZ33" s="35"/>
      <c r="BA33" s="35"/>
      <c r="BB33" s="35">
        <f t="shared" si="144"/>
        <v>0.685464477427612</v>
      </c>
      <c r="BC33" s="35"/>
      <c r="BD33" s="35"/>
      <c r="BE33" s="166"/>
      <c r="BF33" s="166"/>
      <c r="BG33" s="166"/>
      <c r="BH33" s="166"/>
      <c r="BI33" s="166"/>
      <c r="BJ33" s="166"/>
      <c r="BK33" s="166"/>
      <c r="BL33" s="166"/>
      <c r="BM33" s="166"/>
      <c r="BN33" s="166"/>
      <c r="BO33" s="35"/>
      <c r="BP33" s="35"/>
      <c r="BQ33" s="35"/>
      <c r="BR33" s="35"/>
      <c r="BS33" s="35"/>
      <c r="BT33" s="166"/>
      <c r="BU33" s="166"/>
      <c r="BV33" s="166"/>
      <c r="BW33" s="166"/>
      <c r="BX33" s="166"/>
      <c r="BY33" s="166"/>
      <c r="BZ33" s="166"/>
      <c r="CA33" s="166"/>
      <c r="CB33" s="166"/>
      <c r="CC33" s="166"/>
      <c r="CD33" s="35"/>
      <c r="CE33" s="35"/>
      <c r="CF33" s="35"/>
      <c r="CG33" s="35"/>
      <c r="CH33" s="35"/>
      <c r="CI33" s="166"/>
      <c r="CJ33" s="166"/>
      <c r="CK33" s="166"/>
      <c r="CL33" s="166"/>
      <c r="CM33" s="166"/>
      <c r="CN33" s="166"/>
      <c r="CO33" s="166"/>
      <c r="CP33" s="166"/>
      <c r="CQ33" s="166"/>
      <c r="CR33" s="166"/>
      <c r="CS33" s="35"/>
      <c r="CT33" s="35"/>
      <c r="CU33" s="35"/>
      <c r="CV33" s="35"/>
      <c r="CW33" s="35"/>
      <c r="CX33" s="166"/>
      <c r="CY33" s="166"/>
      <c r="CZ33" s="166"/>
      <c r="DA33" s="166"/>
      <c r="DB33" s="166"/>
      <c r="DC33" s="166"/>
      <c r="DD33" s="166"/>
      <c r="DE33" s="166"/>
      <c r="DF33" s="166"/>
      <c r="DG33" s="166"/>
      <c r="DH33" s="166"/>
      <c r="DI33" s="166"/>
      <c r="DJ33" s="166"/>
      <c r="DK33" s="166"/>
      <c r="DL33" s="166"/>
      <c r="DM33" s="166"/>
      <c r="DN33" s="166"/>
      <c r="DO33" s="166"/>
      <c r="DP33" s="166"/>
      <c r="DQ33" s="166"/>
      <c r="DR33" s="166"/>
      <c r="DS33" s="166"/>
      <c r="DT33" s="166"/>
      <c r="DU33" s="166"/>
      <c r="DV33" s="166"/>
      <c r="DW33" s="166"/>
      <c r="DX33" s="166"/>
      <c r="DY33" s="166"/>
      <c r="DZ33" s="166"/>
      <c r="EA33" s="166"/>
      <c r="EB33" s="166"/>
      <c r="EC33" s="166"/>
      <c r="ED33" s="166"/>
      <c r="EE33" s="166"/>
      <c r="EF33" s="166"/>
      <c r="EG33" s="35"/>
      <c r="EH33" s="35"/>
      <c r="EI33" s="35"/>
      <c r="EJ33" s="35"/>
      <c r="EK33" s="35"/>
      <c r="EL33" s="35">
        <f t="shared" si="136"/>
        <v>0.158267725543734</v>
      </c>
      <c r="EM33" s="35">
        <f t="shared" si="137"/>
        <v>0.158256101941287</v>
      </c>
      <c r="EN33" s="53">
        <v>608688964</v>
      </c>
      <c r="EO33" s="35">
        <f t="shared" si="138"/>
        <v>0.571299795028123</v>
      </c>
      <c r="EP33" s="35"/>
      <c r="EQ33" s="180">
        <v>303308325.77</v>
      </c>
      <c r="ER33" s="35">
        <f t="shared" si="139"/>
        <v>0.524701864011985</v>
      </c>
      <c r="ES33" s="35">
        <f t="shared" si="140"/>
        <v>0.498297724632313</v>
      </c>
      <c r="ET33" s="35"/>
      <c r="EU33" s="35"/>
      <c r="EV33" s="35"/>
      <c r="EW33" s="35"/>
      <c r="EX33" s="61">
        <v>111023.73</v>
      </c>
      <c r="EY33" s="61">
        <v>114261.34</v>
      </c>
      <c r="EZ33" s="90">
        <f t="shared" si="141"/>
        <v>5482.51228813876</v>
      </c>
      <c r="FA33" s="90"/>
      <c r="FB33" s="90"/>
      <c r="FC33" s="90">
        <v>14067.53</v>
      </c>
      <c r="FD33" s="35"/>
      <c r="FE33" s="53"/>
      <c r="FF33" s="35">
        <f t="shared" si="142"/>
        <v>0</v>
      </c>
      <c r="FG33" s="35"/>
      <c r="FH33" s="35"/>
      <c r="FI33" s="35"/>
      <c r="FJ33" s="35"/>
      <c r="FK33" s="35"/>
      <c r="FL33" s="35"/>
      <c r="FM33" s="35"/>
      <c r="FN33" s="35"/>
      <c r="FO33" s="61"/>
      <c r="FP33" s="61"/>
      <c r="FQ33" s="12"/>
      <c r="FR33" s="35"/>
      <c r="FS33" s="35"/>
      <c r="FT33" s="53"/>
      <c r="FU33" s="53"/>
      <c r="FV33" s="35">
        <f t="shared" si="143"/>
        <v>0</v>
      </c>
      <c r="FW33" s="35"/>
      <c r="FX33" s="66"/>
      <c r="FY33" s="35"/>
      <c r="FZ33" s="35"/>
      <c r="GA33" s="66"/>
      <c r="GB33" s="66"/>
      <c r="GC33" s="52"/>
      <c r="GD33" s="35"/>
      <c r="GE33" s="35"/>
      <c r="GF33" s="68"/>
      <c r="GG33" s="52"/>
      <c r="GH33" s="68"/>
      <c r="GI33" s="192"/>
      <c r="GJ33" s="68"/>
      <c r="GK33" s="68"/>
      <c r="GL33" s="68"/>
      <c r="GM33" s="68"/>
      <c r="GN33" s="68"/>
      <c r="GO33" s="68"/>
      <c r="GP33" s="68"/>
      <c r="GQ33" s="68"/>
      <c r="GR33" s="68"/>
      <c r="GS33" s="68"/>
      <c r="GT33" s="68"/>
      <c r="GU33" s="68"/>
      <c r="GV33" s="68"/>
      <c r="GW33" s="68"/>
      <c r="GX33" s="68"/>
    </row>
    <row r="34" spans="1:206">
      <c r="A34" s="12">
        <v>2017</v>
      </c>
      <c r="B34" s="12"/>
      <c r="C34" s="52">
        <v>948167111.51</v>
      </c>
      <c r="D34" s="52">
        <v>792202600.28</v>
      </c>
      <c r="E34" s="53">
        <v>537261639.44</v>
      </c>
      <c r="F34" s="53">
        <v>10944053.81</v>
      </c>
      <c r="G34" s="90">
        <v>175636458.9</v>
      </c>
      <c r="H34" s="53">
        <v>43985811.78</v>
      </c>
      <c r="I34" s="53">
        <v>22412654.12</v>
      </c>
      <c r="J34" s="53">
        <v>1193171.8</v>
      </c>
      <c r="K34" s="53">
        <v>169196845.16</v>
      </c>
      <c r="L34" s="53">
        <v>170816896.19</v>
      </c>
      <c r="M34" s="53">
        <v>26757461.94</v>
      </c>
      <c r="N34" s="53">
        <v>144059434.25</v>
      </c>
      <c r="O34" s="53"/>
      <c r="P34" s="53"/>
      <c r="Q34" s="53"/>
      <c r="R34" s="53"/>
      <c r="S34" s="53"/>
      <c r="T34" s="53"/>
      <c r="U34" s="53"/>
      <c r="V34" s="53"/>
      <c r="W34" s="53"/>
      <c r="X34" s="35"/>
      <c r="Y34" s="166"/>
      <c r="Z34" s="53"/>
      <c r="AA34" s="166"/>
      <c r="AB34" s="35"/>
      <c r="AC34" s="35"/>
      <c r="AD34" s="35">
        <f t="shared" si="125"/>
        <v>0.566631802472442</v>
      </c>
      <c r="AE34" s="35">
        <f t="shared" si="126"/>
        <v>0.566631802472442</v>
      </c>
      <c r="AF34" s="35">
        <f t="shared" si="127"/>
        <v>0.0115423259013605</v>
      </c>
      <c r="AG34" s="35">
        <f t="shared" si="128"/>
        <v>0.185237872910705</v>
      </c>
      <c r="AH34" s="35">
        <f t="shared" si="129"/>
        <v>0.0463903580350415</v>
      </c>
      <c r="AI34" s="35">
        <f t="shared" si="130"/>
        <v>0.0236378733747755</v>
      </c>
      <c r="AJ34" s="35"/>
      <c r="AK34" s="35">
        <f t="shared" si="131"/>
        <v>0.178446228630042</v>
      </c>
      <c r="AL34" s="35">
        <f t="shared" si="132"/>
        <v>0.180154842027758</v>
      </c>
      <c r="AM34" s="35">
        <f t="shared" si="133"/>
        <v>0.151934645803711</v>
      </c>
      <c r="AN34" s="35"/>
      <c r="AO34" s="35"/>
      <c r="AP34" s="35"/>
      <c r="AQ34" s="35"/>
      <c r="AR34" s="35"/>
      <c r="AS34" s="35"/>
      <c r="AT34" s="35">
        <f t="shared" si="134"/>
        <v>0.230010498376745</v>
      </c>
      <c r="AU34" s="35">
        <f t="shared" si="135"/>
        <v>0.195241948352139</v>
      </c>
      <c r="AV34" s="35"/>
      <c r="AW34" s="35"/>
      <c r="AX34" s="35"/>
      <c r="AY34" s="35"/>
      <c r="AZ34" s="35"/>
      <c r="BA34" s="35"/>
      <c r="BB34" s="35">
        <f t="shared" si="144"/>
        <v>0.540882684440888</v>
      </c>
      <c r="BC34" s="35"/>
      <c r="BD34" s="35"/>
      <c r="BE34" s="166"/>
      <c r="BF34" s="166"/>
      <c r="BG34" s="166"/>
      <c r="BH34" s="166"/>
      <c r="BI34" s="166"/>
      <c r="BJ34" s="166"/>
      <c r="BK34" s="166"/>
      <c r="BL34" s="166"/>
      <c r="BM34" s="166"/>
      <c r="BN34" s="166"/>
      <c r="BO34" s="35"/>
      <c r="BP34" s="35"/>
      <c r="BQ34" s="35"/>
      <c r="BR34" s="35"/>
      <c r="BS34" s="35"/>
      <c r="BT34" s="166"/>
      <c r="BU34" s="166"/>
      <c r="BV34" s="166"/>
      <c r="BW34" s="166"/>
      <c r="BX34" s="166"/>
      <c r="BY34" s="166"/>
      <c r="BZ34" s="166"/>
      <c r="CA34" s="166"/>
      <c r="CB34" s="166"/>
      <c r="CC34" s="166"/>
      <c r="CD34" s="35"/>
      <c r="CE34" s="35"/>
      <c r="CF34" s="35"/>
      <c r="CG34" s="35"/>
      <c r="CH34" s="35"/>
      <c r="CI34" s="166"/>
      <c r="CJ34" s="166"/>
      <c r="CK34" s="166"/>
      <c r="CL34" s="166"/>
      <c r="CM34" s="166"/>
      <c r="CN34" s="166"/>
      <c r="CO34" s="166"/>
      <c r="CP34" s="166"/>
      <c r="CQ34" s="166"/>
      <c r="CR34" s="166"/>
      <c r="CS34" s="35"/>
      <c r="CT34" s="35"/>
      <c r="CU34" s="35"/>
      <c r="CV34" s="35"/>
      <c r="CW34" s="35"/>
      <c r="CX34" s="166"/>
      <c r="CY34" s="166"/>
      <c r="CZ34" s="166"/>
      <c r="DA34" s="166"/>
      <c r="DB34" s="166"/>
      <c r="DC34" s="166"/>
      <c r="DD34" s="166"/>
      <c r="DE34" s="166"/>
      <c r="DF34" s="166"/>
      <c r="DG34" s="166"/>
      <c r="DH34" s="166"/>
      <c r="DI34" s="166"/>
      <c r="DJ34" s="166"/>
      <c r="DK34" s="166"/>
      <c r="DL34" s="166"/>
      <c r="DM34" s="166"/>
      <c r="DN34" s="166"/>
      <c r="DO34" s="166"/>
      <c r="DP34" s="166"/>
      <c r="DQ34" s="166"/>
      <c r="DR34" s="166"/>
      <c r="DS34" s="166"/>
      <c r="DT34" s="166"/>
      <c r="DU34" s="166"/>
      <c r="DV34" s="166"/>
      <c r="DW34" s="166"/>
      <c r="DX34" s="166"/>
      <c r="DY34" s="166"/>
      <c r="DZ34" s="166"/>
      <c r="EA34" s="166"/>
      <c r="EB34" s="166"/>
      <c r="EC34" s="166"/>
      <c r="ED34" s="166"/>
      <c r="EE34" s="166"/>
      <c r="EF34" s="166"/>
      <c r="EG34" s="35"/>
      <c r="EH34" s="35"/>
      <c r="EI34" s="35"/>
      <c r="EJ34" s="35"/>
      <c r="EK34" s="35"/>
      <c r="EL34" s="35">
        <f t="shared" si="136"/>
        <v>0.156644117395961</v>
      </c>
      <c r="EM34" s="35">
        <f t="shared" si="137"/>
        <v>0.158143976707704</v>
      </c>
      <c r="EN34" s="53">
        <v>505576221.65</v>
      </c>
      <c r="EO34" s="35">
        <f t="shared" si="138"/>
        <v>0.533214256762024</v>
      </c>
      <c r="EP34" s="35"/>
      <c r="EQ34" s="53">
        <v>258682460.69</v>
      </c>
      <c r="ER34" s="35">
        <f t="shared" si="139"/>
        <v>0.481483213578454</v>
      </c>
      <c r="ES34" s="35">
        <f t="shared" si="140"/>
        <v>0.511658676995851</v>
      </c>
      <c r="ET34" s="35"/>
      <c r="EU34" s="35"/>
      <c r="EV34" s="35"/>
      <c r="EW34" s="35"/>
      <c r="EX34" s="61">
        <v>94958.7</v>
      </c>
      <c r="EY34" s="61">
        <v>96349.95</v>
      </c>
      <c r="EZ34" s="90">
        <f t="shared" si="141"/>
        <v>5324.16957740576</v>
      </c>
      <c r="FA34" s="90"/>
      <c r="FB34" s="90"/>
      <c r="FC34" s="90">
        <v>10829.88</v>
      </c>
      <c r="FD34" s="35"/>
      <c r="FE34" s="53"/>
      <c r="FF34" s="35">
        <f t="shared" si="142"/>
        <v>0</v>
      </c>
      <c r="FG34" s="35"/>
      <c r="FH34" s="35"/>
      <c r="FI34" s="35"/>
      <c r="FJ34" s="35"/>
      <c r="FK34" s="35"/>
      <c r="FL34" s="35"/>
      <c r="FM34" s="35"/>
      <c r="FN34" s="35"/>
      <c r="FO34" s="61"/>
      <c r="FP34" s="61"/>
      <c r="FQ34" s="12"/>
      <c r="FR34" s="35"/>
      <c r="FS34" s="35"/>
      <c r="FT34" s="53"/>
      <c r="FU34" s="53"/>
      <c r="FV34" s="35">
        <f t="shared" si="143"/>
        <v>0</v>
      </c>
      <c r="FW34" s="35"/>
      <c r="FX34" s="66"/>
      <c r="FY34" s="35"/>
      <c r="FZ34" s="35"/>
      <c r="GA34" s="66"/>
      <c r="GB34" s="66"/>
      <c r="GC34" s="52"/>
      <c r="GD34" s="35"/>
      <c r="GE34" s="35"/>
      <c r="GF34" s="68"/>
      <c r="GG34" s="52"/>
      <c r="GH34" s="68"/>
      <c r="GI34" s="192"/>
      <c r="GJ34" s="68"/>
      <c r="GK34" s="68"/>
      <c r="GL34" s="68"/>
      <c r="GM34" s="68"/>
      <c r="GN34" s="68"/>
      <c r="GO34" s="68"/>
      <c r="GP34" s="68"/>
      <c r="GQ34" s="68"/>
      <c r="GR34" s="68"/>
      <c r="GS34" s="68"/>
      <c r="GT34" s="68"/>
      <c r="GU34" s="68"/>
      <c r="GV34" s="68"/>
      <c r="GW34" s="68"/>
      <c r="GX34" s="68"/>
    </row>
    <row r="35" spans="1:206">
      <c r="A35" s="16">
        <v>2016</v>
      </c>
      <c r="B35" s="12"/>
      <c r="C35" s="52">
        <v>770860990.83</v>
      </c>
      <c r="D35" s="52">
        <v>662796851.61</v>
      </c>
      <c r="E35" s="52">
        <v>455044993.65</v>
      </c>
      <c r="F35" s="52">
        <v>9939920.51</v>
      </c>
      <c r="G35" s="90">
        <v>155584380.12</v>
      </c>
      <c r="H35" s="52">
        <v>41627306.42</v>
      </c>
      <c r="I35" s="52"/>
      <c r="J35" s="52">
        <v>-744236.12</v>
      </c>
      <c r="K35" s="52">
        <v>109805144.07</v>
      </c>
      <c r="L35" s="52">
        <v>121972177.66</v>
      </c>
      <c r="M35" s="52">
        <v>21883612.08</v>
      </c>
      <c r="N35" s="52">
        <v>100088565.58</v>
      </c>
      <c r="O35" s="53"/>
      <c r="P35" s="52"/>
      <c r="Q35" s="52"/>
      <c r="R35" s="52"/>
      <c r="S35" s="52"/>
      <c r="T35" s="52"/>
      <c r="U35" s="52"/>
      <c r="V35" s="52"/>
      <c r="W35" s="52"/>
      <c r="X35" s="35"/>
      <c r="Y35" s="166"/>
      <c r="Z35" s="52"/>
      <c r="AA35" s="166"/>
      <c r="AB35" s="35"/>
      <c r="AC35" s="35"/>
      <c r="AD35" s="35">
        <f>D35/C35</f>
        <v>0.859813714138466</v>
      </c>
      <c r="AE35" s="35">
        <f t="shared" si="126"/>
        <v>0.590307460181692</v>
      </c>
      <c r="AF35" s="35">
        <f t="shared" si="127"/>
        <v>0.0128945693558802</v>
      </c>
      <c r="AG35" s="35">
        <f t="shared" si="128"/>
        <v>0.201831954101711</v>
      </c>
      <c r="AH35" s="35">
        <f t="shared" si="129"/>
        <v>0.0540010545548285</v>
      </c>
      <c r="AI35" s="35">
        <f t="shared" si="130"/>
        <v>0</v>
      </c>
      <c r="AJ35" s="35"/>
      <c r="AK35" s="35">
        <f t="shared" si="131"/>
        <v>0.142444805712338</v>
      </c>
      <c r="AL35" s="35">
        <f t="shared" si="132"/>
        <v>0.158228499185917</v>
      </c>
      <c r="AM35" s="35">
        <f t="shared" si="133"/>
        <v>0.129839966959844</v>
      </c>
      <c r="AN35" s="35"/>
      <c r="AO35" s="35"/>
      <c r="AP35" s="35"/>
      <c r="AQ35" s="35"/>
      <c r="AR35" s="35"/>
      <c r="AS35" s="35"/>
      <c r="AT35" s="35">
        <f t="shared" si="134"/>
        <v>0.236174394035559</v>
      </c>
      <c r="AU35" s="35">
        <f t="shared" si="135"/>
        <v>0.215809102489819</v>
      </c>
      <c r="AV35" s="35"/>
      <c r="AW35" s="35"/>
      <c r="AX35" s="35"/>
      <c r="AY35" s="35"/>
      <c r="AZ35" s="35"/>
      <c r="BA35" s="35"/>
      <c r="BB35" s="35">
        <f t="shared" si="144"/>
        <v>0.399912047672062</v>
      </c>
      <c r="BC35" s="35"/>
      <c r="BD35" s="35"/>
      <c r="BE35" s="166"/>
      <c r="BF35" s="166"/>
      <c r="BG35" s="166"/>
      <c r="BH35" s="166"/>
      <c r="BI35" s="166"/>
      <c r="BJ35" s="166"/>
      <c r="BK35" s="166"/>
      <c r="BL35" s="166"/>
      <c r="BM35" s="166"/>
      <c r="BN35" s="166"/>
      <c r="BO35" s="35"/>
      <c r="BP35" s="35"/>
      <c r="BQ35" s="35"/>
      <c r="BR35" s="35"/>
      <c r="BS35" s="35"/>
      <c r="BT35" s="166"/>
      <c r="BU35" s="166"/>
      <c r="BV35" s="166"/>
      <c r="BW35" s="166"/>
      <c r="BX35" s="166"/>
      <c r="BY35" s="166"/>
      <c r="BZ35" s="166"/>
      <c r="CA35" s="166"/>
      <c r="CB35" s="166"/>
      <c r="CC35" s="166"/>
      <c r="CD35" s="35"/>
      <c r="CE35" s="35"/>
      <c r="CF35" s="35"/>
      <c r="CG35" s="35"/>
      <c r="CH35" s="35"/>
      <c r="CI35" s="166"/>
      <c r="CJ35" s="166"/>
      <c r="CK35" s="166"/>
      <c r="CL35" s="166"/>
      <c r="CM35" s="166"/>
      <c r="CN35" s="166"/>
      <c r="CO35" s="166"/>
      <c r="CP35" s="166"/>
      <c r="CQ35" s="166"/>
      <c r="CR35" s="166"/>
      <c r="CS35" s="35"/>
      <c r="CT35" s="35"/>
      <c r="CU35" s="35"/>
      <c r="CV35" s="35"/>
      <c r="CW35" s="35"/>
      <c r="CX35" s="166"/>
      <c r="CY35" s="166"/>
      <c r="CZ35" s="166"/>
      <c r="DA35" s="166"/>
      <c r="DB35" s="166"/>
      <c r="DC35" s="166"/>
      <c r="DD35" s="166"/>
      <c r="DE35" s="166"/>
      <c r="DF35" s="166"/>
      <c r="DG35" s="166"/>
      <c r="DH35" s="166"/>
      <c r="DI35" s="166"/>
      <c r="DJ35" s="166"/>
      <c r="DK35" s="166"/>
      <c r="DL35" s="166"/>
      <c r="DM35" s="166"/>
      <c r="DN35" s="166"/>
      <c r="DO35" s="166"/>
      <c r="DP35" s="166"/>
      <c r="DQ35" s="166"/>
      <c r="DR35" s="166"/>
      <c r="DS35" s="166"/>
      <c r="DT35" s="166"/>
      <c r="DU35" s="166"/>
      <c r="DV35" s="166"/>
      <c r="DW35" s="166"/>
      <c r="DX35" s="166"/>
      <c r="DY35" s="166"/>
      <c r="DZ35" s="166"/>
      <c r="EA35" s="166"/>
      <c r="EB35" s="166"/>
      <c r="EC35" s="166"/>
      <c r="ED35" s="166"/>
      <c r="EE35" s="166"/>
      <c r="EF35" s="166"/>
      <c r="EG35" s="35"/>
      <c r="EH35" s="35"/>
      <c r="EI35" s="35"/>
      <c r="EJ35" s="35"/>
      <c r="EK35" s="35"/>
      <c r="EL35" s="35">
        <f t="shared" si="136"/>
        <v>0.179414785402955</v>
      </c>
      <c r="EM35" s="35">
        <f t="shared" si="137"/>
        <v>0.199294962593459</v>
      </c>
      <c r="EN35" s="53"/>
      <c r="EO35" s="35">
        <f t="shared" si="138"/>
        <v>0</v>
      </c>
      <c r="EP35" s="35"/>
      <c r="EQ35" s="35"/>
      <c r="ER35" s="35"/>
      <c r="ES35" s="35"/>
      <c r="ET35" s="35"/>
      <c r="EU35" s="35"/>
      <c r="EV35" s="35"/>
      <c r="EW35" s="35"/>
      <c r="EX35" s="61"/>
      <c r="EY35" s="61"/>
      <c r="EZ35" s="12"/>
      <c r="FA35" s="12"/>
      <c r="FB35" s="12"/>
      <c r="FC35" s="12"/>
      <c r="FD35" s="35"/>
      <c r="FE35" s="53"/>
      <c r="FF35" s="35">
        <f t="shared" si="142"/>
        <v>0</v>
      </c>
      <c r="FG35" s="35"/>
      <c r="FH35" s="35"/>
      <c r="FI35" s="35"/>
      <c r="FJ35" s="35"/>
      <c r="FK35" s="35"/>
      <c r="FL35" s="35"/>
      <c r="FM35" s="35"/>
      <c r="FN35" s="35"/>
      <c r="FO35" s="61"/>
      <c r="FP35" s="61"/>
      <c r="FQ35" s="12"/>
      <c r="FR35" s="35"/>
      <c r="FS35" s="35"/>
      <c r="FT35" s="53"/>
      <c r="FU35" s="53"/>
      <c r="FV35" s="35">
        <f t="shared" ref="FV35:FV50" si="145">FU35/C35</f>
        <v>0</v>
      </c>
      <c r="FW35" s="35"/>
      <c r="FX35" s="66"/>
      <c r="FY35" s="35"/>
      <c r="FZ35" s="35"/>
      <c r="GA35" s="66"/>
      <c r="GB35" s="66"/>
      <c r="GC35" s="52"/>
      <c r="GD35" s="35"/>
      <c r="GE35" s="35"/>
      <c r="GF35" s="68"/>
      <c r="GG35" s="52"/>
      <c r="GH35" s="68"/>
      <c r="GI35" s="192"/>
      <c r="GJ35" s="68"/>
      <c r="GK35" s="68"/>
      <c r="GL35" s="68"/>
      <c r="GM35" s="68"/>
      <c r="GN35" s="68"/>
      <c r="GO35" s="68"/>
      <c r="GP35" s="68"/>
      <c r="GQ35" s="68"/>
      <c r="GR35" s="68"/>
      <c r="GS35" s="68"/>
      <c r="GT35" s="68"/>
      <c r="GU35" s="68"/>
      <c r="GV35" s="68"/>
      <c r="GW35" s="68"/>
      <c r="GX35" s="68"/>
    </row>
    <row r="36" spans="1:206">
      <c r="A36" s="12">
        <v>2015</v>
      </c>
      <c r="B36" s="12"/>
      <c r="C36" s="52">
        <v>623585955.63</v>
      </c>
      <c r="D36" s="52">
        <v>545148782.2</v>
      </c>
      <c r="E36" s="52">
        <v>391673640.37</v>
      </c>
      <c r="F36" s="52">
        <v>3996952.62</v>
      </c>
      <c r="G36" s="90">
        <v>103835008.44</v>
      </c>
      <c r="H36" s="52">
        <v>38146814.99</v>
      </c>
      <c r="I36" s="52"/>
      <c r="J36" s="52">
        <v>7181535.02</v>
      </c>
      <c r="K36" s="52">
        <v>78437173.43</v>
      </c>
      <c r="L36" s="52">
        <v>80884690</v>
      </c>
      <c r="M36" s="52">
        <v>14353571.4</v>
      </c>
      <c r="N36" s="52">
        <v>66531118.6</v>
      </c>
      <c r="O36" s="53"/>
      <c r="P36" s="52"/>
      <c r="Q36" s="52"/>
      <c r="R36" s="52"/>
      <c r="S36" s="52"/>
      <c r="T36" s="52"/>
      <c r="U36" s="52"/>
      <c r="V36" s="52"/>
      <c r="W36" s="52"/>
      <c r="X36" s="35"/>
      <c r="Y36" s="166"/>
      <c r="Z36" s="52"/>
      <c r="AA36" s="166"/>
      <c r="AB36" s="35"/>
      <c r="AC36" s="35"/>
      <c r="AD36" s="35">
        <f>D36/C36</f>
        <v>0.874215939724371</v>
      </c>
      <c r="AE36" s="35">
        <f t="shared" si="126"/>
        <v>0.628098880088307</v>
      </c>
      <c r="AF36" s="35">
        <f t="shared" si="127"/>
        <v>0.0064096257844068</v>
      </c>
      <c r="AG36" s="35">
        <f t="shared" si="128"/>
        <v>0.166512743756548</v>
      </c>
      <c r="AH36" s="35">
        <f t="shared" si="129"/>
        <v>0.0611733068161563</v>
      </c>
      <c r="AI36" s="35">
        <f t="shared" si="130"/>
        <v>0</v>
      </c>
      <c r="AJ36" s="35"/>
      <c r="AK36" s="35">
        <f t="shared" si="131"/>
        <v>0.12578406027563</v>
      </c>
      <c r="AL36" s="35">
        <f t="shared" si="132"/>
        <v>0.12970896677473</v>
      </c>
      <c r="AM36" s="35">
        <f t="shared" si="133"/>
        <v>0.106691175449557</v>
      </c>
      <c r="AN36" s="35"/>
      <c r="AO36" s="35"/>
      <c r="AP36" s="35"/>
      <c r="AQ36" s="35"/>
      <c r="AR36" s="35"/>
      <c r="AS36" s="35"/>
      <c r="AT36" s="35">
        <f t="shared" si="134"/>
        <v>-0.0417807283033406</v>
      </c>
      <c r="AU36" s="35">
        <f t="shared" si="135"/>
        <v>-0.0705766881878313</v>
      </c>
      <c r="AV36" s="35"/>
      <c r="AW36" s="35"/>
      <c r="AX36" s="35"/>
      <c r="AY36" s="35"/>
      <c r="AZ36" s="35"/>
      <c r="BA36" s="35"/>
      <c r="BB36" s="35">
        <f t="shared" si="144"/>
        <v>0.221179922026344</v>
      </c>
      <c r="BC36" s="35"/>
      <c r="BD36" s="35"/>
      <c r="BE36" s="166"/>
      <c r="BF36" s="166"/>
      <c r="BG36" s="166"/>
      <c r="BH36" s="166"/>
      <c r="BI36" s="166"/>
      <c r="BJ36" s="166"/>
      <c r="BK36" s="166"/>
      <c r="BL36" s="166"/>
      <c r="BM36" s="166"/>
      <c r="BN36" s="166"/>
      <c r="BO36" s="35"/>
      <c r="BP36" s="35"/>
      <c r="BQ36" s="35"/>
      <c r="BR36" s="35"/>
      <c r="BS36" s="35"/>
      <c r="BT36" s="166"/>
      <c r="BU36" s="166"/>
      <c r="BV36" s="166"/>
      <c r="BW36" s="166"/>
      <c r="BX36" s="166"/>
      <c r="BY36" s="166"/>
      <c r="BZ36" s="166"/>
      <c r="CA36" s="166"/>
      <c r="CB36" s="166"/>
      <c r="CC36" s="166"/>
      <c r="CD36" s="35"/>
      <c r="CE36" s="35"/>
      <c r="CF36" s="35"/>
      <c r="CG36" s="35"/>
      <c r="CH36" s="35"/>
      <c r="CI36" s="166"/>
      <c r="CJ36" s="166"/>
      <c r="CK36" s="166"/>
      <c r="CL36" s="166"/>
      <c r="CM36" s="166"/>
      <c r="CN36" s="166"/>
      <c r="CO36" s="166"/>
      <c r="CP36" s="166"/>
      <c r="CQ36" s="166"/>
      <c r="CR36" s="166"/>
      <c r="CS36" s="35"/>
      <c r="CT36" s="35"/>
      <c r="CU36" s="35"/>
      <c r="CV36" s="35"/>
      <c r="CW36" s="35"/>
      <c r="CX36" s="166"/>
      <c r="CY36" s="166"/>
      <c r="CZ36" s="166"/>
      <c r="DA36" s="166"/>
      <c r="DB36" s="166"/>
      <c r="DC36" s="166"/>
      <c r="DD36" s="166"/>
      <c r="DE36" s="166"/>
      <c r="DF36" s="166"/>
      <c r="DG36" s="166"/>
      <c r="DH36" s="166"/>
      <c r="DI36" s="166"/>
      <c r="DJ36" s="166"/>
      <c r="DK36" s="166"/>
      <c r="DL36" s="166"/>
      <c r="DM36" s="166"/>
      <c r="DN36" s="166"/>
      <c r="DO36" s="166"/>
      <c r="DP36" s="166"/>
      <c r="DQ36" s="166"/>
      <c r="DR36" s="166"/>
      <c r="DS36" s="166"/>
      <c r="DT36" s="166"/>
      <c r="DU36" s="166"/>
      <c r="DV36" s="166"/>
      <c r="DW36" s="166"/>
      <c r="DX36" s="166"/>
      <c r="DY36" s="166"/>
      <c r="DZ36" s="166"/>
      <c r="EA36" s="166"/>
      <c r="EB36" s="166"/>
      <c r="EC36" s="166"/>
      <c r="ED36" s="166"/>
      <c r="EE36" s="166"/>
      <c r="EF36" s="166"/>
      <c r="EG36" s="35"/>
      <c r="EH36" s="35"/>
      <c r="EI36" s="35"/>
      <c r="EJ36" s="35"/>
      <c r="EK36" s="35"/>
      <c r="EL36" s="35">
        <f t="shared" si="136"/>
        <v>0.177457209763677</v>
      </c>
      <c r="EM36" s="35">
        <f t="shared" si="137"/>
        <v>0.182994500851176</v>
      </c>
      <c r="EN36" s="53"/>
      <c r="EO36" s="35">
        <f t="shared" si="138"/>
        <v>0</v>
      </c>
      <c r="EP36" s="35"/>
      <c r="EQ36" s="35"/>
      <c r="ER36" s="35"/>
      <c r="ES36" s="35"/>
      <c r="ET36" s="35"/>
      <c r="EU36" s="35"/>
      <c r="EV36" s="35"/>
      <c r="EW36" s="35"/>
      <c r="EX36" s="61"/>
      <c r="EY36" s="61"/>
      <c r="EZ36" s="12"/>
      <c r="FA36" s="12"/>
      <c r="FB36" s="12"/>
      <c r="FC36" s="12"/>
      <c r="FD36" s="35"/>
      <c r="FE36" s="53"/>
      <c r="FF36" s="35">
        <f t="shared" si="142"/>
        <v>0</v>
      </c>
      <c r="FG36" s="35"/>
      <c r="FH36" s="35"/>
      <c r="FI36" s="35"/>
      <c r="FJ36" s="35"/>
      <c r="FK36" s="35"/>
      <c r="FL36" s="35"/>
      <c r="FM36" s="35"/>
      <c r="FN36" s="35"/>
      <c r="FO36" s="61"/>
      <c r="FP36" s="61"/>
      <c r="FQ36" s="12"/>
      <c r="FR36" s="35"/>
      <c r="FS36" s="35"/>
      <c r="FT36" s="53"/>
      <c r="FU36" s="53"/>
      <c r="FV36" s="35">
        <f t="shared" si="145"/>
        <v>0</v>
      </c>
      <c r="FW36" s="35"/>
      <c r="FX36" s="66"/>
      <c r="FY36" s="35"/>
      <c r="FZ36" s="35"/>
      <c r="GA36" s="66"/>
      <c r="GB36" s="66"/>
      <c r="GC36" s="52"/>
      <c r="GD36" s="35"/>
      <c r="GE36" s="35"/>
      <c r="GF36" s="68"/>
      <c r="GG36" s="52"/>
      <c r="GH36" s="68"/>
      <c r="GI36" s="192"/>
      <c r="GJ36" s="68"/>
      <c r="GK36" s="68"/>
      <c r="GL36" s="68"/>
      <c r="GM36" s="68"/>
      <c r="GN36" s="68"/>
      <c r="GO36" s="68"/>
      <c r="GP36" s="68"/>
      <c r="GQ36" s="68"/>
      <c r="GR36" s="68"/>
      <c r="GS36" s="68"/>
      <c r="GT36" s="68"/>
      <c r="GU36" s="68"/>
      <c r="GV36" s="68"/>
      <c r="GW36" s="68"/>
      <c r="GX36" s="68"/>
    </row>
    <row r="37" spans="1:206">
      <c r="A37" s="12">
        <v>2014</v>
      </c>
      <c r="B37" s="12"/>
      <c r="C37" s="52">
        <v>650775844.37</v>
      </c>
      <c r="D37" s="52">
        <v>586545199.88</v>
      </c>
      <c r="E37" s="52">
        <v>439190435.52</v>
      </c>
      <c r="F37" s="52">
        <v>3311033.71</v>
      </c>
      <c r="G37" s="90">
        <v>98501979.67</v>
      </c>
      <c r="H37" s="52">
        <v>38837586.4</v>
      </c>
      <c r="I37" s="52"/>
      <c r="J37" s="52">
        <v>6843457.54</v>
      </c>
      <c r="K37" s="52">
        <v>64230644.49</v>
      </c>
      <c r="L37" s="52">
        <v>64278058.12</v>
      </c>
      <c r="M37" s="52">
        <v>11307733.43</v>
      </c>
      <c r="N37" s="52">
        <v>52970324.69</v>
      </c>
      <c r="O37" s="53"/>
      <c r="P37" s="52"/>
      <c r="Q37" s="52"/>
      <c r="R37" s="52"/>
      <c r="S37" s="52"/>
      <c r="T37" s="52"/>
      <c r="U37" s="52"/>
      <c r="V37" s="52"/>
      <c r="W37" s="52"/>
      <c r="X37" s="35"/>
      <c r="Y37" s="166"/>
      <c r="Z37" s="52"/>
      <c r="AA37" s="166"/>
      <c r="AB37" s="35"/>
      <c r="AC37" s="35"/>
      <c r="AD37" s="35">
        <f>D37/C37</f>
        <v>0.901301431136892</v>
      </c>
      <c r="AE37" s="35">
        <f t="shared" si="126"/>
        <v>0.674872061278134</v>
      </c>
      <c r="AF37" s="35">
        <f t="shared" si="127"/>
        <v>0.00508782515307606</v>
      </c>
      <c r="AG37" s="35">
        <f t="shared" si="128"/>
        <v>0.151360841866153</v>
      </c>
      <c r="AH37" s="35">
        <f t="shared" si="129"/>
        <v>0.0596788997870652</v>
      </c>
      <c r="AI37" s="35">
        <f t="shared" si="130"/>
        <v>0</v>
      </c>
      <c r="AJ37" s="35"/>
      <c r="AK37" s="35">
        <f t="shared" si="131"/>
        <v>0.0986985688631085</v>
      </c>
      <c r="AL37" s="35">
        <f t="shared" si="132"/>
        <v>0.0987714259465577</v>
      </c>
      <c r="AM37" s="35">
        <f t="shared" si="133"/>
        <v>0.0813956528169531</v>
      </c>
      <c r="AN37" s="35"/>
      <c r="AO37" s="35"/>
      <c r="AP37" s="35"/>
      <c r="AQ37" s="35"/>
      <c r="AR37" s="35"/>
      <c r="AS37" s="35"/>
      <c r="AT37" s="35">
        <f t="shared" si="134"/>
        <v>0.0622324251897966</v>
      </c>
      <c r="AU37" s="35">
        <f t="shared" si="135"/>
        <v>0.0993966377941596</v>
      </c>
      <c r="AV37" s="35"/>
      <c r="AW37" s="35"/>
      <c r="AX37" s="35"/>
      <c r="AY37" s="35"/>
      <c r="AZ37" s="35"/>
      <c r="BA37" s="35"/>
      <c r="BB37" s="35">
        <f t="shared" ref="BB37:BB44" si="146">(K37-K38)/K38</f>
        <v>-0.188327040630057</v>
      </c>
      <c r="BC37" s="35"/>
      <c r="BD37" s="35"/>
      <c r="BE37" s="166"/>
      <c r="BF37" s="166"/>
      <c r="BG37" s="166"/>
      <c r="BH37" s="166"/>
      <c r="BI37" s="166"/>
      <c r="BJ37" s="166"/>
      <c r="BK37" s="166"/>
      <c r="BL37" s="166"/>
      <c r="BM37" s="166"/>
      <c r="BN37" s="166"/>
      <c r="BO37" s="35"/>
      <c r="BP37" s="35"/>
      <c r="BQ37" s="35"/>
      <c r="BR37" s="35"/>
      <c r="BS37" s="35"/>
      <c r="BT37" s="166"/>
      <c r="BU37" s="166"/>
      <c r="BV37" s="166"/>
      <c r="BW37" s="166"/>
      <c r="BX37" s="166"/>
      <c r="BY37" s="166"/>
      <c r="BZ37" s="166"/>
      <c r="CA37" s="166"/>
      <c r="CB37" s="166"/>
      <c r="CC37" s="166"/>
      <c r="CD37" s="35"/>
      <c r="CE37" s="35"/>
      <c r="CF37" s="35"/>
      <c r="CG37" s="35"/>
      <c r="CH37" s="35"/>
      <c r="CI37" s="166"/>
      <c r="CJ37" s="166"/>
      <c r="CK37" s="166"/>
      <c r="CL37" s="166"/>
      <c r="CM37" s="166"/>
      <c r="CN37" s="166"/>
      <c r="CO37" s="166"/>
      <c r="CP37" s="166"/>
      <c r="CQ37" s="166"/>
      <c r="CR37" s="166"/>
      <c r="CS37" s="35"/>
      <c r="CT37" s="35"/>
      <c r="CU37" s="35"/>
      <c r="CV37" s="35"/>
      <c r="CW37" s="35"/>
      <c r="CX37" s="166"/>
      <c r="CY37" s="166"/>
      <c r="CZ37" s="166"/>
      <c r="DA37" s="166"/>
      <c r="DB37" s="166"/>
      <c r="DC37" s="166"/>
      <c r="DD37" s="166"/>
      <c r="DE37" s="166"/>
      <c r="DF37" s="166"/>
      <c r="DG37" s="166"/>
      <c r="DH37" s="166"/>
      <c r="DI37" s="166"/>
      <c r="DJ37" s="166"/>
      <c r="DK37" s="166"/>
      <c r="DL37" s="166"/>
      <c r="DM37" s="166"/>
      <c r="DN37" s="166"/>
      <c r="DO37" s="166"/>
      <c r="DP37" s="166"/>
      <c r="DQ37" s="166"/>
      <c r="DR37" s="166"/>
      <c r="DS37" s="166"/>
      <c r="DT37" s="166"/>
      <c r="DU37" s="166"/>
      <c r="DV37" s="166"/>
      <c r="DW37" s="166"/>
      <c r="DX37" s="166"/>
      <c r="DY37" s="166"/>
      <c r="DZ37" s="166"/>
      <c r="EA37" s="166"/>
      <c r="EB37" s="166"/>
      <c r="EC37" s="166"/>
      <c r="ED37" s="166"/>
      <c r="EE37" s="166"/>
      <c r="EF37" s="166"/>
      <c r="EG37" s="35"/>
      <c r="EH37" s="35"/>
      <c r="EI37" s="35"/>
      <c r="EJ37" s="35"/>
      <c r="EK37" s="35"/>
      <c r="EL37" s="35"/>
      <c r="EM37" s="35"/>
      <c r="EN37" s="53"/>
      <c r="EO37" s="35">
        <f t="shared" si="138"/>
        <v>0</v>
      </c>
      <c r="EP37" s="35"/>
      <c r="EQ37" s="35"/>
      <c r="ER37" s="35"/>
      <c r="ES37" s="35"/>
      <c r="ET37" s="35"/>
      <c r="EU37" s="35"/>
      <c r="EV37" s="35"/>
      <c r="EW37" s="35"/>
      <c r="EX37" s="61"/>
      <c r="EY37" s="61"/>
      <c r="EZ37" s="12"/>
      <c r="FA37" s="12"/>
      <c r="FB37" s="12"/>
      <c r="FC37" s="12"/>
      <c r="FD37" s="35"/>
      <c r="FE37" s="53"/>
      <c r="FF37" s="35">
        <f t="shared" si="142"/>
        <v>0</v>
      </c>
      <c r="FG37" s="35"/>
      <c r="FH37" s="35"/>
      <c r="FI37" s="35"/>
      <c r="FJ37" s="35"/>
      <c r="FK37" s="35"/>
      <c r="FL37" s="35"/>
      <c r="FM37" s="35"/>
      <c r="FN37" s="35"/>
      <c r="FO37" s="61"/>
      <c r="FP37" s="61"/>
      <c r="FQ37" s="12"/>
      <c r="FR37" s="35"/>
      <c r="FS37" s="35"/>
      <c r="FT37" s="53"/>
      <c r="FU37" s="53"/>
      <c r="FV37" s="35">
        <f t="shared" si="145"/>
        <v>0</v>
      </c>
      <c r="FW37" s="35"/>
      <c r="FX37" s="66"/>
      <c r="FY37" s="35"/>
      <c r="FZ37" s="35"/>
      <c r="GA37" s="66"/>
      <c r="GB37" s="66"/>
      <c r="GC37" s="52"/>
      <c r="GD37" s="35"/>
      <c r="GE37" s="35"/>
      <c r="GF37" s="68"/>
      <c r="GG37" s="52"/>
      <c r="GH37" s="68"/>
      <c r="GI37" s="192"/>
      <c r="GJ37" s="68"/>
      <c r="GK37" s="68"/>
      <c r="GL37" s="68"/>
      <c r="GM37" s="68"/>
      <c r="GN37" s="68"/>
      <c r="GO37" s="68"/>
      <c r="GP37" s="68"/>
      <c r="GQ37" s="68"/>
      <c r="GR37" s="68"/>
      <c r="GS37" s="68"/>
      <c r="GT37" s="68"/>
      <c r="GU37" s="68"/>
      <c r="GV37" s="68"/>
      <c r="GW37" s="68"/>
      <c r="GX37" s="68"/>
    </row>
    <row r="38" spans="1:206">
      <c r="A38" s="12">
        <v>2013</v>
      </c>
      <c r="B38" s="12"/>
      <c r="C38" s="52">
        <v>612649198.93</v>
      </c>
      <c r="D38" s="52">
        <v>533515548.18</v>
      </c>
      <c r="E38" s="52">
        <v>415659252.94</v>
      </c>
      <c r="F38" s="52">
        <v>4394417.56</v>
      </c>
      <c r="G38" s="90">
        <v>76390305.52</v>
      </c>
      <c r="H38" s="52">
        <v>32672059.81</v>
      </c>
      <c r="I38" s="52"/>
      <c r="J38" s="52">
        <v>3947615.4</v>
      </c>
      <c r="K38" s="52">
        <v>79133650.75</v>
      </c>
      <c r="L38" s="52">
        <v>83618213.42</v>
      </c>
      <c r="M38" s="52">
        <v>13149040.82</v>
      </c>
      <c r="N38" s="52">
        <v>70469172.6</v>
      </c>
      <c r="O38" s="53"/>
      <c r="P38" s="52"/>
      <c r="Q38" s="52"/>
      <c r="R38" s="52"/>
      <c r="S38" s="52"/>
      <c r="T38" s="52"/>
      <c r="U38" s="52"/>
      <c r="V38" s="52"/>
      <c r="W38" s="52"/>
      <c r="X38" s="35"/>
      <c r="Y38" s="166"/>
      <c r="Z38" s="52"/>
      <c r="AA38" s="166"/>
      <c r="AB38" s="35"/>
      <c r="AC38" s="35"/>
      <c r="AD38" s="35">
        <f>D38/C38</f>
        <v>0.87083366649592</v>
      </c>
      <c r="AE38" s="35">
        <f t="shared" si="126"/>
        <v>0.678462085098543</v>
      </c>
      <c r="AF38" s="35">
        <f t="shared" si="127"/>
        <v>0.00717281205569992</v>
      </c>
      <c r="AG38" s="35">
        <f t="shared" si="128"/>
        <v>0.124688493273829</v>
      </c>
      <c r="AH38" s="35">
        <f t="shared" si="129"/>
        <v>0.0533291480133528</v>
      </c>
      <c r="AI38" s="35">
        <f t="shared" si="130"/>
        <v>0</v>
      </c>
      <c r="AJ38" s="35"/>
      <c r="AK38" s="35">
        <f t="shared" si="131"/>
        <v>0.12916633350408</v>
      </c>
      <c r="AL38" s="35">
        <f t="shared" si="132"/>
        <v>0.136486285407767</v>
      </c>
      <c r="AM38" s="35">
        <f t="shared" si="133"/>
        <v>0.115023691735948</v>
      </c>
      <c r="AN38" s="35"/>
      <c r="AO38" s="35"/>
      <c r="AP38" s="35"/>
      <c r="AQ38" s="35"/>
      <c r="AR38" s="35"/>
      <c r="AS38" s="35"/>
      <c r="AT38" s="35" t="e">
        <f t="shared" si="134"/>
        <v>#DIV/0!</v>
      </c>
      <c r="AU38" s="35" t="e">
        <f t="shared" si="135"/>
        <v>#DIV/0!</v>
      </c>
      <c r="AV38" s="35"/>
      <c r="AW38" s="35"/>
      <c r="AX38" s="35"/>
      <c r="AY38" s="35"/>
      <c r="AZ38" s="35"/>
      <c r="BA38" s="35"/>
      <c r="BB38" s="35" t="e">
        <f t="shared" si="146"/>
        <v>#DIV/0!</v>
      </c>
      <c r="BC38" s="35"/>
      <c r="BD38" s="35"/>
      <c r="BE38" s="166"/>
      <c r="BF38" s="166"/>
      <c r="BG38" s="166"/>
      <c r="BH38" s="166"/>
      <c r="BI38" s="166"/>
      <c r="BJ38" s="166"/>
      <c r="BK38" s="166"/>
      <c r="BL38" s="166"/>
      <c r="BM38" s="166"/>
      <c r="BN38" s="166"/>
      <c r="BO38" s="35"/>
      <c r="BP38" s="35"/>
      <c r="BQ38" s="35"/>
      <c r="BR38" s="35"/>
      <c r="BS38" s="35"/>
      <c r="BT38" s="166"/>
      <c r="BU38" s="166"/>
      <c r="BV38" s="166"/>
      <c r="BW38" s="166"/>
      <c r="BX38" s="166"/>
      <c r="BY38" s="166"/>
      <c r="BZ38" s="166"/>
      <c r="CA38" s="166"/>
      <c r="CB38" s="166"/>
      <c r="CC38" s="166"/>
      <c r="CD38" s="35"/>
      <c r="CE38" s="35"/>
      <c r="CF38" s="35"/>
      <c r="CG38" s="35"/>
      <c r="CH38" s="35"/>
      <c r="CI38" s="166"/>
      <c r="CJ38" s="166"/>
      <c r="CK38" s="166"/>
      <c r="CL38" s="166"/>
      <c r="CM38" s="166"/>
      <c r="CN38" s="166"/>
      <c r="CO38" s="166"/>
      <c r="CP38" s="166"/>
      <c r="CQ38" s="166"/>
      <c r="CR38" s="166"/>
      <c r="CS38" s="35"/>
      <c r="CT38" s="35"/>
      <c r="CU38" s="35"/>
      <c r="CV38" s="35"/>
      <c r="CW38" s="35"/>
      <c r="CX38" s="166"/>
      <c r="CY38" s="166"/>
      <c r="CZ38" s="166"/>
      <c r="DA38" s="166"/>
      <c r="DB38" s="166"/>
      <c r="DC38" s="166"/>
      <c r="DD38" s="166"/>
      <c r="DE38" s="166"/>
      <c r="DF38" s="166"/>
      <c r="DG38" s="166"/>
      <c r="DH38" s="166"/>
      <c r="DI38" s="166"/>
      <c r="DJ38" s="166"/>
      <c r="DK38" s="166"/>
      <c r="DL38" s="166"/>
      <c r="DM38" s="166"/>
      <c r="DN38" s="166"/>
      <c r="DO38" s="166"/>
      <c r="DP38" s="166"/>
      <c r="DQ38" s="166"/>
      <c r="DR38" s="166"/>
      <c r="DS38" s="166"/>
      <c r="DT38" s="166"/>
      <c r="DU38" s="166"/>
      <c r="DV38" s="166"/>
      <c r="DW38" s="166"/>
      <c r="DX38" s="166"/>
      <c r="DY38" s="166"/>
      <c r="DZ38" s="166"/>
      <c r="EA38" s="166"/>
      <c r="EB38" s="166"/>
      <c r="EC38" s="166"/>
      <c r="ED38" s="166"/>
      <c r="EE38" s="166"/>
      <c r="EF38" s="166"/>
      <c r="EG38" s="35"/>
      <c r="EH38" s="35"/>
      <c r="EI38" s="35"/>
      <c r="EJ38" s="35"/>
      <c r="EK38" s="35"/>
      <c r="EL38" s="35"/>
      <c r="EM38" s="35"/>
      <c r="EN38" s="53"/>
      <c r="EO38" s="35">
        <f t="shared" si="138"/>
        <v>0</v>
      </c>
      <c r="EP38" s="35"/>
      <c r="EQ38" s="35"/>
      <c r="ER38" s="35"/>
      <c r="ES38" s="35"/>
      <c r="ET38" s="35"/>
      <c r="EU38" s="35"/>
      <c r="EV38" s="35"/>
      <c r="EW38" s="35"/>
      <c r="EX38" s="61"/>
      <c r="EY38" s="61"/>
      <c r="EZ38" s="12"/>
      <c r="FA38" s="12"/>
      <c r="FB38" s="12"/>
      <c r="FC38" s="12"/>
      <c r="FD38" s="35"/>
      <c r="FE38" s="53"/>
      <c r="FF38" s="35">
        <f t="shared" si="142"/>
        <v>0</v>
      </c>
      <c r="FG38" s="35"/>
      <c r="FH38" s="35"/>
      <c r="FI38" s="35"/>
      <c r="FJ38" s="35"/>
      <c r="FK38" s="35"/>
      <c r="FL38" s="35"/>
      <c r="FM38" s="35"/>
      <c r="FN38" s="35"/>
      <c r="FO38" s="61"/>
      <c r="FP38" s="61"/>
      <c r="FQ38" s="12"/>
      <c r="FR38" s="35"/>
      <c r="FS38" s="35"/>
      <c r="FT38" s="53"/>
      <c r="FU38" s="53"/>
      <c r="FV38" s="35">
        <f t="shared" si="145"/>
        <v>0</v>
      </c>
      <c r="FW38" s="35"/>
      <c r="FX38" s="66"/>
      <c r="FY38" s="35"/>
      <c r="FZ38" s="35"/>
      <c r="GA38" s="66"/>
      <c r="GB38" s="66"/>
      <c r="GC38" s="52"/>
      <c r="GD38" s="35"/>
      <c r="GE38" s="35"/>
      <c r="GF38" s="68"/>
      <c r="GG38" s="52"/>
      <c r="GH38" s="68"/>
      <c r="GI38" s="192"/>
      <c r="GJ38" s="68"/>
      <c r="GK38" s="68"/>
      <c r="GL38" s="68"/>
      <c r="GM38" s="68"/>
      <c r="GN38" s="68"/>
      <c r="GO38" s="68"/>
      <c r="GP38" s="68"/>
      <c r="GQ38" s="68"/>
      <c r="GR38" s="68"/>
      <c r="GS38" s="68"/>
      <c r="GT38" s="68"/>
      <c r="GU38" s="68"/>
      <c r="GV38" s="68"/>
      <c r="GW38" s="68"/>
      <c r="GX38" s="68"/>
    </row>
    <row r="39" spans="1:206">
      <c r="A39" s="12">
        <v>2012</v>
      </c>
      <c r="B39" s="12"/>
      <c r="C39" s="52"/>
      <c r="D39" s="52"/>
      <c r="E39" s="52"/>
      <c r="F39" s="52"/>
      <c r="G39" s="12"/>
      <c r="H39" s="52"/>
      <c r="I39" s="52"/>
      <c r="J39" s="52"/>
      <c r="K39" s="52"/>
      <c r="L39" s="52"/>
      <c r="M39" s="52"/>
      <c r="N39" s="52"/>
      <c r="O39" s="53"/>
      <c r="P39" s="52"/>
      <c r="Q39" s="52"/>
      <c r="R39" s="52"/>
      <c r="S39" s="52"/>
      <c r="T39" s="52"/>
      <c r="U39" s="52"/>
      <c r="V39" s="52"/>
      <c r="W39" s="52"/>
      <c r="X39" s="35"/>
      <c r="Y39" s="166"/>
      <c r="Z39" s="52"/>
      <c r="AA39" s="166"/>
      <c r="AB39" s="35"/>
      <c r="AC39" s="35"/>
      <c r="AD39" s="35"/>
      <c r="AE39" s="35">
        <f>AVERAGE(AE29:AE38)</f>
        <v>0.601102700859728</v>
      </c>
      <c r="AF39" s="35"/>
      <c r="AG39" s="35">
        <f>AVERAGE(AG29:AG38)</f>
        <v>0.176725480490622</v>
      </c>
      <c r="AH39" s="35">
        <f>AVERAGE(AH29:AH38)</f>
        <v>0.0463329144874172</v>
      </c>
      <c r="AI39" s="35">
        <f>AVERAGE(AI29:AI34)</f>
        <v>0.0256403165423164</v>
      </c>
      <c r="AJ39" s="35"/>
      <c r="AK39" s="35"/>
      <c r="AL39" s="35"/>
      <c r="AM39" s="35"/>
      <c r="AN39" s="35"/>
      <c r="AO39" s="35"/>
      <c r="AP39" s="35"/>
      <c r="AQ39" s="35"/>
      <c r="AR39" s="35"/>
      <c r="AS39" s="35"/>
      <c r="AT39" s="35"/>
      <c r="AU39" s="35"/>
      <c r="AV39" s="35"/>
      <c r="AW39" s="35"/>
      <c r="AX39" s="35"/>
      <c r="AY39" s="35"/>
      <c r="AZ39" s="35"/>
      <c r="BA39" s="35"/>
      <c r="BB39" s="35"/>
      <c r="BC39" s="35"/>
      <c r="BD39" s="35"/>
      <c r="BE39" s="166"/>
      <c r="BF39" s="166"/>
      <c r="BG39" s="166"/>
      <c r="BH39" s="166"/>
      <c r="BI39" s="166"/>
      <c r="BJ39" s="166"/>
      <c r="BK39" s="166"/>
      <c r="BL39" s="166"/>
      <c r="BM39" s="166"/>
      <c r="BN39" s="166"/>
      <c r="BO39" s="35"/>
      <c r="BP39" s="35"/>
      <c r="BQ39" s="35"/>
      <c r="BR39" s="35"/>
      <c r="BS39" s="35"/>
      <c r="BT39" s="166"/>
      <c r="BU39" s="166"/>
      <c r="BV39" s="166"/>
      <c r="BW39" s="166"/>
      <c r="BX39" s="166"/>
      <c r="BY39" s="166"/>
      <c r="BZ39" s="166"/>
      <c r="CA39" s="166"/>
      <c r="CB39" s="166"/>
      <c r="CC39" s="166"/>
      <c r="CD39" s="35"/>
      <c r="CE39" s="35"/>
      <c r="CF39" s="35"/>
      <c r="CG39" s="35"/>
      <c r="CH39" s="35"/>
      <c r="CI39" s="166"/>
      <c r="CJ39" s="166"/>
      <c r="CK39" s="166"/>
      <c r="CL39" s="166"/>
      <c r="CM39" s="166"/>
      <c r="CN39" s="166"/>
      <c r="CO39" s="166"/>
      <c r="CP39" s="166"/>
      <c r="CQ39" s="166"/>
      <c r="CR39" s="166"/>
      <c r="CS39" s="35"/>
      <c r="CT39" s="35"/>
      <c r="CU39" s="35"/>
      <c r="CV39" s="35"/>
      <c r="CW39" s="35"/>
      <c r="CX39" s="166"/>
      <c r="CY39" s="166"/>
      <c r="CZ39" s="166"/>
      <c r="DA39" s="166"/>
      <c r="DB39" s="166"/>
      <c r="DC39" s="166"/>
      <c r="DD39" s="166"/>
      <c r="DE39" s="166"/>
      <c r="DF39" s="166"/>
      <c r="DG39" s="166"/>
      <c r="DH39" s="166"/>
      <c r="DI39" s="166"/>
      <c r="DJ39" s="166"/>
      <c r="DK39" s="166"/>
      <c r="DL39" s="166"/>
      <c r="DM39" s="166"/>
      <c r="DN39" s="166"/>
      <c r="DO39" s="166"/>
      <c r="DP39" s="166"/>
      <c r="DQ39" s="166"/>
      <c r="DR39" s="166"/>
      <c r="DS39" s="166"/>
      <c r="DT39" s="166"/>
      <c r="DU39" s="166"/>
      <c r="DV39" s="166"/>
      <c r="DW39" s="166"/>
      <c r="DX39" s="166"/>
      <c r="DY39" s="166"/>
      <c r="DZ39" s="166"/>
      <c r="EA39" s="166"/>
      <c r="EB39" s="166"/>
      <c r="EC39" s="166"/>
      <c r="ED39" s="166"/>
      <c r="EE39" s="166"/>
      <c r="EF39" s="166"/>
      <c r="EG39" s="35"/>
      <c r="EH39" s="35"/>
      <c r="EI39" s="35"/>
      <c r="EJ39" s="35"/>
      <c r="EK39" s="35"/>
      <c r="EL39" s="35"/>
      <c r="EM39" s="35"/>
      <c r="EN39" s="53"/>
      <c r="EO39" s="35" t="e">
        <f t="shared" si="138"/>
        <v>#DIV/0!</v>
      </c>
      <c r="EP39" s="35"/>
      <c r="EQ39" s="35"/>
      <c r="ER39" s="35"/>
      <c r="ES39" s="35"/>
      <c r="ET39" s="35"/>
      <c r="EU39" s="35"/>
      <c r="EV39" s="35"/>
      <c r="EW39" s="35"/>
      <c r="EX39" s="61"/>
      <c r="EY39" s="61"/>
      <c r="EZ39" s="12"/>
      <c r="FA39" s="12"/>
      <c r="FB39" s="12"/>
      <c r="FC39" s="12"/>
      <c r="FD39" s="35"/>
      <c r="FE39" s="53"/>
      <c r="FF39" s="35" t="e">
        <f t="shared" si="142"/>
        <v>#DIV/0!</v>
      </c>
      <c r="FG39" s="35"/>
      <c r="FH39" s="35"/>
      <c r="FI39" s="35"/>
      <c r="FJ39" s="35"/>
      <c r="FK39" s="35"/>
      <c r="FL39" s="35"/>
      <c r="FM39" s="35"/>
      <c r="FN39" s="35"/>
      <c r="FO39" s="61"/>
      <c r="FP39" s="61"/>
      <c r="FQ39" s="12"/>
      <c r="FR39" s="35"/>
      <c r="FS39" s="35"/>
      <c r="FT39" s="53"/>
      <c r="FU39" s="53"/>
      <c r="FV39" s="35" t="e">
        <f t="shared" si="145"/>
        <v>#DIV/0!</v>
      </c>
      <c r="FW39" s="35"/>
      <c r="FX39" s="66"/>
      <c r="FY39" s="35"/>
      <c r="FZ39" s="35"/>
      <c r="GA39" s="66"/>
      <c r="GB39" s="66"/>
      <c r="GC39" s="52"/>
      <c r="GD39" s="35"/>
      <c r="GE39" s="35"/>
      <c r="GF39" s="68"/>
      <c r="GG39" s="52"/>
      <c r="GH39" s="68"/>
      <c r="GI39" s="192"/>
      <c r="GJ39" s="68"/>
      <c r="GK39" s="68"/>
      <c r="GL39" s="68"/>
      <c r="GM39" s="68"/>
      <c r="GN39" s="68"/>
      <c r="GO39" s="68"/>
      <c r="GP39" s="68"/>
      <c r="GQ39" s="68"/>
      <c r="GR39" s="68"/>
      <c r="GS39" s="68"/>
      <c r="GT39" s="68"/>
      <c r="GU39" s="68"/>
      <c r="GV39" s="68"/>
      <c r="GW39" s="68"/>
      <c r="GX39" s="68"/>
    </row>
    <row r="40" spans="1:206">
      <c r="A40" s="12">
        <v>2022</v>
      </c>
      <c r="B40" s="12" t="s">
        <v>131</v>
      </c>
      <c r="C40" s="52">
        <v>2690710152.71</v>
      </c>
      <c r="D40" s="52">
        <v>2344058242.16</v>
      </c>
      <c r="E40" s="52">
        <v>1769938971.73</v>
      </c>
      <c r="F40" s="52">
        <v>22361664.84</v>
      </c>
      <c r="G40" s="90">
        <v>387943092.86</v>
      </c>
      <c r="H40" s="52">
        <v>150045026.66</v>
      </c>
      <c r="I40" s="52">
        <v>31973976.51</v>
      </c>
      <c r="J40" s="52">
        <v>-18204490.44</v>
      </c>
      <c r="K40" s="52">
        <v>405819152.23</v>
      </c>
      <c r="L40" s="52">
        <v>403799001.87</v>
      </c>
      <c r="M40" s="52">
        <v>63187916.37</v>
      </c>
      <c r="N40" s="52">
        <v>340611085.5</v>
      </c>
      <c r="O40" s="53"/>
      <c r="P40" s="52"/>
      <c r="Q40" s="52"/>
      <c r="R40" s="52"/>
      <c r="S40" s="52"/>
      <c r="T40" s="52"/>
      <c r="U40" s="52"/>
      <c r="V40" s="52"/>
      <c r="W40" s="52"/>
      <c r="X40" s="35"/>
      <c r="Y40" s="166"/>
      <c r="Z40" s="52"/>
      <c r="AA40" s="166"/>
      <c r="AB40" s="35"/>
      <c r="AC40" s="35"/>
      <c r="AD40" s="35">
        <f>D40/C40</f>
        <v>0.87116713028311</v>
      </c>
      <c r="AE40" s="35">
        <f>E40/$C40</f>
        <v>0.657796221546707</v>
      </c>
      <c r="AF40" s="35">
        <f>F40/$C40</f>
        <v>0.00831069255730797</v>
      </c>
      <c r="AG40" s="35">
        <f>G40/$C40</f>
        <v>0.144178700358816</v>
      </c>
      <c r="AH40" s="35">
        <f>H40/$C40</f>
        <v>0.0557640987487557</v>
      </c>
      <c r="AI40" s="35">
        <f>I40/$C40</f>
        <v>0.0118830995147496</v>
      </c>
      <c r="AJ40" s="35"/>
      <c r="AK40" s="35">
        <f t="shared" si="131"/>
        <v>0.150822321691272</v>
      </c>
      <c r="AL40" s="35">
        <f t="shared" si="132"/>
        <v>0.15007153463308</v>
      </c>
      <c r="AM40" s="35">
        <f t="shared" si="133"/>
        <v>0.126587802538652</v>
      </c>
      <c r="AN40" s="35"/>
      <c r="AO40" s="35"/>
      <c r="AP40" s="35"/>
      <c r="AQ40" s="35"/>
      <c r="AR40" s="35"/>
      <c r="AS40" s="35"/>
      <c r="AT40" s="35">
        <f t="shared" ref="AT40:AT48" si="147">(C40-C41)/C41</f>
        <v>0.328394500954267</v>
      </c>
      <c r="AU40" s="35">
        <f t="shared" ref="AU40:AU48" si="148">(D40-D41)/D41</f>
        <v>0.243813877850384</v>
      </c>
      <c r="AV40" s="35"/>
      <c r="AW40" s="35"/>
      <c r="AX40" s="35"/>
      <c r="AY40" s="35"/>
      <c r="AZ40" s="35"/>
      <c r="BA40" s="35"/>
      <c r="BB40" s="35">
        <f t="shared" si="146"/>
        <v>1.14663861623975</v>
      </c>
      <c r="BC40" s="35"/>
      <c r="BD40" s="35"/>
      <c r="BE40" s="166"/>
      <c r="BF40" s="166"/>
      <c r="BG40" s="166"/>
      <c r="BH40" s="166"/>
      <c r="BI40" s="166"/>
      <c r="BJ40" s="166"/>
      <c r="BK40" s="166"/>
      <c r="BL40" s="166"/>
      <c r="BM40" s="166"/>
      <c r="BN40" s="166"/>
      <c r="BO40" s="35"/>
      <c r="BP40" s="35"/>
      <c r="BQ40" s="35"/>
      <c r="BR40" s="35"/>
      <c r="BS40" s="35"/>
      <c r="BT40" s="166"/>
      <c r="BU40" s="166"/>
      <c r="BV40" s="166"/>
      <c r="BW40" s="166"/>
      <c r="BX40" s="166"/>
      <c r="BY40" s="166"/>
      <c r="BZ40" s="166"/>
      <c r="CA40" s="166"/>
      <c r="CB40" s="166"/>
      <c r="CC40" s="166"/>
      <c r="CD40" s="35"/>
      <c r="CE40" s="35"/>
      <c r="CF40" s="35"/>
      <c r="CG40" s="35"/>
      <c r="CH40" s="35"/>
      <c r="CI40" s="166"/>
      <c r="CJ40" s="166"/>
      <c r="CK40" s="166"/>
      <c r="CL40" s="166"/>
      <c r="CM40" s="166"/>
      <c r="CN40" s="166"/>
      <c r="CO40" s="166"/>
      <c r="CP40" s="166"/>
      <c r="CQ40" s="166"/>
      <c r="CR40" s="166"/>
      <c r="CS40" s="35"/>
      <c r="CT40" s="35"/>
      <c r="CU40" s="35"/>
      <c r="CV40" s="35"/>
      <c r="CW40" s="35"/>
      <c r="CX40" s="166"/>
      <c r="CY40" s="166"/>
      <c r="CZ40" s="166"/>
      <c r="DA40" s="166"/>
      <c r="DB40" s="166"/>
      <c r="DC40" s="166"/>
      <c r="DD40" s="166"/>
      <c r="DE40" s="166"/>
      <c r="DF40" s="166"/>
      <c r="DG40" s="166"/>
      <c r="DH40" s="166"/>
      <c r="DI40" s="166"/>
      <c r="DJ40" s="166"/>
      <c r="DK40" s="166"/>
      <c r="DL40" s="166"/>
      <c r="DM40" s="166"/>
      <c r="DN40" s="166"/>
      <c r="DO40" s="166"/>
      <c r="DP40" s="166"/>
      <c r="DQ40" s="166"/>
      <c r="DR40" s="166"/>
      <c r="DS40" s="166"/>
      <c r="DT40" s="166"/>
      <c r="DU40" s="166"/>
      <c r="DV40" s="166"/>
      <c r="DW40" s="166"/>
      <c r="DX40" s="166"/>
      <c r="DY40" s="166"/>
      <c r="DZ40" s="166"/>
      <c r="EA40" s="166"/>
      <c r="EB40" s="166"/>
      <c r="EC40" s="166"/>
      <c r="ED40" s="166"/>
      <c r="EE40" s="166"/>
      <c r="EF40" s="166"/>
      <c r="EG40" s="35"/>
      <c r="EH40" s="35"/>
      <c r="EI40" s="35"/>
      <c r="EJ40" s="35"/>
      <c r="EK40" s="35"/>
      <c r="EL40" s="35">
        <f t="shared" si="136"/>
        <v>0.156483587322841</v>
      </c>
      <c r="EM40" s="35">
        <f t="shared" si="137"/>
        <v>0.155704618726787</v>
      </c>
      <c r="EN40" s="53"/>
      <c r="EO40" s="35">
        <f t="shared" si="138"/>
        <v>0</v>
      </c>
      <c r="EP40" s="35"/>
      <c r="EQ40" s="35"/>
      <c r="ER40" s="35"/>
      <c r="ES40" s="35"/>
      <c r="ET40" s="35"/>
      <c r="EU40" s="35"/>
      <c r="EV40" s="35"/>
      <c r="EW40" s="35"/>
      <c r="EX40" s="61"/>
      <c r="EY40" s="61"/>
      <c r="EZ40" s="12"/>
      <c r="FA40" s="12"/>
      <c r="FB40" s="12"/>
      <c r="FC40" s="12"/>
      <c r="FD40" s="35"/>
      <c r="FE40" s="53"/>
      <c r="FF40" s="35">
        <f t="shared" si="142"/>
        <v>0</v>
      </c>
      <c r="FG40" s="35"/>
      <c r="FH40" s="35"/>
      <c r="FI40" s="35"/>
      <c r="FJ40" s="35"/>
      <c r="FK40" s="35"/>
      <c r="FL40" s="35"/>
      <c r="FM40" s="35"/>
      <c r="FN40" s="35"/>
      <c r="FO40" s="61"/>
      <c r="FP40" s="61"/>
      <c r="FQ40" s="12"/>
      <c r="FR40" s="35"/>
      <c r="FS40" s="35"/>
      <c r="FT40" s="53"/>
      <c r="FU40" s="53"/>
      <c r="FV40" s="35">
        <f t="shared" si="145"/>
        <v>0</v>
      </c>
      <c r="FW40" s="35"/>
      <c r="FX40" s="66"/>
      <c r="FY40" s="35"/>
      <c r="FZ40" s="35"/>
      <c r="GA40" s="66"/>
      <c r="GB40" s="66"/>
      <c r="GC40" s="52"/>
      <c r="GD40" s="35"/>
      <c r="GE40" s="35"/>
      <c r="GF40" s="68"/>
      <c r="GG40" s="52"/>
      <c r="GH40" s="68"/>
      <c r="GI40" s="192"/>
      <c r="GJ40" s="68"/>
      <c r="GK40" s="68"/>
      <c r="GL40" s="68"/>
      <c r="GM40" s="68"/>
      <c r="GN40" s="68"/>
      <c r="GO40" s="68"/>
      <c r="GP40" s="68"/>
      <c r="GQ40" s="68"/>
      <c r="GR40" s="68"/>
      <c r="GS40" s="68"/>
      <c r="GT40" s="68"/>
      <c r="GU40" s="68"/>
      <c r="GV40" s="68"/>
      <c r="GW40" s="68"/>
      <c r="GX40" s="68"/>
    </row>
    <row r="41" spans="1:206">
      <c r="A41" s="12">
        <v>2021</v>
      </c>
      <c r="B41" s="12"/>
      <c r="C41" s="52">
        <v>2025535449.58</v>
      </c>
      <c r="D41" s="52">
        <v>1884573153.51</v>
      </c>
      <c r="E41" s="52">
        <v>1372877842.63</v>
      </c>
      <c r="F41" s="52">
        <v>15862951.03</v>
      </c>
      <c r="G41" s="90">
        <v>394344221.15</v>
      </c>
      <c r="H41" s="52">
        <v>110003591.66</v>
      </c>
      <c r="I41" s="52">
        <v>26207842.6</v>
      </c>
      <c r="J41" s="52">
        <v>-34723295.56</v>
      </c>
      <c r="K41" s="52">
        <v>189048659.22</v>
      </c>
      <c r="L41" s="52">
        <v>216128285.6</v>
      </c>
      <c r="M41" s="52">
        <v>31742347.75</v>
      </c>
      <c r="N41" s="52">
        <v>184385937.85</v>
      </c>
      <c r="O41" s="53"/>
      <c r="P41" s="52"/>
      <c r="Q41" s="52"/>
      <c r="R41" s="52"/>
      <c r="S41" s="52"/>
      <c r="T41" s="52"/>
      <c r="U41" s="52"/>
      <c r="V41" s="52"/>
      <c r="W41" s="52"/>
      <c r="X41" s="35"/>
      <c r="Y41" s="166"/>
      <c r="Z41" s="52"/>
      <c r="AA41" s="166"/>
      <c r="AB41" s="35"/>
      <c r="AC41" s="35"/>
      <c r="AD41" s="35">
        <f>D41/C41</f>
        <v>0.930407391241052</v>
      </c>
      <c r="AE41" s="35">
        <f>E41/$C41</f>
        <v>0.677785147090203</v>
      </c>
      <c r="AF41" s="35">
        <f>F41/$C41</f>
        <v>0.00783148526642139</v>
      </c>
      <c r="AG41" s="35">
        <f>G41/$C41</f>
        <v>0.194686408096076</v>
      </c>
      <c r="AH41" s="35">
        <f>H41/$C41</f>
        <v>0.054308401110832</v>
      </c>
      <c r="AI41" s="35">
        <f>I41/$C41</f>
        <v>0.0129387232425057</v>
      </c>
      <c r="AJ41" s="35"/>
      <c r="AK41" s="35">
        <f t="shared" si="131"/>
        <v>0.0933326835919854</v>
      </c>
      <c r="AL41" s="35">
        <f t="shared" si="132"/>
        <v>0.106701803537832</v>
      </c>
      <c r="AM41" s="35">
        <f t="shared" si="133"/>
        <v>0.0910307138234648</v>
      </c>
      <c r="AN41" s="35"/>
      <c r="AO41" s="35"/>
      <c r="AP41" s="35"/>
      <c r="AQ41" s="35"/>
      <c r="AR41" s="35"/>
      <c r="AS41" s="35"/>
      <c r="AT41" s="35">
        <f t="shared" si="147"/>
        <v>-0.143412163367192</v>
      </c>
      <c r="AU41" s="35">
        <f t="shared" si="148"/>
        <v>-0.0550603043821591</v>
      </c>
      <c r="AV41" s="35"/>
      <c r="AW41" s="35"/>
      <c r="AX41" s="35"/>
      <c r="AY41" s="35"/>
      <c r="AZ41" s="35"/>
      <c r="BA41" s="35"/>
      <c r="BB41" s="35">
        <f t="shared" si="146"/>
        <v>-0.535422513007205</v>
      </c>
      <c r="BC41" s="35"/>
      <c r="BD41" s="35"/>
      <c r="BE41" s="166"/>
      <c r="BF41" s="166"/>
      <c r="BG41" s="166"/>
      <c r="BH41" s="166"/>
      <c r="BI41" s="166"/>
      <c r="BJ41" s="166"/>
      <c r="BK41" s="166"/>
      <c r="BL41" s="166"/>
      <c r="BM41" s="166"/>
      <c r="BN41" s="166"/>
      <c r="BO41" s="35"/>
      <c r="BP41" s="35"/>
      <c r="BQ41" s="35"/>
      <c r="BR41" s="35"/>
      <c r="BS41" s="35"/>
      <c r="BT41" s="166"/>
      <c r="BU41" s="166"/>
      <c r="BV41" s="166"/>
      <c r="BW41" s="166"/>
      <c r="BX41" s="166"/>
      <c r="BY41" s="166"/>
      <c r="BZ41" s="166"/>
      <c r="CA41" s="166"/>
      <c r="CB41" s="166"/>
      <c r="CC41" s="166"/>
      <c r="CD41" s="35"/>
      <c r="CE41" s="35"/>
      <c r="CF41" s="35"/>
      <c r="CG41" s="35"/>
      <c r="CH41" s="35"/>
      <c r="CI41" s="166"/>
      <c r="CJ41" s="166"/>
      <c r="CK41" s="166"/>
      <c r="CL41" s="166"/>
      <c r="CM41" s="166"/>
      <c r="CN41" s="166"/>
      <c r="CO41" s="166"/>
      <c r="CP41" s="166"/>
      <c r="CQ41" s="166"/>
      <c r="CR41" s="166"/>
      <c r="CS41" s="35"/>
      <c r="CT41" s="35"/>
      <c r="CU41" s="35"/>
      <c r="CV41" s="35"/>
      <c r="CW41" s="35"/>
      <c r="CX41" s="166"/>
      <c r="CY41" s="166"/>
      <c r="CZ41" s="166"/>
      <c r="DA41" s="166"/>
      <c r="DB41" s="166"/>
      <c r="DC41" s="166"/>
      <c r="DD41" s="166"/>
      <c r="DE41" s="166"/>
      <c r="DF41" s="166"/>
      <c r="DG41" s="166"/>
      <c r="DH41" s="166"/>
      <c r="DI41" s="166"/>
      <c r="DJ41" s="166"/>
      <c r="DK41" s="166"/>
      <c r="DL41" s="166"/>
      <c r="DM41" s="166"/>
      <c r="DN41" s="166"/>
      <c r="DO41" s="166"/>
      <c r="DP41" s="166"/>
      <c r="DQ41" s="166"/>
      <c r="DR41" s="166"/>
      <c r="DS41" s="166"/>
      <c r="DT41" s="166"/>
      <c r="DU41" s="166"/>
      <c r="DV41" s="166"/>
      <c r="DW41" s="166"/>
      <c r="DX41" s="166"/>
      <c r="DY41" s="166"/>
      <c r="DZ41" s="166"/>
      <c r="EA41" s="166"/>
      <c r="EB41" s="166"/>
      <c r="EC41" s="166"/>
      <c r="ED41" s="166"/>
      <c r="EE41" s="166"/>
      <c r="EF41" s="166"/>
      <c r="EG41" s="35"/>
      <c r="EH41" s="35"/>
      <c r="EI41" s="35"/>
      <c r="EJ41" s="35"/>
      <c r="EK41" s="35"/>
      <c r="EL41" s="35">
        <f t="shared" si="136"/>
        <v>0.146868086524997</v>
      </c>
      <c r="EM41" s="35">
        <f t="shared" si="137"/>
        <v>0.167905701531904</v>
      </c>
      <c r="EN41" s="53"/>
      <c r="EO41" s="35">
        <f t="shared" si="138"/>
        <v>0</v>
      </c>
      <c r="EP41" s="35"/>
      <c r="EQ41" s="35"/>
      <c r="ER41" s="35"/>
      <c r="ES41" s="35"/>
      <c r="ET41" s="35"/>
      <c r="EU41" s="35"/>
      <c r="EV41" s="35"/>
      <c r="EW41" s="35"/>
      <c r="EX41" s="61"/>
      <c r="EY41" s="61"/>
      <c r="EZ41" s="12"/>
      <c r="FA41" s="12"/>
      <c r="FB41" s="12"/>
      <c r="FC41" s="12"/>
      <c r="FD41" s="35"/>
      <c r="FE41" s="53"/>
      <c r="FF41" s="35">
        <f t="shared" si="142"/>
        <v>0</v>
      </c>
      <c r="FG41" s="35"/>
      <c r="FH41" s="35"/>
      <c r="FI41" s="35"/>
      <c r="FJ41" s="35"/>
      <c r="FK41" s="35"/>
      <c r="FL41" s="35"/>
      <c r="FM41" s="35"/>
      <c r="FN41" s="35"/>
      <c r="FO41" s="61"/>
      <c r="FP41" s="61"/>
      <c r="FQ41" s="12"/>
      <c r="FR41" s="35"/>
      <c r="FS41" s="35"/>
      <c r="FT41" s="53"/>
      <c r="FU41" s="53"/>
      <c r="FV41" s="35">
        <f t="shared" si="145"/>
        <v>0</v>
      </c>
      <c r="FW41" s="35"/>
      <c r="FX41" s="66"/>
      <c r="FY41" s="35"/>
      <c r="FZ41" s="35"/>
      <c r="GA41" s="66"/>
      <c r="GB41" s="66"/>
      <c r="GC41" s="52"/>
      <c r="GD41" s="35"/>
      <c r="GE41" s="35"/>
      <c r="GF41" s="68"/>
      <c r="GG41" s="52"/>
      <c r="GH41" s="68"/>
      <c r="GI41" s="192"/>
      <c r="GJ41" s="68"/>
      <c r="GK41" s="68"/>
      <c r="GL41" s="68"/>
      <c r="GM41" s="68"/>
      <c r="GN41" s="68"/>
      <c r="GO41" s="68"/>
      <c r="GP41" s="68"/>
      <c r="GQ41" s="68"/>
      <c r="GR41" s="68"/>
      <c r="GS41" s="68"/>
      <c r="GT41" s="68"/>
      <c r="GU41" s="68"/>
      <c r="GV41" s="68"/>
      <c r="GW41" s="68"/>
      <c r="GX41" s="68"/>
    </row>
    <row r="42" spans="1:206">
      <c r="A42" s="12">
        <v>2020</v>
      </c>
      <c r="B42" s="12"/>
      <c r="C42" s="52">
        <v>2364655862.43</v>
      </c>
      <c r="D42" s="52">
        <v>1994384575.28</v>
      </c>
      <c r="E42" s="52">
        <v>1450679446.32</v>
      </c>
      <c r="F42" s="52">
        <v>19194850.06</v>
      </c>
      <c r="G42" s="90">
        <v>407005338.28</v>
      </c>
      <c r="H42" s="52">
        <v>102317884.88</v>
      </c>
      <c r="I42" s="52">
        <v>30394819.68</v>
      </c>
      <c r="J42" s="52">
        <v>-15207763.94</v>
      </c>
      <c r="K42" s="52">
        <v>406926001.61</v>
      </c>
      <c r="L42" s="52">
        <v>428054028.52</v>
      </c>
      <c r="M42" s="52">
        <v>63782745.42</v>
      </c>
      <c r="N42" s="52">
        <v>364271283.1</v>
      </c>
      <c r="O42" s="53"/>
      <c r="P42" s="52"/>
      <c r="Q42" s="52"/>
      <c r="R42" s="52"/>
      <c r="S42" s="52"/>
      <c r="T42" s="52"/>
      <c r="U42" s="52"/>
      <c r="V42" s="52"/>
      <c r="W42" s="52"/>
      <c r="X42" s="35"/>
      <c r="Y42" s="166"/>
      <c r="Z42" s="52"/>
      <c r="AA42" s="166"/>
      <c r="AB42" s="35"/>
      <c r="AC42" s="35"/>
      <c r="AD42" s="35">
        <f>D42/C42</f>
        <v>0.843414302675952</v>
      </c>
      <c r="AE42" s="35">
        <f>E42/$C42</f>
        <v>0.61348438450119</v>
      </c>
      <c r="AF42" s="35">
        <f>F42/$C42</f>
        <v>0.00811739685464198</v>
      </c>
      <c r="AG42" s="35">
        <f>G42/$C42</f>
        <v>0.172120326152554</v>
      </c>
      <c r="AH42" s="35">
        <f>H42/$C42</f>
        <v>0.0432696725581264</v>
      </c>
      <c r="AI42" s="35">
        <f>I42/$C42</f>
        <v>0.012853802603126</v>
      </c>
      <c r="AJ42" s="35"/>
      <c r="AK42" s="35">
        <f t="shared" si="131"/>
        <v>0.172086775109774</v>
      </c>
      <c r="AL42" s="35">
        <f t="shared" si="132"/>
        <v>0.181021701855642</v>
      </c>
      <c r="AM42" s="35">
        <f t="shared" si="133"/>
        <v>0.154048328506315</v>
      </c>
      <c r="AN42" s="35"/>
      <c r="AO42" s="35"/>
      <c r="AP42" s="35"/>
      <c r="AQ42" s="35"/>
      <c r="AR42" s="35"/>
      <c r="AS42" s="35"/>
      <c r="AT42" s="35">
        <f t="shared" si="147"/>
        <v>0.36896660405246</v>
      </c>
      <c r="AU42" s="35">
        <f t="shared" si="148"/>
        <v>0.399963385590789</v>
      </c>
      <c r="AV42" s="35"/>
      <c r="AW42" s="35"/>
      <c r="AX42" s="35"/>
      <c r="AY42" s="35"/>
      <c r="AZ42" s="35"/>
      <c r="BA42" s="35"/>
      <c r="BB42" s="35">
        <f t="shared" si="146"/>
        <v>0.219366471762599</v>
      </c>
      <c r="BC42" s="35"/>
      <c r="BD42" s="35"/>
      <c r="BE42" s="166"/>
      <c r="BF42" s="166"/>
      <c r="BG42" s="166"/>
      <c r="BH42" s="166"/>
      <c r="BI42" s="166"/>
      <c r="BJ42" s="166"/>
      <c r="BK42" s="166"/>
      <c r="BL42" s="166"/>
      <c r="BM42" s="166"/>
      <c r="BN42" s="166"/>
      <c r="BO42" s="35"/>
      <c r="BP42" s="35"/>
      <c r="BQ42" s="35"/>
      <c r="BR42" s="35"/>
      <c r="BS42" s="35"/>
      <c r="BT42" s="166"/>
      <c r="BU42" s="166"/>
      <c r="BV42" s="166"/>
      <c r="BW42" s="166"/>
      <c r="BX42" s="166"/>
      <c r="BY42" s="166"/>
      <c r="BZ42" s="166"/>
      <c r="CA42" s="166"/>
      <c r="CB42" s="166"/>
      <c r="CC42" s="166"/>
      <c r="CD42" s="35"/>
      <c r="CE42" s="35"/>
      <c r="CF42" s="35"/>
      <c r="CG42" s="35"/>
      <c r="CH42" s="35"/>
      <c r="CI42" s="166"/>
      <c r="CJ42" s="166"/>
      <c r="CK42" s="166"/>
      <c r="CL42" s="166"/>
      <c r="CM42" s="166"/>
      <c r="CN42" s="166"/>
      <c r="CO42" s="166"/>
      <c r="CP42" s="166"/>
      <c r="CQ42" s="166"/>
      <c r="CR42" s="166"/>
      <c r="CS42" s="35"/>
      <c r="CT42" s="35"/>
      <c r="CU42" s="35"/>
      <c r="CV42" s="35"/>
      <c r="CW42" s="35"/>
      <c r="CX42" s="166"/>
      <c r="CY42" s="166"/>
      <c r="CZ42" s="166"/>
      <c r="DA42" s="166"/>
      <c r="DB42" s="166"/>
      <c r="DC42" s="166"/>
      <c r="DD42" s="166"/>
      <c r="DE42" s="166"/>
      <c r="DF42" s="166"/>
      <c r="DG42" s="166"/>
      <c r="DH42" s="166"/>
      <c r="DI42" s="166"/>
      <c r="DJ42" s="166"/>
      <c r="DK42" s="166"/>
      <c r="DL42" s="166"/>
      <c r="DM42" s="166"/>
      <c r="DN42" s="166"/>
      <c r="DO42" s="166"/>
      <c r="DP42" s="166"/>
      <c r="DQ42" s="166"/>
      <c r="DR42" s="166"/>
      <c r="DS42" s="166"/>
      <c r="DT42" s="166"/>
      <c r="DU42" s="166"/>
      <c r="DV42" s="166"/>
      <c r="DW42" s="166"/>
      <c r="DX42" s="166"/>
      <c r="DY42" s="166"/>
      <c r="DZ42" s="166"/>
      <c r="EA42" s="166"/>
      <c r="EB42" s="166"/>
      <c r="EC42" s="166"/>
      <c r="ED42" s="166"/>
      <c r="EE42" s="166"/>
      <c r="EF42" s="166"/>
      <c r="EG42" s="35"/>
      <c r="EH42" s="35"/>
      <c r="EI42" s="35"/>
      <c r="EJ42" s="35"/>
      <c r="EK42" s="35"/>
      <c r="EL42" s="35">
        <f t="shared" si="136"/>
        <v>0.149006296332567</v>
      </c>
      <c r="EM42" s="35">
        <f t="shared" si="137"/>
        <v>0.156742860293134</v>
      </c>
      <c r="EN42" s="53"/>
      <c r="EO42" s="35">
        <f t="shared" si="138"/>
        <v>0</v>
      </c>
      <c r="EP42" s="35"/>
      <c r="EQ42" s="35"/>
      <c r="ER42" s="35"/>
      <c r="ES42" s="35"/>
      <c r="ET42" s="35"/>
      <c r="EU42" s="35"/>
      <c r="EV42" s="35"/>
      <c r="EW42" s="35"/>
      <c r="EX42" s="61"/>
      <c r="EY42" s="61"/>
      <c r="EZ42" s="12"/>
      <c r="FA42" s="12"/>
      <c r="FB42" s="12"/>
      <c r="FC42" s="12"/>
      <c r="FD42" s="35"/>
      <c r="FE42" s="53"/>
      <c r="FF42" s="35">
        <f t="shared" si="142"/>
        <v>0</v>
      </c>
      <c r="FG42" s="35"/>
      <c r="FH42" s="35"/>
      <c r="FI42" s="35"/>
      <c r="FJ42" s="35"/>
      <c r="FK42" s="35"/>
      <c r="FL42" s="35"/>
      <c r="FM42" s="35"/>
      <c r="FN42" s="35"/>
      <c r="FO42" s="61"/>
      <c r="FP42" s="61"/>
      <c r="FQ42" s="12"/>
      <c r="FR42" s="35"/>
      <c r="FS42" s="35"/>
      <c r="FT42" s="53"/>
      <c r="FU42" s="53"/>
      <c r="FV42" s="35">
        <f t="shared" si="145"/>
        <v>0</v>
      </c>
      <c r="FW42" s="35"/>
      <c r="FX42" s="66"/>
      <c r="FY42" s="35"/>
      <c r="FZ42" s="35"/>
      <c r="GA42" s="66"/>
      <c r="GB42" s="66"/>
      <c r="GC42" s="52"/>
      <c r="GD42" s="35"/>
      <c r="GE42" s="35"/>
      <c r="GF42" s="68"/>
      <c r="GG42" s="52"/>
      <c r="GH42" s="68"/>
      <c r="GI42" s="192"/>
      <c r="GJ42" s="68"/>
      <c r="GK42" s="68"/>
      <c r="GL42" s="68"/>
      <c r="GM42" s="68"/>
      <c r="GN42" s="68"/>
      <c r="GO42" s="68"/>
      <c r="GP42" s="68"/>
      <c r="GQ42" s="68"/>
      <c r="GR42" s="68"/>
      <c r="GS42" s="68"/>
      <c r="GT42" s="68"/>
      <c r="GU42" s="68"/>
      <c r="GV42" s="68"/>
      <c r="GW42" s="68"/>
      <c r="GX42" s="68"/>
    </row>
    <row r="43" spans="1:206">
      <c r="A43" s="12">
        <v>2019</v>
      </c>
      <c r="B43" s="12"/>
      <c r="C43" s="52">
        <v>1727329107.54</v>
      </c>
      <c r="D43" s="52">
        <v>1424597668.63</v>
      </c>
      <c r="E43" s="52">
        <v>1083250464.25</v>
      </c>
      <c r="F43" s="52">
        <v>15339150.73</v>
      </c>
      <c r="G43" s="90">
        <v>240888678.81</v>
      </c>
      <c r="H43" s="52">
        <v>63906612.2</v>
      </c>
      <c r="I43" s="52">
        <v>25760060.33</v>
      </c>
      <c r="J43" s="52">
        <v>-4547297.69</v>
      </c>
      <c r="K43" s="52">
        <v>333719198.48</v>
      </c>
      <c r="L43" s="52">
        <v>346426076.51</v>
      </c>
      <c r="M43" s="52">
        <v>49454352.38</v>
      </c>
      <c r="N43" s="52">
        <v>296971724.13</v>
      </c>
      <c r="O43" s="53"/>
      <c r="P43" s="52"/>
      <c r="Q43" s="52"/>
      <c r="R43" s="52"/>
      <c r="S43" s="52"/>
      <c r="T43" s="52"/>
      <c r="U43" s="52"/>
      <c r="V43" s="52"/>
      <c r="W43" s="52"/>
      <c r="X43" s="35"/>
      <c r="Y43" s="166"/>
      <c r="Z43" s="52"/>
      <c r="AA43" s="166"/>
      <c r="AB43" s="35"/>
      <c r="AC43" s="35"/>
      <c r="AD43" s="35">
        <f>D43/C43</f>
        <v>0.824740150797818</v>
      </c>
      <c r="AE43" s="35">
        <f>E43/$C43</f>
        <v>0.627124535516411</v>
      </c>
      <c r="AF43" s="35">
        <f>F43/$C43</f>
        <v>0.00888027108617736</v>
      </c>
      <c r="AG43" s="35">
        <f>G43/$C43</f>
        <v>0.139457314624348</v>
      </c>
      <c r="AH43" s="35">
        <f>H43/$C43</f>
        <v>0.0369973573194824</v>
      </c>
      <c r="AI43" s="35">
        <f>I43/$C43</f>
        <v>0.0149132323525113</v>
      </c>
      <c r="AJ43" s="35"/>
      <c r="AK43" s="35">
        <f t="shared" si="131"/>
        <v>0.193199545485151</v>
      </c>
      <c r="AL43" s="35">
        <f t="shared" si="132"/>
        <v>0.200555918960555</v>
      </c>
      <c r="AM43" s="35">
        <f t="shared" si="133"/>
        <v>0.171925386328339</v>
      </c>
      <c r="AN43" s="35"/>
      <c r="AO43" s="35"/>
      <c r="AP43" s="35"/>
      <c r="AQ43" s="35"/>
      <c r="AR43" s="35"/>
      <c r="AS43" s="35"/>
      <c r="AT43" s="35">
        <f t="shared" si="147"/>
        <v>0.222575353222556</v>
      </c>
      <c r="AU43" s="35">
        <f t="shared" si="148"/>
        <v>0.258573638814367</v>
      </c>
      <c r="AV43" s="35"/>
      <c r="AW43" s="35"/>
      <c r="AX43" s="35"/>
      <c r="AY43" s="35"/>
      <c r="AZ43" s="35"/>
      <c r="BA43" s="35"/>
      <c r="BB43" s="35">
        <f t="shared" si="146"/>
        <v>0.113954011194644</v>
      </c>
      <c r="BC43" s="35"/>
      <c r="BD43" s="35"/>
      <c r="BE43" s="166"/>
      <c r="BF43" s="166"/>
      <c r="BG43" s="166"/>
      <c r="BH43" s="166"/>
      <c r="BI43" s="166"/>
      <c r="BJ43" s="166"/>
      <c r="BK43" s="166"/>
      <c r="BL43" s="166"/>
      <c r="BM43" s="166"/>
      <c r="BN43" s="166"/>
      <c r="BO43" s="35"/>
      <c r="BP43" s="35"/>
      <c r="BQ43" s="35"/>
      <c r="BR43" s="35"/>
      <c r="BS43" s="35"/>
      <c r="BT43" s="166"/>
      <c r="BU43" s="166"/>
      <c r="BV43" s="166"/>
      <c r="BW43" s="166"/>
      <c r="BX43" s="166"/>
      <c r="BY43" s="166"/>
      <c r="BZ43" s="166"/>
      <c r="CA43" s="166"/>
      <c r="CB43" s="166"/>
      <c r="CC43" s="166"/>
      <c r="CD43" s="35"/>
      <c r="CE43" s="35"/>
      <c r="CF43" s="35"/>
      <c r="CG43" s="35"/>
      <c r="CH43" s="35"/>
      <c r="CI43" s="166"/>
      <c r="CJ43" s="166"/>
      <c r="CK43" s="166"/>
      <c r="CL43" s="166"/>
      <c r="CM43" s="166"/>
      <c r="CN43" s="166"/>
      <c r="CO43" s="166"/>
      <c r="CP43" s="166"/>
      <c r="CQ43" s="166"/>
      <c r="CR43" s="166"/>
      <c r="CS43" s="35"/>
      <c r="CT43" s="35"/>
      <c r="CU43" s="35"/>
      <c r="CV43" s="35"/>
      <c r="CW43" s="35"/>
      <c r="CX43" s="166"/>
      <c r="CY43" s="166"/>
      <c r="CZ43" s="166"/>
      <c r="DA43" s="166"/>
      <c r="DB43" s="166"/>
      <c r="DC43" s="166"/>
      <c r="DD43" s="166"/>
      <c r="DE43" s="166"/>
      <c r="DF43" s="166"/>
      <c r="DG43" s="166"/>
      <c r="DH43" s="166"/>
      <c r="DI43" s="166"/>
      <c r="DJ43" s="166"/>
      <c r="DK43" s="166"/>
      <c r="DL43" s="166"/>
      <c r="DM43" s="166"/>
      <c r="DN43" s="166"/>
      <c r="DO43" s="166"/>
      <c r="DP43" s="166"/>
      <c r="DQ43" s="166"/>
      <c r="DR43" s="166"/>
      <c r="DS43" s="166"/>
      <c r="DT43" s="166"/>
      <c r="DU43" s="166"/>
      <c r="DV43" s="166"/>
      <c r="DW43" s="166"/>
      <c r="DX43" s="166"/>
      <c r="DY43" s="166"/>
      <c r="DZ43" s="166"/>
      <c r="EA43" s="166"/>
      <c r="EB43" s="166"/>
      <c r="EC43" s="166"/>
      <c r="ED43" s="166"/>
      <c r="EE43" s="166"/>
      <c r="EF43" s="166"/>
      <c r="EG43" s="35"/>
      <c r="EH43" s="35"/>
      <c r="EI43" s="35"/>
      <c r="EJ43" s="35"/>
      <c r="EK43" s="35"/>
      <c r="EL43" s="35">
        <f t="shared" si="136"/>
        <v>0.142755859715348</v>
      </c>
      <c r="EM43" s="35">
        <f t="shared" si="137"/>
        <v>0.148191511322247</v>
      </c>
      <c r="EN43" s="53"/>
      <c r="EO43" s="35">
        <f t="shared" si="138"/>
        <v>0</v>
      </c>
      <c r="EP43" s="35"/>
      <c r="EQ43" s="35"/>
      <c r="ER43" s="35"/>
      <c r="ES43" s="35"/>
      <c r="ET43" s="35"/>
      <c r="EU43" s="35"/>
      <c r="EV43" s="35"/>
      <c r="EW43" s="35"/>
      <c r="EX43" s="61"/>
      <c r="EY43" s="61"/>
      <c r="EZ43" s="12"/>
      <c r="FA43" s="12"/>
      <c r="FB43" s="12"/>
      <c r="FC43" s="12"/>
      <c r="FD43" s="35"/>
      <c r="FE43" s="53"/>
      <c r="FF43" s="35">
        <f t="shared" si="142"/>
        <v>0</v>
      </c>
      <c r="FG43" s="35"/>
      <c r="FH43" s="35"/>
      <c r="FI43" s="35"/>
      <c r="FJ43" s="35"/>
      <c r="FK43" s="35"/>
      <c r="FL43" s="35"/>
      <c r="FM43" s="35"/>
      <c r="FN43" s="35"/>
      <c r="FO43" s="61"/>
      <c r="FP43" s="61"/>
      <c r="FQ43" s="12"/>
      <c r="FR43" s="35"/>
      <c r="FS43" s="35"/>
      <c r="FT43" s="53"/>
      <c r="FU43" s="53"/>
      <c r="FV43" s="35">
        <f t="shared" si="145"/>
        <v>0</v>
      </c>
      <c r="FW43" s="35"/>
      <c r="FX43" s="66"/>
      <c r="FY43" s="35"/>
      <c r="FZ43" s="35"/>
      <c r="GA43" s="66"/>
      <c r="GB43" s="66"/>
      <c r="GC43" s="52"/>
      <c r="GD43" s="35"/>
      <c r="GE43" s="35"/>
      <c r="GF43" s="68"/>
      <c r="GG43" s="52"/>
      <c r="GH43" s="68"/>
      <c r="GI43" s="192"/>
      <c r="GJ43" s="68"/>
      <c r="GK43" s="68"/>
      <c r="GL43" s="68"/>
      <c r="GM43" s="68"/>
      <c r="GN43" s="68"/>
      <c r="GO43" s="68"/>
      <c r="GP43" s="68"/>
      <c r="GQ43" s="68"/>
      <c r="GR43" s="68"/>
      <c r="GS43" s="68"/>
      <c r="GT43" s="68"/>
      <c r="GU43" s="68"/>
      <c r="GV43" s="68"/>
      <c r="GW43" s="68"/>
      <c r="GX43" s="68"/>
    </row>
    <row r="44" spans="1:206">
      <c r="A44" s="12">
        <v>2018</v>
      </c>
      <c r="B44" s="12"/>
      <c r="C44" s="52">
        <v>1412861058.41</v>
      </c>
      <c r="D44" s="52">
        <v>1131914434.48</v>
      </c>
      <c r="E44" s="52">
        <v>856522660.65</v>
      </c>
      <c r="F44" s="52">
        <v>15932635.82</v>
      </c>
      <c r="G44" s="90">
        <v>183115250.62</v>
      </c>
      <c r="H44" s="52">
        <v>55757125.96</v>
      </c>
      <c r="I44" s="52">
        <v>22381832.77</v>
      </c>
      <c r="J44" s="52">
        <v>-1795071.34</v>
      </c>
      <c r="K44" s="52">
        <v>299580768.26</v>
      </c>
      <c r="L44" s="52">
        <v>310714328.49</v>
      </c>
      <c r="M44" s="52">
        <v>44107324.88</v>
      </c>
      <c r="N44" s="52">
        <v>266607003.61</v>
      </c>
      <c r="O44" s="53"/>
      <c r="P44" s="52"/>
      <c r="Q44" s="52"/>
      <c r="R44" s="52"/>
      <c r="S44" s="52"/>
      <c r="T44" s="52"/>
      <c r="U44" s="52"/>
      <c r="V44" s="52"/>
      <c r="W44" s="52"/>
      <c r="X44" s="35"/>
      <c r="Y44" s="166"/>
      <c r="Z44" s="52"/>
      <c r="AA44" s="166"/>
      <c r="AB44" s="35"/>
      <c r="AC44" s="35"/>
      <c r="AD44" s="35">
        <f>D44/C44</f>
        <v>0.801150564482136</v>
      </c>
      <c r="AE44" s="35">
        <f>E44/$C44</f>
        <v>0.606232761212847</v>
      </c>
      <c r="AF44" s="35">
        <f>F44/$C44</f>
        <v>0.0112768596212357</v>
      </c>
      <c r="AG44" s="35">
        <f>G44/$C44</f>
        <v>0.129605986045134</v>
      </c>
      <c r="AH44" s="35">
        <f>H44/$C44</f>
        <v>0.0394639838277854</v>
      </c>
      <c r="AI44" s="35">
        <f>I44/$C44</f>
        <v>0.0158414959749743</v>
      </c>
      <c r="AJ44" s="35"/>
      <c r="AK44" s="35">
        <f t="shared" si="131"/>
        <v>0.212038378775292</v>
      </c>
      <c r="AL44" s="35">
        <f t="shared" si="132"/>
        <v>0.219918531012293</v>
      </c>
      <c r="AM44" s="35">
        <f t="shared" si="133"/>
        <v>0.188700086270361</v>
      </c>
      <c r="AN44" s="35"/>
      <c r="AO44" s="35"/>
      <c r="AP44" s="35"/>
      <c r="AQ44" s="35"/>
      <c r="AR44" s="35"/>
      <c r="AS44" s="35"/>
      <c r="AT44" s="35">
        <f t="shared" si="147"/>
        <v>0.325614220708547</v>
      </c>
      <c r="AU44" s="35" t="e">
        <f t="shared" si="148"/>
        <v>#DIV/0!</v>
      </c>
      <c r="AV44" s="35"/>
      <c r="AW44" s="35"/>
      <c r="AX44" s="35"/>
      <c r="AY44" s="35"/>
      <c r="AZ44" s="35"/>
      <c r="BA44" s="35"/>
      <c r="BB44" s="35" t="e">
        <f t="shared" si="146"/>
        <v>#DIV/0!</v>
      </c>
      <c r="BC44" s="35"/>
      <c r="BD44" s="35"/>
      <c r="BE44" s="166"/>
      <c r="BF44" s="166"/>
      <c r="BG44" s="166"/>
      <c r="BH44" s="166"/>
      <c r="BI44" s="166"/>
      <c r="BJ44" s="166"/>
      <c r="BK44" s="166"/>
      <c r="BL44" s="166"/>
      <c r="BM44" s="166"/>
      <c r="BN44" s="166"/>
      <c r="BO44" s="35"/>
      <c r="BP44" s="35"/>
      <c r="BQ44" s="35"/>
      <c r="BR44" s="35"/>
      <c r="BS44" s="35"/>
      <c r="BT44" s="166"/>
      <c r="BU44" s="166"/>
      <c r="BV44" s="166"/>
      <c r="BW44" s="166"/>
      <c r="BX44" s="166"/>
      <c r="BY44" s="166"/>
      <c r="BZ44" s="166"/>
      <c r="CA44" s="166"/>
      <c r="CB44" s="166"/>
      <c r="CC44" s="166"/>
      <c r="CD44" s="35"/>
      <c r="CE44" s="35"/>
      <c r="CF44" s="35"/>
      <c r="CG44" s="35"/>
      <c r="CH44" s="35"/>
      <c r="CI44" s="166"/>
      <c r="CJ44" s="166"/>
      <c r="CK44" s="166"/>
      <c r="CL44" s="166"/>
      <c r="CM44" s="166"/>
      <c r="CN44" s="166"/>
      <c r="CO44" s="166"/>
      <c r="CP44" s="166"/>
      <c r="CQ44" s="166"/>
      <c r="CR44" s="166"/>
      <c r="CS44" s="35"/>
      <c r="CT44" s="35"/>
      <c r="CU44" s="35"/>
      <c r="CV44" s="35"/>
      <c r="CW44" s="35"/>
      <c r="CX44" s="166"/>
      <c r="CY44" s="166"/>
      <c r="CZ44" s="166"/>
      <c r="DA44" s="166"/>
      <c r="DB44" s="166"/>
      <c r="DC44" s="166"/>
      <c r="DD44" s="166"/>
      <c r="DE44" s="166"/>
      <c r="DF44" s="166"/>
      <c r="DG44" s="166"/>
      <c r="DH44" s="166"/>
      <c r="DI44" s="166"/>
      <c r="DJ44" s="166"/>
      <c r="DK44" s="166"/>
      <c r="DL44" s="166"/>
      <c r="DM44" s="166"/>
      <c r="DN44" s="166"/>
      <c r="DO44" s="166"/>
      <c r="DP44" s="166"/>
      <c r="DQ44" s="166"/>
      <c r="DR44" s="166"/>
      <c r="DS44" s="166"/>
      <c r="DT44" s="166"/>
      <c r="DU44" s="166"/>
      <c r="DV44" s="166"/>
      <c r="DW44" s="166"/>
      <c r="DX44" s="166"/>
      <c r="DY44" s="166"/>
      <c r="DZ44" s="166"/>
      <c r="EA44" s="166"/>
      <c r="EB44" s="166"/>
      <c r="EC44" s="166"/>
      <c r="ED44" s="166"/>
      <c r="EE44" s="166"/>
      <c r="EF44" s="166"/>
      <c r="EG44" s="35"/>
      <c r="EH44" s="35"/>
      <c r="EI44" s="35"/>
      <c r="EJ44" s="35"/>
      <c r="EK44" s="35"/>
      <c r="EL44" s="35">
        <f t="shared" si="136"/>
        <v>0.141954589266454</v>
      </c>
      <c r="EM44" s="35">
        <f t="shared" si="137"/>
        <v>0.147230161455892</v>
      </c>
      <c r="EN44" s="53"/>
      <c r="EO44" s="35">
        <f t="shared" si="138"/>
        <v>0</v>
      </c>
      <c r="EP44" s="35"/>
      <c r="EQ44" s="35"/>
      <c r="ER44" s="35"/>
      <c r="ES44" s="35"/>
      <c r="ET44" s="35"/>
      <c r="EU44" s="35"/>
      <c r="EV44" s="35"/>
      <c r="EW44" s="35"/>
      <c r="EX44" s="61"/>
      <c r="EY44" s="61"/>
      <c r="EZ44" s="12"/>
      <c r="FA44" s="12"/>
      <c r="FB44" s="12"/>
      <c r="FC44" s="12"/>
      <c r="FD44" s="35"/>
      <c r="FE44" s="53"/>
      <c r="FF44" s="35">
        <f t="shared" si="142"/>
        <v>0</v>
      </c>
      <c r="FG44" s="35"/>
      <c r="FH44" s="35"/>
      <c r="FI44" s="35"/>
      <c r="FJ44" s="35"/>
      <c r="FK44" s="35"/>
      <c r="FL44" s="35"/>
      <c r="FM44" s="35"/>
      <c r="FN44" s="35"/>
      <c r="FO44" s="61"/>
      <c r="FP44" s="61"/>
      <c r="FQ44" s="12"/>
      <c r="FR44" s="35"/>
      <c r="FS44" s="35"/>
      <c r="FT44" s="53"/>
      <c r="FU44" s="53"/>
      <c r="FV44" s="35">
        <f t="shared" si="145"/>
        <v>0</v>
      </c>
      <c r="FW44" s="35"/>
      <c r="FX44" s="66"/>
      <c r="FY44" s="35"/>
      <c r="FZ44" s="35"/>
      <c r="GA44" s="66"/>
      <c r="GB44" s="66"/>
      <c r="GC44" s="52"/>
      <c r="GD44" s="35"/>
      <c r="GE44" s="35"/>
      <c r="GF44" s="68"/>
      <c r="GG44" s="52"/>
      <c r="GH44" s="68"/>
      <c r="GI44" s="192"/>
      <c r="GJ44" s="68"/>
      <c r="GK44" s="68"/>
      <c r="GL44" s="68"/>
      <c r="GM44" s="68"/>
      <c r="GN44" s="68"/>
      <c r="GO44" s="68"/>
      <c r="GP44" s="68"/>
      <c r="GQ44" s="68"/>
      <c r="GR44" s="68"/>
      <c r="GS44" s="68"/>
      <c r="GT44" s="68"/>
      <c r="GU44" s="68"/>
      <c r="GV44" s="68"/>
      <c r="GW44" s="68"/>
      <c r="GX44" s="68"/>
    </row>
    <row r="45" spans="1:206">
      <c r="A45" s="12">
        <v>2017</v>
      </c>
      <c r="B45" s="12"/>
      <c r="C45" s="52">
        <v>1065816160.04</v>
      </c>
      <c r="D45" s="52"/>
      <c r="E45" s="52"/>
      <c r="F45" s="52"/>
      <c r="G45" s="12"/>
      <c r="H45" s="52"/>
      <c r="I45" s="52"/>
      <c r="J45" s="52"/>
      <c r="K45" s="52"/>
      <c r="L45" s="52"/>
      <c r="M45" s="52"/>
      <c r="N45" s="52"/>
      <c r="O45" s="53"/>
      <c r="P45" s="52"/>
      <c r="Q45" s="52"/>
      <c r="R45" s="52"/>
      <c r="S45" s="52"/>
      <c r="T45" s="52"/>
      <c r="U45" s="52"/>
      <c r="V45" s="52"/>
      <c r="W45" s="52"/>
      <c r="X45" s="35"/>
      <c r="Y45" s="166"/>
      <c r="Z45" s="52"/>
      <c r="AA45" s="166"/>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166"/>
      <c r="BF45" s="166"/>
      <c r="BG45" s="166"/>
      <c r="BH45" s="166"/>
      <c r="BI45" s="166"/>
      <c r="BJ45" s="166"/>
      <c r="BK45" s="166"/>
      <c r="BL45" s="166"/>
      <c r="BM45" s="166"/>
      <c r="BN45" s="166"/>
      <c r="BO45" s="35"/>
      <c r="BP45" s="35"/>
      <c r="BQ45" s="35"/>
      <c r="BR45" s="35"/>
      <c r="BS45" s="35"/>
      <c r="BT45" s="166"/>
      <c r="BU45" s="166"/>
      <c r="BV45" s="166"/>
      <c r="BW45" s="166"/>
      <c r="BX45" s="166"/>
      <c r="BY45" s="166"/>
      <c r="BZ45" s="166"/>
      <c r="CA45" s="166"/>
      <c r="CB45" s="166"/>
      <c r="CC45" s="166"/>
      <c r="CD45" s="35"/>
      <c r="CE45" s="35"/>
      <c r="CF45" s="35"/>
      <c r="CG45" s="35"/>
      <c r="CH45" s="35"/>
      <c r="CI45" s="166"/>
      <c r="CJ45" s="166"/>
      <c r="CK45" s="166"/>
      <c r="CL45" s="166"/>
      <c r="CM45" s="166"/>
      <c r="CN45" s="166"/>
      <c r="CO45" s="166"/>
      <c r="CP45" s="166"/>
      <c r="CQ45" s="166"/>
      <c r="CR45" s="166"/>
      <c r="CS45" s="35"/>
      <c r="CT45" s="35"/>
      <c r="CU45" s="35"/>
      <c r="CV45" s="35"/>
      <c r="CW45" s="35"/>
      <c r="CX45" s="166"/>
      <c r="CY45" s="166"/>
      <c r="CZ45" s="166"/>
      <c r="DA45" s="166"/>
      <c r="DB45" s="166"/>
      <c r="DC45" s="166"/>
      <c r="DD45" s="166"/>
      <c r="DE45" s="166"/>
      <c r="DF45" s="166"/>
      <c r="DG45" s="166"/>
      <c r="DH45" s="166"/>
      <c r="DI45" s="166"/>
      <c r="DJ45" s="166"/>
      <c r="DK45" s="166"/>
      <c r="DL45" s="166"/>
      <c r="DM45" s="166"/>
      <c r="DN45" s="166"/>
      <c r="DO45" s="166"/>
      <c r="DP45" s="166"/>
      <c r="DQ45" s="166"/>
      <c r="DR45" s="166"/>
      <c r="DS45" s="166"/>
      <c r="DT45" s="166"/>
      <c r="DU45" s="166"/>
      <c r="DV45" s="166"/>
      <c r="DW45" s="166"/>
      <c r="DX45" s="166"/>
      <c r="DY45" s="166"/>
      <c r="DZ45" s="166"/>
      <c r="EA45" s="166"/>
      <c r="EB45" s="166"/>
      <c r="EC45" s="166"/>
      <c r="ED45" s="166"/>
      <c r="EE45" s="166"/>
      <c r="EF45" s="166"/>
      <c r="EG45" s="35"/>
      <c r="EH45" s="35"/>
      <c r="EI45" s="35"/>
      <c r="EJ45" s="35"/>
      <c r="EK45" s="35"/>
      <c r="EL45" s="35"/>
      <c r="EM45" s="35"/>
      <c r="EN45" s="53"/>
      <c r="EO45" s="35">
        <f t="shared" si="138"/>
        <v>0</v>
      </c>
      <c r="EP45" s="35"/>
      <c r="EQ45" s="35"/>
      <c r="ER45" s="35"/>
      <c r="ES45" s="35"/>
      <c r="ET45" s="35"/>
      <c r="EU45" s="35"/>
      <c r="EV45" s="35"/>
      <c r="EW45" s="35"/>
      <c r="EX45" s="61"/>
      <c r="EY45" s="61"/>
      <c r="EZ45" s="12"/>
      <c r="FA45" s="12"/>
      <c r="FB45" s="12"/>
      <c r="FC45" s="12"/>
      <c r="FD45" s="35"/>
      <c r="FE45" s="53"/>
      <c r="FF45" s="35">
        <f t="shared" si="142"/>
        <v>0</v>
      </c>
      <c r="FG45" s="35"/>
      <c r="FH45" s="35"/>
      <c r="FI45" s="35"/>
      <c r="FJ45" s="35"/>
      <c r="FK45" s="35"/>
      <c r="FL45" s="35"/>
      <c r="FM45" s="35"/>
      <c r="FN45" s="35"/>
      <c r="FO45" s="61"/>
      <c r="FP45" s="61"/>
      <c r="FQ45" s="12"/>
      <c r="FR45" s="35"/>
      <c r="FS45" s="35"/>
      <c r="FT45" s="53"/>
      <c r="FU45" s="53"/>
      <c r="FV45" s="35">
        <f t="shared" si="145"/>
        <v>0</v>
      </c>
      <c r="FW45" s="35"/>
      <c r="FX45" s="66"/>
      <c r="FY45" s="35"/>
      <c r="FZ45" s="35"/>
      <c r="GA45" s="66"/>
      <c r="GB45" s="66"/>
      <c r="GC45" s="52"/>
      <c r="GD45" s="35"/>
      <c r="GE45" s="35"/>
      <c r="GF45" s="68"/>
      <c r="GG45" s="52"/>
      <c r="GH45" s="68"/>
      <c r="GI45" s="192"/>
      <c r="GJ45" s="68"/>
      <c r="GK45" s="68"/>
      <c r="GL45" s="68"/>
      <c r="GM45" s="68"/>
      <c r="GN45" s="68"/>
      <c r="GO45" s="68"/>
      <c r="GP45" s="68"/>
      <c r="GQ45" s="68"/>
      <c r="GR45" s="68"/>
      <c r="GS45" s="68"/>
      <c r="GT45" s="68"/>
      <c r="GU45" s="68"/>
      <c r="GV45" s="68"/>
      <c r="GW45" s="68"/>
      <c r="GX45" s="68"/>
    </row>
    <row r="46" spans="1:206">
      <c r="A46" s="12">
        <v>2016</v>
      </c>
      <c r="B46" s="12"/>
      <c r="C46" s="52">
        <v>983899076.21</v>
      </c>
      <c r="D46" s="52"/>
      <c r="E46" s="52"/>
      <c r="F46" s="52"/>
      <c r="G46" s="12"/>
      <c r="H46" s="52"/>
      <c r="I46" s="52"/>
      <c r="J46" s="52"/>
      <c r="K46" s="52"/>
      <c r="L46" s="52"/>
      <c r="M46" s="52"/>
      <c r="N46" s="52"/>
      <c r="O46" s="53"/>
      <c r="P46" s="52"/>
      <c r="Q46" s="52"/>
      <c r="R46" s="52"/>
      <c r="S46" s="52"/>
      <c r="T46" s="52"/>
      <c r="U46" s="52"/>
      <c r="V46" s="52"/>
      <c r="W46" s="52"/>
      <c r="X46" s="35"/>
      <c r="Y46" s="166"/>
      <c r="Z46" s="52"/>
      <c r="AA46" s="166"/>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66"/>
      <c r="BF46" s="166"/>
      <c r="BG46" s="166"/>
      <c r="BH46" s="166"/>
      <c r="BI46" s="166"/>
      <c r="BJ46" s="166"/>
      <c r="BK46" s="166"/>
      <c r="BL46" s="166"/>
      <c r="BM46" s="166"/>
      <c r="BN46" s="166"/>
      <c r="BO46" s="35"/>
      <c r="BP46" s="35"/>
      <c r="BQ46" s="35"/>
      <c r="BR46" s="35"/>
      <c r="BS46" s="35"/>
      <c r="BT46" s="166"/>
      <c r="BU46" s="166"/>
      <c r="BV46" s="166"/>
      <c r="BW46" s="166"/>
      <c r="BX46" s="166"/>
      <c r="BY46" s="166"/>
      <c r="BZ46" s="166"/>
      <c r="CA46" s="166"/>
      <c r="CB46" s="166"/>
      <c r="CC46" s="166"/>
      <c r="CD46" s="35"/>
      <c r="CE46" s="35"/>
      <c r="CF46" s="35"/>
      <c r="CG46" s="35"/>
      <c r="CH46" s="35"/>
      <c r="CI46" s="166"/>
      <c r="CJ46" s="166"/>
      <c r="CK46" s="166"/>
      <c r="CL46" s="166"/>
      <c r="CM46" s="166"/>
      <c r="CN46" s="166"/>
      <c r="CO46" s="166"/>
      <c r="CP46" s="166"/>
      <c r="CQ46" s="166"/>
      <c r="CR46" s="166"/>
      <c r="CS46" s="35"/>
      <c r="CT46" s="35"/>
      <c r="CU46" s="35"/>
      <c r="CV46" s="35"/>
      <c r="CW46" s="35"/>
      <c r="CX46" s="166"/>
      <c r="CY46" s="166"/>
      <c r="CZ46" s="166"/>
      <c r="DA46" s="166"/>
      <c r="DB46" s="166"/>
      <c r="DC46" s="166"/>
      <c r="DD46" s="166"/>
      <c r="DE46" s="166"/>
      <c r="DF46" s="166"/>
      <c r="DG46" s="166"/>
      <c r="DH46" s="166"/>
      <c r="DI46" s="166"/>
      <c r="DJ46" s="166"/>
      <c r="DK46" s="166"/>
      <c r="DL46" s="166"/>
      <c r="DM46" s="166"/>
      <c r="DN46" s="166"/>
      <c r="DO46" s="166"/>
      <c r="DP46" s="166"/>
      <c r="DQ46" s="166"/>
      <c r="DR46" s="166"/>
      <c r="DS46" s="166"/>
      <c r="DT46" s="166"/>
      <c r="DU46" s="166"/>
      <c r="DV46" s="166"/>
      <c r="DW46" s="166"/>
      <c r="DX46" s="166"/>
      <c r="DY46" s="166"/>
      <c r="DZ46" s="166"/>
      <c r="EA46" s="166"/>
      <c r="EB46" s="166"/>
      <c r="EC46" s="166"/>
      <c r="ED46" s="166"/>
      <c r="EE46" s="166"/>
      <c r="EF46" s="166"/>
      <c r="EG46" s="35"/>
      <c r="EH46" s="35"/>
      <c r="EI46" s="35"/>
      <c r="EJ46" s="35"/>
      <c r="EK46" s="35"/>
      <c r="EL46" s="35"/>
      <c r="EM46" s="35"/>
      <c r="EN46" s="53"/>
      <c r="EO46" s="35">
        <f t="shared" si="138"/>
        <v>0</v>
      </c>
      <c r="EP46" s="35"/>
      <c r="EQ46" s="35"/>
      <c r="ER46" s="35"/>
      <c r="ES46" s="35"/>
      <c r="ET46" s="35"/>
      <c r="EU46" s="35"/>
      <c r="EV46" s="35"/>
      <c r="EW46" s="35"/>
      <c r="EX46" s="61"/>
      <c r="EY46" s="61"/>
      <c r="EZ46" s="12"/>
      <c r="FA46" s="12"/>
      <c r="FB46" s="12"/>
      <c r="FC46" s="12"/>
      <c r="FD46" s="35"/>
      <c r="FE46" s="53"/>
      <c r="FF46" s="35">
        <f t="shared" si="142"/>
        <v>0</v>
      </c>
      <c r="FG46" s="35"/>
      <c r="FH46" s="35"/>
      <c r="FI46" s="35"/>
      <c r="FJ46" s="35"/>
      <c r="FK46" s="35"/>
      <c r="FL46" s="35"/>
      <c r="FM46" s="35"/>
      <c r="FN46" s="35"/>
      <c r="FO46" s="61"/>
      <c r="FP46" s="61"/>
      <c r="FQ46" s="12"/>
      <c r="FR46" s="35"/>
      <c r="FS46" s="35"/>
      <c r="FT46" s="53"/>
      <c r="FU46" s="53"/>
      <c r="FV46" s="35">
        <f t="shared" si="145"/>
        <v>0</v>
      </c>
      <c r="FW46" s="35"/>
      <c r="FX46" s="66"/>
      <c r="FY46" s="35"/>
      <c r="FZ46" s="35"/>
      <c r="GA46" s="66"/>
      <c r="GB46" s="66"/>
      <c r="GC46" s="52"/>
      <c r="GD46" s="35"/>
      <c r="GE46" s="35"/>
      <c r="GF46" s="68"/>
      <c r="GG46" s="52"/>
      <c r="GH46" s="68"/>
      <c r="GI46" s="192"/>
      <c r="GJ46" s="68"/>
      <c r="GK46" s="68"/>
      <c r="GL46" s="68"/>
      <c r="GM46" s="68"/>
      <c r="GN46" s="68"/>
      <c r="GO46" s="68"/>
      <c r="GP46" s="68"/>
      <c r="GQ46" s="68"/>
      <c r="GR46" s="68"/>
      <c r="GS46" s="68"/>
      <c r="GT46" s="68"/>
      <c r="GU46" s="68"/>
      <c r="GV46" s="68"/>
      <c r="GW46" s="68"/>
      <c r="GX46" s="68"/>
    </row>
    <row r="47" spans="1:206">
      <c r="A47" s="12">
        <v>2015</v>
      </c>
      <c r="B47" s="12"/>
      <c r="C47" s="52"/>
      <c r="D47" s="52"/>
      <c r="E47" s="52"/>
      <c r="F47" s="52"/>
      <c r="G47" s="12"/>
      <c r="H47" s="52"/>
      <c r="I47" s="52"/>
      <c r="J47" s="52"/>
      <c r="K47" s="52"/>
      <c r="L47" s="52"/>
      <c r="M47" s="52"/>
      <c r="N47" s="52"/>
      <c r="O47" s="53"/>
      <c r="P47" s="52"/>
      <c r="Q47" s="52"/>
      <c r="R47" s="52"/>
      <c r="S47" s="52"/>
      <c r="T47" s="52"/>
      <c r="U47" s="52"/>
      <c r="V47" s="52"/>
      <c r="W47" s="52"/>
      <c r="X47" s="35"/>
      <c r="Y47" s="166"/>
      <c r="Z47" s="52"/>
      <c r="AA47" s="166"/>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66"/>
      <c r="BF47" s="166"/>
      <c r="BG47" s="166"/>
      <c r="BH47" s="166"/>
      <c r="BI47" s="166"/>
      <c r="BJ47" s="166"/>
      <c r="BK47" s="166"/>
      <c r="BL47" s="166"/>
      <c r="BM47" s="166"/>
      <c r="BN47" s="166"/>
      <c r="BO47" s="35"/>
      <c r="BP47" s="35"/>
      <c r="BQ47" s="35"/>
      <c r="BR47" s="35"/>
      <c r="BS47" s="35"/>
      <c r="BT47" s="166"/>
      <c r="BU47" s="166"/>
      <c r="BV47" s="166"/>
      <c r="BW47" s="166"/>
      <c r="BX47" s="166"/>
      <c r="BY47" s="166"/>
      <c r="BZ47" s="166"/>
      <c r="CA47" s="166"/>
      <c r="CB47" s="166"/>
      <c r="CC47" s="166"/>
      <c r="CD47" s="35"/>
      <c r="CE47" s="35"/>
      <c r="CF47" s="35"/>
      <c r="CG47" s="35"/>
      <c r="CH47" s="35"/>
      <c r="CI47" s="166"/>
      <c r="CJ47" s="166"/>
      <c r="CK47" s="166"/>
      <c r="CL47" s="166"/>
      <c r="CM47" s="166"/>
      <c r="CN47" s="166"/>
      <c r="CO47" s="166"/>
      <c r="CP47" s="166"/>
      <c r="CQ47" s="166"/>
      <c r="CR47" s="166"/>
      <c r="CS47" s="35"/>
      <c r="CT47" s="35"/>
      <c r="CU47" s="35"/>
      <c r="CV47" s="35"/>
      <c r="CW47" s="35"/>
      <c r="CX47" s="166"/>
      <c r="CY47" s="166"/>
      <c r="CZ47" s="166"/>
      <c r="DA47" s="166"/>
      <c r="DB47" s="166"/>
      <c r="DC47" s="166"/>
      <c r="DD47" s="166"/>
      <c r="DE47" s="166"/>
      <c r="DF47" s="166"/>
      <c r="DG47" s="166"/>
      <c r="DH47" s="166"/>
      <c r="DI47" s="166"/>
      <c r="DJ47" s="166"/>
      <c r="DK47" s="166"/>
      <c r="DL47" s="166"/>
      <c r="DM47" s="166"/>
      <c r="DN47" s="166"/>
      <c r="DO47" s="166"/>
      <c r="DP47" s="166"/>
      <c r="DQ47" s="166"/>
      <c r="DR47" s="166"/>
      <c r="DS47" s="166"/>
      <c r="DT47" s="166"/>
      <c r="DU47" s="166"/>
      <c r="DV47" s="166"/>
      <c r="DW47" s="166"/>
      <c r="DX47" s="166"/>
      <c r="DY47" s="166"/>
      <c r="DZ47" s="166"/>
      <c r="EA47" s="166"/>
      <c r="EB47" s="166"/>
      <c r="EC47" s="166"/>
      <c r="ED47" s="166"/>
      <c r="EE47" s="166"/>
      <c r="EF47" s="166"/>
      <c r="EG47" s="35"/>
      <c r="EH47" s="35"/>
      <c r="EI47" s="35"/>
      <c r="EJ47" s="35"/>
      <c r="EK47" s="35"/>
      <c r="EL47" s="35"/>
      <c r="EM47" s="35"/>
      <c r="EN47" s="53"/>
      <c r="EO47" s="35" t="e">
        <f t="shared" si="138"/>
        <v>#DIV/0!</v>
      </c>
      <c r="EP47" s="35"/>
      <c r="EQ47" s="35"/>
      <c r="ER47" s="35"/>
      <c r="ES47" s="35"/>
      <c r="ET47" s="35"/>
      <c r="EU47" s="35"/>
      <c r="EV47" s="35"/>
      <c r="EW47" s="35"/>
      <c r="EX47" s="61"/>
      <c r="EY47" s="61"/>
      <c r="EZ47" s="12"/>
      <c r="FA47" s="12"/>
      <c r="FB47" s="12"/>
      <c r="FC47" s="12"/>
      <c r="FD47" s="35"/>
      <c r="FE47" s="53"/>
      <c r="FF47" s="35" t="e">
        <f t="shared" si="142"/>
        <v>#DIV/0!</v>
      </c>
      <c r="FG47" s="35"/>
      <c r="FH47" s="35"/>
      <c r="FI47" s="35"/>
      <c r="FJ47" s="35"/>
      <c r="FK47" s="35"/>
      <c r="FL47" s="35"/>
      <c r="FM47" s="35"/>
      <c r="FN47" s="35"/>
      <c r="FO47" s="61"/>
      <c r="FP47" s="61"/>
      <c r="FQ47" s="12"/>
      <c r="FR47" s="35"/>
      <c r="FS47" s="35"/>
      <c r="FT47" s="53"/>
      <c r="FU47" s="53"/>
      <c r="FV47" s="35" t="e">
        <f t="shared" si="145"/>
        <v>#DIV/0!</v>
      </c>
      <c r="FW47" s="35"/>
      <c r="FX47" s="66"/>
      <c r="FY47" s="35"/>
      <c r="FZ47" s="35"/>
      <c r="GA47" s="66"/>
      <c r="GB47" s="66"/>
      <c r="GC47" s="52"/>
      <c r="GD47" s="35"/>
      <c r="GE47" s="35"/>
      <c r="GF47" s="68"/>
      <c r="GG47" s="52"/>
      <c r="GH47" s="68"/>
      <c r="GI47" s="192"/>
      <c r="GJ47" s="68"/>
      <c r="GK47" s="68"/>
      <c r="GL47" s="68"/>
      <c r="GM47" s="68"/>
      <c r="GN47" s="68"/>
      <c r="GO47" s="68"/>
      <c r="GP47" s="68"/>
      <c r="GQ47" s="68"/>
      <c r="GR47" s="68"/>
      <c r="GS47" s="68"/>
      <c r="GT47" s="68"/>
      <c r="GU47" s="68"/>
      <c r="GV47" s="68"/>
      <c r="GW47" s="68"/>
      <c r="GX47" s="68"/>
    </row>
    <row r="48" spans="1:206">
      <c r="A48" s="12">
        <v>2014</v>
      </c>
      <c r="B48" s="12"/>
      <c r="C48" s="52"/>
      <c r="D48" s="52"/>
      <c r="E48" s="52"/>
      <c r="F48" s="52"/>
      <c r="G48" s="12"/>
      <c r="H48" s="52"/>
      <c r="I48" s="52"/>
      <c r="J48" s="52"/>
      <c r="K48" s="52"/>
      <c r="L48" s="52"/>
      <c r="M48" s="52"/>
      <c r="N48" s="52"/>
      <c r="O48" s="53"/>
      <c r="P48" s="52"/>
      <c r="Q48" s="52"/>
      <c r="R48" s="52"/>
      <c r="S48" s="52"/>
      <c r="T48" s="52"/>
      <c r="U48" s="52"/>
      <c r="V48" s="52"/>
      <c r="W48" s="52"/>
      <c r="X48" s="35"/>
      <c r="Y48" s="166"/>
      <c r="Z48" s="52"/>
      <c r="AA48" s="166"/>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66"/>
      <c r="BF48" s="166"/>
      <c r="BG48" s="166"/>
      <c r="BH48" s="166"/>
      <c r="BI48" s="166"/>
      <c r="BJ48" s="166"/>
      <c r="BK48" s="166"/>
      <c r="BL48" s="166"/>
      <c r="BM48" s="166"/>
      <c r="BN48" s="166"/>
      <c r="BO48" s="35"/>
      <c r="BP48" s="35"/>
      <c r="BQ48" s="35"/>
      <c r="BR48" s="35"/>
      <c r="BS48" s="35"/>
      <c r="BT48" s="166"/>
      <c r="BU48" s="166"/>
      <c r="BV48" s="166"/>
      <c r="BW48" s="166"/>
      <c r="BX48" s="166"/>
      <c r="BY48" s="166"/>
      <c r="BZ48" s="166"/>
      <c r="CA48" s="166"/>
      <c r="CB48" s="166"/>
      <c r="CC48" s="166"/>
      <c r="CD48" s="35"/>
      <c r="CE48" s="35"/>
      <c r="CF48" s="35"/>
      <c r="CG48" s="35"/>
      <c r="CH48" s="35"/>
      <c r="CI48" s="166"/>
      <c r="CJ48" s="166"/>
      <c r="CK48" s="166"/>
      <c r="CL48" s="166"/>
      <c r="CM48" s="166"/>
      <c r="CN48" s="166"/>
      <c r="CO48" s="166"/>
      <c r="CP48" s="166"/>
      <c r="CQ48" s="166"/>
      <c r="CR48" s="166"/>
      <c r="CS48" s="35"/>
      <c r="CT48" s="35"/>
      <c r="CU48" s="35"/>
      <c r="CV48" s="35"/>
      <c r="CW48" s="35"/>
      <c r="CX48" s="166"/>
      <c r="CY48" s="166"/>
      <c r="CZ48" s="166"/>
      <c r="DA48" s="166"/>
      <c r="DB48" s="166"/>
      <c r="DC48" s="166"/>
      <c r="DD48" s="166"/>
      <c r="DE48" s="166"/>
      <c r="DF48" s="166"/>
      <c r="DG48" s="166"/>
      <c r="DH48" s="166"/>
      <c r="DI48" s="166"/>
      <c r="DJ48" s="166"/>
      <c r="DK48" s="166"/>
      <c r="DL48" s="166"/>
      <c r="DM48" s="166"/>
      <c r="DN48" s="166"/>
      <c r="DO48" s="166"/>
      <c r="DP48" s="166"/>
      <c r="DQ48" s="166"/>
      <c r="DR48" s="166"/>
      <c r="DS48" s="166"/>
      <c r="DT48" s="166"/>
      <c r="DU48" s="166"/>
      <c r="DV48" s="166"/>
      <c r="DW48" s="166"/>
      <c r="DX48" s="166"/>
      <c r="DY48" s="166"/>
      <c r="DZ48" s="166"/>
      <c r="EA48" s="166"/>
      <c r="EB48" s="166"/>
      <c r="EC48" s="166"/>
      <c r="ED48" s="166"/>
      <c r="EE48" s="166"/>
      <c r="EF48" s="166"/>
      <c r="EG48" s="35"/>
      <c r="EH48" s="35"/>
      <c r="EI48" s="35"/>
      <c r="EJ48" s="35"/>
      <c r="EK48" s="35"/>
      <c r="EL48" s="35"/>
      <c r="EM48" s="35"/>
      <c r="EN48" s="53"/>
      <c r="EO48" s="35" t="e">
        <f t="shared" si="138"/>
        <v>#DIV/0!</v>
      </c>
      <c r="EP48" s="35"/>
      <c r="EQ48" s="35"/>
      <c r="ER48" s="35"/>
      <c r="ES48" s="35"/>
      <c r="ET48" s="35"/>
      <c r="EU48" s="35"/>
      <c r="EV48" s="35"/>
      <c r="EW48" s="35"/>
      <c r="EX48" s="61"/>
      <c r="EY48" s="61"/>
      <c r="EZ48" s="12"/>
      <c r="FA48" s="12"/>
      <c r="FB48" s="12"/>
      <c r="FC48" s="12"/>
      <c r="FD48" s="35"/>
      <c r="FE48" s="53"/>
      <c r="FF48" s="35" t="e">
        <f t="shared" si="142"/>
        <v>#DIV/0!</v>
      </c>
      <c r="FG48" s="35"/>
      <c r="FH48" s="35"/>
      <c r="FI48" s="35"/>
      <c r="FJ48" s="35"/>
      <c r="FK48" s="35"/>
      <c r="FL48" s="35"/>
      <c r="FM48" s="35"/>
      <c r="FN48" s="35"/>
      <c r="FO48" s="61"/>
      <c r="FP48" s="61"/>
      <c r="FQ48" s="12"/>
      <c r="FR48" s="35"/>
      <c r="FS48" s="35"/>
      <c r="FT48" s="53"/>
      <c r="FU48" s="53"/>
      <c r="FV48" s="35" t="e">
        <f t="shared" si="145"/>
        <v>#DIV/0!</v>
      </c>
      <c r="FW48" s="35"/>
      <c r="FX48" s="66"/>
      <c r="FY48" s="35"/>
      <c r="FZ48" s="35"/>
      <c r="GA48" s="66"/>
      <c r="GB48" s="66"/>
      <c r="GC48" s="52"/>
      <c r="GD48" s="35"/>
      <c r="GE48" s="35"/>
      <c r="GF48" s="68"/>
      <c r="GG48" s="52"/>
      <c r="GH48" s="68"/>
      <c r="GI48" s="192"/>
      <c r="GJ48" s="68"/>
      <c r="GK48" s="68"/>
      <c r="GL48" s="68"/>
      <c r="GM48" s="68"/>
      <c r="GN48" s="68"/>
      <c r="GO48" s="68"/>
      <c r="GP48" s="68"/>
      <c r="GQ48" s="68"/>
      <c r="GR48" s="68"/>
      <c r="GS48" s="68"/>
      <c r="GT48" s="68"/>
      <c r="GU48" s="68"/>
      <c r="GV48" s="68"/>
      <c r="GW48" s="68"/>
      <c r="GX48" s="68"/>
    </row>
    <row r="49" spans="1:206">
      <c r="A49" s="12">
        <v>2013</v>
      </c>
      <c r="B49" s="12"/>
      <c r="C49" s="52"/>
      <c r="D49" s="52"/>
      <c r="E49" s="52"/>
      <c r="F49" s="52"/>
      <c r="G49" s="12"/>
      <c r="H49" s="52"/>
      <c r="I49" s="52"/>
      <c r="J49" s="52"/>
      <c r="K49" s="52"/>
      <c r="L49" s="52"/>
      <c r="M49" s="52"/>
      <c r="N49" s="52"/>
      <c r="O49" s="53"/>
      <c r="P49" s="52"/>
      <c r="Q49" s="52"/>
      <c r="R49" s="52"/>
      <c r="S49" s="52"/>
      <c r="T49" s="52"/>
      <c r="U49" s="52"/>
      <c r="V49" s="52"/>
      <c r="W49" s="52"/>
      <c r="X49" s="35"/>
      <c r="Y49" s="166"/>
      <c r="Z49" s="52"/>
      <c r="AA49" s="166"/>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66"/>
      <c r="BF49" s="166"/>
      <c r="BG49" s="166"/>
      <c r="BH49" s="166"/>
      <c r="BI49" s="166"/>
      <c r="BJ49" s="166"/>
      <c r="BK49" s="166"/>
      <c r="BL49" s="166"/>
      <c r="BM49" s="166"/>
      <c r="BN49" s="166"/>
      <c r="BO49" s="35"/>
      <c r="BP49" s="35"/>
      <c r="BQ49" s="35"/>
      <c r="BR49" s="35"/>
      <c r="BS49" s="35"/>
      <c r="BT49" s="166"/>
      <c r="BU49" s="166"/>
      <c r="BV49" s="166"/>
      <c r="BW49" s="166"/>
      <c r="BX49" s="166"/>
      <c r="BY49" s="166"/>
      <c r="BZ49" s="166"/>
      <c r="CA49" s="166"/>
      <c r="CB49" s="166"/>
      <c r="CC49" s="166"/>
      <c r="CD49" s="35"/>
      <c r="CE49" s="35"/>
      <c r="CF49" s="35"/>
      <c r="CG49" s="35"/>
      <c r="CH49" s="35"/>
      <c r="CI49" s="166"/>
      <c r="CJ49" s="166"/>
      <c r="CK49" s="166"/>
      <c r="CL49" s="166"/>
      <c r="CM49" s="166"/>
      <c r="CN49" s="166"/>
      <c r="CO49" s="166"/>
      <c r="CP49" s="166"/>
      <c r="CQ49" s="166"/>
      <c r="CR49" s="166"/>
      <c r="CS49" s="35"/>
      <c r="CT49" s="35"/>
      <c r="CU49" s="35"/>
      <c r="CV49" s="35"/>
      <c r="CW49" s="35"/>
      <c r="CX49" s="166"/>
      <c r="CY49" s="166"/>
      <c r="CZ49" s="166"/>
      <c r="DA49" s="166"/>
      <c r="DB49" s="166"/>
      <c r="DC49" s="166"/>
      <c r="DD49" s="166"/>
      <c r="DE49" s="166"/>
      <c r="DF49" s="166"/>
      <c r="DG49" s="166"/>
      <c r="DH49" s="166"/>
      <c r="DI49" s="166"/>
      <c r="DJ49" s="166"/>
      <c r="DK49" s="166"/>
      <c r="DL49" s="166"/>
      <c r="DM49" s="166"/>
      <c r="DN49" s="166"/>
      <c r="DO49" s="166"/>
      <c r="DP49" s="166"/>
      <c r="DQ49" s="166"/>
      <c r="DR49" s="166"/>
      <c r="DS49" s="166"/>
      <c r="DT49" s="166"/>
      <c r="DU49" s="166"/>
      <c r="DV49" s="166"/>
      <c r="DW49" s="166"/>
      <c r="DX49" s="166"/>
      <c r="DY49" s="166"/>
      <c r="DZ49" s="166"/>
      <c r="EA49" s="166"/>
      <c r="EB49" s="166"/>
      <c r="EC49" s="166"/>
      <c r="ED49" s="166"/>
      <c r="EE49" s="166"/>
      <c r="EF49" s="166"/>
      <c r="EG49" s="35"/>
      <c r="EH49" s="35"/>
      <c r="EI49" s="35"/>
      <c r="EJ49" s="35"/>
      <c r="EK49" s="35"/>
      <c r="EL49" s="35"/>
      <c r="EM49" s="35"/>
      <c r="EN49" s="53"/>
      <c r="EO49" s="35" t="e">
        <f t="shared" si="138"/>
        <v>#DIV/0!</v>
      </c>
      <c r="EP49" s="35"/>
      <c r="EQ49" s="35"/>
      <c r="ER49" s="35"/>
      <c r="ES49" s="35"/>
      <c r="ET49" s="35"/>
      <c r="EU49" s="35"/>
      <c r="EV49" s="35"/>
      <c r="EW49" s="35"/>
      <c r="EX49" s="61"/>
      <c r="EY49" s="61"/>
      <c r="EZ49" s="12"/>
      <c r="FA49" s="12"/>
      <c r="FB49" s="12"/>
      <c r="FC49" s="12"/>
      <c r="FD49" s="35"/>
      <c r="FE49" s="53"/>
      <c r="FF49" s="35" t="e">
        <f t="shared" si="142"/>
        <v>#DIV/0!</v>
      </c>
      <c r="FG49" s="35"/>
      <c r="FH49" s="35"/>
      <c r="FI49" s="35"/>
      <c r="FJ49" s="35"/>
      <c r="FK49" s="35"/>
      <c r="FL49" s="35"/>
      <c r="FM49" s="35"/>
      <c r="FN49" s="35"/>
      <c r="FO49" s="61"/>
      <c r="FP49" s="61"/>
      <c r="FQ49" s="12"/>
      <c r="FR49" s="35"/>
      <c r="FS49" s="35"/>
      <c r="FT49" s="53"/>
      <c r="FU49" s="53"/>
      <c r="FV49" s="35" t="e">
        <f t="shared" si="145"/>
        <v>#DIV/0!</v>
      </c>
      <c r="FW49" s="35"/>
      <c r="FX49" s="66"/>
      <c r="FY49" s="35"/>
      <c r="FZ49" s="35"/>
      <c r="GA49" s="66"/>
      <c r="GB49" s="66"/>
      <c r="GC49" s="52"/>
      <c r="GD49" s="35"/>
      <c r="GE49" s="35"/>
      <c r="GF49" s="68"/>
      <c r="GG49" s="52"/>
      <c r="GH49" s="68"/>
      <c r="GI49" s="192"/>
      <c r="GJ49" s="68"/>
      <c r="GK49" s="68"/>
      <c r="GL49" s="68"/>
      <c r="GM49" s="68"/>
      <c r="GN49" s="68"/>
      <c r="GO49" s="68"/>
      <c r="GP49" s="68"/>
      <c r="GQ49" s="68"/>
      <c r="GR49" s="68"/>
      <c r="GS49" s="68"/>
      <c r="GT49" s="68"/>
      <c r="GU49" s="68"/>
      <c r="GV49" s="68"/>
      <c r="GW49" s="68"/>
      <c r="GX49" s="68"/>
    </row>
    <row r="50" spans="1:206">
      <c r="A50" s="12">
        <v>2012</v>
      </c>
      <c r="B50" s="12"/>
      <c r="C50" s="52"/>
      <c r="D50" s="52"/>
      <c r="E50" s="52"/>
      <c r="F50" s="52"/>
      <c r="G50" s="12"/>
      <c r="H50" s="52"/>
      <c r="I50" s="52"/>
      <c r="J50" s="52"/>
      <c r="K50" s="52"/>
      <c r="L50" s="52"/>
      <c r="M50" s="52"/>
      <c r="N50" s="52"/>
      <c r="O50" s="53"/>
      <c r="P50" s="52"/>
      <c r="Q50" s="52"/>
      <c r="R50" s="52"/>
      <c r="S50" s="52"/>
      <c r="T50" s="52"/>
      <c r="U50" s="52"/>
      <c r="V50" s="52"/>
      <c r="W50" s="52"/>
      <c r="X50" s="35"/>
      <c r="Y50" s="166"/>
      <c r="Z50" s="52"/>
      <c r="AA50" s="166"/>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66"/>
      <c r="BF50" s="166"/>
      <c r="BG50" s="166"/>
      <c r="BH50" s="166"/>
      <c r="BI50" s="166"/>
      <c r="BJ50" s="166"/>
      <c r="BK50" s="166"/>
      <c r="BL50" s="166"/>
      <c r="BM50" s="166"/>
      <c r="BN50" s="166"/>
      <c r="BO50" s="35"/>
      <c r="BP50" s="35"/>
      <c r="BQ50" s="35"/>
      <c r="BR50" s="35"/>
      <c r="BS50" s="35"/>
      <c r="BT50" s="166"/>
      <c r="BU50" s="166"/>
      <c r="BV50" s="166"/>
      <c r="BW50" s="166"/>
      <c r="BX50" s="166"/>
      <c r="BY50" s="166"/>
      <c r="BZ50" s="166"/>
      <c r="CA50" s="166"/>
      <c r="CB50" s="166"/>
      <c r="CC50" s="166"/>
      <c r="CD50" s="35"/>
      <c r="CE50" s="35"/>
      <c r="CF50" s="35"/>
      <c r="CG50" s="35"/>
      <c r="CH50" s="35"/>
      <c r="CI50" s="166"/>
      <c r="CJ50" s="166"/>
      <c r="CK50" s="166"/>
      <c r="CL50" s="166"/>
      <c r="CM50" s="166"/>
      <c r="CN50" s="166"/>
      <c r="CO50" s="166"/>
      <c r="CP50" s="166"/>
      <c r="CQ50" s="166"/>
      <c r="CR50" s="166"/>
      <c r="CS50" s="35"/>
      <c r="CT50" s="35"/>
      <c r="CU50" s="35"/>
      <c r="CV50" s="35"/>
      <c r="CW50" s="35"/>
      <c r="CX50" s="166"/>
      <c r="CY50" s="166"/>
      <c r="CZ50" s="166"/>
      <c r="DA50" s="166"/>
      <c r="DB50" s="166"/>
      <c r="DC50" s="166"/>
      <c r="DD50" s="166"/>
      <c r="DE50" s="166"/>
      <c r="DF50" s="166"/>
      <c r="DG50" s="166"/>
      <c r="DH50" s="166"/>
      <c r="DI50" s="166"/>
      <c r="DJ50" s="166"/>
      <c r="DK50" s="166"/>
      <c r="DL50" s="166"/>
      <c r="DM50" s="166"/>
      <c r="DN50" s="166"/>
      <c r="DO50" s="166"/>
      <c r="DP50" s="166"/>
      <c r="DQ50" s="166"/>
      <c r="DR50" s="166"/>
      <c r="DS50" s="166"/>
      <c r="DT50" s="166"/>
      <c r="DU50" s="166"/>
      <c r="DV50" s="166"/>
      <c r="DW50" s="166"/>
      <c r="DX50" s="166"/>
      <c r="DY50" s="166"/>
      <c r="DZ50" s="166"/>
      <c r="EA50" s="166"/>
      <c r="EB50" s="166"/>
      <c r="EC50" s="166"/>
      <c r="ED50" s="166"/>
      <c r="EE50" s="166"/>
      <c r="EF50" s="166"/>
      <c r="EG50" s="35"/>
      <c r="EH50" s="35"/>
      <c r="EI50" s="35"/>
      <c r="EJ50" s="35"/>
      <c r="EK50" s="35"/>
      <c r="EL50" s="35"/>
      <c r="EM50" s="35"/>
      <c r="EN50" s="53"/>
      <c r="EO50" s="35" t="e">
        <f t="shared" si="138"/>
        <v>#DIV/0!</v>
      </c>
      <c r="EP50" s="35"/>
      <c r="EQ50" s="35"/>
      <c r="ER50" s="35"/>
      <c r="ES50" s="35"/>
      <c r="ET50" s="35"/>
      <c r="EU50" s="35"/>
      <c r="EV50" s="35"/>
      <c r="EW50" s="35"/>
      <c r="EX50" s="61"/>
      <c r="EY50" s="61"/>
      <c r="EZ50" s="12"/>
      <c r="FA50" s="12"/>
      <c r="FB50" s="12"/>
      <c r="FC50" s="12"/>
      <c r="FD50" s="35"/>
      <c r="FE50" s="53"/>
      <c r="FF50" s="35" t="e">
        <f t="shared" si="142"/>
        <v>#DIV/0!</v>
      </c>
      <c r="FG50" s="35"/>
      <c r="FH50" s="35"/>
      <c r="FI50" s="35"/>
      <c r="FJ50" s="35"/>
      <c r="FK50" s="35"/>
      <c r="FL50" s="35"/>
      <c r="FM50" s="35"/>
      <c r="FN50" s="35"/>
      <c r="FO50" s="61"/>
      <c r="FP50" s="61"/>
      <c r="FQ50" s="12"/>
      <c r="FR50" s="35"/>
      <c r="FS50" s="35"/>
      <c r="FT50" s="53"/>
      <c r="FU50" s="53"/>
      <c r="FV50" s="35" t="e">
        <f t="shared" si="145"/>
        <v>#DIV/0!</v>
      </c>
      <c r="FW50" s="35"/>
      <c r="FX50" s="66"/>
      <c r="FY50" s="35"/>
      <c r="FZ50" s="35"/>
      <c r="GA50" s="66"/>
      <c r="GB50" s="66"/>
      <c r="GC50" s="52"/>
      <c r="GD50" s="35"/>
      <c r="GE50" s="35"/>
      <c r="GF50" s="68"/>
      <c r="GG50" s="52"/>
      <c r="GH50" s="68"/>
      <c r="GI50" s="192"/>
      <c r="GJ50" s="68"/>
      <c r="GK50" s="68"/>
      <c r="GL50" s="68"/>
      <c r="GM50" s="68"/>
      <c r="GN50" s="68"/>
      <c r="GO50" s="68"/>
      <c r="GP50" s="68"/>
      <c r="GQ50" s="68"/>
      <c r="GR50" s="68"/>
      <c r="GS50" s="68"/>
      <c r="GT50" s="68"/>
      <c r="GU50" s="68"/>
      <c r="GV50" s="68"/>
      <c r="GW50" s="68"/>
      <c r="GX50" s="6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577</v>
      </c>
      <c r="B1" s="3"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498</v>
      </c>
      <c r="C2" t="s">
        <v>586</v>
      </c>
      <c r="D2" t="s">
        <v>587</v>
      </c>
      <c r="E2" s="2" t="s">
        <v>588</v>
      </c>
      <c r="F2" t="s">
        <v>589</v>
      </c>
      <c r="G2" s="2" t="s">
        <v>590</v>
      </c>
      <c r="H2" s="2" t="s">
        <v>591</v>
      </c>
      <c r="I2" s="2" t="s">
        <v>592</v>
      </c>
    </row>
    <row r="3" spans="2:6">
      <c r="B3" t="s">
        <v>593</v>
      </c>
      <c r="C3" t="s">
        <v>594</v>
      </c>
      <c r="D3" t="s">
        <v>595</v>
      </c>
      <c r="E3" t="s">
        <v>596</v>
      </c>
      <c r="F3" t="s">
        <v>597</v>
      </c>
    </row>
    <row r="4" spans="2:6">
      <c r="B4" t="s">
        <v>598</v>
      </c>
      <c r="D4" t="s">
        <v>599</v>
      </c>
      <c r="F4" t="s">
        <v>600</v>
      </c>
    </row>
    <row r="5" spans="2:2">
      <c r="B5" t="s">
        <v>601</v>
      </c>
    </row>
    <row r="6" spans="2:2">
      <c r="B6" t="s">
        <v>502</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H8" sqref="H8"/>
    </sheetView>
  </sheetViews>
  <sheetFormatPr defaultColWidth="9.23076923076923" defaultRowHeight="16.8" outlineLevelRow="5" outlineLevelCol="6"/>
  <cols>
    <col min="2" max="2" width="14.5384615384615"/>
    <col min="7" max="7" width="13.4615384615385"/>
  </cols>
  <sheetData>
    <row r="1" spans="1:2">
      <c r="A1" t="s">
        <v>251</v>
      </c>
      <c r="B1" t="s">
        <v>52</v>
      </c>
    </row>
    <row r="2" spans="1:1">
      <c r="A2">
        <v>2023</v>
      </c>
    </row>
    <row r="3" spans="1:1">
      <c r="A3">
        <v>2022</v>
      </c>
    </row>
    <row r="4" spans="1:7">
      <c r="A4">
        <v>2021</v>
      </c>
      <c r="G4" s="148"/>
    </row>
    <row r="5" spans="1:7">
      <c r="A5">
        <v>2020</v>
      </c>
      <c r="B5" s="4">
        <v>540073868</v>
      </c>
      <c r="G5" s="148"/>
    </row>
    <row r="6" spans="1:1">
      <c r="A6">
        <v>2019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3" customWidth="1"/>
    <col min="4" max="4" width="20" style="1" customWidth="1"/>
    <col min="5" max="5" width="13.9326923076923" style="1" customWidth="1"/>
    <col min="6" max="6" width="20" style="134" customWidth="1"/>
    <col min="7" max="7" width="7.30769230769231" style="1" customWidth="1"/>
    <col min="8" max="8" width="8.65384615384615" style="1" customWidth="1"/>
    <col min="9" max="9" width="17.3846153846154" style="1" customWidth="1"/>
    <col min="10" max="12" width="16.2307692307692" style="1"/>
    <col min="13" max="13" width="11.7307692307692" style="11" customWidth="1"/>
  </cols>
  <sheetData>
    <row r="1" spans="1:13">
      <c r="A1" s="1" t="s">
        <v>252</v>
      </c>
      <c r="B1" s="12" t="s">
        <v>1</v>
      </c>
      <c r="C1" s="77" t="s">
        <v>253</v>
      </c>
      <c r="D1" s="27" t="s">
        <v>254</v>
      </c>
      <c r="E1" s="12" t="s">
        <v>255</v>
      </c>
      <c r="F1" s="137" t="s">
        <v>256</v>
      </c>
      <c r="G1" s="12" t="s">
        <v>257</v>
      </c>
      <c r="H1" s="12"/>
      <c r="I1" s="12"/>
      <c r="J1" s="12"/>
      <c r="K1" s="12"/>
      <c r="L1" s="12"/>
      <c r="M1" s="12"/>
    </row>
    <row r="2" ht="101" spans="1:13">
      <c r="A2" s="1"/>
      <c r="B2" s="12"/>
      <c r="C2" s="77"/>
      <c r="D2" s="42"/>
      <c r="E2" s="12"/>
      <c r="F2" s="137"/>
      <c r="G2" s="25" t="s">
        <v>258</v>
      </c>
      <c r="H2" s="25" t="s">
        <v>259</v>
      </c>
      <c r="I2" s="25" t="s">
        <v>260</v>
      </c>
      <c r="J2" s="25" t="s">
        <v>261</v>
      </c>
      <c r="K2" s="25" t="s">
        <v>262</v>
      </c>
      <c r="L2" s="25" t="s">
        <v>263</v>
      </c>
      <c r="M2" s="146" t="s">
        <v>264</v>
      </c>
    </row>
    <row r="3" spans="1:13">
      <c r="A3" s="1" t="s">
        <v>113</v>
      </c>
      <c r="B3" s="12">
        <v>2022</v>
      </c>
      <c r="C3" s="77">
        <v>4633833787</v>
      </c>
      <c r="D3" s="36">
        <f t="shared" ref="D3:D11" si="0">(C3-C4)/C4</f>
        <v>0.1</v>
      </c>
      <c r="E3" s="88">
        <v>156565</v>
      </c>
      <c r="F3" s="138">
        <f t="shared" ref="F3:F11" si="1">(E3-E4)/E4</f>
        <v>-0.104631678876365</v>
      </c>
      <c r="G3" s="16">
        <v>2</v>
      </c>
      <c r="H3" s="12">
        <v>7</v>
      </c>
      <c r="I3" s="12">
        <v>0</v>
      </c>
      <c r="J3" s="90">
        <v>3243683650.9</v>
      </c>
      <c r="K3" s="90">
        <f>J3/C3</f>
        <v>0.7</v>
      </c>
      <c r="L3" s="90">
        <v>6197716943.78</v>
      </c>
      <c r="M3" s="35">
        <f>J3/L3</f>
        <v>0.523367504570428</v>
      </c>
    </row>
    <row r="4" spans="1:13">
      <c r="A4" s="1"/>
      <c r="B4" s="12">
        <v>2021</v>
      </c>
      <c r="C4" s="77">
        <v>4212576170</v>
      </c>
      <c r="D4" s="36">
        <f t="shared" si="0"/>
        <v>0.29999999987656</v>
      </c>
      <c r="E4" s="88">
        <v>174861</v>
      </c>
      <c r="F4" s="139">
        <f t="shared" si="1"/>
        <v>1.62085762676299</v>
      </c>
      <c r="G4" s="16">
        <v>1</v>
      </c>
      <c r="H4" s="12">
        <v>7.6</v>
      </c>
      <c r="I4" s="12">
        <v>0</v>
      </c>
      <c r="J4" s="90">
        <v>3201557889.2</v>
      </c>
      <c r="K4" s="90">
        <f t="shared" ref="K4:K17" si="2">J4/C4</f>
        <v>0.76</v>
      </c>
      <c r="L4" s="90">
        <v>6670757811.72</v>
      </c>
      <c r="M4" s="35">
        <f>J4/L4</f>
        <v>0.47993915827301</v>
      </c>
    </row>
    <row r="5" spans="1:13">
      <c r="A5" s="1"/>
      <c r="B5" s="12">
        <v>2020</v>
      </c>
      <c r="C5" s="77">
        <v>3240443208</v>
      </c>
      <c r="D5" s="36">
        <f t="shared" si="0"/>
        <v>0.2</v>
      </c>
      <c r="E5" s="88">
        <v>66719</v>
      </c>
      <c r="F5" s="139">
        <f t="shared" si="1"/>
        <v>1.12602765916768</v>
      </c>
      <c r="G5" s="140">
        <v>1</v>
      </c>
      <c r="H5" s="12">
        <v>10.3</v>
      </c>
      <c r="I5" s="16">
        <v>2</v>
      </c>
      <c r="J5" s="90">
        <v>3337656504.24</v>
      </c>
      <c r="K5" s="90">
        <f t="shared" si="2"/>
        <v>1.03</v>
      </c>
      <c r="L5" s="90">
        <v>6402859991.91</v>
      </c>
      <c r="M5" s="35">
        <f t="shared" ref="M5:M13" si="3">J5/L5</f>
        <v>0.521275884285635</v>
      </c>
    </row>
    <row r="6" spans="1:13">
      <c r="A6" s="1"/>
      <c r="B6" s="12">
        <v>2019</v>
      </c>
      <c r="C6" s="77">
        <v>2700369340</v>
      </c>
      <c r="D6" s="35">
        <f t="shared" si="0"/>
        <v>0</v>
      </c>
      <c r="E6" s="88">
        <v>31382</v>
      </c>
      <c r="F6" s="139">
        <f t="shared" si="1"/>
        <v>0.486453201970443</v>
      </c>
      <c r="G6" s="12">
        <v>0</v>
      </c>
      <c r="H6" s="12">
        <v>10.8</v>
      </c>
      <c r="I6" s="16">
        <v>2</v>
      </c>
      <c r="J6" s="90">
        <v>2916398887.2</v>
      </c>
      <c r="K6" s="90">
        <f t="shared" si="2"/>
        <v>1.08</v>
      </c>
      <c r="L6" s="90">
        <v>5353185029.35</v>
      </c>
      <c r="M6" s="35">
        <f t="shared" si="3"/>
        <v>0.544796951947338</v>
      </c>
    </row>
    <row r="7" spans="1:13">
      <c r="A7" s="1"/>
      <c r="B7" s="12">
        <v>2018</v>
      </c>
      <c r="C7" s="77">
        <v>2700369340</v>
      </c>
      <c r="D7" s="35">
        <f t="shared" si="0"/>
        <v>-0.000309994788625395</v>
      </c>
      <c r="E7" s="93">
        <v>21112</v>
      </c>
      <c r="F7" s="138">
        <f t="shared" si="1"/>
        <v>0.091285020159206</v>
      </c>
      <c r="G7" s="141">
        <v>0</v>
      </c>
      <c r="H7" s="12">
        <v>9.8</v>
      </c>
      <c r="I7" s="12">
        <v>0</v>
      </c>
      <c r="J7" s="90">
        <v>2646361953.2</v>
      </c>
      <c r="K7" s="90">
        <f t="shared" si="2"/>
        <v>0.98</v>
      </c>
      <c r="L7" s="90">
        <v>4364813027.88</v>
      </c>
      <c r="M7" s="35">
        <f t="shared" si="3"/>
        <v>0.606294458959985</v>
      </c>
    </row>
    <row r="8" spans="1:13">
      <c r="A8" s="1"/>
      <c r="B8" s="16">
        <v>2017</v>
      </c>
      <c r="C8" s="77">
        <v>2701206700</v>
      </c>
      <c r="D8" s="35">
        <f t="shared" si="0"/>
        <v>-0.00138412873846462</v>
      </c>
      <c r="E8" s="93">
        <v>19346</v>
      </c>
      <c r="F8" s="138">
        <f t="shared" si="1"/>
        <v>-0.165004963528853</v>
      </c>
      <c r="G8" s="12">
        <v>0</v>
      </c>
      <c r="H8" s="12">
        <v>8.5</v>
      </c>
      <c r="I8" s="12">
        <v>0</v>
      </c>
      <c r="J8" s="90">
        <v>2296025695</v>
      </c>
      <c r="K8" s="90">
        <f t="shared" si="2"/>
        <v>0.85</v>
      </c>
      <c r="L8" s="90">
        <v>3531436928.16</v>
      </c>
      <c r="M8" s="35">
        <f t="shared" si="3"/>
        <v>0.650167549841053</v>
      </c>
    </row>
    <row r="9" spans="1:13">
      <c r="A9" s="1"/>
      <c r="B9" s="12">
        <v>2016</v>
      </c>
      <c r="C9" s="77">
        <v>2704950700</v>
      </c>
      <c r="D9" s="35">
        <f t="shared" si="0"/>
        <v>-0.000478633501906331</v>
      </c>
      <c r="E9" s="93">
        <v>23169</v>
      </c>
      <c r="F9" s="138">
        <f t="shared" si="1"/>
        <v>-0.159843347717301</v>
      </c>
      <c r="G9" s="141">
        <v>0</v>
      </c>
      <c r="H9" s="12">
        <v>6.8</v>
      </c>
      <c r="I9" s="12">
        <v>0</v>
      </c>
      <c r="J9" s="90">
        <v>1839366476</v>
      </c>
      <c r="K9" s="90">
        <f t="shared" si="2"/>
        <v>0.68</v>
      </c>
      <c r="L9" s="90">
        <v>2843133968.17</v>
      </c>
      <c r="M9" s="35">
        <f t="shared" si="3"/>
        <v>0.646950335999791</v>
      </c>
    </row>
    <row r="10" spans="1:13">
      <c r="A10" s="1"/>
      <c r="B10" s="12">
        <v>2015</v>
      </c>
      <c r="C10" s="77">
        <v>2706246000</v>
      </c>
      <c r="D10" s="36">
        <f t="shared" si="0"/>
        <v>0.799868314289895</v>
      </c>
      <c r="E10" s="93">
        <v>27577</v>
      </c>
      <c r="F10" s="138">
        <f t="shared" si="1"/>
        <v>0.358205279747833</v>
      </c>
      <c r="G10" s="141">
        <v>0</v>
      </c>
      <c r="H10" s="12">
        <v>6</v>
      </c>
      <c r="I10" s="12">
        <v>0</v>
      </c>
      <c r="J10" s="90">
        <v>1623747600</v>
      </c>
      <c r="K10" s="90">
        <f t="shared" si="2"/>
        <v>0.6</v>
      </c>
      <c r="L10" s="90">
        <v>2509632367.33</v>
      </c>
      <c r="M10" s="35">
        <f t="shared" si="3"/>
        <v>0.647006159602375</v>
      </c>
    </row>
    <row r="11" spans="1:13">
      <c r="A11" s="1"/>
      <c r="B11" s="12">
        <v>2014</v>
      </c>
      <c r="C11" s="77">
        <v>1503580000</v>
      </c>
      <c r="D11" s="36">
        <f t="shared" si="0"/>
        <v>1.11473980309423</v>
      </c>
      <c r="E11" s="93">
        <v>20304</v>
      </c>
      <c r="F11" s="139">
        <f t="shared" si="1"/>
        <v>337.4</v>
      </c>
      <c r="G11" s="12">
        <v>0</v>
      </c>
      <c r="H11" s="12">
        <v>8.5</v>
      </c>
      <c r="I11" s="16">
        <v>8</v>
      </c>
      <c r="J11" s="90">
        <v>1278043000</v>
      </c>
      <c r="K11" s="90">
        <f t="shared" si="2"/>
        <v>0.85</v>
      </c>
      <c r="L11" s="90">
        <v>2090275690.29</v>
      </c>
      <c r="M11" s="35">
        <f t="shared" si="3"/>
        <v>0.611423175391131</v>
      </c>
    </row>
    <row r="12" spans="1:13">
      <c r="A12" s="1"/>
      <c r="B12" s="12">
        <v>2013</v>
      </c>
      <c r="C12" s="77">
        <v>711000000</v>
      </c>
      <c r="D12" s="88"/>
      <c r="E12" s="12">
        <v>60</v>
      </c>
      <c r="F12" s="137"/>
      <c r="G12" s="141">
        <v>0</v>
      </c>
      <c r="H12" s="12">
        <v>13.5</v>
      </c>
      <c r="I12" s="16">
        <v>10</v>
      </c>
      <c r="J12" s="90">
        <v>978600000</v>
      </c>
      <c r="K12" s="90">
        <f t="shared" si="2"/>
        <v>1.37637130801688</v>
      </c>
      <c r="L12" s="90">
        <v>1606418791.67</v>
      </c>
      <c r="M12" s="35">
        <f t="shared" si="3"/>
        <v>0.609181120810139</v>
      </c>
    </row>
    <row r="13" spans="1:13">
      <c r="A13" s="1"/>
      <c r="B13" s="27">
        <v>2012</v>
      </c>
      <c r="C13" s="79"/>
      <c r="D13" s="135"/>
      <c r="E13" s="27"/>
      <c r="F13" s="142"/>
      <c r="G13" s="143">
        <v>0</v>
      </c>
      <c r="H13" s="27">
        <v>10.5</v>
      </c>
      <c r="I13" s="27">
        <v>0</v>
      </c>
      <c r="J13" s="144">
        <v>746550000</v>
      </c>
      <c r="K13" s="144" t="e">
        <f t="shared" si="2"/>
        <v>#DIV/0!</v>
      </c>
      <c r="L13" s="144">
        <v>1207566852.96</v>
      </c>
      <c r="M13" s="147">
        <f t="shared" si="3"/>
        <v>0.618226641589283</v>
      </c>
    </row>
    <row r="14" spans="1:13">
      <c r="A14" s="12" t="s">
        <v>131</v>
      </c>
      <c r="B14" s="12">
        <v>2022</v>
      </c>
      <c r="C14" s="136">
        <f>763054090</f>
        <v>763054090</v>
      </c>
      <c r="D14" s="38">
        <f>(C14-C15)/C15</f>
        <v>0.0117642739377563</v>
      </c>
      <c r="E14" s="88">
        <v>33694</v>
      </c>
      <c r="F14" s="137"/>
      <c r="G14" s="12"/>
      <c r="H14" s="141">
        <v>3.2</v>
      </c>
      <c r="I14" s="141">
        <v>4</v>
      </c>
      <c r="J14" s="145">
        <v>37709084.5</v>
      </c>
      <c r="K14" s="90">
        <f t="shared" si="2"/>
        <v>0.0494186257490606</v>
      </c>
      <c r="L14" s="12"/>
      <c r="M14" s="35"/>
    </row>
    <row r="15" spans="1:13">
      <c r="A15" s="12"/>
      <c r="B15" s="12">
        <v>2021</v>
      </c>
      <c r="C15" s="77">
        <f>754181690</f>
        <v>754181690</v>
      </c>
      <c r="D15" s="38">
        <f>(C15-C16)/C16</f>
        <v>0.196269948626715</v>
      </c>
      <c r="E15" s="88">
        <v>45760</v>
      </c>
      <c r="F15" s="137"/>
      <c r="G15" s="12"/>
      <c r="H15" s="12"/>
      <c r="I15" s="12">
        <f>0.2*10</f>
        <v>2</v>
      </c>
      <c r="J15" s="90">
        <v>157611110.25</v>
      </c>
      <c r="K15" s="90">
        <f t="shared" si="2"/>
        <v>0.20898294448119</v>
      </c>
      <c r="L15" s="12"/>
      <c r="M15" s="35"/>
    </row>
    <row r="16" spans="1:13">
      <c r="A16" s="12"/>
      <c r="B16" s="12">
        <v>2020</v>
      </c>
      <c r="C16" s="77">
        <f>63044.44*10000</f>
        <v>630444400</v>
      </c>
      <c r="D16" s="38">
        <f>(C16-C17)/C17</f>
        <v>0.525927073374399</v>
      </c>
      <c r="E16" s="88">
        <v>15284</v>
      </c>
      <c r="F16" s="137"/>
      <c r="G16" s="12"/>
      <c r="H16" s="12"/>
      <c r="I16" s="12">
        <f>0.45*10</f>
        <v>4.5</v>
      </c>
      <c r="J16" s="88">
        <v>115683400</v>
      </c>
      <c r="K16" s="90">
        <f t="shared" si="2"/>
        <v>0.183495007648573</v>
      </c>
      <c r="L16" s="12"/>
      <c r="M16" s="35"/>
    </row>
    <row r="17" spans="1:13">
      <c r="A17" s="12"/>
      <c r="B17" s="12">
        <v>2019</v>
      </c>
      <c r="C17" s="77">
        <f>41315.5*10000</f>
        <v>413155000</v>
      </c>
      <c r="D17" s="38">
        <f>(C17-C18)/C18</f>
        <v>0.111124557935643</v>
      </c>
      <c r="E17" s="88">
        <v>14446</v>
      </c>
      <c r="F17" s="137"/>
      <c r="G17" s="12"/>
      <c r="H17" s="12"/>
      <c r="I17" s="12"/>
      <c r="J17" s="88">
        <v>82631000</v>
      </c>
      <c r="K17" s="90">
        <f t="shared" si="2"/>
        <v>0.2</v>
      </c>
      <c r="L17" s="12"/>
      <c r="M17" s="35"/>
    </row>
    <row r="18" spans="1:13">
      <c r="A18" s="12"/>
      <c r="B18" s="12">
        <v>2018</v>
      </c>
      <c r="C18" s="77">
        <f>37183.5*10000</f>
        <v>371835000</v>
      </c>
      <c r="D18" s="12"/>
      <c r="E18" s="12"/>
      <c r="F18" s="137"/>
      <c r="G18" s="12"/>
      <c r="H18" s="12"/>
      <c r="I18" s="12"/>
      <c r="J18" s="12"/>
      <c r="K18" s="12"/>
      <c r="L18" s="12"/>
      <c r="M18" s="35"/>
    </row>
    <row r="19" spans="1:13">
      <c r="A19" s="12"/>
      <c r="B19" s="21">
        <v>2017</v>
      </c>
      <c r="C19" s="77"/>
      <c r="D19" s="12"/>
      <c r="E19" s="12"/>
      <c r="F19" s="137"/>
      <c r="G19" s="12"/>
      <c r="H19" s="12"/>
      <c r="I19" s="12"/>
      <c r="J19" s="12"/>
      <c r="K19" s="12"/>
      <c r="L19" s="12"/>
      <c r="M19" s="35"/>
    </row>
    <row r="20" spans="1:13">
      <c r="A20" s="12"/>
      <c r="B20" s="12">
        <v>2016</v>
      </c>
      <c r="C20" s="77"/>
      <c r="D20" s="12"/>
      <c r="E20" s="12"/>
      <c r="F20" s="137"/>
      <c r="G20" s="12"/>
      <c r="H20" s="12"/>
      <c r="I20" s="12"/>
      <c r="J20" s="12"/>
      <c r="K20" s="12"/>
      <c r="L20" s="12"/>
      <c r="M20" s="35"/>
    </row>
    <row r="21" spans="1:13">
      <c r="A21" s="12"/>
      <c r="B21" s="12">
        <v>2015</v>
      </c>
      <c r="C21" s="77"/>
      <c r="D21" s="12"/>
      <c r="E21" s="12"/>
      <c r="F21" s="137"/>
      <c r="G21" s="12"/>
      <c r="H21" s="12"/>
      <c r="I21" s="12"/>
      <c r="J21" s="12"/>
      <c r="K21" s="12"/>
      <c r="L21" s="12"/>
      <c r="M21" s="35"/>
    </row>
    <row r="22" spans="1:13">
      <c r="A22" s="12"/>
      <c r="B22" s="12">
        <v>2014</v>
      </c>
      <c r="C22" s="77"/>
      <c r="D22" s="12"/>
      <c r="E22" s="12"/>
      <c r="F22" s="137"/>
      <c r="G22" s="12"/>
      <c r="H22" s="12"/>
      <c r="I22" s="12"/>
      <c r="J22" s="12"/>
      <c r="K22" s="12"/>
      <c r="L22" s="12"/>
      <c r="M22" s="35"/>
    </row>
    <row r="23" spans="1:13">
      <c r="A23" s="12"/>
      <c r="B23" s="12">
        <v>2013</v>
      </c>
      <c r="C23" s="77"/>
      <c r="D23" s="12"/>
      <c r="E23" s="12"/>
      <c r="F23" s="137"/>
      <c r="G23" s="12"/>
      <c r="H23" s="12"/>
      <c r="I23" s="12"/>
      <c r="J23" s="12"/>
      <c r="K23" s="12"/>
      <c r="L23" s="12"/>
      <c r="M23" s="35"/>
    </row>
    <row r="24" spans="1:13">
      <c r="A24" s="12"/>
      <c r="B24" s="12">
        <v>2012</v>
      </c>
      <c r="C24" s="77"/>
      <c r="D24" s="12"/>
      <c r="E24" s="12"/>
      <c r="F24" s="137"/>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D22" sqref="D2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2" t="s">
        <v>1</v>
      </c>
      <c r="B1" s="12" t="s">
        <v>265</v>
      </c>
      <c r="C1" s="68" t="s">
        <v>266</v>
      </c>
      <c r="D1" s="12" t="s">
        <v>267</v>
      </c>
      <c r="E1" s="12" t="s">
        <v>30</v>
      </c>
      <c r="F1" s="12" t="s">
        <v>268</v>
      </c>
      <c r="G1" s="12" t="s">
        <v>269</v>
      </c>
      <c r="H1" s="12" t="s">
        <v>270</v>
      </c>
    </row>
    <row r="2" spans="1:8">
      <c r="A2" s="12">
        <v>2014</v>
      </c>
      <c r="B2" s="108">
        <v>41820</v>
      </c>
      <c r="C2" s="123" t="s">
        <v>271</v>
      </c>
      <c r="D2" s="90">
        <v>34509447.38</v>
      </c>
      <c r="E2" s="90">
        <v>17177837.38</v>
      </c>
      <c r="F2" s="128">
        <v>0.25</v>
      </c>
      <c r="G2" s="15">
        <v>0.15</v>
      </c>
      <c r="H2" s="15">
        <v>0.13</v>
      </c>
    </row>
    <row r="3" spans="1:8">
      <c r="A3" s="12">
        <v>2015</v>
      </c>
      <c r="B3" s="108"/>
      <c r="C3" s="68"/>
      <c r="D3" s="12"/>
      <c r="E3" s="12"/>
      <c r="F3" s="12"/>
      <c r="G3" s="12"/>
      <c r="H3" s="12"/>
    </row>
    <row r="4" spans="1:8">
      <c r="A4" s="12">
        <v>2016</v>
      </c>
      <c r="B4" s="12"/>
      <c r="C4" s="68"/>
      <c r="D4" s="12"/>
      <c r="E4" s="12"/>
      <c r="F4" s="12"/>
      <c r="G4" s="12"/>
      <c r="H4" s="12"/>
    </row>
    <row r="5" spans="1:8">
      <c r="A5" s="12">
        <v>2017</v>
      </c>
      <c r="B5" s="12" t="s">
        <v>272</v>
      </c>
      <c r="C5" s="68" t="s">
        <v>273</v>
      </c>
      <c r="D5" s="12" t="s">
        <v>272</v>
      </c>
      <c r="E5" s="12" t="s">
        <v>272</v>
      </c>
      <c r="F5" s="129" t="s">
        <v>274</v>
      </c>
      <c r="G5" s="12" t="s">
        <v>275</v>
      </c>
      <c r="H5" s="130">
        <v>0.105</v>
      </c>
    </row>
    <row r="6" ht="34" spans="1:8">
      <c r="A6" s="12"/>
      <c r="B6" s="108">
        <v>42767</v>
      </c>
      <c r="C6" s="123" t="s">
        <v>276</v>
      </c>
      <c r="D6" s="90">
        <v>40271000</v>
      </c>
      <c r="E6" s="90">
        <v>15090466.13</v>
      </c>
      <c r="F6" s="20" t="s">
        <v>277</v>
      </c>
      <c r="G6" s="25" t="s">
        <v>278</v>
      </c>
      <c r="H6" s="130">
        <v>0.105</v>
      </c>
    </row>
    <row r="7" spans="1:8">
      <c r="A7" s="12">
        <v>2018</v>
      </c>
      <c r="B7" s="12"/>
      <c r="C7" s="68"/>
      <c r="D7" s="12"/>
      <c r="E7" s="12"/>
      <c r="F7" s="12"/>
      <c r="G7" s="12"/>
      <c r="H7" s="12"/>
    </row>
    <row r="8" spans="1:8">
      <c r="A8" s="12">
        <v>2019</v>
      </c>
      <c r="B8" s="12"/>
      <c r="C8" s="68" t="s">
        <v>273</v>
      </c>
      <c r="D8" s="12"/>
      <c r="E8" s="12"/>
      <c r="F8" s="129" t="s">
        <v>279</v>
      </c>
      <c r="G8" s="12" t="s">
        <v>280</v>
      </c>
      <c r="H8" s="130">
        <v>0.1436</v>
      </c>
    </row>
    <row r="9" spans="1:8">
      <c r="A9" s="12"/>
      <c r="B9" s="12"/>
      <c r="C9" s="68" t="s">
        <v>281</v>
      </c>
      <c r="D9" s="12"/>
      <c r="E9" s="12"/>
      <c r="F9" s="20" t="s">
        <v>282</v>
      </c>
      <c r="G9" s="12" t="s">
        <v>283</v>
      </c>
      <c r="H9" s="130">
        <v>0.1436</v>
      </c>
    </row>
    <row r="10" spans="1:8">
      <c r="A10" s="12">
        <v>2020</v>
      </c>
      <c r="B10" s="12"/>
      <c r="C10" s="68" t="s">
        <v>273</v>
      </c>
      <c r="D10" s="12"/>
      <c r="E10" s="12"/>
      <c r="F10" s="12"/>
      <c r="G10" s="12"/>
      <c r="H10" s="12"/>
    </row>
    <row r="11" spans="1:8">
      <c r="A11" s="12"/>
      <c r="B11" s="12"/>
      <c r="C11" s="68" t="s">
        <v>281</v>
      </c>
      <c r="D11" s="12"/>
      <c r="E11" s="12"/>
      <c r="F11" s="20" t="s">
        <v>284</v>
      </c>
      <c r="G11" s="12" t="s">
        <v>285</v>
      </c>
      <c r="H11" s="130">
        <v>0.1382</v>
      </c>
    </row>
    <row r="12" spans="1:8">
      <c r="A12" s="12"/>
      <c r="B12" s="12"/>
      <c r="C12" s="123" t="s">
        <v>286</v>
      </c>
      <c r="D12" s="12"/>
      <c r="E12" s="12"/>
      <c r="F12" s="16" t="s">
        <v>287</v>
      </c>
      <c r="G12" s="12" t="s">
        <v>288</v>
      </c>
      <c r="H12" s="130">
        <v>0.1382</v>
      </c>
    </row>
    <row r="13" spans="1:8">
      <c r="A13" s="12">
        <v>2021</v>
      </c>
      <c r="B13" s="12"/>
      <c r="C13" s="68" t="s">
        <v>273</v>
      </c>
      <c r="D13" s="12"/>
      <c r="E13" s="12"/>
      <c r="F13" s="12"/>
      <c r="G13" s="12"/>
      <c r="H13" s="12"/>
    </row>
    <row r="14" spans="1:8">
      <c r="A14" s="12"/>
      <c r="B14" s="12"/>
      <c r="C14" s="68" t="s">
        <v>281</v>
      </c>
      <c r="D14" s="124"/>
      <c r="E14" s="12"/>
      <c r="F14" s="20" t="s">
        <v>289</v>
      </c>
      <c r="G14" s="12" t="s">
        <v>290</v>
      </c>
      <c r="H14" s="130">
        <v>0.1382</v>
      </c>
    </row>
    <row r="15" spans="1:8">
      <c r="A15" s="12"/>
      <c r="B15" s="12"/>
      <c r="C15" s="68" t="s">
        <v>286</v>
      </c>
      <c r="D15" s="124"/>
      <c r="E15" s="12"/>
      <c r="F15" s="16" t="s">
        <v>291</v>
      </c>
      <c r="G15" s="12" t="s">
        <v>292</v>
      </c>
      <c r="H15" s="130">
        <v>0.1382</v>
      </c>
    </row>
    <row r="16" spans="1:8">
      <c r="A16" s="12">
        <v>2022</v>
      </c>
      <c r="B16" s="12"/>
      <c r="C16" s="68" t="s">
        <v>273</v>
      </c>
      <c r="D16" s="124"/>
      <c r="E16" s="12"/>
      <c r="F16" s="12"/>
      <c r="G16" s="12"/>
      <c r="H16" s="130"/>
    </row>
    <row r="17" spans="1:8">
      <c r="A17" s="12"/>
      <c r="B17" s="12"/>
      <c r="C17" s="68" t="s">
        <v>281</v>
      </c>
      <c r="D17" s="124"/>
      <c r="E17" s="12"/>
      <c r="F17" s="131">
        <v>0.27</v>
      </c>
      <c r="G17" s="12" t="s">
        <v>293</v>
      </c>
      <c r="H17" s="130">
        <v>0.1382</v>
      </c>
    </row>
    <row r="18" spans="1:8">
      <c r="A18" s="12"/>
      <c r="B18" s="12"/>
      <c r="C18" s="68" t="s">
        <v>294</v>
      </c>
      <c r="D18" s="125">
        <f>(6312.5+10605)*10000</f>
        <v>169175000</v>
      </c>
      <c r="E18" s="12"/>
      <c r="F18" s="16" t="s">
        <v>295</v>
      </c>
      <c r="G18" s="12" t="s">
        <v>296</v>
      </c>
      <c r="H18" s="130">
        <v>0.1382</v>
      </c>
    </row>
    <row r="19" ht="17" spans="1:8">
      <c r="A19" s="12"/>
      <c r="B19" s="12">
        <v>2022</v>
      </c>
      <c r="C19" s="126" t="s">
        <v>297</v>
      </c>
      <c r="D19" s="125">
        <v>440181000</v>
      </c>
      <c r="E19" s="90">
        <v>97846575.6</v>
      </c>
      <c r="F19" s="12" t="s">
        <v>298</v>
      </c>
      <c r="G19" s="12" t="s">
        <v>299</v>
      </c>
      <c r="H19" s="132">
        <v>0.1382</v>
      </c>
    </row>
    <row r="20" spans="1:8">
      <c r="A20" s="12"/>
      <c r="B20" s="12">
        <v>2022</v>
      </c>
      <c r="C20" s="123" t="s">
        <v>300</v>
      </c>
      <c r="D20" s="127">
        <v>532808000</v>
      </c>
      <c r="E20" s="90">
        <v>97491384.51</v>
      </c>
      <c r="F20" s="12" t="s">
        <v>301</v>
      </c>
      <c r="G20" s="12" t="s">
        <v>302</v>
      </c>
      <c r="H20" s="130">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303</v>
      </c>
      <c r="D1" s="12" t="s">
        <v>304</v>
      </c>
      <c r="E1" s="12" t="s">
        <v>305</v>
      </c>
      <c r="I1" s="12" t="s">
        <v>306</v>
      </c>
      <c r="L1" s="12" t="s">
        <v>307</v>
      </c>
      <c r="M1" s="12" t="s">
        <v>308</v>
      </c>
      <c r="N1" s="12" t="s">
        <v>309</v>
      </c>
    </row>
    <row r="2" spans="5:15">
      <c r="E2" s="12" t="s">
        <v>310</v>
      </c>
      <c r="F2" s="12" t="s">
        <v>311</v>
      </c>
      <c r="G2" s="12" t="s">
        <v>312</v>
      </c>
      <c r="H2" s="12" t="s">
        <v>313</v>
      </c>
      <c r="I2" s="12" t="s">
        <v>314</v>
      </c>
      <c r="J2" s="12" t="s">
        <v>315</v>
      </c>
      <c r="K2" s="12" t="s">
        <v>316</v>
      </c>
      <c r="M2" s="12"/>
      <c r="N2" s="12" t="s">
        <v>317</v>
      </c>
      <c r="O2" s="12" t="s">
        <v>318</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1" t="s">
        <v>0</v>
      </c>
      <c r="B1" s="112" t="s">
        <v>1</v>
      </c>
      <c r="C1" s="112" t="s">
        <v>319</v>
      </c>
      <c r="D1" s="113"/>
      <c r="E1" s="21" t="s">
        <v>320</v>
      </c>
      <c r="F1" s="12"/>
      <c r="G1" s="1" t="s">
        <v>321</v>
      </c>
    </row>
    <row r="2" spans="1:7">
      <c r="A2" s="21"/>
      <c r="B2" s="112"/>
      <c r="C2" s="112" t="s">
        <v>322</v>
      </c>
      <c r="D2" s="114" t="s">
        <v>323</v>
      </c>
      <c r="E2" s="111" t="s">
        <v>322</v>
      </c>
      <c r="F2" s="68" t="s">
        <v>323</v>
      </c>
      <c r="G2" s="1"/>
    </row>
    <row r="3" ht="409.5" spans="1:7">
      <c r="A3" s="21" t="s">
        <v>113</v>
      </c>
      <c r="B3" s="112">
        <v>2022</v>
      </c>
      <c r="C3" s="112"/>
      <c r="D3" s="114"/>
      <c r="E3" s="120" t="s">
        <v>324</v>
      </c>
      <c r="F3" s="121" t="s">
        <v>325</v>
      </c>
      <c r="G3" t="s">
        <v>326</v>
      </c>
    </row>
    <row r="4" ht="409.5" spans="1:6">
      <c r="A4" s="21"/>
      <c r="B4" s="112">
        <v>2021</v>
      </c>
      <c r="C4" s="112"/>
      <c r="D4" s="115"/>
      <c r="E4" s="120" t="s">
        <v>327</v>
      </c>
      <c r="F4" s="121" t="s">
        <v>328</v>
      </c>
    </row>
    <row r="5" ht="409.5" spans="1:6">
      <c r="A5" s="21"/>
      <c r="B5" s="112">
        <v>2020</v>
      </c>
      <c r="C5" s="112"/>
      <c r="D5" s="114"/>
      <c r="E5" s="120" t="s">
        <v>329</v>
      </c>
      <c r="F5" s="69" t="s">
        <v>330</v>
      </c>
    </row>
    <row r="6" ht="409.5" spans="1:6">
      <c r="A6" s="21"/>
      <c r="B6" s="112">
        <v>2019</v>
      </c>
      <c r="C6" s="112"/>
      <c r="D6" s="114"/>
      <c r="E6" s="120" t="s">
        <v>331</v>
      </c>
      <c r="F6" s="69" t="s">
        <v>332</v>
      </c>
    </row>
    <row r="7" ht="409.5" spans="1:6">
      <c r="A7" s="21"/>
      <c r="B7" s="112">
        <v>2018</v>
      </c>
      <c r="C7" s="112"/>
      <c r="D7" s="114"/>
      <c r="E7" s="120" t="s">
        <v>333</v>
      </c>
      <c r="F7" s="69" t="s">
        <v>334</v>
      </c>
    </row>
    <row r="8" ht="409.5" spans="1:6">
      <c r="A8" s="21"/>
      <c r="B8" s="112">
        <v>2017</v>
      </c>
      <c r="C8" s="112"/>
      <c r="D8" s="114"/>
      <c r="E8" s="120" t="s">
        <v>335</v>
      </c>
      <c r="F8" s="69" t="s">
        <v>336</v>
      </c>
    </row>
    <row r="9" ht="370" spans="1:6">
      <c r="A9" s="21"/>
      <c r="B9" s="112">
        <v>2016</v>
      </c>
      <c r="C9" s="112"/>
      <c r="D9" s="114"/>
      <c r="E9" s="120" t="s">
        <v>337</v>
      </c>
      <c r="F9" s="69" t="s">
        <v>338</v>
      </c>
    </row>
    <row r="10" ht="387" spans="1:6">
      <c r="A10" s="21"/>
      <c r="B10" s="112">
        <v>2015</v>
      </c>
      <c r="C10" s="112"/>
      <c r="D10" s="114"/>
      <c r="E10" s="120" t="s">
        <v>339</v>
      </c>
      <c r="F10" s="69" t="s">
        <v>340</v>
      </c>
    </row>
    <row r="11" ht="404" spans="1:6">
      <c r="A11" s="21"/>
      <c r="B11" s="112">
        <v>2014</v>
      </c>
      <c r="C11" s="112"/>
      <c r="D11" s="114"/>
      <c r="E11" s="120" t="s">
        <v>341</v>
      </c>
      <c r="F11" s="69" t="s">
        <v>342</v>
      </c>
    </row>
    <row r="12" ht="409.5" spans="1:6">
      <c r="A12" s="21"/>
      <c r="B12" s="112">
        <v>2013</v>
      </c>
      <c r="C12" s="112"/>
      <c r="D12" s="114"/>
      <c r="E12" s="120" t="s">
        <v>343</v>
      </c>
      <c r="F12" s="69" t="s">
        <v>344</v>
      </c>
    </row>
    <row r="13" spans="1:6">
      <c r="A13" s="21"/>
      <c r="B13" s="112">
        <v>2012</v>
      </c>
      <c r="C13" s="112"/>
      <c r="D13" s="114"/>
      <c r="F13" s="68"/>
    </row>
    <row r="14" customFormat="1" spans="1:6">
      <c r="A14" s="21" t="s">
        <v>128</v>
      </c>
      <c r="B14" s="112">
        <v>2022</v>
      </c>
      <c r="C14" s="112"/>
      <c r="D14" s="114"/>
      <c r="E14" s="111"/>
      <c r="F14" s="68"/>
    </row>
    <row r="15" customFormat="1" spans="1:6">
      <c r="A15" s="21"/>
      <c r="B15" s="112">
        <v>2021</v>
      </c>
      <c r="C15" s="112"/>
      <c r="D15" s="114"/>
      <c r="E15" s="111"/>
      <c r="F15" s="68"/>
    </row>
    <row r="16" customFormat="1" spans="1:6">
      <c r="A16" s="21"/>
      <c r="B16" s="112">
        <v>2020</v>
      </c>
      <c r="C16" s="112"/>
      <c r="D16" s="114"/>
      <c r="E16" s="111"/>
      <c r="F16" s="68"/>
    </row>
    <row r="17" customFormat="1" spans="1:6">
      <c r="A17" s="21"/>
      <c r="B17" s="112">
        <v>2019</v>
      </c>
      <c r="C17" s="112"/>
      <c r="D17" s="114"/>
      <c r="E17" s="111"/>
      <c r="F17" s="68"/>
    </row>
    <row r="18" customFormat="1" spans="1:6">
      <c r="A18" s="21"/>
      <c r="B18" s="112">
        <v>2018</v>
      </c>
      <c r="C18" s="112"/>
      <c r="D18" s="114"/>
      <c r="E18" s="111"/>
      <c r="F18" s="68"/>
    </row>
    <row r="19" customFormat="1" spans="1:6">
      <c r="A19" s="21"/>
      <c r="B19" s="112">
        <v>2017</v>
      </c>
      <c r="C19" s="112"/>
      <c r="D19" s="114"/>
      <c r="E19" s="111"/>
      <c r="F19" s="68"/>
    </row>
    <row r="20" customFormat="1" spans="1:6">
      <c r="A20" s="21"/>
      <c r="B20" s="112">
        <v>2016</v>
      </c>
      <c r="C20" s="112"/>
      <c r="D20" s="114"/>
      <c r="E20" s="111"/>
      <c r="F20" s="68"/>
    </row>
    <row r="21" customFormat="1" spans="1:6">
      <c r="A21" s="21"/>
      <c r="B21" s="112">
        <v>2015</v>
      </c>
      <c r="C21" s="112"/>
      <c r="D21" s="114"/>
      <c r="E21" s="111"/>
      <c r="F21" s="68"/>
    </row>
    <row r="22" customFormat="1" spans="1:6">
      <c r="A22" s="21"/>
      <c r="B22" s="112">
        <v>2014</v>
      </c>
      <c r="C22" s="112"/>
      <c r="D22" s="114"/>
      <c r="E22" s="111"/>
      <c r="F22" s="68"/>
    </row>
    <row r="23" customFormat="1" spans="1:6">
      <c r="A23" s="21"/>
      <c r="B23" s="112">
        <v>2013</v>
      </c>
      <c r="C23" s="112"/>
      <c r="D23" s="114"/>
      <c r="E23" s="111"/>
      <c r="F23" s="68"/>
    </row>
    <row r="24" customFormat="1" spans="1:6">
      <c r="A24" s="21"/>
      <c r="B24" s="112">
        <v>2012</v>
      </c>
      <c r="C24" s="112"/>
      <c r="D24" s="114"/>
      <c r="E24" s="111"/>
      <c r="F24" s="68"/>
    </row>
    <row r="25" ht="409.5" spans="1:6">
      <c r="A25" s="116" t="s">
        <v>130</v>
      </c>
      <c r="B25" s="112">
        <v>2022</v>
      </c>
      <c r="C25" s="112"/>
      <c r="D25" s="115" t="s">
        <v>345</v>
      </c>
      <c r="F25" s="69" t="s">
        <v>346</v>
      </c>
    </row>
    <row r="26" ht="409.5" spans="1:6">
      <c r="A26" s="117"/>
      <c r="B26" s="112">
        <v>2021</v>
      </c>
      <c r="C26" s="112"/>
      <c r="D26" s="115" t="s">
        <v>347</v>
      </c>
      <c r="F26" s="69" t="s">
        <v>348</v>
      </c>
    </row>
    <row r="27" ht="409.5" spans="1:6">
      <c r="A27" s="117"/>
      <c r="B27" s="112">
        <v>2020</v>
      </c>
      <c r="C27" s="112"/>
      <c r="D27" s="115" t="s">
        <v>349</v>
      </c>
      <c r="F27" s="69" t="s">
        <v>350</v>
      </c>
    </row>
    <row r="28" ht="409.5" spans="1:6">
      <c r="A28" s="117"/>
      <c r="B28" s="112">
        <v>2019</v>
      </c>
      <c r="C28" s="112"/>
      <c r="D28" s="115" t="s">
        <v>349</v>
      </c>
      <c r="F28" s="69" t="s">
        <v>351</v>
      </c>
    </row>
    <row r="29" ht="409.5" spans="1:6">
      <c r="A29" s="117"/>
      <c r="B29" s="112">
        <v>2018</v>
      </c>
      <c r="C29" s="112"/>
      <c r="D29" s="115" t="s">
        <v>349</v>
      </c>
      <c r="F29" s="69" t="s">
        <v>352</v>
      </c>
    </row>
    <row r="30" ht="409.5" spans="1:6">
      <c r="A30" s="117"/>
      <c r="B30" s="112">
        <v>2017</v>
      </c>
      <c r="C30" s="112" t="s">
        <v>353</v>
      </c>
      <c r="D30" s="115" t="s">
        <v>354</v>
      </c>
      <c r="F30" s="69" t="s">
        <v>355</v>
      </c>
    </row>
    <row r="31" ht="409.5" spans="1:6">
      <c r="A31" s="117"/>
      <c r="B31" s="112">
        <v>2016</v>
      </c>
      <c r="C31" s="118" t="s">
        <v>356</v>
      </c>
      <c r="D31" s="115" t="s">
        <v>357</v>
      </c>
      <c r="F31" s="69" t="s">
        <v>358</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1" t="s">
        <v>131</v>
      </c>
      <c r="B36" s="112">
        <v>2022</v>
      </c>
      <c r="C36" s="112"/>
      <c r="D36" s="115" t="s">
        <v>359</v>
      </c>
      <c r="F36" s="69" t="s">
        <v>360</v>
      </c>
    </row>
    <row r="37" ht="409.5" spans="1:6">
      <c r="A37" s="21"/>
      <c r="B37" s="112">
        <v>2021</v>
      </c>
      <c r="C37" s="112"/>
      <c r="D37" s="115" t="s">
        <v>361</v>
      </c>
      <c r="F37" s="69" t="s">
        <v>362</v>
      </c>
    </row>
    <row r="38" ht="409.5" spans="1:6">
      <c r="A38" s="21"/>
      <c r="B38" s="112">
        <v>2020</v>
      </c>
      <c r="C38" s="112"/>
      <c r="D38" s="114"/>
      <c r="F38" s="69" t="s">
        <v>363</v>
      </c>
    </row>
    <row r="39" ht="409.5" spans="1:6">
      <c r="A39" s="21"/>
      <c r="B39" s="112">
        <v>2019</v>
      </c>
      <c r="C39" s="112"/>
      <c r="D39" s="114"/>
      <c r="E39" s="120"/>
      <c r="F39" s="69" t="s">
        <v>364</v>
      </c>
    </row>
    <row r="40" spans="1:6">
      <c r="A40" s="21"/>
      <c r="B40" s="112">
        <v>2018</v>
      </c>
      <c r="C40" s="112"/>
      <c r="D40" s="114"/>
      <c r="F40" s="68"/>
    </row>
    <row r="41" spans="1:6">
      <c r="A41" s="21"/>
      <c r="B41" s="112">
        <v>2017</v>
      </c>
      <c r="C41" s="112"/>
      <c r="D41" s="114"/>
      <c r="F41" s="68"/>
    </row>
    <row r="42" spans="1:6">
      <c r="A42" s="21"/>
      <c r="B42" s="112">
        <v>2016</v>
      </c>
      <c r="C42" s="112"/>
      <c r="D42" s="114"/>
      <c r="F42" s="68"/>
    </row>
    <row r="43" spans="1:6">
      <c r="A43" s="21"/>
      <c r="B43" s="112">
        <v>2015</v>
      </c>
      <c r="C43" s="112"/>
      <c r="D43" s="114"/>
      <c r="F43" s="68"/>
    </row>
    <row r="44" spans="1:6">
      <c r="A44" s="21"/>
      <c r="B44" s="112">
        <v>2014</v>
      </c>
      <c r="C44" s="112"/>
      <c r="D44" s="114"/>
      <c r="F44" s="68"/>
    </row>
    <row r="45" spans="1:6">
      <c r="A45" s="21"/>
      <c r="B45" s="112">
        <v>2013</v>
      </c>
      <c r="C45" s="112"/>
      <c r="D45" s="114"/>
      <c r="F45" s="68"/>
    </row>
    <row r="46" spans="1:6">
      <c r="A46" s="21"/>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1" t="s">
        <v>132</v>
      </c>
      <c r="B58" s="112">
        <v>2022</v>
      </c>
      <c r="C58" s="112"/>
      <c r="D58" s="114"/>
      <c r="F58" s="68"/>
    </row>
    <row r="59" spans="1:6">
      <c r="A59" s="21"/>
      <c r="B59" s="112">
        <v>2021</v>
      </c>
      <c r="C59" s="112"/>
      <c r="D59" s="114"/>
      <c r="F59" s="68"/>
    </row>
    <row r="60" spans="1:6">
      <c r="A60" s="21"/>
      <c r="B60" s="112">
        <v>2020</v>
      </c>
      <c r="C60" s="112"/>
      <c r="D60" s="114"/>
      <c r="F60" s="68"/>
    </row>
    <row r="61" spans="1:6">
      <c r="A61" s="21"/>
      <c r="B61" s="112">
        <v>2019</v>
      </c>
      <c r="C61" s="112"/>
      <c r="D61" s="114"/>
      <c r="F61" s="68"/>
    </row>
    <row r="62" spans="1:6">
      <c r="A62" s="21"/>
      <c r="B62" s="112">
        <v>2018</v>
      </c>
      <c r="C62" s="112"/>
      <c r="D62" s="114"/>
      <c r="F62" s="68"/>
    </row>
    <row r="63" spans="1:6">
      <c r="A63" s="21"/>
      <c r="B63" s="112">
        <v>2017</v>
      </c>
      <c r="C63" s="112"/>
      <c r="D63" s="114"/>
      <c r="F63" s="68"/>
    </row>
    <row r="64" spans="1:6">
      <c r="A64" s="21"/>
      <c r="B64" s="112">
        <v>2016</v>
      </c>
      <c r="C64" s="112"/>
      <c r="D64" s="114"/>
      <c r="F64" s="68"/>
    </row>
    <row r="65" spans="1:6">
      <c r="A65" s="21"/>
      <c r="B65" s="112">
        <v>2015</v>
      </c>
      <c r="C65" s="112"/>
      <c r="D65" s="114"/>
      <c r="F65" s="68"/>
    </row>
    <row r="66" spans="1:6">
      <c r="A66" s="21"/>
      <c r="B66" s="112">
        <v>2014</v>
      </c>
      <c r="C66" s="112"/>
      <c r="D66" s="114"/>
      <c r="F66" s="68"/>
    </row>
    <row r="67" spans="1:6">
      <c r="A67" s="21"/>
      <c r="B67" s="112">
        <v>2013</v>
      </c>
      <c r="C67" s="112"/>
      <c r="D67" s="114"/>
      <c r="F67" s="68"/>
    </row>
    <row r="68" spans="1:6">
      <c r="A68" s="21"/>
      <c r="B68" s="112">
        <v>2012</v>
      </c>
      <c r="C68" s="112"/>
      <c r="D68" s="114"/>
      <c r="F68" s="68"/>
    </row>
    <row r="69" spans="1:6">
      <c r="A69" s="21" t="s">
        <v>134</v>
      </c>
      <c r="B69" s="112">
        <v>2022</v>
      </c>
      <c r="C69" s="112"/>
      <c r="D69" s="114"/>
      <c r="F69" s="68"/>
    </row>
    <row r="70" spans="1:6">
      <c r="A70" s="21"/>
      <c r="B70" s="112">
        <v>2021</v>
      </c>
      <c r="C70" s="112"/>
      <c r="D70" s="114"/>
      <c r="F70" s="68"/>
    </row>
    <row r="71" spans="1:6">
      <c r="A71" s="21"/>
      <c r="B71" s="112">
        <v>2020</v>
      </c>
      <c r="C71" s="112"/>
      <c r="D71" s="114"/>
      <c r="F71" s="68"/>
    </row>
    <row r="72" spans="1:6">
      <c r="A72" s="21"/>
      <c r="B72" s="112">
        <v>2019</v>
      </c>
      <c r="C72" s="112"/>
      <c r="D72" s="114"/>
      <c r="F72" s="68"/>
    </row>
    <row r="73" spans="1:6">
      <c r="A73" s="21"/>
      <c r="B73" s="112">
        <v>2018</v>
      </c>
      <c r="C73" s="112"/>
      <c r="D73" s="114"/>
      <c r="F73" s="68"/>
    </row>
    <row r="74" spans="1:6">
      <c r="A74" s="21"/>
      <c r="B74" s="112">
        <v>2017</v>
      </c>
      <c r="C74" s="112"/>
      <c r="D74" s="114"/>
      <c r="F74" s="68"/>
    </row>
    <row r="75" spans="1:6">
      <c r="A75" s="21"/>
      <c r="B75" s="112">
        <v>2016</v>
      </c>
      <c r="C75" s="112"/>
      <c r="D75" s="114"/>
      <c r="F75" s="68"/>
    </row>
    <row r="76" spans="1:6">
      <c r="A76" s="21"/>
      <c r="B76" s="112">
        <v>2015</v>
      </c>
      <c r="C76" s="112"/>
      <c r="D76" s="114"/>
      <c r="F76" s="68"/>
    </row>
    <row r="77" spans="1:6">
      <c r="A77" s="21"/>
      <c r="B77" s="112">
        <v>2014</v>
      </c>
      <c r="C77" s="112"/>
      <c r="D77" s="114"/>
      <c r="F77" s="68"/>
    </row>
    <row r="78" spans="1:6">
      <c r="A78" s="21"/>
      <c r="B78" s="112">
        <v>2013</v>
      </c>
      <c r="C78" s="112"/>
      <c r="D78" s="114"/>
      <c r="F78" s="68"/>
    </row>
    <row r="79" spans="1:6">
      <c r="A79" s="21"/>
      <c r="B79" s="112">
        <v>2012</v>
      </c>
      <c r="C79" s="112"/>
      <c r="D79" s="114"/>
      <c r="F79" s="68"/>
    </row>
    <row r="80" spans="1:6">
      <c r="A80" s="21" t="s">
        <v>135</v>
      </c>
      <c r="B80" s="112">
        <v>2022</v>
      </c>
      <c r="C80" s="112"/>
      <c r="D80" s="114"/>
      <c r="F80" s="68"/>
    </row>
    <row r="81" spans="1:6">
      <c r="A81" s="21"/>
      <c r="B81" s="112">
        <v>2021</v>
      </c>
      <c r="C81" s="112"/>
      <c r="D81" s="114"/>
      <c r="F81" s="68"/>
    </row>
    <row r="82" spans="1:6">
      <c r="A82" s="21"/>
      <c r="B82" s="112">
        <v>2020</v>
      </c>
      <c r="C82" s="112"/>
      <c r="D82" s="114"/>
      <c r="F82" s="68"/>
    </row>
    <row r="83" spans="1:6">
      <c r="A83" s="21"/>
      <c r="B83" s="112">
        <v>2019</v>
      </c>
      <c r="C83" s="112"/>
      <c r="D83" s="114"/>
      <c r="F83" s="68"/>
    </row>
    <row r="84" spans="1:6">
      <c r="A84" s="21"/>
      <c r="B84" s="112">
        <v>2018</v>
      </c>
      <c r="C84" s="112"/>
      <c r="D84" s="114"/>
      <c r="F84" s="68"/>
    </row>
    <row r="85" spans="1:6">
      <c r="A85" s="21"/>
      <c r="B85" s="112">
        <v>2017</v>
      </c>
      <c r="C85" s="112"/>
      <c r="D85" s="114"/>
      <c r="F85" s="68"/>
    </row>
    <row r="86" spans="1:6">
      <c r="A86" s="21"/>
      <c r="B86" s="112">
        <v>2016</v>
      </c>
      <c r="C86" s="112"/>
      <c r="D86" s="114"/>
      <c r="F86" s="68"/>
    </row>
    <row r="87" spans="1:6">
      <c r="A87" s="21"/>
      <c r="B87" s="112">
        <v>2015</v>
      </c>
      <c r="C87" s="112"/>
      <c r="D87" s="114"/>
      <c r="F87" s="68"/>
    </row>
    <row r="88" spans="1:6">
      <c r="A88" s="21"/>
      <c r="B88" s="112">
        <v>2014</v>
      </c>
      <c r="C88" s="112"/>
      <c r="D88" s="114"/>
      <c r="F88" s="68"/>
    </row>
    <row r="89" spans="1:6">
      <c r="A89" s="21"/>
      <c r="B89" s="112">
        <v>2013</v>
      </c>
      <c r="C89" s="112"/>
      <c r="D89" s="114"/>
      <c r="F89" s="68"/>
    </row>
    <row r="90" spans="1:6">
      <c r="A90" s="21"/>
      <c r="B90" s="112">
        <v>2012</v>
      </c>
      <c r="C90" s="112"/>
      <c r="D90" s="114"/>
      <c r="F90" s="68"/>
    </row>
    <row r="91" spans="1:6">
      <c r="A91" s="21" t="s">
        <v>136</v>
      </c>
      <c r="B91" s="112">
        <v>2022</v>
      </c>
      <c r="C91" s="112"/>
      <c r="D91" s="114"/>
      <c r="F91" s="68"/>
    </row>
    <row r="92" spans="1:6">
      <c r="A92" s="21"/>
      <c r="B92" s="112">
        <v>2021</v>
      </c>
      <c r="C92" s="112"/>
      <c r="D92" s="114"/>
      <c r="F92" s="68"/>
    </row>
    <row r="93" spans="1:6">
      <c r="A93" s="21"/>
      <c r="B93" s="112">
        <v>2020</v>
      </c>
      <c r="C93" s="112"/>
      <c r="D93" s="114"/>
      <c r="F93" s="68"/>
    </row>
    <row r="94" spans="1:6">
      <c r="A94" s="21"/>
      <c r="B94" s="112">
        <v>2019</v>
      </c>
      <c r="C94" s="112"/>
      <c r="D94" s="114"/>
      <c r="F94" s="68"/>
    </row>
    <row r="95" spans="1:6">
      <c r="A95" s="21"/>
      <c r="B95" s="112">
        <v>2018</v>
      </c>
      <c r="C95" s="112"/>
      <c r="D95" s="114"/>
      <c r="F95" s="68"/>
    </row>
    <row r="96" spans="1:6">
      <c r="A96" s="21"/>
      <c r="B96" s="112">
        <v>2017</v>
      </c>
      <c r="C96" s="112"/>
      <c r="D96" s="114"/>
      <c r="F96" s="68"/>
    </row>
    <row r="97" spans="1:6">
      <c r="A97" s="21"/>
      <c r="B97" s="112">
        <v>2016</v>
      </c>
      <c r="C97" s="112"/>
      <c r="D97" s="114"/>
      <c r="F97" s="68"/>
    </row>
    <row r="98" spans="1:6">
      <c r="A98" s="21"/>
      <c r="B98" s="112">
        <v>2015</v>
      </c>
      <c r="C98" s="112"/>
      <c r="D98" s="114"/>
      <c r="F98" s="68"/>
    </row>
    <row r="99" spans="1:6">
      <c r="A99" s="21"/>
      <c r="B99" s="112">
        <v>2014</v>
      </c>
      <c r="C99" s="112"/>
      <c r="D99" s="114"/>
      <c r="F99" s="68"/>
    </row>
    <row r="100" spans="1:6">
      <c r="A100" s="21"/>
      <c r="B100" s="112">
        <v>2013</v>
      </c>
      <c r="C100" s="112"/>
      <c r="D100" s="114"/>
      <c r="F100" s="68"/>
    </row>
    <row r="101" spans="1:6">
      <c r="A101" s="21"/>
      <c r="B101" s="112">
        <v>2012</v>
      </c>
      <c r="C101" s="112"/>
      <c r="D101" s="114"/>
      <c r="F101" s="68"/>
    </row>
    <row r="102" spans="5:5">
      <c r="E102" s="12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365</v>
      </c>
      <c r="B1" s="1" t="s">
        <v>366</v>
      </c>
      <c r="C1" s="1" t="s">
        <v>367</v>
      </c>
      <c r="D1" s="1" t="s">
        <v>368</v>
      </c>
      <c r="E1" s="1" t="s">
        <v>369</v>
      </c>
      <c r="F1" s="1" t="s">
        <v>370</v>
      </c>
      <c r="G1" t="s">
        <v>371</v>
      </c>
    </row>
    <row r="2" ht="101" spans="1:7">
      <c r="A2" s="1" t="s">
        <v>372</v>
      </c>
      <c r="B2" s="92" t="s">
        <v>373</v>
      </c>
      <c r="C2" s="92" t="s">
        <v>374</v>
      </c>
      <c r="D2" s="1" t="s">
        <v>375</v>
      </c>
      <c r="G2" t="s">
        <v>376</v>
      </c>
    </row>
    <row r="3" spans="7:7">
      <c r="G3" t="s">
        <v>377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378</v>
      </c>
      <c r="G1" s="107"/>
      <c r="H1" s="107"/>
      <c r="I1" s="107"/>
      <c r="J1" s="107"/>
      <c r="K1" s="107"/>
      <c r="L1" s="107"/>
      <c r="M1" s="107"/>
      <c r="N1" s="107"/>
      <c r="O1" s="107"/>
    </row>
    <row r="2" spans="1:6">
      <c r="A2" s="12" t="s">
        <v>1</v>
      </c>
      <c r="B2" s="12" t="s">
        <v>379</v>
      </c>
      <c r="C2" s="12" t="s">
        <v>380</v>
      </c>
      <c r="D2" s="12" t="s">
        <v>381</v>
      </c>
      <c r="E2" s="12" t="s">
        <v>382</v>
      </c>
      <c r="F2" s="12"/>
    </row>
    <row r="3" ht="17" spans="1:6">
      <c r="A3" s="12">
        <v>2022</v>
      </c>
      <c r="B3" s="12"/>
      <c r="C3" s="12"/>
      <c r="D3" s="12"/>
      <c r="E3" s="25" t="s">
        <v>383</v>
      </c>
      <c r="F3" s="12" t="s">
        <v>384</v>
      </c>
    </row>
    <row r="4" spans="1:6">
      <c r="A4" s="12">
        <v>2021</v>
      </c>
      <c r="B4" s="12"/>
      <c r="C4" s="12"/>
      <c r="D4" s="12"/>
      <c r="E4" s="108">
        <v>44645</v>
      </c>
      <c r="F4" s="14" t="s">
        <v>385</v>
      </c>
    </row>
    <row r="5" spans="1:6">
      <c r="A5" s="12">
        <v>2020</v>
      </c>
      <c r="B5" s="12"/>
      <c r="C5" s="12"/>
      <c r="D5" s="12"/>
      <c r="E5" s="108">
        <v>44286</v>
      </c>
      <c r="F5" s="12" t="s">
        <v>384</v>
      </c>
    </row>
    <row r="6" spans="1:6">
      <c r="A6" s="12">
        <v>2019</v>
      </c>
      <c r="B6" s="12"/>
      <c r="C6" s="12"/>
      <c r="D6" s="12"/>
      <c r="E6" s="108">
        <v>43916</v>
      </c>
      <c r="F6" s="12" t="s">
        <v>386</v>
      </c>
    </row>
    <row r="7" spans="1:6">
      <c r="A7" s="12">
        <v>2018</v>
      </c>
      <c r="B7" s="12"/>
      <c r="C7" s="12"/>
      <c r="D7" s="12"/>
      <c r="E7" s="108">
        <v>43550</v>
      </c>
      <c r="F7" s="12" t="s">
        <v>387</v>
      </c>
    </row>
    <row r="8" ht="17" spans="1:6">
      <c r="A8" s="12">
        <v>2017</v>
      </c>
      <c r="B8" s="12"/>
      <c r="C8" s="12"/>
      <c r="D8" s="12"/>
      <c r="E8" s="25" t="s">
        <v>388</v>
      </c>
      <c r="F8" s="14" t="s">
        <v>389</v>
      </c>
    </row>
    <row r="9" spans="1:6">
      <c r="A9" s="12">
        <v>2016</v>
      </c>
      <c r="B9" s="12"/>
      <c r="C9" s="12"/>
      <c r="D9" s="12"/>
      <c r="E9" s="108">
        <v>42817</v>
      </c>
      <c r="F9" s="12" t="s">
        <v>386</v>
      </c>
    </row>
    <row r="10" spans="1:6">
      <c r="A10" s="12">
        <v>2015</v>
      </c>
      <c r="B10" s="12"/>
      <c r="C10" s="12"/>
      <c r="D10" s="12"/>
      <c r="E10" s="108">
        <v>42439</v>
      </c>
      <c r="F10" s="12" t="s">
        <v>386</v>
      </c>
    </row>
    <row r="11" spans="1:6">
      <c r="A11" s="12">
        <v>2014</v>
      </c>
      <c r="B11" s="12"/>
      <c r="C11" s="12"/>
      <c r="D11" s="12"/>
      <c r="E11" s="108">
        <v>42073</v>
      </c>
      <c r="F11" s="12" t="s">
        <v>387</v>
      </c>
    </row>
    <row r="12" spans="1:6">
      <c r="A12" s="12">
        <v>2013</v>
      </c>
      <c r="B12" s="12"/>
      <c r="C12" s="12"/>
      <c r="D12" s="12"/>
      <c r="E12" s="108">
        <v>41723</v>
      </c>
      <c r="F12" s="12" t="s">
        <v>387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leaves-27</cp:lastModifiedBy>
  <dcterms:created xsi:type="dcterms:W3CDTF">2023-05-29T09:56:00Z</dcterms:created>
  <dcterms:modified xsi:type="dcterms:W3CDTF">2024-08-21T15:06:19Z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2052-6.8.2.8850</vt:lpwstr>
  </property>
</Properties>
</file>