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<sst xmlns="http://schemas.openxmlformats.org/spreadsheetml/2006/main" count="168" uniqueCount="156">
  <si>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</si>
  <si>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</si>
  <si>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</si>
  <si>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</si>
  <si>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</si>
  <si>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</si>
  <si>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</si>
  <si>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</si>
  <si>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</si>
  <si>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</si>
  <si>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</si>
  <si>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</si>
  <si>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</si>
  <si>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</si>
  <si>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</si>
  <si>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</si>
  <si>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</si>
  <si>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资产收益率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</si>
  <si>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</si>
  <si>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</si>
  <si>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</si>
  <si>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</si>
  <si>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</si>
  <si>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总股份数同比增长率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</si>
  <si>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</si>
  <si>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</si>
  <si>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</si>
  <si>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</si>
  <si>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</si>
  <si>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</si>
  <si>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</si>
  <si>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</si>
  <si>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</si>
  <si>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</si>
  <si>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</si>
  <si>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</si>
  <si>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净利润增长的原因</t>
  </si>
  <si>
    <t>股份数增长的原因</t>
  </si>
  <si>
    <t>产品结构
(占营业收入的比重)</t>
  </si>
  <si>
    <t>市场重心</t>
  </si>
  <si>
    <t>产业格局
(产业结构、竞争地位、竞争优势、集中度、复合增长率)</t>
  </si>
  <si>
    <t>发展历史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</si>
  <si>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</si>
  <si>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</si>
  <si>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</si>
  <si>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</si>
  <si>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</si>
  <si>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</si>
  <si>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</si>
  <si>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1.消费群体变化:从家庭到餐馆，再到食品加工领域发展。
2.调味品从由糖、醋、盐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</si>
  <si>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</si>
  <si>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</si>
  <si>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</si>
  <si>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</si>
  <si>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</si>
  <si>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</si>
  <si>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</si>
  <si>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</si>
  <si>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</si>
  <si>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</si>
  <si>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</si>
  <si>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</si>
  <si>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</si>
  <si>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</si>
  <si>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</si>
  <si>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</si>
  <si>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</si>
  <si>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颐海国际</t>
  </si>
  <si>
    <t>天味食品</t>
  </si>
  <si>
    <t>1993
(2000、2007)</t>
  </si>
  <si>
    <t>宝立食品</t>
  </si>
  <si>
    <t>仲景食品</t>
  </si>
  <si>
    <t>恒顺醋业</t>
  </si>
  <si>
    <t>雪天盐业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</si>
  <si>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</si>
  <si>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</si>
  <si>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</si>
  <si>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</si>
  <si>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</si>
  <si>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</si>
  <si>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</si>
  <si>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</si>
  <si>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中国粮油控股</t>
  </si>
  <si>
    <t>五得利面粉</t>
  </si>
  <si>
    <t>金龙鱼</t>
  </si>
  <si>
    <t>鲁花</t>
  </si>
  <si>
    <t>福临门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</si>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</sst>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2" tint="-0.9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 wrapText="1"/>
    </xf>
    <xf numFmtId="10" fontId="2" fillId="3" borderId="1" xfId="3" applyNumberFormat="1" applyFon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1"/>
  <sheetViews>
    <sheetView tabSelected="1" workbookViewId="0">
      <pane xSplit="4" ySplit="2" topLeftCell="E87" activePane="bottomRight" state="frozen"/>
      <selection/>
      <selection pane="topRight"/>
      <selection pane="bottomLeft"/>
      <selection pane="bottomRight" activeCell="B100" sqref="B100"/>
    </sheetView>
  </sheetViews>
  <sheetFormatPr defaultColWidth="9.23076923076923" defaultRowHeight="16.8"/>
  <cols>
    <col min="1" max="1" width="12.7692307692308" customWidth="1"/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7692307692308" customWidth="1"/>
    <col min="9" max="9" width="12.9230769230769"/>
    <col min="10" max="10" width="20" customWidth="1"/>
    <col min="11" max="11" width="20" style="48" customWidth="1"/>
    <col min="12" max="12" width="20" style="49" customWidth="1"/>
    <col min="13" max="13" width="34.5384615384615" style="49" customWidth="1"/>
    <col min="14" max="14" width="20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55.4615384615385" style="49" customWidth="1"/>
    <col min="30" max="31" width="24.5096153846154" style="51" customWidth="1"/>
    <col min="32" max="32" width="61.8557692307692" style="51" customWidth="1"/>
    <col min="33" max="33" width="48.8461538461538" customWidth="1"/>
  </cols>
  <sheetData>
    <row r="1" s="16" customFormat="1" ht="29" customHeight="1" spans="1:33">
      <c r="A1" s="1" t="s">
        <v>10</v>
      </c>
      <c r="B1" s="1" t="s">
        <v>11</v>
      </c>
      <c r="C1" s="1" t="s">
        <v>12</v>
      </c>
      <c r="D1" s="1" t="s">
        <v>13</v>
      </c>
      <c r="E1" s="53" t="s">
        <v>14</v>
      </c>
      <c r="F1" s="53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30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1" t="s">
        <v>33</v>
      </c>
      <c r="Y1" s="61" t="s">
        <v>34</v>
      </c>
      <c r="Z1" s="1" t="s">
        <v>35</v>
      </c>
      <c r="AA1" s="1" t="s">
        <v>1</v>
      </c>
      <c r="AB1" s="1" t="s">
        <v>36</v>
      </c>
      <c r="AC1" s="1" t="s">
        <v>37</v>
      </c>
      <c r="AD1" s="52" t="s">
        <v>38</v>
      </c>
      <c r="AE1" s="52" t="s">
        <v>39</v>
      </c>
      <c r="AF1" s="52" t="s">
        <v>40</v>
      </c>
      <c r="AG1" s="1" t="s">
        <v>41</v>
      </c>
    </row>
    <row r="2" s="16" customFormat="1" spans="1:33">
      <c r="A2" s="1"/>
      <c r="B2" s="1"/>
      <c r="C2" s="1"/>
      <c r="D2" s="1"/>
      <c r="E2" s="53"/>
      <c r="F2" s="53"/>
      <c r="G2" s="1"/>
      <c r="H2" s="1"/>
      <c r="I2" s="1"/>
      <c r="J2" s="1"/>
      <c r="K2" s="30"/>
      <c r="L2" s="1"/>
      <c r="M2" s="1"/>
      <c r="N2" s="1"/>
      <c r="O2" s="1"/>
      <c r="P2" s="1"/>
      <c r="Q2" s="1"/>
      <c r="R2" s="1"/>
      <c r="S2" s="1"/>
      <c r="T2" s="11"/>
      <c r="U2" s="11"/>
      <c r="V2" s="11"/>
      <c r="W2" s="1"/>
      <c r="X2" s="61"/>
      <c r="Y2" s="61"/>
      <c r="Z2" s="1"/>
      <c r="AA2" s="1"/>
      <c r="AB2" s="1"/>
      <c r="AC2" s="1"/>
      <c r="AD2" s="1"/>
      <c r="AE2" s="72"/>
      <c r="AF2" s="52"/>
      <c r="AG2" s="1"/>
    </row>
    <row r="3" spans="1:33">
      <c r="A3" s="1" t="s">
        <v>42</v>
      </c>
      <c r="B3" s="1">
        <v>2023</v>
      </c>
      <c r="C3" s="52" t="s">
        <v>43</v>
      </c>
      <c r="D3" s="1">
        <v>2014</v>
      </c>
      <c r="E3" s="30">
        <f>(S3+T3)/(R3+负债表!F3)</f>
        <v>0.19181238474481</v>
      </c>
      <c r="F3" s="30">
        <f>(S3+T3)/P3</f>
        <v>0.147095403940763</v>
      </c>
      <c r="G3" s="30">
        <f>S3/R3</f>
        <v>0.194337185436872</v>
      </c>
      <c r="H3" s="30">
        <f>S3/P3</f>
        <v>0.146842012276646</v>
      </c>
      <c r="I3" s="30">
        <f>Q3/P3</f>
        <v>0.244395703547193</v>
      </c>
      <c r="J3" s="31">
        <f>(负债表!F3)/P3</f>
        <v>0.0112669571237568</v>
      </c>
      <c r="K3" s="31">
        <f>(S3-S4)/S4</f>
        <v>-0.0904344275443549</v>
      </c>
      <c r="L3" s="28">
        <f>(W3-W4)/W4</f>
        <v>-0.041013411874212</v>
      </c>
      <c r="M3" s="35">
        <f t="shared" ref="M3:M15" si="0">(V3-V4)/V4</f>
        <v>0.920377906332489</v>
      </c>
      <c r="N3" s="28">
        <f>(X3-X4)/X4</f>
        <v>0.199999999913678</v>
      </c>
      <c r="O3" s="28">
        <f t="shared" ref="O3:O13" si="1">(P3-P4)/P4</f>
        <v>0.128139993008127</v>
      </c>
      <c r="P3" s="13">
        <v>38423518405.62</v>
      </c>
      <c r="Q3" s="11">
        <f>P3-R3</f>
        <v>9390542813.5</v>
      </c>
      <c r="R3" s="13">
        <v>29032975592.12</v>
      </c>
      <c r="S3" s="13">
        <v>5642186761.43</v>
      </c>
      <c r="T3" s="13">
        <v>9736199.27</v>
      </c>
      <c r="U3" s="13">
        <v>1096850567.11</v>
      </c>
      <c r="V3" s="13">
        <v>7355650997.74</v>
      </c>
      <c r="W3" s="13">
        <v>24559312356.59</v>
      </c>
      <c r="X3" s="62">
        <v>5560600544</v>
      </c>
      <c r="Y3" s="67">
        <v>5560600544</v>
      </c>
      <c r="Z3" s="68" t="s">
        <v>44</v>
      </c>
      <c r="AA3" s="69" t="s">
        <v>45</v>
      </c>
      <c r="AB3" s="69"/>
      <c r="AC3" s="28" t="s">
        <v>46</v>
      </c>
      <c r="AD3" s="69" t="s">
        <v>47</v>
      </c>
      <c r="AE3" s="73" t="s">
        <v>48</v>
      </c>
      <c r="AF3" s="73"/>
      <c r="AG3" s="69" t="s">
        <v>49</v>
      </c>
    </row>
    <row r="4" spans="1:33">
      <c r="A4" s="1"/>
      <c r="B4" s="1">
        <v>2022</v>
      </c>
      <c r="C4" s="1"/>
      <c r="D4" s="1"/>
      <c r="E4" s="30">
        <f>(S4+T4)/(R4+负债表!F4)</f>
        <v>0.229272601353489</v>
      </c>
      <c r="F4" s="30">
        <f t="shared" ref="F4:F14" si="2">(S4+T4)/P4</f>
        <v>0.182492569233006</v>
      </c>
      <c r="G4" s="30">
        <f>S4/R4</f>
        <v>0.230734115590543</v>
      </c>
      <c r="H4" s="30">
        <f>S4/P4</f>
        <v>0.182129086367936</v>
      </c>
      <c r="I4" s="30">
        <f>Q4/P4</f>
        <v>0.210653847603796</v>
      </c>
      <c r="J4" s="31">
        <f>(负债表!F4)/P4</f>
        <v>0.00661711646225917</v>
      </c>
      <c r="K4" s="31">
        <f t="shared" ref="K3:K15" si="3">(S4-S5)/S5</f>
        <v>-0.0701950107999122</v>
      </c>
      <c r="L4" s="28">
        <f t="shared" ref="L4:L15" si="4">(W4-W5)/W5</f>
        <v>0.0242209145696001</v>
      </c>
      <c r="M4" s="28">
        <f t="shared" si="0"/>
        <v>-0.394273898792507</v>
      </c>
      <c r="N4" s="28">
        <f t="shared" ref="N4:N15" si="5">(X4-X5)/X5</f>
        <v>0.1</v>
      </c>
      <c r="O4" s="28">
        <f t="shared" si="1"/>
        <v>0.0216406881533577</v>
      </c>
      <c r="P4" s="12">
        <v>34059175850.3</v>
      </c>
      <c r="Q4" s="11">
        <f>P4-R4</f>
        <v>7174696439.08</v>
      </c>
      <c r="R4" s="12">
        <v>26884479411.22</v>
      </c>
      <c r="S4" s="12">
        <v>6203166580.06</v>
      </c>
      <c r="T4" s="12">
        <v>12379926.82</v>
      </c>
      <c r="U4" s="45">
        <v>1161039435.23</v>
      </c>
      <c r="V4" s="13">
        <v>3830314321.72</v>
      </c>
      <c r="W4" s="13">
        <v>25609651543.29</v>
      </c>
      <c r="X4" s="63">
        <v>4633833787</v>
      </c>
      <c r="Y4" s="67">
        <v>4633833787</v>
      </c>
      <c r="Z4" s="68"/>
      <c r="AA4" s="70"/>
      <c r="AB4" s="70"/>
      <c r="AC4" s="28" t="s">
        <v>50</v>
      </c>
      <c r="AD4" s="69"/>
      <c r="AE4" s="73"/>
      <c r="AF4" s="73"/>
      <c r="AG4" s="70"/>
    </row>
    <row r="5" spans="1:33">
      <c r="A5" s="1"/>
      <c r="B5" s="1">
        <v>2021</v>
      </c>
      <c r="C5" s="1"/>
      <c r="D5" s="1"/>
      <c r="E5" s="30">
        <f>(S5+T5)/(R5+负债表!F5)</f>
        <v>0.282830271598412</v>
      </c>
      <c r="F5" s="30">
        <f t="shared" si="2"/>
        <v>0.200255197052557</v>
      </c>
      <c r="G5" s="30">
        <f t="shared" ref="G5:G14" si="6">S5/R5</f>
        <v>0.283894192203626</v>
      </c>
      <c r="H5" s="30">
        <f t="shared" ref="H5:H14" si="7">S5/P5</f>
        <v>0.200117752959959</v>
      </c>
      <c r="I5" s="30">
        <f t="shared" ref="I5:I15" si="8">Q5/P5</f>
        <v>0.295097404400503</v>
      </c>
      <c r="J5" s="31">
        <f>(负债表!F5)/P5</f>
        <v>0.00313758666535379</v>
      </c>
      <c r="K5" s="31">
        <f t="shared" si="3"/>
        <v>0.0409485540539824</v>
      </c>
      <c r="L5" s="28">
        <f t="shared" si="4"/>
        <v>0.0970590269656729</v>
      </c>
      <c r="M5" s="28">
        <f t="shared" si="0"/>
        <v>-0.090199174607969</v>
      </c>
      <c r="N5" s="28">
        <f t="shared" si="5"/>
        <v>0.29999999987656</v>
      </c>
      <c r="O5" s="28">
        <f t="shared" si="1"/>
        <v>0.128805900053578</v>
      </c>
      <c r="P5" s="12">
        <v>33337724549.58</v>
      </c>
      <c r="Q5" s="11">
        <f t="shared" ref="Q5:Q14" si="9">P5-R5</f>
        <v>9837875983.2</v>
      </c>
      <c r="R5" s="12">
        <v>23499848566.38</v>
      </c>
      <c r="S5" s="12">
        <v>6671470525.66</v>
      </c>
      <c r="T5" s="12">
        <v>4582073.3</v>
      </c>
      <c r="U5" s="45">
        <v>1149269490.14</v>
      </c>
      <c r="V5" s="13">
        <v>6323508784.06</v>
      </c>
      <c r="W5" s="13">
        <v>25004031043.49</v>
      </c>
      <c r="X5" s="63">
        <v>4212576170</v>
      </c>
      <c r="Y5" s="67">
        <v>4212576170</v>
      </c>
      <c r="Z5" s="68"/>
      <c r="AA5" s="70"/>
      <c r="AB5" s="70"/>
      <c r="AC5" s="28" t="s">
        <v>51</v>
      </c>
      <c r="AD5" s="69"/>
      <c r="AE5" s="73"/>
      <c r="AF5" s="73"/>
      <c r="AG5" s="70"/>
    </row>
    <row r="6" spans="1:33">
      <c r="A6" s="1"/>
      <c r="B6" s="1">
        <v>2020</v>
      </c>
      <c r="C6" s="1"/>
      <c r="D6" s="1"/>
      <c r="E6" s="30">
        <f>(S6+T6)/(R6+负债表!F6)</f>
        <v>0.316621502214016</v>
      </c>
      <c r="F6" s="30">
        <f t="shared" si="2"/>
        <v>0.217187032745513</v>
      </c>
      <c r="G6" s="35">
        <f t="shared" si="6"/>
        <v>0.317813102988648</v>
      </c>
      <c r="H6" s="30">
        <f t="shared" si="7"/>
        <v>0.217007938929277</v>
      </c>
      <c r="I6" s="31">
        <f t="shared" si="8"/>
        <v>0.317183788558181</v>
      </c>
      <c r="J6" s="31">
        <f>(负债表!F6)/P6</f>
        <v>0.00313540974248281</v>
      </c>
      <c r="K6" s="31">
        <f t="shared" si="3"/>
        <v>0.196553348847028</v>
      </c>
      <c r="L6" s="35">
        <f t="shared" si="4"/>
        <v>0.151285589133775</v>
      </c>
      <c r="M6" s="28">
        <f t="shared" si="0"/>
        <v>0.0582959231918652</v>
      </c>
      <c r="N6" s="28">
        <f t="shared" si="5"/>
        <v>0.2</v>
      </c>
      <c r="O6" s="28">
        <f t="shared" si="1"/>
        <v>0.193090148946536</v>
      </c>
      <c r="P6" s="12">
        <v>29533620038.66</v>
      </c>
      <c r="Q6" s="11">
        <f t="shared" si="9"/>
        <v>9367585493.7</v>
      </c>
      <c r="R6" s="12">
        <v>20166034544.96</v>
      </c>
      <c r="S6" s="12">
        <v>6409030013.71</v>
      </c>
      <c r="T6" s="12">
        <v>5289288.72</v>
      </c>
      <c r="U6" s="45">
        <v>1233392261</v>
      </c>
      <c r="V6" s="13">
        <v>6950432014.98</v>
      </c>
      <c r="W6" s="13">
        <v>22791873936.49</v>
      </c>
      <c r="X6" s="63">
        <v>3240443208</v>
      </c>
      <c r="Y6" s="67">
        <v>3240443208</v>
      </c>
      <c r="Z6" s="68"/>
      <c r="AA6" s="70"/>
      <c r="AB6" s="70"/>
      <c r="AC6" s="28" t="s">
        <v>52</v>
      </c>
      <c r="AD6" s="69"/>
      <c r="AE6" s="73"/>
      <c r="AF6" s="73"/>
      <c r="AG6" s="70"/>
    </row>
    <row r="7" spans="1:33">
      <c r="A7" s="1"/>
      <c r="B7" s="1">
        <v>2019</v>
      </c>
      <c r="C7" s="1"/>
      <c r="D7" s="1"/>
      <c r="E7" s="30">
        <f>(S7+T7)/(R7+负债表!F7)</f>
        <v>0.322394621111401</v>
      </c>
      <c r="F7" s="30">
        <f t="shared" si="2"/>
        <v>0.216423791788316</v>
      </c>
      <c r="G7" s="35">
        <f t="shared" si="6"/>
        <v>0.322709797499474</v>
      </c>
      <c r="H7" s="30">
        <f t="shared" si="7"/>
        <v>0.216379850032756</v>
      </c>
      <c r="I7" s="31">
        <f t="shared" si="8"/>
        <v>0.329490918127118</v>
      </c>
      <c r="J7" s="31">
        <f>(负债表!F7)/P7</f>
        <v>0.00079179480499652</v>
      </c>
      <c r="K7" s="54">
        <f t="shared" si="3"/>
        <v>0.226618472154364</v>
      </c>
      <c r="L7" s="35">
        <f t="shared" si="4"/>
        <v>0.162166116197159</v>
      </c>
      <c r="M7" s="28">
        <f t="shared" si="0"/>
        <v>0.0952808340762969</v>
      </c>
      <c r="N7" s="28">
        <f t="shared" si="5"/>
        <v>0</v>
      </c>
      <c r="O7" s="28">
        <f t="shared" si="1"/>
        <v>0.228859589371038</v>
      </c>
      <c r="P7" s="12">
        <v>24753888098.68</v>
      </c>
      <c r="Q7" s="11">
        <f t="shared" si="9"/>
        <v>8156181316.85</v>
      </c>
      <c r="R7" s="12">
        <v>16597706781.83</v>
      </c>
      <c r="S7" s="12">
        <v>5356242594.52</v>
      </c>
      <c r="T7" s="12">
        <v>1087729.3</v>
      </c>
      <c r="U7" s="45">
        <v>1020956084.25</v>
      </c>
      <c r="V7" s="13">
        <v>6567569488.52</v>
      </c>
      <c r="W7" s="13">
        <v>19796889800.07</v>
      </c>
      <c r="X7" s="63">
        <v>2700369340</v>
      </c>
      <c r="Y7" s="67">
        <v>2700369340</v>
      </c>
      <c r="Z7" s="68"/>
      <c r="AA7" s="70"/>
      <c r="AB7" s="70"/>
      <c r="AC7" s="28"/>
      <c r="AD7" s="69"/>
      <c r="AE7" s="73"/>
      <c r="AF7" s="73"/>
      <c r="AG7" s="70"/>
    </row>
    <row r="8" spans="1:33">
      <c r="A8" s="1"/>
      <c r="B8" s="1">
        <v>2018</v>
      </c>
      <c r="C8" s="1"/>
      <c r="D8" s="1"/>
      <c r="E8" s="30">
        <f>(S8+T8)/(R8+负债表!F8)</f>
        <v>0.314024228199126</v>
      </c>
      <c r="F8" s="30">
        <f t="shared" si="2"/>
        <v>0.216804732804178</v>
      </c>
      <c r="G8" s="35">
        <f t="shared" si="6"/>
        <v>0.314424563871999</v>
      </c>
      <c r="H8" s="30">
        <f t="shared" si="7"/>
        <v>0.216775191060352</v>
      </c>
      <c r="I8" s="31">
        <f t="shared" si="8"/>
        <v>0.31056534390678</v>
      </c>
      <c r="J8" s="55">
        <f>(负债表!F8)/P8</f>
        <v>0.000973004638934144</v>
      </c>
      <c r="K8" s="54">
        <f t="shared" si="3"/>
        <v>0.236500047209247</v>
      </c>
      <c r="L8" s="35">
        <f t="shared" si="4"/>
        <v>0.168000000000082</v>
      </c>
      <c r="M8" s="35">
        <f t="shared" si="0"/>
        <v>0.270127298378713</v>
      </c>
      <c r="N8" s="28">
        <f t="shared" si="5"/>
        <v>-0.000309994788625395</v>
      </c>
      <c r="O8" s="28">
        <f t="shared" si="1"/>
        <v>0.233090948876772</v>
      </c>
      <c r="P8" s="12">
        <v>20143788853.33</v>
      </c>
      <c r="Q8" s="11">
        <f t="shared" si="9"/>
        <v>6255962712.82</v>
      </c>
      <c r="R8" s="12">
        <v>13887826140.51</v>
      </c>
      <c r="S8" s="12">
        <v>4366673677.36</v>
      </c>
      <c r="T8" s="12">
        <v>595082.65</v>
      </c>
      <c r="U8" s="45">
        <v>856132678.5</v>
      </c>
      <c r="V8" s="13">
        <v>5996242501.64</v>
      </c>
      <c r="W8" s="13">
        <v>17034475127.23</v>
      </c>
      <c r="X8" s="63">
        <v>2700369340</v>
      </c>
      <c r="Y8" s="67">
        <v>2696886700</v>
      </c>
      <c r="Z8" s="68"/>
      <c r="AA8" s="70"/>
      <c r="AB8" s="70"/>
      <c r="AC8" s="28" t="s">
        <v>53</v>
      </c>
      <c r="AD8" s="69"/>
      <c r="AE8" s="73"/>
      <c r="AF8" s="73"/>
      <c r="AG8" s="70"/>
    </row>
    <row r="9" spans="1:33">
      <c r="A9" s="1"/>
      <c r="B9" s="1">
        <v>2017</v>
      </c>
      <c r="C9" s="1"/>
      <c r="D9" s="1"/>
      <c r="E9" s="30">
        <f>(S9+T9)/(R9+负债表!F9)</f>
        <v>0.300243011642522</v>
      </c>
      <c r="F9" s="30">
        <f t="shared" si="2"/>
        <v>0.216216223892856</v>
      </c>
      <c r="G9" s="35">
        <f t="shared" si="6"/>
        <v>0.300189280364282</v>
      </c>
      <c r="H9" s="30">
        <f t="shared" si="7"/>
        <v>0.216177529989466</v>
      </c>
      <c r="I9" s="30">
        <f t="shared" si="8"/>
        <v>0.279862592937587</v>
      </c>
      <c r="J9" s="28">
        <f>(负债表!F9)/P9</f>
        <v>0</v>
      </c>
      <c r="K9" s="54">
        <f t="shared" si="3"/>
        <v>0.242107765186688</v>
      </c>
      <c r="L9" s="35">
        <f t="shared" si="4"/>
        <v>0.170625829671742</v>
      </c>
      <c r="M9" s="35">
        <f t="shared" si="0"/>
        <v>0.158792041156015</v>
      </c>
      <c r="N9" s="28">
        <f t="shared" si="5"/>
        <v>-0.00138412873846462</v>
      </c>
      <c r="O9" s="28">
        <f t="shared" si="1"/>
        <v>0.213347154646541</v>
      </c>
      <c r="P9" s="12">
        <v>16336012255.77</v>
      </c>
      <c r="Q9" s="11">
        <f t="shared" si="9"/>
        <v>4571838748.16</v>
      </c>
      <c r="R9" s="12">
        <v>11764173507.61</v>
      </c>
      <c r="S9" s="58">
        <v>3531478779.33</v>
      </c>
      <c r="T9" s="12">
        <v>632104.08</v>
      </c>
      <c r="U9" s="45">
        <v>683810161.82</v>
      </c>
      <c r="V9" s="13">
        <v>4720977581.77</v>
      </c>
      <c r="W9" s="64">
        <v>14584310896.6</v>
      </c>
      <c r="X9" s="63">
        <v>2701206700</v>
      </c>
      <c r="Y9" s="62">
        <v>2696886700</v>
      </c>
      <c r="Z9" s="68"/>
      <c r="AA9" s="70"/>
      <c r="AB9" s="70"/>
      <c r="AC9" s="28" t="s">
        <v>54</v>
      </c>
      <c r="AD9" s="69"/>
      <c r="AE9" s="73"/>
      <c r="AF9" s="73"/>
      <c r="AG9" s="70"/>
    </row>
    <row r="10" spans="1:33">
      <c r="A10" s="1"/>
      <c r="B10" s="1">
        <v>2016</v>
      </c>
      <c r="C10" s="1"/>
      <c r="D10" s="1"/>
      <c r="E10" s="30">
        <f>(S10+T10)/(R10+负债表!F10)</f>
        <v>0.283922451698562</v>
      </c>
      <c r="F10" s="30">
        <f t="shared" si="2"/>
        <v>0.211172007987417</v>
      </c>
      <c r="G10" s="30">
        <f t="shared" si="6"/>
        <v>0.283922451698562</v>
      </c>
      <c r="H10" s="30">
        <f t="shared" si="7"/>
        <v>0.211172007987417</v>
      </c>
      <c r="I10" s="30">
        <f t="shared" si="8"/>
        <v>0.256233500647508</v>
      </c>
      <c r="J10" s="28">
        <f>(负债表!F10)/P10</f>
        <v>0</v>
      </c>
      <c r="K10" s="31">
        <f t="shared" si="3"/>
        <v>0.132888627506352</v>
      </c>
      <c r="L10" s="28">
        <f t="shared" si="4"/>
        <v>0.103075946410378</v>
      </c>
      <c r="M10" s="35">
        <f t="shared" si="0"/>
        <v>0.856201925998797</v>
      </c>
      <c r="N10" s="28">
        <f t="shared" si="5"/>
        <v>-0.000478633501906331</v>
      </c>
      <c r="O10" s="28">
        <f t="shared" si="1"/>
        <v>0.170950632459131</v>
      </c>
      <c r="P10" s="12">
        <v>13463592998.27</v>
      </c>
      <c r="Q10" s="11">
        <f t="shared" si="9"/>
        <v>3449823565.24</v>
      </c>
      <c r="R10" s="12">
        <v>10013769433.03</v>
      </c>
      <c r="S10" s="12">
        <v>2843133968.17</v>
      </c>
      <c r="T10" s="57">
        <v>0</v>
      </c>
      <c r="U10" s="45">
        <v>570244775.78</v>
      </c>
      <c r="V10" s="13">
        <v>4074050747.76</v>
      </c>
      <c r="W10" s="13">
        <v>12458558940.81</v>
      </c>
      <c r="X10" s="63">
        <v>2704950700</v>
      </c>
      <c r="Y10" s="65">
        <v>271746700</v>
      </c>
      <c r="Z10" s="68"/>
      <c r="AA10" s="70"/>
      <c r="AB10" s="70"/>
      <c r="AC10" s="28" t="s">
        <v>55</v>
      </c>
      <c r="AD10" s="69"/>
      <c r="AE10" s="73"/>
      <c r="AF10" s="73"/>
      <c r="AG10" s="70"/>
    </row>
    <row r="11" spans="1:33">
      <c r="A11" s="1"/>
      <c r="B11" s="1">
        <v>2015</v>
      </c>
      <c r="C11" s="1"/>
      <c r="D11" s="1"/>
      <c r="E11" s="30">
        <f>(S11+T11)/(R11+负债表!F11)</f>
        <v>0.286778236485815</v>
      </c>
      <c r="F11" s="30">
        <f t="shared" si="2"/>
        <v>0.218266818385149</v>
      </c>
      <c r="G11" s="30">
        <f t="shared" si="6"/>
        <v>0.286778236485815</v>
      </c>
      <c r="H11" s="30">
        <f t="shared" si="7"/>
        <v>0.218266818385149</v>
      </c>
      <c r="I11" s="30">
        <f t="shared" si="8"/>
        <v>0.238900339649918</v>
      </c>
      <c r="J11" s="28">
        <f>(负债表!F11)/P11</f>
        <v>0</v>
      </c>
      <c r="K11" s="35">
        <f t="shared" si="3"/>
        <v>0.200835017389606</v>
      </c>
      <c r="L11" s="35">
        <f t="shared" si="4"/>
        <v>0.150469779869341</v>
      </c>
      <c r="M11" s="28">
        <f t="shared" si="0"/>
        <v>-0.19877086920991</v>
      </c>
      <c r="N11" s="28">
        <f t="shared" si="5"/>
        <v>0.799868314289895</v>
      </c>
      <c r="O11" s="28">
        <f t="shared" si="1"/>
        <v>0.0452164356824559</v>
      </c>
      <c r="P11" s="12">
        <v>11498002242.84</v>
      </c>
      <c r="Q11" s="11">
        <f t="shared" si="9"/>
        <v>2746876641.11</v>
      </c>
      <c r="R11" s="12">
        <v>8751125601.73</v>
      </c>
      <c r="S11" s="59">
        <v>2509632367.33</v>
      </c>
      <c r="T11" s="13">
        <v>0</v>
      </c>
      <c r="U11" s="45">
        <v>501670546.62</v>
      </c>
      <c r="V11" s="13">
        <v>2194831656.35</v>
      </c>
      <c r="W11" s="13">
        <v>11294380030.09</v>
      </c>
      <c r="X11" s="63">
        <v>2706246000</v>
      </c>
      <c r="Y11" s="62">
        <v>269460000</v>
      </c>
      <c r="Z11" s="68"/>
      <c r="AA11" s="70"/>
      <c r="AB11" s="70"/>
      <c r="AC11" s="28" t="s">
        <v>56</v>
      </c>
      <c r="AD11" s="69"/>
      <c r="AE11" s="73"/>
      <c r="AF11" s="73"/>
      <c r="AG11" s="70"/>
    </row>
    <row r="12" spans="1:33">
      <c r="A12" s="1"/>
      <c r="B12" s="1">
        <v>2014</v>
      </c>
      <c r="C12" s="1"/>
      <c r="D12" s="1"/>
      <c r="E12" s="30">
        <f>(S12+T12)/(R12+负债表!F12)</f>
        <v>0.279103975335185</v>
      </c>
      <c r="F12" s="30">
        <f t="shared" si="2"/>
        <v>0.189981190285575</v>
      </c>
      <c r="G12" s="30">
        <f t="shared" si="6"/>
        <v>0.279103975335185</v>
      </c>
      <c r="H12" s="30">
        <f t="shared" si="7"/>
        <v>0.189981190285575</v>
      </c>
      <c r="I12" s="31">
        <f t="shared" si="8"/>
        <v>0.31931750503582</v>
      </c>
      <c r="J12" s="28">
        <f>(负债表!F12)/P12</f>
        <v>0</v>
      </c>
      <c r="K12" s="35">
        <f t="shared" si="3"/>
        <v>0.300972112855687</v>
      </c>
      <c r="L12" s="35">
        <f t="shared" si="4"/>
        <v>0.168491970709073</v>
      </c>
      <c r="M12" s="35">
        <f t="shared" si="0"/>
        <v>0.419204572504822</v>
      </c>
      <c r="N12" s="28">
        <f t="shared" si="5"/>
        <v>1.11473980309423</v>
      </c>
      <c r="O12" s="28">
        <f t="shared" si="1"/>
        <v>0.636476167495483</v>
      </c>
      <c r="P12" s="12">
        <v>11000594566.17</v>
      </c>
      <c r="Q12" s="11">
        <f t="shared" si="9"/>
        <v>3512682410.78</v>
      </c>
      <c r="R12" s="12">
        <v>7487912155.39</v>
      </c>
      <c r="S12" s="59">
        <v>2089906049.53</v>
      </c>
      <c r="T12" s="13">
        <v>0</v>
      </c>
      <c r="U12" s="45">
        <v>402320381.83</v>
      </c>
      <c r="V12" s="13">
        <v>2739330825.61</v>
      </c>
      <c r="W12" s="13">
        <v>9817189662.62</v>
      </c>
      <c r="X12" s="63">
        <v>1503580000</v>
      </c>
      <c r="Y12" s="62">
        <v>149700000</v>
      </c>
      <c r="Z12" s="68"/>
      <c r="AA12" s="70"/>
      <c r="AB12" s="70"/>
      <c r="AC12" s="28" t="s">
        <v>57</v>
      </c>
      <c r="AD12" s="69"/>
      <c r="AE12" s="73"/>
      <c r="AF12" s="73"/>
      <c r="AG12" s="70"/>
    </row>
    <row r="13" spans="1:33">
      <c r="A13" s="1"/>
      <c r="B13" s="1">
        <v>2013</v>
      </c>
      <c r="C13" s="1"/>
      <c r="D13" s="1"/>
      <c r="E13" s="30">
        <f>(S13+T13)/(R13+负债表!F13)</f>
        <v>0.410382890750542</v>
      </c>
      <c r="F13" s="30">
        <f t="shared" si="2"/>
        <v>0.238974907380858</v>
      </c>
      <c r="G13" s="35">
        <f t="shared" si="6"/>
        <v>0.410382890750542</v>
      </c>
      <c r="H13" s="30">
        <f t="shared" si="7"/>
        <v>0.238974907380858</v>
      </c>
      <c r="I13" s="31">
        <f t="shared" si="8"/>
        <v>0.417678190862682</v>
      </c>
      <c r="J13" s="28">
        <f>(负债表!F13)/P13</f>
        <v>0</v>
      </c>
      <c r="K13" s="35">
        <f t="shared" si="3"/>
        <v>0.330293877918502</v>
      </c>
      <c r="L13" s="35">
        <f t="shared" si="4"/>
        <v>0.188412255311032</v>
      </c>
      <c r="M13" s="28">
        <f t="shared" si="0"/>
        <v>-0.110977796082027</v>
      </c>
      <c r="N13" s="28">
        <f t="shared" si="5"/>
        <v>0</v>
      </c>
      <c r="O13" s="28">
        <f t="shared" si="1"/>
        <v>0.100147047607915</v>
      </c>
      <c r="P13" s="12">
        <v>6722123294.35</v>
      </c>
      <c r="Q13" s="11">
        <f t="shared" si="9"/>
        <v>2807684296.34</v>
      </c>
      <c r="R13" s="12">
        <v>3914438998.01</v>
      </c>
      <c r="S13" s="59">
        <v>1606418791.67</v>
      </c>
      <c r="T13" s="13">
        <v>0</v>
      </c>
      <c r="U13" s="45">
        <v>369200360.24</v>
      </c>
      <c r="V13" s="13">
        <v>1930187429.41</v>
      </c>
      <c r="W13" s="13">
        <v>8401589320.86</v>
      </c>
      <c r="X13" s="63">
        <f>71100*10000</f>
        <v>711000000</v>
      </c>
      <c r="Y13" s="65">
        <v>0</v>
      </c>
      <c r="Z13" s="68"/>
      <c r="AA13" s="70"/>
      <c r="AB13" s="70"/>
      <c r="AC13" s="28"/>
      <c r="AD13" s="69"/>
      <c r="AE13" s="73"/>
      <c r="AF13" s="73"/>
      <c r="AG13" s="70"/>
    </row>
    <row r="14" spans="1:33">
      <c r="A14" s="1"/>
      <c r="B14" s="1">
        <v>2012</v>
      </c>
      <c r="C14" s="1"/>
      <c r="D14" s="1"/>
      <c r="E14" s="30">
        <f>(S14+T14)/(R14+负债表!F14)</f>
        <v>0.330033006657443</v>
      </c>
      <c r="F14" s="30">
        <f t="shared" si="2"/>
        <v>0.197631172458521</v>
      </c>
      <c r="G14" s="35">
        <f t="shared" si="6"/>
        <v>0.330033006657443</v>
      </c>
      <c r="H14" s="30">
        <f t="shared" si="7"/>
        <v>0.197631172458521</v>
      </c>
      <c r="I14" s="31">
        <f t="shared" si="8"/>
        <v>0.401177553541935</v>
      </c>
      <c r="J14" s="28">
        <f>(负债表!F14)/P14</f>
        <v>0</v>
      </c>
      <c r="K14" s="35">
        <f t="shared" si="3"/>
        <v>0.263561963932884</v>
      </c>
      <c r="L14" s="35">
        <f t="shared" si="4"/>
        <v>0.160745719949092</v>
      </c>
      <c r="M14" s="28" t="e">
        <f t="shared" si="0"/>
        <v>#DIV/0!</v>
      </c>
      <c r="N14" s="28" t="e">
        <f t="shared" si="5"/>
        <v>#DIV/0!</v>
      </c>
      <c r="O14" s="28"/>
      <c r="P14" s="12">
        <v>6110204366.74</v>
      </c>
      <c r="Q14" s="11">
        <f t="shared" si="9"/>
        <v>2451276839.49</v>
      </c>
      <c r="R14" s="11">
        <v>3658927527.25</v>
      </c>
      <c r="S14" s="59">
        <v>1207566852.96</v>
      </c>
      <c r="T14" s="13">
        <v>0</v>
      </c>
      <c r="U14" s="45">
        <v>282068894.05</v>
      </c>
      <c r="V14" s="57">
        <v>2171135232.51</v>
      </c>
      <c r="W14" s="13">
        <v>7069591619.67</v>
      </c>
      <c r="X14" s="63">
        <f>71100*10000</f>
        <v>711000000</v>
      </c>
      <c r="Y14" s="65">
        <v>0</v>
      </c>
      <c r="Z14" s="68"/>
      <c r="AA14" s="70"/>
      <c r="AB14" s="70"/>
      <c r="AC14" s="28"/>
      <c r="AD14" s="69"/>
      <c r="AE14" s="73"/>
      <c r="AF14" s="73"/>
      <c r="AG14" s="70"/>
    </row>
    <row r="15" spans="1:33">
      <c r="A15" s="1"/>
      <c r="B15" s="1">
        <v>2011</v>
      </c>
      <c r="C15" s="1"/>
      <c r="D15" s="1"/>
      <c r="E15" s="30"/>
      <c r="F15" s="30"/>
      <c r="G15" s="1"/>
      <c r="H15" s="1"/>
      <c r="I15" s="30"/>
      <c r="J15" s="28"/>
      <c r="K15" s="31">
        <f t="shared" si="3"/>
        <v>0.173794144238016</v>
      </c>
      <c r="L15" s="28">
        <f t="shared" si="4"/>
        <v>0.104261047185661</v>
      </c>
      <c r="M15" s="28" t="e">
        <f t="shared" si="0"/>
        <v>#DIV/0!</v>
      </c>
      <c r="N15" s="28" t="e">
        <f t="shared" si="5"/>
        <v>#DIV/0!</v>
      </c>
      <c r="O15" s="28"/>
      <c r="P15" s="1"/>
      <c r="Q15" s="1"/>
      <c r="R15" s="2"/>
      <c r="S15" s="59">
        <v>955684713.08</v>
      </c>
      <c r="T15" s="13"/>
      <c r="U15" s="13"/>
      <c r="V15" s="13"/>
      <c r="W15" s="36">
        <v>6090560144.37</v>
      </c>
      <c r="X15" s="65"/>
      <c r="Y15" s="65"/>
      <c r="Z15" s="68"/>
      <c r="AA15" s="70"/>
      <c r="AB15" s="70"/>
      <c r="AC15" s="28"/>
      <c r="AD15" s="69"/>
      <c r="AE15" s="73"/>
      <c r="AF15" s="73"/>
      <c r="AG15" s="70"/>
    </row>
    <row r="16" spans="1:33">
      <c r="A16" s="1"/>
      <c r="B16" s="1">
        <v>2010</v>
      </c>
      <c r="C16" s="1"/>
      <c r="D16" s="1"/>
      <c r="E16" s="30"/>
      <c r="F16" s="30"/>
      <c r="G16" s="1"/>
      <c r="H16" s="1"/>
      <c r="I16" s="1"/>
      <c r="J16" s="6"/>
      <c r="K16" s="30"/>
      <c r="L16" s="28"/>
      <c r="M16" s="28"/>
      <c r="N16" s="28"/>
      <c r="O16" s="28"/>
      <c r="P16" s="1"/>
      <c r="Q16" s="1"/>
      <c r="R16" s="2"/>
      <c r="S16" s="59">
        <v>814184256.9</v>
      </c>
      <c r="T16" s="13"/>
      <c r="U16" s="13"/>
      <c r="V16" s="13"/>
      <c r="W16" s="36">
        <v>5515507551.31</v>
      </c>
      <c r="X16" s="65"/>
      <c r="Y16" s="65"/>
      <c r="Z16" s="68"/>
      <c r="AA16" s="70"/>
      <c r="AB16" s="70"/>
      <c r="AC16" s="28"/>
      <c r="AD16" s="69"/>
      <c r="AE16" s="73"/>
      <c r="AF16" s="73"/>
      <c r="AG16" s="70"/>
    </row>
    <row r="17" spans="1:33">
      <c r="A17" s="1" t="s">
        <v>58</v>
      </c>
      <c r="B17" s="1">
        <v>2023</v>
      </c>
      <c r="C17" s="52" t="s">
        <v>59</v>
      </c>
      <c r="D17" s="52" t="s">
        <v>60</v>
      </c>
      <c r="E17" s="30"/>
      <c r="F17" s="30">
        <f t="shared" ref="F17:F28" si="10">(S17+T17)/P17</f>
        <v>0.258931822172073</v>
      </c>
      <c r="G17" s="28">
        <f>S17/R17</f>
        <v>0.33401093467221</v>
      </c>
      <c r="H17" s="28">
        <f>S17/P17</f>
        <v>0.2585301811751</v>
      </c>
      <c r="I17" s="31">
        <f>Q17/P17</f>
        <v>0.225982881581961</v>
      </c>
      <c r="J17" s="28"/>
      <c r="K17" s="31">
        <f>(S17-S18)/S18</f>
        <v>-4.13225929112134</v>
      </c>
      <c r="L17" s="28">
        <f>(W17-W18)/W18</f>
        <v>-0.0378108110572284</v>
      </c>
      <c r="M17" s="35">
        <f>(V17-V18)/V18</f>
        <v>0.242385889392273</v>
      </c>
      <c r="N17" s="28">
        <f t="shared" ref="N17:N27" si="11">(X17-X18)/X18</f>
        <v>0</v>
      </c>
      <c r="O17" s="28"/>
      <c r="P17" s="13">
        <v>6718881439.74</v>
      </c>
      <c r="Q17" s="11">
        <f>P17-R17</f>
        <v>1518352188.76</v>
      </c>
      <c r="R17" s="13">
        <v>5200529250.98</v>
      </c>
      <c r="S17" s="13">
        <v>1737033635.91</v>
      </c>
      <c r="T17" s="13">
        <v>2698578.24</v>
      </c>
      <c r="U17" s="13">
        <v>64551857.2</v>
      </c>
      <c r="V17" s="13">
        <v>841908805.69</v>
      </c>
      <c r="W17" s="57">
        <v>5139091906.63</v>
      </c>
      <c r="X17" s="62">
        <v>785375950</v>
      </c>
      <c r="Y17" s="62">
        <v>785375950</v>
      </c>
      <c r="Z17" s="2"/>
      <c r="AA17" s="70"/>
      <c r="AB17" s="71" t="s">
        <v>61</v>
      </c>
      <c r="AC17" s="74"/>
      <c r="AD17" s="69" t="s">
        <v>62</v>
      </c>
      <c r="AE17" s="69" t="s">
        <v>63</v>
      </c>
      <c r="AF17" s="73"/>
      <c r="AG17" s="70"/>
    </row>
    <row r="18" spans="1:33">
      <c r="A18" s="1"/>
      <c r="B18" s="1">
        <v>2022</v>
      </c>
      <c r="C18" s="1"/>
      <c r="D18" s="1"/>
      <c r="E18" s="30"/>
      <c r="F18" s="30">
        <f t="shared" si="10"/>
        <v>-0.0893635366701453</v>
      </c>
      <c r="G18" s="28">
        <f>S18/R18</f>
        <v>-0.160054464613054</v>
      </c>
      <c r="H18" s="28">
        <f>S18/P18</f>
        <v>-0.0891095891977247</v>
      </c>
      <c r="I18" s="31">
        <f>Q18/P18</f>
        <v>0.443254585786438</v>
      </c>
      <c r="J18" s="28"/>
      <c r="K18" s="31">
        <f t="shared" ref="K18:K27" si="12">(S18-S19)/S19</f>
        <v>-1.70715132355257</v>
      </c>
      <c r="L18" s="28">
        <f>(W18-W19)/W19</f>
        <v>0.044059172814461</v>
      </c>
      <c r="M18" s="28">
        <f t="shared" ref="M18:M27" si="13">(V18-V19)/V19</f>
        <v>-0.441106354921029</v>
      </c>
      <c r="N18" s="28">
        <f t="shared" si="11"/>
        <v>-0.0141359756797898</v>
      </c>
      <c r="O18" s="28"/>
      <c r="P18" s="12">
        <v>6223376570.5</v>
      </c>
      <c r="Q18" s="11">
        <f>P18-R18</f>
        <v>2758540203.95</v>
      </c>
      <c r="R18" s="12">
        <v>3464836366.55</v>
      </c>
      <c r="S18" s="59">
        <v>-554562529.62</v>
      </c>
      <c r="T18" s="13">
        <v>-1580410.75</v>
      </c>
      <c r="U18" s="13">
        <v>80152748.71</v>
      </c>
      <c r="V18" s="13">
        <v>677654835.65</v>
      </c>
      <c r="W18" s="13">
        <v>5341040998.68</v>
      </c>
      <c r="X18" s="62">
        <v>785375950</v>
      </c>
      <c r="Y18" s="62">
        <v>785375950</v>
      </c>
      <c r="Z18" s="2"/>
      <c r="AA18" s="70"/>
      <c r="AB18" s="70"/>
      <c r="AC18" s="28"/>
      <c r="AD18" s="70"/>
      <c r="AE18" s="70"/>
      <c r="AF18" s="73"/>
      <c r="AG18" s="70"/>
    </row>
    <row r="19" spans="1:33">
      <c r="A19" s="1"/>
      <c r="B19" s="1">
        <v>2021</v>
      </c>
      <c r="C19" s="1"/>
      <c r="D19" s="1"/>
      <c r="E19" s="30"/>
      <c r="F19" s="30">
        <f t="shared" si="10"/>
        <v>0.135919835740443</v>
      </c>
      <c r="G19" s="28">
        <f t="shared" ref="G19:G28" si="14">S19/R19</f>
        <v>0.184506426584944</v>
      </c>
      <c r="H19" s="28">
        <f t="shared" ref="H19:H28" si="15">S19/P19</f>
        <v>0.132522213799464</v>
      </c>
      <c r="I19" s="28">
        <f t="shared" ref="I19:I28" si="16">Q19/P19</f>
        <v>0.281747436919482</v>
      </c>
      <c r="J19" s="28"/>
      <c r="K19" s="31">
        <f t="shared" si="12"/>
        <v>-0.192666937239026</v>
      </c>
      <c r="L19" s="28">
        <f t="shared" ref="L19:L27" si="17">(W19-W20)/W20</f>
        <v>-0.00150781658783711</v>
      </c>
      <c r="M19" s="35">
        <f t="shared" si="13"/>
        <v>0.211283085648605</v>
      </c>
      <c r="N19" s="28">
        <f t="shared" si="11"/>
        <v>0</v>
      </c>
      <c r="O19" s="28"/>
      <c r="P19" s="12">
        <v>5917652808.13</v>
      </c>
      <c r="Q19" s="11">
        <f t="shared" ref="Q19:Q28" si="18">P19-R19</f>
        <v>1667283511.27</v>
      </c>
      <c r="R19" s="12">
        <v>4250369296.86</v>
      </c>
      <c r="S19" s="59">
        <v>784220450.63</v>
      </c>
      <c r="T19" s="13">
        <v>20105947.02</v>
      </c>
      <c r="U19" s="13">
        <v>92303153.39</v>
      </c>
      <c r="V19" s="13">
        <v>1212493363.66</v>
      </c>
      <c r="W19" s="13">
        <v>5115649704.3</v>
      </c>
      <c r="X19" s="62">
        <v>796637194</v>
      </c>
      <c r="Y19" s="62">
        <v>796637194</v>
      </c>
      <c r="Z19" s="2"/>
      <c r="AA19" s="70"/>
      <c r="AB19" s="70"/>
      <c r="AC19" s="28"/>
      <c r="AD19" s="70"/>
      <c r="AE19" s="70"/>
      <c r="AF19" s="73"/>
      <c r="AG19" s="70"/>
    </row>
    <row r="20" spans="1:33">
      <c r="A20" s="1"/>
      <c r="B20" s="1">
        <v>2020</v>
      </c>
      <c r="C20" s="1"/>
      <c r="D20" s="1"/>
      <c r="E20" s="30"/>
      <c r="F20" s="30">
        <f t="shared" si="10"/>
        <v>0.147404291199012</v>
      </c>
      <c r="G20" s="28">
        <f t="shared" si="14"/>
        <v>0.194599733296717</v>
      </c>
      <c r="H20" s="28">
        <f t="shared" si="15"/>
        <v>0.145875176804194</v>
      </c>
      <c r="I20" s="28">
        <f t="shared" si="16"/>
        <v>0.250383470044278</v>
      </c>
      <c r="J20" s="28"/>
      <c r="K20" s="35">
        <f t="shared" si="12"/>
        <v>0.227517922860407</v>
      </c>
      <c r="L20" s="28">
        <f t="shared" si="17"/>
        <v>0.0959455191484949</v>
      </c>
      <c r="M20" s="28">
        <f t="shared" si="13"/>
        <v>-0.0546526687995923</v>
      </c>
      <c r="N20" s="28">
        <f t="shared" si="11"/>
        <v>0</v>
      </c>
      <c r="O20" s="28"/>
      <c r="P20" s="12">
        <v>6658923560.27</v>
      </c>
      <c r="Q20" s="11">
        <f t="shared" si="18"/>
        <v>1667284387.78</v>
      </c>
      <c r="R20" s="12">
        <v>4991639172.49</v>
      </c>
      <c r="S20" s="59">
        <v>971371651.68</v>
      </c>
      <c r="T20" s="13">
        <v>10182255.87</v>
      </c>
      <c r="U20" s="13">
        <v>158704875.24</v>
      </c>
      <c r="V20" s="13">
        <v>1000999170.24</v>
      </c>
      <c r="W20" s="13">
        <v>5123374813.83</v>
      </c>
      <c r="X20" s="62">
        <v>796637194</v>
      </c>
      <c r="Y20" s="62">
        <v>796637194</v>
      </c>
      <c r="Z20" s="2"/>
      <c r="AA20" s="70"/>
      <c r="AB20" s="70"/>
      <c r="AC20" s="28"/>
      <c r="AD20" s="70"/>
      <c r="AE20" s="70"/>
      <c r="AF20" s="73"/>
      <c r="AG20" s="70"/>
    </row>
    <row r="21" spans="1:33">
      <c r="A21" s="1"/>
      <c r="B21" s="1">
        <v>2019</v>
      </c>
      <c r="C21" s="1"/>
      <c r="D21" s="1"/>
      <c r="E21" s="30"/>
      <c r="F21" s="30">
        <f t="shared" si="10"/>
        <v>0.141528959158248</v>
      </c>
      <c r="G21" s="28">
        <f t="shared" si="14"/>
        <v>0.186379631043394</v>
      </c>
      <c r="H21" s="28">
        <f t="shared" si="15"/>
        <v>0.132913370366435</v>
      </c>
      <c r="I21" s="28">
        <f t="shared" si="16"/>
        <v>0.286867510025872</v>
      </c>
      <c r="J21" s="28"/>
      <c r="K21" s="31">
        <f t="shared" si="12"/>
        <v>0.161605538848774</v>
      </c>
      <c r="L21" s="28">
        <f t="shared" si="17"/>
        <v>0.12201698396675</v>
      </c>
      <c r="M21" s="35">
        <f t="shared" si="13"/>
        <v>0.463396481204402</v>
      </c>
      <c r="N21" s="28">
        <f t="shared" si="11"/>
        <v>0</v>
      </c>
      <c r="O21" s="28"/>
      <c r="P21" s="12">
        <v>5953726937.24</v>
      </c>
      <c r="Q21" s="11">
        <f t="shared" si="18"/>
        <v>1707930821.86</v>
      </c>
      <c r="R21" s="12">
        <v>4245796115.38</v>
      </c>
      <c r="S21" s="59">
        <v>791329913.47</v>
      </c>
      <c r="T21" s="13">
        <v>51294863.07</v>
      </c>
      <c r="U21" s="13">
        <v>136691992.21</v>
      </c>
      <c r="V21" s="13">
        <v>1058869197.81</v>
      </c>
      <c r="W21" s="13">
        <v>4674844437.35</v>
      </c>
      <c r="X21" s="62">
        <v>796637194</v>
      </c>
      <c r="Y21" s="62">
        <v>796637194</v>
      </c>
      <c r="Z21" s="2"/>
      <c r="AA21" s="70"/>
      <c r="AB21" s="70"/>
      <c r="AC21" s="28"/>
      <c r="AD21" s="70"/>
      <c r="AE21" s="70"/>
      <c r="AF21" s="73"/>
      <c r="AG21" s="70"/>
    </row>
    <row r="22" spans="1:33">
      <c r="A22" s="1"/>
      <c r="B22" s="1">
        <v>2018</v>
      </c>
      <c r="C22" s="1"/>
      <c r="D22" s="1"/>
      <c r="E22" s="30"/>
      <c r="F22" s="30">
        <f t="shared" si="10"/>
        <v>0.123400232469235</v>
      </c>
      <c r="G22" s="28">
        <f t="shared" si="14"/>
        <v>0.172561498486247</v>
      </c>
      <c r="H22" s="28">
        <f t="shared" si="15"/>
        <v>0.113849206275734</v>
      </c>
      <c r="I22" s="31">
        <f t="shared" si="16"/>
        <v>0.340239814359238</v>
      </c>
      <c r="J22" s="28"/>
      <c r="K22" s="35">
        <f t="shared" si="12"/>
        <v>0.332092262949975</v>
      </c>
      <c r="L22" s="35">
        <f t="shared" si="17"/>
        <v>0.154346322704087</v>
      </c>
      <c r="M22" s="28">
        <f t="shared" si="13"/>
        <v>0.112130615685547</v>
      </c>
      <c r="N22" s="28">
        <f t="shared" si="11"/>
        <v>0</v>
      </c>
      <c r="O22" s="28"/>
      <c r="P22" s="12">
        <v>5983687463.75</v>
      </c>
      <c r="Q22" s="11">
        <f t="shared" si="18"/>
        <v>2035888711.85</v>
      </c>
      <c r="R22" s="12">
        <v>3947798751.9</v>
      </c>
      <c r="S22" s="59">
        <v>681238068.35</v>
      </c>
      <c r="T22" s="13">
        <v>57150355.7</v>
      </c>
      <c r="U22" s="13">
        <v>111327569.02</v>
      </c>
      <c r="V22" s="13">
        <v>723569594.03</v>
      </c>
      <c r="W22" s="13">
        <v>4166464950.31</v>
      </c>
      <c r="X22" s="62">
        <v>796637194</v>
      </c>
      <c r="Y22" s="62">
        <v>796637194</v>
      </c>
      <c r="Z22" s="2"/>
      <c r="AA22" s="70"/>
      <c r="AB22" s="70"/>
      <c r="AC22" s="28"/>
      <c r="AD22" s="70"/>
      <c r="AE22" s="70"/>
      <c r="AF22" s="73"/>
      <c r="AG22" s="70"/>
    </row>
    <row r="23" spans="1:33">
      <c r="A23" s="1"/>
      <c r="B23" s="1">
        <v>2017</v>
      </c>
      <c r="C23" s="1"/>
      <c r="D23" s="1"/>
      <c r="E23" s="30"/>
      <c r="F23" s="30">
        <f t="shared" si="10"/>
        <v>0.107981762462568</v>
      </c>
      <c r="G23" s="28">
        <f t="shared" si="14"/>
        <v>0.148226520751638</v>
      </c>
      <c r="H23" s="28">
        <f t="shared" si="15"/>
        <v>0.0964047932056491</v>
      </c>
      <c r="I23" s="31">
        <f t="shared" si="16"/>
        <v>0.349611711070378</v>
      </c>
      <c r="J23" s="28"/>
      <c r="K23" s="35">
        <f t="shared" si="12"/>
        <v>0.246525457918945</v>
      </c>
      <c r="L23" s="28">
        <f t="shared" si="17"/>
        <v>0.142933638506007</v>
      </c>
      <c r="M23" s="28">
        <f t="shared" si="13"/>
        <v>-0.0385026890171281</v>
      </c>
      <c r="N23" s="28">
        <f t="shared" si="11"/>
        <v>0</v>
      </c>
      <c r="O23" s="28"/>
      <c r="P23" s="12">
        <v>5304762875.94</v>
      </c>
      <c r="Q23" s="11">
        <f t="shared" si="18"/>
        <v>1854607225.88</v>
      </c>
      <c r="R23" s="12">
        <v>3450155650.06</v>
      </c>
      <c r="S23" s="59">
        <v>511404568.06</v>
      </c>
      <c r="T23" s="13">
        <v>61413076.73</v>
      </c>
      <c r="U23" s="13">
        <v>97773235.58</v>
      </c>
      <c r="V23" s="13">
        <v>650615659.55</v>
      </c>
      <c r="W23" s="13">
        <v>3609371700.99</v>
      </c>
      <c r="X23" s="62">
        <v>796637194</v>
      </c>
      <c r="Y23" s="62">
        <v>796637194</v>
      </c>
      <c r="Z23" s="2"/>
      <c r="AA23" s="70"/>
      <c r="AB23" s="70"/>
      <c r="AC23" s="28"/>
      <c r="AD23" s="70"/>
      <c r="AE23" s="70"/>
      <c r="AF23" s="73"/>
      <c r="AG23" s="70"/>
    </row>
    <row r="24" spans="1:33">
      <c r="A24" s="1"/>
      <c r="B24" s="1">
        <v>2016</v>
      </c>
      <c r="C24" s="1"/>
      <c r="D24" s="1"/>
      <c r="E24" s="30"/>
      <c r="F24" s="30">
        <f t="shared" si="10"/>
        <v>0.0964580983452112</v>
      </c>
      <c r="G24" s="28">
        <f t="shared" si="14"/>
        <v>0.132810018005808</v>
      </c>
      <c r="H24" s="28">
        <f t="shared" si="15"/>
        <v>0.0835420859181533</v>
      </c>
      <c r="I24" s="31">
        <f t="shared" si="16"/>
        <v>0.370965480070186</v>
      </c>
      <c r="J24" s="28"/>
      <c r="K24" s="35">
        <f t="shared" si="12"/>
        <v>0.496971412499224</v>
      </c>
      <c r="L24" s="28">
        <f t="shared" si="17"/>
        <v>0.144785649301856</v>
      </c>
      <c r="M24" s="35">
        <f t="shared" si="13"/>
        <v>0.717656680281128</v>
      </c>
      <c r="N24" s="28">
        <f t="shared" si="11"/>
        <v>0</v>
      </c>
      <c r="O24" s="28"/>
      <c r="P24" s="12">
        <v>4910866585.04</v>
      </c>
      <c r="Q24" s="11">
        <f t="shared" si="18"/>
        <v>1821761980.28</v>
      </c>
      <c r="R24" s="12">
        <v>3089104604.76</v>
      </c>
      <c r="S24" s="59">
        <v>410264038.18</v>
      </c>
      <c r="T24" s="13">
        <v>63428813.84</v>
      </c>
      <c r="U24" s="13">
        <v>75998454.21</v>
      </c>
      <c r="V24" s="13">
        <v>676669245.06</v>
      </c>
      <c r="W24" s="13">
        <v>3157988862.51</v>
      </c>
      <c r="X24" s="62">
        <v>796637194</v>
      </c>
      <c r="Y24" s="62">
        <v>796637194</v>
      </c>
      <c r="Z24" s="2"/>
      <c r="AA24" s="70"/>
      <c r="AB24" s="70"/>
      <c r="AC24" s="28"/>
      <c r="AD24" s="70"/>
      <c r="AE24" s="70"/>
      <c r="AF24" s="73"/>
      <c r="AG24" s="70"/>
    </row>
    <row r="25" spans="1:33">
      <c r="A25" s="1"/>
      <c r="B25" s="1">
        <v>2015</v>
      </c>
      <c r="C25" s="1"/>
      <c r="D25" s="1"/>
      <c r="E25" s="30"/>
      <c r="F25" s="30">
        <f t="shared" si="10"/>
        <v>0.0741579481353309</v>
      </c>
      <c r="G25" s="28">
        <f t="shared" si="14"/>
        <v>0.0979289181850914</v>
      </c>
      <c r="H25" s="28">
        <f t="shared" si="15"/>
        <v>0.060591582801739</v>
      </c>
      <c r="I25" s="31">
        <f t="shared" si="16"/>
        <v>0.381269762551473</v>
      </c>
      <c r="J25" s="28"/>
      <c r="K25" s="31">
        <f t="shared" si="12"/>
        <v>-0.0634488224879556</v>
      </c>
      <c r="L25" s="28">
        <f t="shared" si="17"/>
        <v>0.0441684194682816</v>
      </c>
      <c r="M25" s="35">
        <f t="shared" si="13"/>
        <v>0.176095081596958</v>
      </c>
      <c r="N25" s="28">
        <f t="shared" si="11"/>
        <v>0</v>
      </c>
      <c r="O25" s="28"/>
      <c r="P25" s="12">
        <v>4523115170.58</v>
      </c>
      <c r="Q25" s="11">
        <f t="shared" si="18"/>
        <v>1724527047.08</v>
      </c>
      <c r="R25" s="12">
        <v>2798588123.5</v>
      </c>
      <c r="S25" s="59">
        <v>274062707.38</v>
      </c>
      <c r="T25" s="13">
        <v>61362232.85</v>
      </c>
      <c r="U25" s="13">
        <v>65056564.18</v>
      </c>
      <c r="V25" s="13">
        <v>393949066.09</v>
      </c>
      <c r="W25" s="13">
        <v>2758585298.86</v>
      </c>
      <c r="X25" s="62">
        <v>796637194</v>
      </c>
      <c r="Y25" s="62">
        <v>796637194</v>
      </c>
      <c r="Z25" s="2"/>
      <c r="AA25" s="70"/>
      <c r="AB25" s="70"/>
      <c r="AC25" s="28"/>
      <c r="AD25" s="70"/>
      <c r="AE25" s="70"/>
      <c r="AF25" s="73"/>
      <c r="AG25" s="70"/>
    </row>
    <row r="26" spans="1:33">
      <c r="A26" s="1"/>
      <c r="B26" s="1">
        <v>2014</v>
      </c>
      <c r="C26" s="1"/>
      <c r="D26" s="1"/>
      <c r="E26" s="30"/>
      <c r="F26" s="30">
        <f t="shared" si="10"/>
        <v>0.080085434624652</v>
      </c>
      <c r="G26" s="28">
        <f t="shared" si="14"/>
        <v>0.112009784784847</v>
      </c>
      <c r="H26" s="28">
        <f t="shared" si="15"/>
        <v>0.0720945826561604</v>
      </c>
      <c r="I26" s="31">
        <f t="shared" si="16"/>
        <v>0.35635460067491</v>
      </c>
      <c r="J26" s="28"/>
      <c r="K26" s="35">
        <f t="shared" si="12"/>
        <v>0.328006614094497</v>
      </c>
      <c r="L26" s="28">
        <f t="shared" si="17"/>
        <v>0.139637431020141</v>
      </c>
      <c r="M26" s="35">
        <f t="shared" si="13"/>
        <v>1.47997787138535</v>
      </c>
      <c r="N26" s="28">
        <f t="shared" si="11"/>
        <v>0</v>
      </c>
      <c r="O26" s="28"/>
      <c r="P26" s="12">
        <v>4058969587.71</v>
      </c>
      <c r="Q26" s="11">
        <f t="shared" si="18"/>
        <v>1446432486.58</v>
      </c>
      <c r="R26" s="12">
        <v>2612537101.13</v>
      </c>
      <c r="S26" s="59">
        <v>292629718.44</v>
      </c>
      <c r="T26" s="13">
        <v>32434625.12</v>
      </c>
      <c r="U26" s="13">
        <v>51394587.66</v>
      </c>
      <c r="V26" s="13">
        <v>334963620.08</v>
      </c>
      <c r="W26" s="13">
        <v>2641896888.88</v>
      </c>
      <c r="X26" s="62">
        <v>796637194</v>
      </c>
      <c r="Y26" s="62">
        <v>796637194</v>
      </c>
      <c r="Z26" s="2"/>
      <c r="AA26" s="70"/>
      <c r="AB26" s="70"/>
      <c r="AC26" s="28"/>
      <c r="AD26" s="70"/>
      <c r="AE26" s="70"/>
      <c r="AF26" s="73"/>
      <c r="AG26" s="70"/>
    </row>
    <row r="27" spans="1:33">
      <c r="A27" s="1"/>
      <c r="B27" s="1">
        <v>2013</v>
      </c>
      <c r="C27" s="1"/>
      <c r="D27" s="1"/>
      <c r="E27" s="30"/>
      <c r="F27" s="30">
        <f t="shared" si="10"/>
        <v>0.0685897167369739</v>
      </c>
      <c r="G27" s="28">
        <f t="shared" si="14"/>
        <v>0.0923980798268776</v>
      </c>
      <c r="H27" s="28">
        <f t="shared" si="15"/>
        <v>0.0596172346064413</v>
      </c>
      <c r="I27" s="31">
        <f t="shared" si="16"/>
        <v>0.354778424853162</v>
      </c>
      <c r="J27" s="28"/>
      <c r="K27" s="35">
        <f t="shared" si="12"/>
        <v>0.800068850009729</v>
      </c>
      <c r="L27" s="35">
        <f t="shared" si="17"/>
        <v>0.321404611520922</v>
      </c>
      <c r="M27" s="28">
        <f t="shared" si="13"/>
        <v>-0.44206624168004</v>
      </c>
      <c r="N27" s="28">
        <f t="shared" si="11"/>
        <v>0</v>
      </c>
      <c r="O27" s="28"/>
      <c r="P27" s="12">
        <v>3696122566.48</v>
      </c>
      <c r="Q27" s="11">
        <f t="shared" si="18"/>
        <v>1311304542.2</v>
      </c>
      <c r="R27" s="12">
        <v>2384818024.28</v>
      </c>
      <c r="S27" s="59">
        <v>220352606.18</v>
      </c>
      <c r="T27" s="13">
        <v>33163393.68</v>
      </c>
      <c r="U27" s="13">
        <v>42004915.4</v>
      </c>
      <c r="V27" s="13">
        <v>135067181.02</v>
      </c>
      <c r="W27" s="13">
        <v>2318190695.54</v>
      </c>
      <c r="X27" s="62">
        <v>796637194</v>
      </c>
      <c r="Y27" s="62">
        <v>796637194</v>
      </c>
      <c r="Z27" s="2"/>
      <c r="AA27" s="70"/>
      <c r="AB27" s="70"/>
      <c r="AC27" s="28"/>
      <c r="AD27" s="70"/>
      <c r="AE27" s="70"/>
      <c r="AF27" s="73"/>
      <c r="AG27" s="70"/>
    </row>
    <row r="28" spans="1:33">
      <c r="A28" s="1"/>
      <c r="B28" s="1">
        <v>2012</v>
      </c>
      <c r="C28" s="1"/>
      <c r="D28" s="1"/>
      <c r="E28" s="30"/>
      <c r="F28" s="30">
        <f t="shared" si="10"/>
        <v>0.0468819626470807</v>
      </c>
      <c r="G28" s="28">
        <f t="shared" si="14"/>
        <v>0.0559079336901412</v>
      </c>
      <c r="H28" s="28">
        <f t="shared" si="15"/>
        <v>0.03502441393669</v>
      </c>
      <c r="I28" s="31">
        <f t="shared" si="16"/>
        <v>0.373534101066837</v>
      </c>
      <c r="J28" s="28"/>
      <c r="K28" s="28"/>
      <c r="L28" s="28"/>
      <c r="M28" s="28"/>
      <c r="N28" s="28"/>
      <c r="O28" s="28"/>
      <c r="P28" s="12">
        <v>3495088667.33</v>
      </c>
      <c r="Q28" s="11">
        <f t="shared" si="18"/>
        <v>1305534803.5</v>
      </c>
      <c r="R28" s="12">
        <v>2189553863.83</v>
      </c>
      <c r="S28" s="59">
        <v>122413432.23</v>
      </c>
      <c r="T28" s="13">
        <v>41443184.12</v>
      </c>
      <c r="U28" s="13">
        <v>22906699.05</v>
      </c>
      <c r="V28" s="13">
        <v>242084618.48</v>
      </c>
      <c r="W28" s="13">
        <v>1754338281.65</v>
      </c>
      <c r="X28" s="62">
        <v>796637194</v>
      </c>
      <c r="Y28" s="62">
        <v>796637194</v>
      </c>
      <c r="Z28" s="2"/>
      <c r="AA28" s="70"/>
      <c r="AB28" s="70"/>
      <c r="AC28" s="28"/>
      <c r="AD28" s="70"/>
      <c r="AE28" s="70"/>
      <c r="AF28" s="73"/>
      <c r="AG28" s="70"/>
    </row>
    <row r="29" spans="1:33">
      <c r="A29" s="1"/>
      <c r="B29" s="1">
        <v>2011</v>
      </c>
      <c r="C29" s="1"/>
      <c r="D29" s="1"/>
      <c r="E29" s="30"/>
      <c r="F29" s="30"/>
      <c r="G29" s="1"/>
      <c r="H29" s="1"/>
      <c r="I29" s="1"/>
      <c r="J29" s="6"/>
      <c r="K29" s="30"/>
      <c r="L29" s="28"/>
      <c r="M29" s="28"/>
      <c r="N29" s="28"/>
      <c r="O29" s="28"/>
      <c r="P29" s="1"/>
      <c r="Q29" s="1"/>
      <c r="R29" s="2"/>
      <c r="S29" s="2"/>
      <c r="T29" s="13"/>
      <c r="U29" s="13"/>
      <c r="V29" s="13"/>
      <c r="W29" s="2"/>
      <c r="X29" s="65"/>
      <c r="Y29" s="65"/>
      <c r="Z29" s="2"/>
      <c r="AA29" s="70"/>
      <c r="AB29" s="70"/>
      <c r="AC29" s="28"/>
      <c r="AD29" s="70"/>
      <c r="AE29" s="70"/>
      <c r="AF29" s="73"/>
      <c r="AG29" s="70"/>
    </row>
    <row r="30" spans="1:33">
      <c r="A30" s="1"/>
      <c r="B30" s="1">
        <v>2010</v>
      </c>
      <c r="C30" s="1"/>
      <c r="D30" s="1"/>
      <c r="E30" s="30"/>
      <c r="F30" s="30"/>
      <c r="G30" s="1"/>
      <c r="H30" s="1"/>
      <c r="I30" s="1"/>
      <c r="J30" s="6"/>
      <c r="K30" s="30"/>
      <c r="L30" s="28"/>
      <c r="M30" s="28"/>
      <c r="N30" s="28"/>
      <c r="O30" s="28"/>
      <c r="P30" s="1"/>
      <c r="Q30" s="1"/>
      <c r="R30" s="2"/>
      <c r="S30" s="2"/>
      <c r="T30" s="13"/>
      <c r="U30" s="13"/>
      <c r="V30" s="13"/>
      <c r="W30" s="2"/>
      <c r="X30" s="65"/>
      <c r="Y30" s="65"/>
      <c r="Z30" s="2"/>
      <c r="AA30" s="70"/>
      <c r="AB30" s="70"/>
      <c r="AC30" s="28"/>
      <c r="AD30" s="70"/>
      <c r="AE30" s="70"/>
      <c r="AF30" s="73"/>
      <c r="AG30" s="70"/>
    </row>
    <row r="31" spans="1:33">
      <c r="A31" s="1" t="s">
        <v>64</v>
      </c>
      <c r="B31" s="1">
        <v>2023</v>
      </c>
      <c r="C31" s="1">
        <v>1996</v>
      </c>
      <c r="D31" s="1">
        <v>2016</v>
      </c>
      <c r="E31" s="30"/>
      <c r="F31" s="30">
        <f>(S31+T31)/P31</f>
        <v>0.124292110925563</v>
      </c>
      <c r="G31" s="28">
        <f>S31/R31</f>
        <v>0.145233997925144</v>
      </c>
      <c r="H31" s="28">
        <f>S31/P31</f>
        <v>0.124290901527869</v>
      </c>
      <c r="I31" s="28">
        <f>Q31/P31</f>
        <v>0.144202436732955</v>
      </c>
      <c r="J31" s="28"/>
      <c r="K31" s="35">
        <f>(S31-S32)/S32</f>
        <v>0.542210500449144</v>
      </c>
      <c r="L31" s="35">
        <f>(W31-W32)/W32</f>
        <v>0.316164682857814</v>
      </c>
      <c r="M31" s="28">
        <f>(V31-V32)/V32</f>
        <v>-0.392241868303597</v>
      </c>
      <c r="N31" s="28">
        <f t="shared" ref="N31:N38" si="19">(X31-X32)/X32</f>
        <v>0.0645826251064263</v>
      </c>
      <c r="O31" s="28"/>
      <c r="P31" s="57">
        <v>4267793815.23</v>
      </c>
      <c r="Q31" s="11">
        <f>P31-R31</f>
        <v>615426267.63</v>
      </c>
      <c r="R31" s="57">
        <v>3652367547.6</v>
      </c>
      <c r="S31" s="57">
        <v>530447940.83</v>
      </c>
      <c r="T31" s="13">
        <v>5161.46</v>
      </c>
      <c r="U31" s="13">
        <v>98762845.55</v>
      </c>
      <c r="V31" s="13">
        <v>470030322.18</v>
      </c>
      <c r="W31" s="57">
        <v>3206797965.72</v>
      </c>
      <c r="X31" s="65">
        <v>1027821086</v>
      </c>
      <c r="Y31" s="65">
        <v>958538590</v>
      </c>
      <c r="Z31" s="2"/>
      <c r="AA31" s="70"/>
      <c r="AB31" s="70"/>
      <c r="AC31" s="74"/>
      <c r="AD31" s="69" t="s">
        <v>65</v>
      </c>
      <c r="AE31" s="73" t="s">
        <v>66</v>
      </c>
      <c r="AF31" s="73"/>
      <c r="AG31" s="70"/>
    </row>
    <row r="32" spans="1:33">
      <c r="A32" s="1"/>
      <c r="B32" s="1">
        <v>2022</v>
      </c>
      <c r="C32" s="1"/>
      <c r="D32" s="1"/>
      <c r="E32" s="30"/>
      <c r="F32" s="30">
        <f>(S32+T32)/P32</f>
        <v>0.108881967128426</v>
      </c>
      <c r="G32" s="28">
        <f>S32/R32</f>
        <v>0.146174949199638</v>
      </c>
      <c r="H32" s="28">
        <f>S32/P32</f>
        <v>0.108448021445581</v>
      </c>
      <c r="I32" s="28">
        <f>Q32/P32</f>
        <v>0.258094344897165</v>
      </c>
      <c r="J32" s="28"/>
      <c r="K32" s="35">
        <f t="shared" ref="K32:K40" si="20">(S32-S33)/S33</f>
        <v>0.553525427321262</v>
      </c>
      <c r="L32" s="35">
        <f>(W32-W33)/W33</f>
        <v>0.265511357801264</v>
      </c>
      <c r="M32" s="35">
        <f t="shared" ref="M32:M40" si="21">(V32-V33)/V33</f>
        <v>3.34027256643339</v>
      </c>
      <c r="N32" s="28">
        <f t="shared" si="19"/>
        <v>0.208675707551295</v>
      </c>
      <c r="O32" s="28"/>
      <c r="P32" s="12">
        <v>3171593207.19</v>
      </c>
      <c r="Q32" s="11">
        <f>P32-R32</f>
        <v>818570271.09</v>
      </c>
      <c r="R32" s="12">
        <v>2353022936.1</v>
      </c>
      <c r="S32" s="12">
        <v>343953008.15</v>
      </c>
      <c r="T32" s="13">
        <v>1376299.18</v>
      </c>
      <c r="U32" s="13">
        <v>57707967.16</v>
      </c>
      <c r="V32" s="13">
        <v>773383847.4</v>
      </c>
      <c r="W32" s="13">
        <v>2436471672.19</v>
      </c>
      <c r="X32" s="65">
        <v>965468590</v>
      </c>
      <c r="Y32" s="65">
        <v>958538590</v>
      </c>
      <c r="Z32" s="2"/>
      <c r="AA32" s="70"/>
      <c r="AB32" s="70"/>
      <c r="AC32" s="28"/>
      <c r="AD32" s="70"/>
      <c r="AE32" s="73"/>
      <c r="AF32" s="73"/>
      <c r="AG32" s="70"/>
    </row>
    <row r="33" spans="1:33">
      <c r="A33" s="1"/>
      <c r="B33" s="1">
        <v>2021</v>
      </c>
      <c r="C33" s="1"/>
      <c r="D33" s="1"/>
      <c r="E33" s="30"/>
      <c r="F33" s="30">
        <f t="shared" ref="F33:F41" si="22">(S33+T33)/P33</f>
        <v>0.0923400343109796</v>
      </c>
      <c r="G33" s="28">
        <f t="shared" ref="G33:G41" si="23">S33/R33</f>
        <v>0.106734499493711</v>
      </c>
      <c r="H33" s="28">
        <f t="shared" ref="H33:H41" si="24">S33/P33</f>
        <v>0.0923305823756004</v>
      </c>
      <c r="I33" s="28">
        <f t="shared" ref="I33:I41" si="25">Q33/P33</f>
        <v>0.134950903282766</v>
      </c>
      <c r="J33" s="28"/>
      <c r="K33" s="31">
        <f t="shared" si="20"/>
        <v>0.0758040630428128</v>
      </c>
      <c r="L33" s="28">
        <f t="shared" ref="L33:L40" si="26">(W33-W34)/W34</f>
        <v>0.137019947464054</v>
      </c>
      <c r="M33" s="28">
        <f t="shared" si="21"/>
        <v>-0.528641106023548</v>
      </c>
      <c r="N33" s="28">
        <f t="shared" si="19"/>
        <v>0.199957601552533</v>
      </c>
      <c r="O33" s="28"/>
      <c r="P33" s="12">
        <v>2397922657.19</v>
      </c>
      <c r="Q33" s="11">
        <f t="shared" ref="Q33:Q41" si="27">P33-R33</f>
        <v>323601828.59</v>
      </c>
      <c r="R33" s="12">
        <v>2074320828.6</v>
      </c>
      <c r="S33" s="12">
        <v>221401595.43</v>
      </c>
      <c r="T33" s="13">
        <v>22665.01</v>
      </c>
      <c r="U33" s="13">
        <v>39840870.93</v>
      </c>
      <c r="V33" s="13">
        <v>178187852.39</v>
      </c>
      <c r="W33" s="13">
        <v>1925286294.09</v>
      </c>
      <c r="X33" s="65">
        <v>798782158</v>
      </c>
      <c r="Y33" s="65">
        <v>794566246</v>
      </c>
      <c r="Z33" s="2"/>
      <c r="AA33" s="70"/>
      <c r="AB33" s="70"/>
      <c r="AC33" s="28"/>
      <c r="AD33" s="70"/>
      <c r="AE33" s="73"/>
      <c r="AF33" s="73"/>
      <c r="AG33" s="70"/>
    </row>
    <row r="34" spans="1:33">
      <c r="A34" s="1"/>
      <c r="B34" s="1">
        <v>2020</v>
      </c>
      <c r="C34" s="1"/>
      <c r="D34" s="1"/>
      <c r="E34" s="30"/>
      <c r="F34" s="30">
        <f t="shared" si="22"/>
        <v>0.0937074701353158</v>
      </c>
      <c r="G34" s="28">
        <f t="shared" si="23"/>
        <v>0.108435539151202</v>
      </c>
      <c r="H34" s="28">
        <f t="shared" si="24"/>
        <v>0.0941668055611486</v>
      </c>
      <c r="I34" s="28">
        <f t="shared" si="25"/>
        <v>0.131587242538234</v>
      </c>
      <c r="J34" s="28"/>
      <c r="K34" s="31">
        <f t="shared" si="20"/>
        <v>0.038067685806363</v>
      </c>
      <c r="L34" s="35">
        <f t="shared" si="26"/>
        <v>0.249512951393242</v>
      </c>
      <c r="M34" s="35">
        <f t="shared" si="21"/>
        <v>0.968989207210425</v>
      </c>
      <c r="N34" s="28">
        <f t="shared" si="19"/>
        <v>0.428945553936482</v>
      </c>
      <c r="O34" s="28"/>
      <c r="P34" s="12">
        <v>2185494550.48</v>
      </c>
      <c r="Q34" s="11">
        <f t="shared" si="27"/>
        <v>287583201.48</v>
      </c>
      <c r="R34" s="12">
        <v>1897911349</v>
      </c>
      <c r="S34" s="12">
        <v>205801040.39</v>
      </c>
      <c r="T34" s="13">
        <v>-1003875.07</v>
      </c>
      <c r="U34" s="13">
        <v>51143969.08</v>
      </c>
      <c r="V34" s="13">
        <v>378030105.44</v>
      </c>
      <c r="W34" s="13">
        <v>1693273982.03</v>
      </c>
      <c r="X34" s="65">
        <v>665675318</v>
      </c>
      <c r="Y34" s="65">
        <v>659771876</v>
      </c>
      <c r="Z34" s="2"/>
      <c r="AA34" s="70"/>
      <c r="AB34" s="70"/>
      <c r="AC34" s="28"/>
      <c r="AD34" s="70"/>
      <c r="AE34" s="73"/>
      <c r="AF34" s="73"/>
      <c r="AG34" s="70"/>
    </row>
    <row r="35" spans="1:33">
      <c r="A35" s="1"/>
      <c r="B35" s="1">
        <v>2019</v>
      </c>
      <c r="C35" s="1"/>
      <c r="D35" s="1"/>
      <c r="E35" s="30"/>
      <c r="F35" s="30">
        <f t="shared" si="22"/>
        <v>0.0971055801939866</v>
      </c>
      <c r="G35" s="28">
        <f t="shared" si="23"/>
        <v>0.12448980369023</v>
      </c>
      <c r="H35" s="28">
        <f t="shared" si="24"/>
        <v>0.096447124320194</v>
      </c>
      <c r="I35" s="28">
        <f t="shared" si="25"/>
        <v>0.225260853007811</v>
      </c>
      <c r="J35" s="28"/>
      <c r="K35" s="31">
        <f t="shared" si="20"/>
        <v>-0.17402301476168</v>
      </c>
      <c r="L35" s="35">
        <f t="shared" si="26"/>
        <v>0.271906286261509</v>
      </c>
      <c r="M35" s="28">
        <f t="shared" si="21"/>
        <v>-0.211249282950964</v>
      </c>
      <c r="N35" s="28">
        <f t="shared" si="19"/>
        <v>0.428101919470848</v>
      </c>
      <c r="O35" s="28"/>
      <c r="P35" s="12">
        <v>2055571609.08</v>
      </c>
      <c r="Q35" s="11">
        <f t="shared" si="27"/>
        <v>463039814.08</v>
      </c>
      <c r="R35" s="12">
        <v>1592531795</v>
      </c>
      <c r="S35" s="12">
        <v>198253970.53</v>
      </c>
      <c r="T35" s="13">
        <v>1353503.2</v>
      </c>
      <c r="U35" s="13">
        <v>33750491.3</v>
      </c>
      <c r="V35" s="13">
        <v>191991964.23</v>
      </c>
      <c r="W35" s="13">
        <v>1355147203.67</v>
      </c>
      <c r="X35" s="65">
        <v>465850722</v>
      </c>
      <c r="Y35" s="65">
        <v>459810506</v>
      </c>
      <c r="Z35" s="2"/>
      <c r="AA35" s="70"/>
      <c r="AB35" s="70"/>
      <c r="AC35" s="28"/>
      <c r="AD35" s="70"/>
      <c r="AE35" s="73"/>
      <c r="AF35" s="73"/>
      <c r="AG35" s="70"/>
    </row>
    <row r="36" spans="1:33">
      <c r="A36" s="1"/>
      <c r="B36" s="1">
        <v>2018</v>
      </c>
      <c r="C36" s="1"/>
      <c r="D36" s="1"/>
      <c r="E36" s="30"/>
      <c r="F36" s="30">
        <f t="shared" si="22"/>
        <v>0.125470247715255</v>
      </c>
      <c r="G36" s="28">
        <f t="shared" si="23"/>
        <v>0.1837137290892</v>
      </c>
      <c r="H36" s="28">
        <f t="shared" si="24"/>
        <v>0.124290923391616</v>
      </c>
      <c r="I36" s="55">
        <f t="shared" si="25"/>
        <v>0.323453266079702</v>
      </c>
      <c r="J36" s="56"/>
      <c r="K36" s="35">
        <f t="shared" si="20"/>
        <v>0.666142883870169</v>
      </c>
      <c r="L36" s="28">
        <f t="shared" si="26"/>
        <v>0.123689887095143</v>
      </c>
      <c r="M36" s="35">
        <f t="shared" si="21"/>
        <v>0.392173526031768</v>
      </c>
      <c r="N36" s="28">
        <f t="shared" si="19"/>
        <v>0.00066725115127926</v>
      </c>
      <c r="O36" s="28"/>
      <c r="P36" s="12">
        <v>1931143438.96</v>
      </c>
      <c r="Q36" s="11">
        <f t="shared" si="27"/>
        <v>624634652.6</v>
      </c>
      <c r="R36" s="12">
        <v>1306508786.36</v>
      </c>
      <c r="S36" s="12">
        <v>240023601.23</v>
      </c>
      <c r="T36" s="13">
        <v>2277444.43</v>
      </c>
      <c r="U36" s="13">
        <v>45130726.95</v>
      </c>
      <c r="V36" s="13">
        <v>243412728.61</v>
      </c>
      <c r="W36" s="13">
        <v>1065445794.48</v>
      </c>
      <c r="X36" s="65">
        <v>326202714</v>
      </c>
      <c r="Y36" s="65">
        <v>134964546</v>
      </c>
      <c r="Z36" s="2"/>
      <c r="AA36" s="70"/>
      <c r="AB36" s="70"/>
      <c r="AC36" s="28"/>
      <c r="AD36" s="70"/>
      <c r="AE36" s="73"/>
      <c r="AF36" s="73"/>
      <c r="AG36" s="70"/>
    </row>
    <row r="37" spans="1:33">
      <c r="A37" s="1"/>
      <c r="B37" s="1">
        <v>2017</v>
      </c>
      <c r="C37" s="1"/>
      <c r="D37" s="1"/>
      <c r="E37" s="30"/>
      <c r="F37" s="30">
        <f t="shared" si="22"/>
        <v>0.121803221086439</v>
      </c>
      <c r="G37" s="28">
        <f t="shared" si="23"/>
        <v>0.135523232361733</v>
      </c>
      <c r="H37" s="28">
        <f t="shared" si="24"/>
        <v>0.120438259949236</v>
      </c>
      <c r="I37" s="28">
        <f t="shared" si="25"/>
        <v>0.111309125008419</v>
      </c>
      <c r="J37" s="28"/>
      <c r="K37" s="35">
        <f t="shared" si="20"/>
        <v>0.439319600747544</v>
      </c>
      <c r="L37" s="35">
        <f t="shared" si="26"/>
        <v>0.230010498376745</v>
      </c>
      <c r="M37" s="35">
        <f t="shared" si="21"/>
        <v>1.51602566066035</v>
      </c>
      <c r="N37" s="28">
        <f t="shared" si="19"/>
        <v>1.0374075</v>
      </c>
      <c r="O37" s="28"/>
      <c r="P37" s="12">
        <v>1196126831.38</v>
      </c>
      <c r="Q37" s="11">
        <f t="shared" si="27"/>
        <v>133139831</v>
      </c>
      <c r="R37" s="12">
        <v>1062987000.38</v>
      </c>
      <c r="S37" s="12">
        <v>144059434.25</v>
      </c>
      <c r="T37" s="13">
        <v>1632666.64</v>
      </c>
      <c r="U37" s="13">
        <v>26757461.94</v>
      </c>
      <c r="V37" s="13">
        <v>174843670.03</v>
      </c>
      <c r="W37" s="13">
        <v>948167111.51</v>
      </c>
      <c r="X37" s="65">
        <v>325985200</v>
      </c>
      <c r="Y37" s="65">
        <v>133190272</v>
      </c>
      <c r="Z37" s="2"/>
      <c r="AA37" s="70"/>
      <c r="AB37" s="70"/>
      <c r="AC37" s="28"/>
      <c r="AD37" s="70"/>
      <c r="AE37" s="73"/>
      <c r="AF37" s="73"/>
      <c r="AG37" s="70"/>
    </row>
    <row r="38" spans="1:33">
      <c r="A38" s="1"/>
      <c r="B38" s="1">
        <v>2016</v>
      </c>
      <c r="C38" s="1"/>
      <c r="D38" s="1"/>
      <c r="E38" s="30"/>
      <c r="F38" s="30">
        <f t="shared" si="22"/>
        <v>0.0988176824631842</v>
      </c>
      <c r="G38" s="28">
        <f t="shared" si="23"/>
        <v>0.112405921712588</v>
      </c>
      <c r="H38" s="28">
        <f t="shared" si="24"/>
        <v>0.0974898940991835</v>
      </c>
      <c r="I38" s="28">
        <f t="shared" si="25"/>
        <v>0.132697880913633</v>
      </c>
      <c r="J38" s="28"/>
      <c r="K38" s="35">
        <f t="shared" si="20"/>
        <v>0.504387235419186</v>
      </c>
      <c r="L38" s="35">
        <f t="shared" si="26"/>
        <v>0.236174394035559</v>
      </c>
      <c r="M38" s="28">
        <f t="shared" si="21"/>
        <v>-0.0484970528270128</v>
      </c>
      <c r="N38" s="28">
        <f t="shared" si="19"/>
        <v>0.333333333333333</v>
      </c>
      <c r="O38" s="28"/>
      <c r="P38" s="12">
        <v>1026655803.71</v>
      </c>
      <c r="Q38" s="11">
        <f t="shared" si="27"/>
        <v>136235049.58</v>
      </c>
      <c r="R38" s="12">
        <v>890420754.13</v>
      </c>
      <c r="S38" s="59">
        <v>100088565.58</v>
      </c>
      <c r="T38" s="13">
        <v>1363181.63</v>
      </c>
      <c r="U38" s="13">
        <v>21883612.08</v>
      </c>
      <c r="V38" s="13">
        <v>69492005.89</v>
      </c>
      <c r="W38" s="13">
        <v>770860990.83</v>
      </c>
      <c r="X38" s="65">
        <v>160000000</v>
      </c>
      <c r="Y38" s="65">
        <v>40000000</v>
      </c>
      <c r="Z38" s="2"/>
      <c r="AA38" s="70"/>
      <c r="AB38" s="70"/>
      <c r="AC38" s="28"/>
      <c r="AD38" s="70"/>
      <c r="AE38" s="73"/>
      <c r="AF38" s="73"/>
      <c r="AG38" s="70"/>
    </row>
    <row r="39" spans="1:33">
      <c r="A39" s="1"/>
      <c r="B39" s="1">
        <v>2015</v>
      </c>
      <c r="C39" s="1"/>
      <c r="D39" s="1"/>
      <c r="E39" s="30"/>
      <c r="F39" s="30">
        <f t="shared" si="22"/>
        <v>0.102122372604976</v>
      </c>
      <c r="G39" s="28">
        <f t="shared" si="23"/>
        <v>0.142313135043809</v>
      </c>
      <c r="H39" s="28">
        <f t="shared" si="24"/>
        <v>0.0918782510478093</v>
      </c>
      <c r="I39" s="31">
        <f t="shared" si="25"/>
        <v>0.35439373871199</v>
      </c>
      <c r="J39" s="28"/>
      <c r="K39" s="35">
        <f t="shared" si="20"/>
        <v>0.256007377514907</v>
      </c>
      <c r="L39" s="28">
        <f t="shared" si="26"/>
        <v>-0.0417807283033406</v>
      </c>
      <c r="M39" s="28">
        <f t="shared" si="21"/>
        <v>-0.263953922366121</v>
      </c>
      <c r="N39" s="28"/>
      <c r="O39" s="28"/>
      <c r="P39" s="12">
        <v>724122606.18</v>
      </c>
      <c r="Q39" s="11">
        <f t="shared" si="27"/>
        <v>256624517.69</v>
      </c>
      <c r="R39" s="12">
        <v>467498088.49</v>
      </c>
      <c r="S39" s="59">
        <v>66531118.6</v>
      </c>
      <c r="T39" s="13">
        <f>741.8*10000</f>
        <v>7418000</v>
      </c>
      <c r="U39" s="13">
        <v>14353571.4</v>
      </c>
      <c r="V39" s="13">
        <v>73033936.57</v>
      </c>
      <c r="W39" s="13">
        <v>623585955.63</v>
      </c>
      <c r="X39" s="65">
        <v>120000000</v>
      </c>
      <c r="Y39" s="65">
        <v>0</v>
      </c>
      <c r="Z39" s="2"/>
      <c r="AA39" s="70"/>
      <c r="AB39" s="70"/>
      <c r="AC39" s="28"/>
      <c r="AD39" s="70"/>
      <c r="AE39" s="73"/>
      <c r="AF39" s="73"/>
      <c r="AG39" s="70"/>
    </row>
    <row r="40" spans="1:33">
      <c r="A40" s="1"/>
      <c r="B40" s="1">
        <v>2014</v>
      </c>
      <c r="C40" s="1"/>
      <c r="D40" s="1"/>
      <c r="E40" s="30"/>
      <c r="F40" s="30">
        <f t="shared" si="22"/>
        <v>0.092404743820588</v>
      </c>
      <c r="G40" s="28">
        <f t="shared" si="23"/>
        <v>0.132106454316004</v>
      </c>
      <c r="H40" s="28">
        <f t="shared" si="24"/>
        <v>0.0816127318149368</v>
      </c>
      <c r="I40" s="31">
        <f t="shared" si="25"/>
        <v>0.382219951042547</v>
      </c>
      <c r="J40" s="28"/>
      <c r="K40" s="31">
        <f t="shared" si="20"/>
        <v>-0.248319190709499</v>
      </c>
      <c r="L40" s="28">
        <f t="shared" si="26"/>
        <v>0.0622324251897966</v>
      </c>
      <c r="M40" s="28">
        <f t="shared" si="21"/>
        <v>0.100879794803475</v>
      </c>
      <c r="N40" s="28"/>
      <c r="O40" s="28"/>
      <c r="P40" s="45">
        <v>649044867.29</v>
      </c>
      <c r="Q40" s="11">
        <f t="shared" si="27"/>
        <v>248077897.4</v>
      </c>
      <c r="R40" s="45">
        <v>400966969.89</v>
      </c>
      <c r="S40" s="59">
        <v>52970324.69</v>
      </c>
      <c r="T40" s="13">
        <f>700.45*10000</f>
        <v>7004500</v>
      </c>
      <c r="U40" s="13">
        <v>11307733.43</v>
      </c>
      <c r="V40" s="13">
        <v>99224680.07</v>
      </c>
      <c r="W40" s="13">
        <v>650775844.37</v>
      </c>
      <c r="X40" s="65"/>
      <c r="Y40" s="65"/>
      <c r="Z40" s="2"/>
      <c r="AA40" s="70"/>
      <c r="AB40" s="70"/>
      <c r="AC40" s="28"/>
      <c r="AD40" s="70"/>
      <c r="AE40" s="73"/>
      <c r="AF40" s="73"/>
      <c r="AG40" s="70"/>
    </row>
    <row r="41" spans="1:33">
      <c r="A41" s="1"/>
      <c r="B41" s="1">
        <v>2013</v>
      </c>
      <c r="C41" s="1"/>
      <c r="D41" s="1"/>
      <c r="E41" s="30"/>
      <c r="F41" s="30">
        <f t="shared" si="22"/>
        <v>0.143815880807212</v>
      </c>
      <c r="G41" s="28">
        <f t="shared" si="23"/>
        <v>0.195099189143853</v>
      </c>
      <c r="H41" s="28">
        <f t="shared" si="24"/>
        <v>0.136095595161915</v>
      </c>
      <c r="I41" s="31">
        <f t="shared" si="25"/>
        <v>0.30242869917021</v>
      </c>
      <c r="J41" s="28"/>
      <c r="K41" s="30"/>
      <c r="L41" s="28"/>
      <c r="M41" s="28"/>
      <c r="N41" s="28"/>
      <c r="O41" s="28"/>
      <c r="P41" s="45">
        <v>517791722.18</v>
      </c>
      <c r="Q41" s="11">
        <f t="shared" si="27"/>
        <v>156595076.98</v>
      </c>
      <c r="R41" s="45">
        <v>361196645.2</v>
      </c>
      <c r="S41" s="59">
        <v>70469172.6</v>
      </c>
      <c r="T41" s="13">
        <f>399.75*10000</f>
        <v>3997500</v>
      </c>
      <c r="U41" s="13">
        <v>13149040.82</v>
      </c>
      <c r="V41" s="13">
        <v>90132165.69</v>
      </c>
      <c r="W41" s="13">
        <v>612649198.93</v>
      </c>
      <c r="X41" s="65"/>
      <c r="Y41" s="65"/>
      <c r="Z41" s="2"/>
      <c r="AA41" s="70"/>
      <c r="AB41" s="70"/>
      <c r="AC41" s="28"/>
      <c r="AD41" s="70"/>
      <c r="AE41" s="73"/>
      <c r="AF41" s="73"/>
      <c r="AG41" s="70"/>
    </row>
    <row r="42" spans="1:33">
      <c r="A42" s="1"/>
      <c r="B42" s="1">
        <v>2012</v>
      </c>
      <c r="C42" s="1"/>
      <c r="D42" s="1"/>
      <c r="E42" s="30"/>
      <c r="F42" s="30"/>
      <c r="G42" s="1"/>
      <c r="H42" s="1"/>
      <c r="I42" s="1"/>
      <c r="J42" s="6"/>
      <c r="K42" s="30"/>
      <c r="L42" s="28"/>
      <c r="M42" s="28"/>
      <c r="N42" s="28"/>
      <c r="O42" s="28"/>
      <c r="P42" s="1"/>
      <c r="Q42" s="1"/>
      <c r="R42" s="2"/>
      <c r="S42" s="2"/>
      <c r="T42" s="13"/>
      <c r="U42" s="13"/>
      <c r="V42" s="13"/>
      <c r="W42" s="2"/>
      <c r="X42" s="65"/>
      <c r="Y42" s="65"/>
      <c r="Z42" s="2"/>
      <c r="AA42" s="70"/>
      <c r="AB42" s="70"/>
      <c r="AC42" s="28"/>
      <c r="AD42" s="70"/>
      <c r="AE42" s="73"/>
      <c r="AF42" s="73"/>
      <c r="AG42" s="70"/>
    </row>
    <row r="43" spans="1:33">
      <c r="A43" s="1"/>
      <c r="B43" s="1">
        <v>2011</v>
      </c>
      <c r="C43" s="1"/>
      <c r="D43" s="1"/>
      <c r="E43" s="30"/>
      <c r="F43" s="30"/>
      <c r="G43" s="1"/>
      <c r="H43" s="1"/>
      <c r="I43" s="1"/>
      <c r="J43" s="6"/>
      <c r="K43" s="30"/>
      <c r="L43" s="28"/>
      <c r="M43" s="28"/>
      <c r="N43" s="28"/>
      <c r="O43" s="28"/>
      <c r="P43" s="1"/>
      <c r="Q43" s="1"/>
      <c r="R43" s="2"/>
      <c r="S43" s="2"/>
      <c r="T43" s="13"/>
      <c r="U43" s="13"/>
      <c r="V43" s="13"/>
      <c r="W43" s="2"/>
      <c r="X43" s="65"/>
      <c r="Y43" s="65"/>
      <c r="Z43" s="2"/>
      <c r="AA43" s="70"/>
      <c r="AB43" s="70"/>
      <c r="AC43" s="28"/>
      <c r="AD43" s="70"/>
      <c r="AE43" s="73"/>
      <c r="AF43" s="73"/>
      <c r="AG43" s="70"/>
    </row>
    <row r="44" spans="1:33">
      <c r="A44" s="1"/>
      <c r="B44" s="1">
        <v>2010</v>
      </c>
      <c r="C44" s="1"/>
      <c r="D44" s="1"/>
      <c r="E44" s="30"/>
      <c r="F44" s="30"/>
      <c r="G44" s="1"/>
      <c r="H44" s="1"/>
      <c r="I44" s="1"/>
      <c r="J44" s="6"/>
      <c r="K44" s="30"/>
      <c r="L44" s="28"/>
      <c r="M44" s="28"/>
      <c r="N44" s="28"/>
      <c r="O44" s="28"/>
      <c r="P44" s="1"/>
      <c r="Q44" s="1"/>
      <c r="R44" s="2"/>
      <c r="S44" s="2"/>
      <c r="T44" s="13"/>
      <c r="U44" s="13"/>
      <c r="V44" s="13"/>
      <c r="W44" s="2"/>
      <c r="X44" s="65"/>
      <c r="Y44" s="65"/>
      <c r="Z44" s="2"/>
      <c r="AA44" s="70"/>
      <c r="AB44" s="70"/>
      <c r="AC44" s="28"/>
      <c r="AD44" s="70"/>
      <c r="AE44" s="73"/>
      <c r="AF44" s="73"/>
      <c r="AG44" s="70"/>
    </row>
    <row r="45" spans="1:33">
      <c r="A45" s="1" t="s">
        <v>67</v>
      </c>
      <c r="B45" s="1">
        <v>2023</v>
      </c>
      <c r="C45" s="1">
        <v>2005</v>
      </c>
      <c r="D45" s="1">
        <v>2016</v>
      </c>
      <c r="E45" s="30">
        <f>(S45+T45)/(R45+负债表!F45)</f>
        <v>0.17907164091712</v>
      </c>
      <c r="F45" s="30">
        <f>(S45+T45)/P45</f>
        <v>0.150529082963605</v>
      </c>
      <c r="G45" s="30">
        <f>S45/R45</f>
        <v>0.178218693325945</v>
      </c>
      <c r="H45" s="30">
        <f>S45/P45</f>
        <v>0.149812088256581</v>
      </c>
      <c r="I45" s="30">
        <f>Q45/P45</f>
        <v>0.15939183785514</v>
      </c>
      <c r="J45" s="28"/>
      <c r="K45" s="31">
        <f>(S45-S46)/S46</f>
        <v>0.111572992673894</v>
      </c>
      <c r="L45" s="31">
        <f>(W45-W46)/W46</f>
        <v>9.14265486103734e-5</v>
      </c>
      <c r="M45" s="35">
        <f>(V45-V46)/V46</f>
        <v>-0.245966822505594</v>
      </c>
      <c r="N45" s="28">
        <f>(X45-X46)/X46</f>
        <v>-0.00974305091221702</v>
      </c>
      <c r="O45" s="28"/>
      <c r="P45" s="11">
        <f>6054438*1000</f>
        <v>6054438000</v>
      </c>
      <c r="Q45" s="11">
        <f t="shared" ref="Q45:Q56" si="28">P45-R45</f>
        <v>965028000</v>
      </c>
      <c r="R45" s="13">
        <f>5089410*1000</f>
        <v>5089410000</v>
      </c>
      <c r="S45" s="13">
        <f>907028*1000</f>
        <v>907028000</v>
      </c>
      <c r="T45" s="13">
        <f>4341*1000</f>
        <v>4341000</v>
      </c>
      <c r="U45" s="13">
        <f>357089*1000</f>
        <v>357089000</v>
      </c>
      <c r="V45" s="13">
        <f>958999*1000</f>
        <v>958999000</v>
      </c>
      <c r="W45" s="13">
        <f>6147573*1000</f>
        <v>6147573000</v>
      </c>
      <c r="X45" s="65">
        <v>1036700000</v>
      </c>
      <c r="Y45" s="65"/>
      <c r="Z45" s="2"/>
      <c r="AA45" s="70"/>
      <c r="AB45" s="70"/>
      <c r="AC45" s="28"/>
      <c r="AD45" s="71"/>
      <c r="AE45" s="71"/>
      <c r="AF45" s="73"/>
      <c r="AG45" s="70"/>
    </row>
    <row r="46" spans="1:33">
      <c r="A46" s="1"/>
      <c r="B46" s="1">
        <v>2022</v>
      </c>
      <c r="C46" s="1"/>
      <c r="D46" s="1"/>
      <c r="E46" s="30">
        <f>(S46+T46)/(R46+负债表!F46)</f>
        <v>0.181141325993422</v>
      </c>
      <c r="F46" s="30">
        <f>(S46+T46)/P46</f>
        <v>0.148045149121115</v>
      </c>
      <c r="G46" s="30">
        <f t="shared" ref="G46:G56" si="29">S46/R46</f>
        <v>0.179850611227058</v>
      </c>
      <c r="H46" s="30">
        <f t="shared" ref="H46:H56" si="30">S46/P46</f>
        <v>0.146990259746693</v>
      </c>
      <c r="I46" s="30">
        <f t="shared" ref="I46:I56" si="31">Q46/P46</f>
        <v>0.182709145418914</v>
      </c>
      <c r="J46" s="28"/>
      <c r="K46" s="31">
        <f t="shared" ref="K46:K56" si="32">(S46-S47)/S47</f>
        <v>-0.0484782971200815</v>
      </c>
      <c r="L46" s="31">
        <f t="shared" ref="L46:L56" si="33">(W46-W47)/W47</f>
        <v>0.034394610993776</v>
      </c>
      <c r="M46" s="35">
        <f t="shared" ref="M46:M56" si="34">(V46-V47)/V47</f>
        <v>0.533264455586512</v>
      </c>
      <c r="N46" s="28">
        <f t="shared" ref="N46:N56" si="35">(X46-X47)/X47</f>
        <v>0</v>
      </c>
      <c r="O46" s="28"/>
      <c r="P46" s="11">
        <f>5551293*1000</f>
        <v>5551293000</v>
      </c>
      <c r="Q46" s="11">
        <f t="shared" si="28"/>
        <v>1014272000</v>
      </c>
      <c r="R46" s="13">
        <f>4537021*1000</f>
        <v>4537021000</v>
      </c>
      <c r="S46" s="13">
        <f>815986*1000</f>
        <v>815986000</v>
      </c>
      <c r="T46" s="13">
        <f>5856*1000</f>
        <v>5856000</v>
      </c>
      <c r="U46" s="13">
        <f>326161*1000</f>
        <v>326161000</v>
      </c>
      <c r="V46" s="13">
        <f>1271826*1000</f>
        <v>1271826000</v>
      </c>
      <c r="W46" s="13">
        <f>6147011*1000</f>
        <v>6147011000</v>
      </c>
      <c r="X46" s="65">
        <v>1046900000</v>
      </c>
      <c r="Y46" s="65"/>
      <c r="Z46" s="2"/>
      <c r="AA46" s="70"/>
      <c r="AB46" s="70"/>
      <c r="AC46" s="28"/>
      <c r="AD46" s="71"/>
      <c r="AE46" s="71"/>
      <c r="AF46" s="73"/>
      <c r="AG46" s="70"/>
    </row>
    <row r="47" spans="1:33">
      <c r="A47" s="1"/>
      <c r="B47" s="1">
        <v>2021</v>
      </c>
      <c r="C47" s="1"/>
      <c r="D47" s="1"/>
      <c r="E47" s="30">
        <f>(S47+T47)/(R47+负债表!F47)</f>
        <v>0.210048540475708</v>
      </c>
      <c r="F47" s="30">
        <f>(S47+T47)/P47</f>
        <v>0.17243167838743</v>
      </c>
      <c r="G47" s="30">
        <f t="shared" si="29"/>
        <v>0.208716013878721</v>
      </c>
      <c r="H47" s="30">
        <f t="shared" si="30"/>
        <v>0.171337789341145</v>
      </c>
      <c r="I47" s="30">
        <f t="shared" si="31"/>
        <v>0.179086519730562</v>
      </c>
      <c r="J47" s="28"/>
      <c r="K47" s="31">
        <f t="shared" si="32"/>
        <v>-0.127486999687647</v>
      </c>
      <c r="L47" s="31">
        <f t="shared" si="33"/>
        <v>0.108692857733207</v>
      </c>
      <c r="M47" s="28">
        <f t="shared" si="34"/>
        <v>-0.308040682241728</v>
      </c>
      <c r="N47" s="28" t="e">
        <f t="shared" si="35"/>
        <v>#DIV/0!</v>
      </c>
      <c r="O47" s="28"/>
      <c r="P47" s="11">
        <f>5005078*1000</f>
        <v>5005078000</v>
      </c>
      <c r="Q47" s="11">
        <f t="shared" si="28"/>
        <v>896342000</v>
      </c>
      <c r="R47" s="13">
        <f>4108736*1000</f>
        <v>4108736000</v>
      </c>
      <c r="S47" s="13">
        <f>857559*1000</f>
        <v>857559000</v>
      </c>
      <c r="T47" s="13">
        <f>5475*1000</f>
        <v>5475000</v>
      </c>
      <c r="U47" s="13">
        <f>312602*1000</f>
        <v>312602000</v>
      </c>
      <c r="V47" s="13">
        <f>829489*1000</f>
        <v>829489000</v>
      </c>
      <c r="W47" s="13">
        <f>5942617*1000</f>
        <v>5942617000</v>
      </c>
      <c r="X47" s="65">
        <v>1046900000</v>
      </c>
      <c r="Y47" s="65"/>
      <c r="Z47" s="2"/>
      <c r="AA47" s="70"/>
      <c r="AB47" s="70"/>
      <c r="AC47" s="28"/>
      <c r="AD47" s="71"/>
      <c r="AE47" s="71"/>
      <c r="AF47" s="73"/>
      <c r="AG47" s="70"/>
    </row>
    <row r="48" spans="1:33">
      <c r="A48" s="1"/>
      <c r="B48" s="1">
        <v>2020</v>
      </c>
      <c r="C48" s="1"/>
      <c r="D48" s="1"/>
      <c r="E48" s="30">
        <f>(S48+T48)/(R48+负债表!F48)</f>
        <v>0.280302721976146</v>
      </c>
      <c r="F48" s="30">
        <f>(S48+T48)/P48</f>
        <v>0.229715716107026</v>
      </c>
      <c r="G48" s="30">
        <f t="shared" si="29"/>
        <v>0.279731510846323</v>
      </c>
      <c r="H48" s="30">
        <f t="shared" si="30"/>
        <v>0.229247593026342</v>
      </c>
      <c r="I48" s="30">
        <f t="shared" si="31"/>
        <v>0.180472759994906</v>
      </c>
      <c r="J48" s="28"/>
      <c r="K48" s="35">
        <f t="shared" si="32"/>
        <v>0.236295369211514</v>
      </c>
      <c r="L48" s="35">
        <f t="shared" si="33"/>
        <v>0.251613781521396</v>
      </c>
      <c r="M48" s="35">
        <f t="shared" si="34"/>
        <v>0.260000084087316</v>
      </c>
      <c r="N48" s="28" t="e">
        <f t="shared" si="35"/>
        <v>#DIV/0!</v>
      </c>
      <c r="O48" s="28"/>
      <c r="P48" s="11">
        <f>4287334*1000</f>
        <v>4287334000</v>
      </c>
      <c r="Q48" s="11">
        <f t="shared" si="28"/>
        <v>773747000</v>
      </c>
      <c r="R48" s="13">
        <f>3513587*1000</f>
        <v>3513587000</v>
      </c>
      <c r="S48" s="13">
        <f>982861*1000</f>
        <v>982861000</v>
      </c>
      <c r="T48" s="13">
        <f>2007*1000</f>
        <v>2007000</v>
      </c>
      <c r="U48" s="13">
        <f>312602*1000</f>
        <v>312602000</v>
      </c>
      <c r="V48" s="13">
        <f>1198754*1000</f>
        <v>1198754000</v>
      </c>
      <c r="W48" s="13">
        <f>5360021*1000</f>
        <v>5360021000</v>
      </c>
      <c r="X48" s="65"/>
      <c r="Y48" s="65"/>
      <c r="Z48" s="2"/>
      <c r="AA48" s="70"/>
      <c r="AB48" s="70"/>
      <c r="AC48" s="28"/>
      <c r="AD48" s="71"/>
      <c r="AE48" s="71"/>
      <c r="AF48" s="73"/>
      <c r="AG48" s="70"/>
    </row>
    <row r="49" spans="1:33">
      <c r="A49" s="1"/>
      <c r="B49" s="1">
        <v>2019</v>
      </c>
      <c r="C49" s="1"/>
      <c r="D49" s="1"/>
      <c r="E49" s="30">
        <f>(S49+U49)/(R49+负债表!F49)</f>
        <v>0.400865495884203</v>
      </c>
      <c r="F49" s="30">
        <f>(S49+U49)/P49</f>
        <v>0.330224101993175</v>
      </c>
      <c r="G49" s="30">
        <f t="shared" si="29"/>
        <v>0.291408417508294</v>
      </c>
      <c r="H49" s="30">
        <f t="shared" si="30"/>
        <v>0.240055789218453</v>
      </c>
      <c r="I49" s="30">
        <f t="shared" si="31"/>
        <v>0.176222185786311</v>
      </c>
      <c r="J49" s="28"/>
      <c r="K49" s="35">
        <f t="shared" si="32"/>
        <v>0.450993239691625</v>
      </c>
      <c r="L49" s="35">
        <f t="shared" si="33"/>
        <v>0.597125054962514</v>
      </c>
      <c r="M49" s="35">
        <f t="shared" si="34"/>
        <v>1.89554464636258</v>
      </c>
      <c r="N49" s="28" t="e">
        <f t="shared" si="35"/>
        <v>#DIV/0!</v>
      </c>
      <c r="O49" s="28"/>
      <c r="P49" s="11">
        <f>3311751*1000</f>
        <v>3311751000</v>
      </c>
      <c r="Q49" s="11">
        <f t="shared" si="28"/>
        <v>583604000</v>
      </c>
      <c r="R49" s="13">
        <f>2728147*1000</f>
        <v>2728147000</v>
      </c>
      <c r="S49" s="13">
        <f>795005*1000</f>
        <v>795005000</v>
      </c>
      <c r="T49" s="13">
        <v>1560</v>
      </c>
      <c r="U49" s="13">
        <f>298615*1000</f>
        <v>298615000</v>
      </c>
      <c r="V49" s="13">
        <f>951392*1000</f>
        <v>951392000</v>
      </c>
      <c r="W49" s="13">
        <f>4282488*1000</f>
        <v>4282488000</v>
      </c>
      <c r="X49" s="65"/>
      <c r="Y49" s="65"/>
      <c r="Z49" s="2"/>
      <c r="AA49" s="70"/>
      <c r="AB49" s="70"/>
      <c r="AC49" s="28"/>
      <c r="AD49" s="71"/>
      <c r="AE49" s="71"/>
      <c r="AF49" s="73"/>
      <c r="AG49" s="70"/>
    </row>
    <row r="50" spans="1:33">
      <c r="A50" s="1"/>
      <c r="B50" s="1">
        <v>2018</v>
      </c>
      <c r="C50" s="1"/>
      <c r="D50" s="1"/>
      <c r="E50" s="30">
        <f>(S50+U50)/(R50+负债表!F50)</f>
        <v>0.358137706088235</v>
      </c>
      <c r="F50" s="30">
        <f>(S50+U50)/P50</f>
        <v>0.296705698000722</v>
      </c>
      <c r="G50" s="30">
        <f t="shared" si="29"/>
        <v>0.268617129499574</v>
      </c>
      <c r="H50" s="30">
        <f t="shared" si="30"/>
        <v>0.222540747729829</v>
      </c>
      <c r="I50" s="30">
        <f t="shared" si="31"/>
        <v>0.171531807579003</v>
      </c>
      <c r="J50" s="28"/>
      <c r="K50" s="35">
        <f t="shared" si="32"/>
        <v>1.09852541269294</v>
      </c>
      <c r="L50" s="35">
        <f t="shared" si="33"/>
        <v>0.628805002487515</v>
      </c>
      <c r="M50" s="28">
        <f t="shared" si="34"/>
        <v>-0.0697362982089569</v>
      </c>
      <c r="N50" s="28" t="e">
        <f t="shared" si="35"/>
        <v>#DIV/0!</v>
      </c>
      <c r="O50" s="28"/>
      <c r="P50" s="11">
        <f>2462039*1000</f>
        <v>2462039000</v>
      </c>
      <c r="Q50" s="11">
        <f t="shared" si="28"/>
        <v>422318000</v>
      </c>
      <c r="R50" s="13">
        <f>2039721*1000</f>
        <v>2039721000</v>
      </c>
      <c r="S50" s="13">
        <f>547904*1000</f>
        <v>547904000</v>
      </c>
      <c r="T50" s="13">
        <v>0</v>
      </c>
      <c r="U50" s="13">
        <f>182597*1000</f>
        <v>182597000</v>
      </c>
      <c r="V50" s="13">
        <f>328571*1000</f>
        <v>328571000</v>
      </c>
      <c r="W50" s="13">
        <f>2681373*1000</f>
        <v>2681373000</v>
      </c>
      <c r="X50" s="65"/>
      <c r="Y50" s="65"/>
      <c r="Z50" s="2"/>
      <c r="AA50" s="70"/>
      <c r="AB50" s="70"/>
      <c r="AC50" s="28"/>
      <c r="AD50" s="71"/>
      <c r="AE50" s="71"/>
      <c r="AF50" s="73"/>
      <c r="AG50" s="70"/>
    </row>
    <row r="51" spans="1:33">
      <c r="A51" s="1"/>
      <c r="B51" s="1">
        <v>2017</v>
      </c>
      <c r="C51" s="1"/>
      <c r="D51" s="1"/>
      <c r="E51" s="30">
        <f>(S51+T51)/(R51+负债表!F51)</f>
        <v>0.173388524042558</v>
      </c>
      <c r="F51" s="30">
        <f t="shared" ref="F51:F56" si="36">(S51+T51)/P51</f>
        <v>0.144512813757305</v>
      </c>
      <c r="G51" s="30">
        <f t="shared" si="29"/>
        <v>0.173388524042558</v>
      </c>
      <c r="H51" s="30">
        <f t="shared" si="30"/>
        <v>0.144512813757305</v>
      </c>
      <c r="I51" s="30">
        <f t="shared" si="31"/>
        <v>0.166537609364302</v>
      </c>
      <c r="J51" s="28"/>
      <c r="K51" s="35">
        <f t="shared" si="32"/>
        <v>0.398296915167095</v>
      </c>
      <c r="L51" s="35">
        <f t="shared" si="33"/>
        <v>0.513051302648679</v>
      </c>
      <c r="M51" s="35">
        <f t="shared" si="34"/>
        <v>0.576843919229619</v>
      </c>
      <c r="N51" s="28" t="e">
        <f t="shared" si="35"/>
        <v>#DIV/0!</v>
      </c>
      <c r="O51" s="28"/>
      <c r="P51" s="11">
        <f>1806691*1000</f>
        <v>1806691000</v>
      </c>
      <c r="Q51" s="11">
        <f t="shared" si="28"/>
        <v>300882000</v>
      </c>
      <c r="R51" s="13">
        <f>1505809*1000</f>
        <v>1505809000</v>
      </c>
      <c r="S51" s="13">
        <f>261090*1000</f>
        <v>261090000</v>
      </c>
      <c r="T51" s="13">
        <v>0</v>
      </c>
      <c r="U51" s="13">
        <f>107990*1000</f>
        <v>107990000</v>
      </c>
      <c r="V51" s="13">
        <f>353202*1000</f>
        <v>353202000</v>
      </c>
      <c r="W51" s="13">
        <f>1646221*1000</f>
        <v>1646221000</v>
      </c>
      <c r="X51" s="65"/>
      <c r="Y51" s="65"/>
      <c r="Z51" s="2"/>
      <c r="AA51" s="70"/>
      <c r="AB51" s="70"/>
      <c r="AC51" s="28"/>
      <c r="AD51" s="71"/>
      <c r="AE51" s="71"/>
      <c r="AF51" s="73"/>
      <c r="AG51" s="70"/>
    </row>
    <row r="52" spans="1:33">
      <c r="A52" s="1"/>
      <c r="B52" s="1">
        <v>2016</v>
      </c>
      <c r="C52" s="1"/>
      <c r="D52" s="1"/>
      <c r="E52" s="30">
        <f>(S52+T52)/(R52+负债表!F52)</f>
        <v>0.147464273162719</v>
      </c>
      <c r="F52" s="30">
        <f t="shared" si="36"/>
        <v>0.13115435783393</v>
      </c>
      <c r="G52" s="30">
        <f t="shared" si="29"/>
        <v>0.147464273162719</v>
      </c>
      <c r="H52" s="30">
        <f t="shared" si="30"/>
        <v>0.13115435783393</v>
      </c>
      <c r="I52" s="30">
        <f t="shared" si="31"/>
        <v>0.11060248681924</v>
      </c>
      <c r="J52" s="28"/>
      <c r="K52" s="35">
        <f t="shared" si="32"/>
        <v>0.49919307570636</v>
      </c>
      <c r="L52" s="35">
        <f t="shared" si="33"/>
        <v>0.28403625939559</v>
      </c>
      <c r="M52" s="35">
        <f t="shared" si="34"/>
        <v>1.49886208973873</v>
      </c>
      <c r="N52" s="28" t="e">
        <f t="shared" si="35"/>
        <v>#DIV/0!</v>
      </c>
      <c r="O52" s="28"/>
      <c r="P52" s="11">
        <f>1423666*1000</f>
        <v>1423666000</v>
      </c>
      <c r="Q52" s="11">
        <f t="shared" si="28"/>
        <v>157461000</v>
      </c>
      <c r="R52" s="13">
        <f>1266205*1000</f>
        <v>1266205000</v>
      </c>
      <c r="S52" s="13">
        <f>186720*1000</f>
        <v>186720000</v>
      </c>
      <c r="T52" s="13">
        <v>0</v>
      </c>
      <c r="U52" s="13">
        <f>68369*1000</f>
        <v>68369000</v>
      </c>
      <c r="V52" s="13">
        <f>223993*1000</f>
        <v>223993000</v>
      </c>
      <c r="W52" s="13">
        <f>1088014*1000</f>
        <v>1088014000</v>
      </c>
      <c r="X52" s="65"/>
      <c r="Y52" s="65"/>
      <c r="Z52" s="2"/>
      <c r="AA52" s="70"/>
      <c r="AB52" s="70"/>
      <c r="AC52" s="28"/>
      <c r="AD52" s="71"/>
      <c r="AE52" s="71"/>
      <c r="AF52" s="73"/>
      <c r="AG52" s="70"/>
    </row>
    <row r="53" spans="1:33">
      <c r="A53" s="1"/>
      <c r="B53" s="1">
        <v>2015</v>
      </c>
      <c r="C53" s="1"/>
      <c r="D53" s="1"/>
      <c r="E53" s="30">
        <f>(S53+T53)/(R53+负债表!F53)</f>
        <v>0.87756122995406</v>
      </c>
      <c r="F53" s="30">
        <f t="shared" si="36"/>
        <v>0.211324410720709</v>
      </c>
      <c r="G53" s="30">
        <f t="shared" si="29"/>
        <v>0.87756122995406</v>
      </c>
      <c r="H53" s="30">
        <f t="shared" si="30"/>
        <v>0.211324410720709</v>
      </c>
      <c r="I53" s="30">
        <f t="shared" si="31"/>
        <v>0.759191263803015</v>
      </c>
      <c r="J53" s="28"/>
      <c r="K53" s="35">
        <f t="shared" si="32"/>
        <v>1.92982827569984</v>
      </c>
      <c r="L53" s="35">
        <f t="shared" si="33"/>
        <v>0.700695059119164</v>
      </c>
      <c r="M53" s="35">
        <f t="shared" si="34"/>
        <v>0.222525299364447</v>
      </c>
      <c r="N53" s="28" t="e">
        <f t="shared" si="35"/>
        <v>#DIV/0!</v>
      </c>
      <c r="O53" s="28"/>
      <c r="P53" s="11">
        <f>589364*1000</f>
        <v>589364000</v>
      </c>
      <c r="Q53" s="11">
        <f t="shared" si="28"/>
        <v>447440000</v>
      </c>
      <c r="R53" s="13">
        <f>141924*1000</f>
        <v>141924000</v>
      </c>
      <c r="S53" s="13">
        <f>124547*1000</f>
        <v>124547000</v>
      </c>
      <c r="T53" s="13">
        <v>0</v>
      </c>
      <c r="U53" s="13">
        <f>42373*1000</f>
        <v>42373000</v>
      </c>
      <c r="V53" s="13">
        <f>89638*1000</f>
        <v>89638000</v>
      </c>
      <c r="W53" s="13">
        <f>847339*1000</f>
        <v>847339000</v>
      </c>
      <c r="X53" s="65"/>
      <c r="Y53" s="65"/>
      <c r="Z53" s="2"/>
      <c r="AA53" s="70"/>
      <c r="AB53" s="70"/>
      <c r="AC53" s="28"/>
      <c r="AD53" s="71"/>
      <c r="AE53" s="71"/>
      <c r="AF53" s="73"/>
      <c r="AG53" s="70"/>
    </row>
    <row r="54" spans="1:33">
      <c r="A54" s="1"/>
      <c r="B54" s="1">
        <v>2014</v>
      </c>
      <c r="C54" s="1"/>
      <c r="D54" s="1"/>
      <c r="E54" s="30">
        <f>(S54+T54)/(R54+负债表!F54)</f>
        <v>0.929424111242293</v>
      </c>
      <c r="F54" s="30">
        <f t="shared" si="36"/>
        <v>0.148825257232081</v>
      </c>
      <c r="G54" s="30">
        <f t="shared" si="29"/>
        <v>0.929424111242293</v>
      </c>
      <c r="H54" s="30">
        <f t="shared" si="30"/>
        <v>0.148825257232081</v>
      </c>
      <c r="I54" s="30">
        <f t="shared" si="31"/>
        <v>0.839873685832018</v>
      </c>
      <c r="J54" s="28"/>
      <c r="K54" s="35">
        <f t="shared" si="32"/>
        <v>0.926667875271936</v>
      </c>
      <c r="L54" s="35">
        <f t="shared" si="33"/>
        <v>0.577364237026812</v>
      </c>
      <c r="M54" s="28">
        <f t="shared" si="34"/>
        <v>-13.5939539677087</v>
      </c>
      <c r="N54" s="28" t="e">
        <f t="shared" si="35"/>
        <v>#DIV/0!</v>
      </c>
      <c r="O54" s="28"/>
      <c r="P54" s="11">
        <f>285637*1000</f>
        <v>285637000</v>
      </c>
      <c r="Q54" s="11">
        <f t="shared" si="28"/>
        <v>239899000</v>
      </c>
      <c r="R54" s="13">
        <f>45738*1000</f>
        <v>45738000</v>
      </c>
      <c r="S54" s="13">
        <f>42510*1000</f>
        <v>42510000</v>
      </c>
      <c r="T54" s="13">
        <v>0</v>
      </c>
      <c r="U54" s="13">
        <f>14646*1000</f>
        <v>14646000</v>
      </c>
      <c r="V54" s="13">
        <f>73322*1000</f>
        <v>73322000</v>
      </c>
      <c r="W54" s="13">
        <f>498231*1000</f>
        <v>498231000</v>
      </c>
      <c r="X54" s="65"/>
      <c r="Y54" s="65"/>
      <c r="Z54" s="2"/>
      <c r="AA54" s="70"/>
      <c r="AB54" s="70"/>
      <c r="AC54" s="28"/>
      <c r="AD54" s="71"/>
      <c r="AE54" s="71"/>
      <c r="AF54" s="73"/>
      <c r="AG54" s="70"/>
    </row>
    <row r="55" spans="1:33">
      <c r="A55" s="1"/>
      <c r="B55" s="1">
        <v>2013</v>
      </c>
      <c r="C55" s="1"/>
      <c r="D55" s="1"/>
      <c r="E55" s="30">
        <f>(S55+T55)/(R55+负债表!F55)</f>
        <v>0.585469405084116</v>
      </c>
      <c r="F55" s="30">
        <f t="shared" si="36"/>
        <v>0.0981752328235613</v>
      </c>
      <c r="G55" s="30">
        <f t="shared" si="29"/>
        <v>0.585469405084116</v>
      </c>
      <c r="H55" s="30">
        <f t="shared" si="30"/>
        <v>0.0981752328235613</v>
      </c>
      <c r="I55" s="30">
        <f t="shared" si="31"/>
        <v>0.832313641035681</v>
      </c>
      <c r="J55" s="28"/>
      <c r="K55" s="28"/>
      <c r="L55" s="28"/>
      <c r="M55" s="28"/>
      <c r="N55" s="28"/>
      <c r="O55" s="28"/>
      <c r="P55" s="13">
        <f>224741*1000</f>
        <v>224741000</v>
      </c>
      <c r="Q55" s="11">
        <f t="shared" si="28"/>
        <v>187055000</v>
      </c>
      <c r="R55" s="13">
        <f>37686*1000</f>
        <v>37686000</v>
      </c>
      <c r="S55" s="13">
        <f>22064*1000</f>
        <v>22064000</v>
      </c>
      <c r="T55" s="13">
        <v>0</v>
      </c>
      <c r="U55" s="13">
        <f>7455*1000</f>
        <v>7455000</v>
      </c>
      <c r="V55" s="13">
        <f>-5822*1000</f>
        <v>-5822000</v>
      </c>
      <c r="W55" s="13">
        <f>315863*1000</f>
        <v>315863000</v>
      </c>
      <c r="X55" s="66"/>
      <c r="Y55" s="65"/>
      <c r="Z55" s="2"/>
      <c r="AA55" s="70"/>
      <c r="AB55" s="70"/>
      <c r="AC55" s="28"/>
      <c r="AD55" s="71"/>
      <c r="AE55" s="71"/>
      <c r="AF55" s="73"/>
      <c r="AG55" s="70"/>
    </row>
    <row r="56" spans="1:33">
      <c r="A56" s="1" t="s">
        <v>68</v>
      </c>
      <c r="B56" s="1">
        <v>2023</v>
      </c>
      <c r="C56" s="52" t="s">
        <v>69</v>
      </c>
      <c r="D56" s="1">
        <v>2019</v>
      </c>
      <c r="E56" s="28">
        <f>(S56+T56)/(R56+负债表!F55)</f>
        <v>0.105761538368452</v>
      </c>
      <c r="F56" s="28">
        <f t="shared" si="36"/>
        <v>0.0882708487594691</v>
      </c>
      <c r="G56" s="28">
        <f t="shared" si="29"/>
        <v>0.105761538368452</v>
      </c>
      <c r="H56" s="28">
        <f t="shared" si="30"/>
        <v>0.0882708487594691</v>
      </c>
      <c r="I56" s="28">
        <f t="shared" si="31"/>
        <v>0.165378547615757</v>
      </c>
      <c r="J56" s="28"/>
      <c r="K56" s="35">
        <f t="shared" si="32"/>
        <v>0.366699981260592</v>
      </c>
      <c r="L56" s="28">
        <f t="shared" si="33"/>
        <v>0.170159892383379</v>
      </c>
      <c r="M56" s="28">
        <f t="shared" si="34"/>
        <v>0.103433230985893</v>
      </c>
      <c r="N56" s="35">
        <f t="shared" si="35"/>
        <v>0.39635410905143</v>
      </c>
      <c r="O56" s="28"/>
      <c r="P56" s="13">
        <v>5273690813.13</v>
      </c>
      <c r="Q56" s="11">
        <f t="shared" si="28"/>
        <v>872155327.25</v>
      </c>
      <c r="R56" s="13">
        <v>4401535485.88</v>
      </c>
      <c r="S56" s="13">
        <v>465513164.17</v>
      </c>
      <c r="T56" s="13">
        <v>0</v>
      </c>
      <c r="U56" s="13">
        <v>70027686.17</v>
      </c>
      <c r="V56" s="13">
        <v>602633193.74</v>
      </c>
      <c r="W56" s="13">
        <v>3148561102.73</v>
      </c>
      <c r="X56" s="66">
        <v>1065493714</v>
      </c>
      <c r="Y56" s="65">
        <v>1059111534</v>
      </c>
      <c r="Z56" s="2"/>
      <c r="AA56" s="70"/>
      <c r="AB56" s="70"/>
      <c r="AC56" s="28"/>
      <c r="AD56" s="71"/>
      <c r="AE56" s="71"/>
      <c r="AF56" s="73"/>
      <c r="AG56" s="70"/>
    </row>
    <row r="57" spans="1:33">
      <c r="A57" s="1"/>
      <c r="B57" s="1">
        <v>2022</v>
      </c>
      <c r="C57" s="1"/>
      <c r="D57" s="1"/>
      <c r="E57" s="28">
        <f>(S57+T57)/(R57+负债表!F56)</f>
        <v>0.0846289294660696</v>
      </c>
      <c r="F57" s="28">
        <f t="shared" ref="F57:F63" si="37">(S57+T57)/P57</f>
        <v>0.0706416091972044</v>
      </c>
      <c r="G57" s="28">
        <f t="shared" ref="G57:G63" si="38">S57/R57</f>
        <v>0.084628047380315</v>
      </c>
      <c r="H57" s="28">
        <f t="shared" ref="H57:H63" si="39">S57/P57</f>
        <v>0.0706408729010283</v>
      </c>
      <c r="I57" s="28">
        <f t="shared" ref="I57:I63" si="40">Q57/P57</f>
        <v>0.165278237088809</v>
      </c>
      <c r="J57" s="28"/>
      <c r="K57" s="35">
        <f t="shared" ref="K57:K63" si="41">(S57-S58)/S58</f>
        <v>0.847272571171295</v>
      </c>
      <c r="L57" s="28">
        <f t="shared" ref="L57:L63" si="42">(W57-W58)/W58</f>
        <v>0.328394500954267</v>
      </c>
      <c r="M57" s="28">
        <f t="shared" ref="M57:M63" si="43">(V57-V58)/V58</f>
        <v>1.27225643552297</v>
      </c>
      <c r="N57" s="28">
        <f t="shared" ref="N57:N63" si="44">(X57-X58)/X58</f>
        <v>0.0117642739377563</v>
      </c>
      <c r="O57" s="28"/>
      <c r="P57" s="12">
        <v>4821728151.31</v>
      </c>
      <c r="Q57" s="11">
        <f t="shared" ref="Q57:Q63" si="45">P57-R57</f>
        <v>796926728.570001</v>
      </c>
      <c r="R57" s="11">
        <v>4024801422.74</v>
      </c>
      <c r="S57" s="13">
        <v>340611085.5</v>
      </c>
      <c r="T57" s="13">
        <v>3550.22</v>
      </c>
      <c r="U57" s="13">
        <v>63187916.37</v>
      </c>
      <c r="V57" s="13">
        <v>546143778.18</v>
      </c>
      <c r="W57" s="13">
        <v>2690710152.71</v>
      </c>
      <c r="X57" s="65">
        <v>763054090</v>
      </c>
      <c r="Y57" s="65">
        <v>754181690</v>
      </c>
      <c r="Z57" s="2"/>
      <c r="AA57" s="70"/>
      <c r="AB57" s="70"/>
      <c r="AC57" s="28"/>
      <c r="AD57" s="71"/>
      <c r="AE57" s="71"/>
      <c r="AF57" s="73"/>
      <c r="AG57" s="70"/>
    </row>
    <row r="58" spans="1:33">
      <c r="A58" s="1"/>
      <c r="B58" s="1">
        <v>2021</v>
      </c>
      <c r="C58" s="1"/>
      <c r="D58" s="1"/>
      <c r="E58" s="28">
        <f>(S58+T58)/(R58+负债表!F57)</f>
        <v>0.048548259817474</v>
      </c>
      <c r="F58" s="28">
        <f t="shared" si="37"/>
        <v>0.0436549277425337</v>
      </c>
      <c r="G58" s="28">
        <f t="shared" si="38"/>
        <v>0.0484705989829108</v>
      </c>
      <c r="H58" s="28">
        <f t="shared" si="39"/>
        <v>0.0435850945881833</v>
      </c>
      <c r="I58" s="28">
        <f t="shared" si="40"/>
        <v>0.100793150842843</v>
      </c>
      <c r="J58" s="28"/>
      <c r="K58" s="28">
        <f t="shared" si="41"/>
        <v>-0.493822471316296</v>
      </c>
      <c r="L58" s="28">
        <f t="shared" si="42"/>
        <v>-0.143412163367192</v>
      </c>
      <c r="M58" s="28">
        <f t="shared" si="43"/>
        <v>-0.318707334708892</v>
      </c>
      <c r="N58" s="28">
        <f t="shared" si="44"/>
        <v>0.196269870829109</v>
      </c>
      <c r="O58" s="28"/>
      <c r="P58" s="12">
        <v>4230481534.85</v>
      </c>
      <c r="Q58" s="11">
        <f t="shared" si="45"/>
        <v>426403563.48</v>
      </c>
      <c r="R58" s="11">
        <v>3804077971.37</v>
      </c>
      <c r="S58" s="13">
        <v>184385937.85</v>
      </c>
      <c r="T58" s="13">
        <v>295427.87</v>
      </c>
      <c r="U58" s="13">
        <v>31742347.75</v>
      </c>
      <c r="V58" s="13">
        <v>240353055.95</v>
      </c>
      <c r="W58" s="13">
        <v>2025535449.58</v>
      </c>
      <c r="X58" s="65">
        <v>754181690</v>
      </c>
      <c r="Y58" s="65">
        <v>185549690</v>
      </c>
      <c r="Z58" s="2"/>
      <c r="AA58" s="70"/>
      <c r="AB58" s="70"/>
      <c r="AC58" s="28"/>
      <c r="AD58" s="71"/>
      <c r="AE58" s="71"/>
      <c r="AF58" s="73"/>
      <c r="AG58" s="70"/>
    </row>
    <row r="59" spans="1:33">
      <c r="A59" s="1"/>
      <c r="B59" s="1">
        <v>2020</v>
      </c>
      <c r="C59" s="1"/>
      <c r="D59" s="1"/>
      <c r="E59" s="28">
        <f>(S59+T59)/(R59+负债表!F58)</f>
        <v>0.0976688123161366</v>
      </c>
      <c r="F59" s="28">
        <f t="shared" si="37"/>
        <v>0.0849120199541975</v>
      </c>
      <c r="G59" s="28">
        <f t="shared" si="38"/>
        <v>0.0976688123161366</v>
      </c>
      <c r="H59" s="28">
        <f t="shared" si="39"/>
        <v>0.0849120199541975</v>
      </c>
      <c r="I59" s="28">
        <f t="shared" si="40"/>
        <v>0.130612752007751</v>
      </c>
      <c r="J59" s="28"/>
      <c r="K59" s="35">
        <f t="shared" si="41"/>
        <v>0.226619416939976</v>
      </c>
      <c r="L59" s="28">
        <f t="shared" si="42"/>
        <v>0.36896660405246</v>
      </c>
      <c r="M59" s="28">
        <f t="shared" si="43"/>
        <v>-0.0665886473014246</v>
      </c>
      <c r="N59" s="35">
        <f t="shared" si="44"/>
        <v>0.525927172610763</v>
      </c>
      <c r="O59" s="28"/>
      <c r="P59" s="12">
        <v>4289984896.09</v>
      </c>
      <c r="Q59" s="11">
        <f t="shared" si="45"/>
        <v>560326733.35</v>
      </c>
      <c r="R59" s="11">
        <v>3729658162.74</v>
      </c>
      <c r="S59" s="13">
        <v>364271283.1</v>
      </c>
      <c r="T59" s="13">
        <v>0</v>
      </c>
      <c r="U59" s="13">
        <v>63782745.42</v>
      </c>
      <c r="V59" s="13">
        <v>352789730.75</v>
      </c>
      <c r="W59" s="13">
        <v>2364655862.43</v>
      </c>
      <c r="X59" s="65">
        <v>630444441</v>
      </c>
      <c r="Y59" s="65">
        <v>125214750</v>
      </c>
      <c r="Z59" s="2"/>
      <c r="AA59" s="70"/>
      <c r="AB59" s="70"/>
      <c r="AC59" s="28"/>
      <c r="AD59" s="71"/>
      <c r="AE59" s="71"/>
      <c r="AF59" s="73"/>
      <c r="AG59" s="70"/>
    </row>
    <row r="60" spans="1:33">
      <c r="A60" s="1"/>
      <c r="B60" s="1">
        <v>2019</v>
      </c>
      <c r="C60" s="1"/>
      <c r="D60" s="1"/>
      <c r="E60" s="28">
        <f>(S60+T60)/(R60+负债表!F59)</f>
        <v>0.161229752299337</v>
      </c>
      <c r="F60" s="28">
        <f t="shared" si="37"/>
        <v>0.138621979433332</v>
      </c>
      <c r="G60" s="28">
        <f t="shared" si="38"/>
        <v>0.161229752299337</v>
      </c>
      <c r="H60" s="28">
        <f t="shared" si="39"/>
        <v>0.138621979433332</v>
      </c>
      <c r="I60" s="28">
        <f t="shared" si="40"/>
        <v>0.14022084971037</v>
      </c>
      <c r="J60" s="28"/>
      <c r="K60" s="28">
        <f t="shared" si="41"/>
        <v>0.113893184008093</v>
      </c>
      <c r="L60" s="28">
        <f t="shared" si="42"/>
        <v>0.222575353222556</v>
      </c>
      <c r="M60" s="28">
        <f t="shared" si="43"/>
        <v>0.426577366038062</v>
      </c>
      <c r="N60" s="28">
        <f t="shared" si="44"/>
        <v>0.111124557935643</v>
      </c>
      <c r="O60" s="28"/>
      <c r="P60" s="12">
        <v>2142313400.4</v>
      </c>
      <c r="Q60" s="11">
        <f t="shared" si="45"/>
        <v>300397005.35</v>
      </c>
      <c r="R60" s="11">
        <v>1841916395.05</v>
      </c>
      <c r="S60" s="13">
        <v>296971724.13</v>
      </c>
      <c r="T60" s="13"/>
      <c r="U60" s="13">
        <v>49454352.38</v>
      </c>
      <c r="V60" s="13">
        <v>377957402.95</v>
      </c>
      <c r="W60" s="13">
        <v>1727329107.54</v>
      </c>
      <c r="X60" s="65">
        <f>41315.5*10000</f>
        <v>413155000</v>
      </c>
      <c r="Y60" s="65"/>
      <c r="Z60" s="2"/>
      <c r="AA60" s="70"/>
      <c r="AB60" s="70"/>
      <c r="AC60" s="28"/>
      <c r="AD60" s="71"/>
      <c r="AE60" s="71"/>
      <c r="AF60" s="73"/>
      <c r="AG60" s="70"/>
    </row>
    <row r="61" spans="1:33">
      <c r="A61" s="1"/>
      <c r="B61" s="1">
        <v>2018</v>
      </c>
      <c r="C61" s="1"/>
      <c r="D61" s="1"/>
      <c r="E61" s="28">
        <f>(S61+T61)/(R61+负债表!F60)</f>
        <v>0.23422240183561</v>
      </c>
      <c r="F61" s="28">
        <f t="shared" si="37"/>
        <v>0.192243448630542</v>
      </c>
      <c r="G61" s="28">
        <f t="shared" si="38"/>
        <v>0.23422240183561</v>
      </c>
      <c r="H61" s="28">
        <f t="shared" si="39"/>
        <v>0.192243448630542</v>
      </c>
      <c r="I61" s="28">
        <f t="shared" si="40"/>
        <v>0.179226892372709</v>
      </c>
      <c r="J61" s="28"/>
      <c r="K61" s="35">
        <f t="shared" si="41"/>
        <v>0.450479550269318</v>
      </c>
      <c r="L61" s="28">
        <f t="shared" si="42"/>
        <v>0.325614220708547</v>
      </c>
      <c r="M61" s="28">
        <f t="shared" si="43"/>
        <v>0.179288329598614</v>
      </c>
      <c r="N61" s="28" t="e">
        <f t="shared" si="44"/>
        <v>#DIV/0!</v>
      </c>
      <c r="O61" s="28"/>
      <c r="P61" s="12">
        <v>1386819709.64</v>
      </c>
      <c r="Q61" s="11">
        <f t="shared" si="45"/>
        <v>248555386.84</v>
      </c>
      <c r="R61" s="11">
        <v>1138264322.8</v>
      </c>
      <c r="S61" s="13">
        <v>266607003.61</v>
      </c>
      <c r="T61" s="13"/>
      <c r="U61" s="13">
        <v>44107324.88</v>
      </c>
      <c r="V61" s="13">
        <v>264939996.91</v>
      </c>
      <c r="W61" s="13">
        <v>1412861058.41</v>
      </c>
      <c r="X61" s="65">
        <f>37183.5*10000</f>
        <v>371835000</v>
      </c>
      <c r="Y61" s="65"/>
      <c r="Z61" s="2"/>
      <c r="AA61" s="70"/>
      <c r="AB61" s="70"/>
      <c r="AC61" s="28"/>
      <c r="AD61" s="71"/>
      <c r="AE61" s="71"/>
      <c r="AF61" s="73"/>
      <c r="AG61" s="70"/>
    </row>
    <row r="62" spans="1:33">
      <c r="A62" s="1"/>
      <c r="B62" s="1">
        <v>2017</v>
      </c>
      <c r="C62" s="1"/>
      <c r="D62" s="1"/>
      <c r="E62" s="28">
        <f>(S62+T62)/(R62+负债表!F61)</f>
        <v>0.19739669059221</v>
      </c>
      <c r="F62" s="28">
        <f t="shared" si="37"/>
        <v>0.154115934423393</v>
      </c>
      <c r="G62" s="28">
        <f t="shared" si="38"/>
        <v>0.19739669059221</v>
      </c>
      <c r="H62" s="28">
        <f t="shared" si="39"/>
        <v>0.154115934423393</v>
      </c>
      <c r="I62" s="28">
        <f t="shared" si="40"/>
        <v>0.219257759788019</v>
      </c>
      <c r="J62" s="28"/>
      <c r="K62" s="28">
        <f t="shared" si="41"/>
        <v>-0.0960311781525517</v>
      </c>
      <c r="L62" s="28">
        <f t="shared" si="42"/>
        <v>0.0832576082351315</v>
      </c>
      <c r="M62" s="28">
        <f t="shared" si="43"/>
        <v>0.35935701080957</v>
      </c>
      <c r="N62" s="28" t="e">
        <f t="shared" si="44"/>
        <v>#DIV/0!</v>
      </c>
      <c r="O62" s="28"/>
      <c r="P62" s="12">
        <v>1192648317.5</v>
      </c>
      <c r="Q62" s="11">
        <f t="shared" si="45"/>
        <v>261497398.31</v>
      </c>
      <c r="R62" s="11">
        <v>931150919.19</v>
      </c>
      <c r="S62" s="60">
        <v>183806109.89</v>
      </c>
      <c r="T62" s="13"/>
      <c r="U62" s="13">
        <v>31104245.35</v>
      </c>
      <c r="V62" s="60">
        <v>224660916.47</v>
      </c>
      <c r="W62" s="13">
        <v>1065816160.04</v>
      </c>
      <c r="X62" s="65"/>
      <c r="Y62" s="65"/>
      <c r="Z62" s="2"/>
      <c r="AA62" s="70"/>
      <c r="AB62" s="70"/>
      <c r="AC62" s="28"/>
      <c r="AD62" s="71"/>
      <c r="AE62" s="71"/>
      <c r="AF62" s="73"/>
      <c r="AG62" s="70"/>
    </row>
    <row r="63" spans="1:33">
      <c r="A63" s="1"/>
      <c r="B63" s="1">
        <v>2016</v>
      </c>
      <c r="C63" s="1"/>
      <c r="D63" s="1"/>
      <c r="E63" s="28">
        <f>(S63+T63)/(R63+负债表!F62)</f>
        <v>0.215038899190976</v>
      </c>
      <c r="F63" s="28">
        <f t="shared" si="37"/>
        <v>0.176579382228985</v>
      </c>
      <c r="G63" s="28">
        <f t="shared" si="38"/>
        <v>0.215038899190976</v>
      </c>
      <c r="H63" s="28">
        <f t="shared" si="39"/>
        <v>0.176579382228985</v>
      </c>
      <c r="I63" s="28">
        <f t="shared" si="40"/>
        <v>0.178849115702713</v>
      </c>
      <c r="J63" s="28"/>
      <c r="K63" s="28" t="e">
        <f t="shared" si="41"/>
        <v>#DIV/0!</v>
      </c>
      <c r="L63" s="28" t="e">
        <f t="shared" si="42"/>
        <v>#DIV/0!</v>
      </c>
      <c r="M63" s="28" t="e">
        <f t="shared" si="43"/>
        <v>#DIV/0!</v>
      </c>
      <c r="N63" s="28" t="e">
        <f t="shared" si="44"/>
        <v>#DIV/0!</v>
      </c>
      <c r="O63" s="28"/>
      <c r="P63" s="12">
        <v>1151506778.33</v>
      </c>
      <c r="Q63" s="11">
        <f t="shared" si="45"/>
        <v>205945969.03</v>
      </c>
      <c r="R63" s="11">
        <v>945560809.3</v>
      </c>
      <c r="S63" s="13">
        <v>203332355.55</v>
      </c>
      <c r="T63" s="13"/>
      <c r="U63" s="13">
        <v>33853562.4</v>
      </c>
      <c r="V63" s="13">
        <v>165269987.71</v>
      </c>
      <c r="W63" s="13">
        <v>983899076.21</v>
      </c>
      <c r="X63" s="65"/>
      <c r="Y63" s="65"/>
      <c r="Z63" s="2"/>
      <c r="AA63" s="70"/>
      <c r="AB63" s="70"/>
      <c r="AC63" s="28"/>
      <c r="AD63" s="71"/>
      <c r="AE63" s="71"/>
      <c r="AF63" s="73"/>
      <c r="AG63" s="70"/>
    </row>
    <row r="64" spans="1:33">
      <c r="A64" s="1"/>
      <c r="B64" s="1">
        <v>2015</v>
      </c>
      <c r="C64" s="1"/>
      <c r="D64" s="1"/>
      <c r="E64" s="30"/>
      <c r="F64" s="30"/>
      <c r="G64" s="1"/>
      <c r="H64" s="1"/>
      <c r="I64" s="1"/>
      <c r="J64" s="6"/>
      <c r="K64" s="30"/>
      <c r="L64" s="28"/>
      <c r="M64" s="28"/>
      <c r="N64" s="28"/>
      <c r="O64" s="28"/>
      <c r="P64" s="1"/>
      <c r="Q64" s="1"/>
      <c r="R64" s="2"/>
      <c r="S64" s="13"/>
      <c r="T64" s="13"/>
      <c r="U64" s="13"/>
      <c r="V64" s="13"/>
      <c r="W64" s="13"/>
      <c r="X64" s="65"/>
      <c r="Y64" s="65"/>
      <c r="Z64" s="2"/>
      <c r="AA64" s="70"/>
      <c r="AB64" s="70"/>
      <c r="AC64" s="28"/>
      <c r="AD64" s="71"/>
      <c r="AE64" s="71"/>
      <c r="AF64" s="73"/>
      <c r="AG64" s="70"/>
    </row>
    <row r="65" spans="1:33">
      <c r="A65" s="1"/>
      <c r="B65" s="1">
        <v>2014</v>
      </c>
      <c r="C65" s="1"/>
      <c r="D65" s="1"/>
      <c r="E65" s="30"/>
      <c r="F65" s="30"/>
      <c r="G65" s="1"/>
      <c r="H65" s="1"/>
      <c r="I65" s="1"/>
      <c r="J65" s="6"/>
      <c r="K65" s="30"/>
      <c r="L65" s="28"/>
      <c r="M65" s="28"/>
      <c r="N65" s="28"/>
      <c r="O65" s="28"/>
      <c r="P65" s="1"/>
      <c r="Q65" s="1"/>
      <c r="R65" s="2"/>
      <c r="S65" s="2"/>
      <c r="T65" s="13"/>
      <c r="U65" s="13"/>
      <c r="V65" s="13"/>
      <c r="W65" s="13"/>
      <c r="X65" s="65"/>
      <c r="Y65" s="65"/>
      <c r="Z65" s="2"/>
      <c r="AA65" s="70"/>
      <c r="AB65" s="70"/>
      <c r="AC65" s="28"/>
      <c r="AD65" s="71"/>
      <c r="AE65" s="71"/>
      <c r="AF65" s="73"/>
      <c r="AG65" s="70"/>
    </row>
    <row r="66" spans="1:33">
      <c r="A66" s="1" t="s">
        <v>70</v>
      </c>
      <c r="B66" s="1">
        <v>2023</v>
      </c>
      <c r="C66" s="1">
        <v>2001</v>
      </c>
      <c r="D66" s="1">
        <v>2022</v>
      </c>
      <c r="E66" s="28">
        <f>(S66+T66)/(R66+负债表!F65)</f>
        <v>0.209874651464404</v>
      </c>
      <c r="F66" s="28">
        <f>(S66+T66)/P66</f>
        <v>0.165529254626829</v>
      </c>
      <c r="G66" s="28">
        <f>S66/R66</f>
        <v>0.207669847447724</v>
      </c>
      <c r="H66" s="28">
        <f>S66/P66</f>
        <v>0.163790313964234</v>
      </c>
      <c r="I66" s="28">
        <f>Q66/P66</f>
        <v>0.211294677695256</v>
      </c>
      <c r="J66" s="28"/>
      <c r="K66" s="35">
        <f>(S66-S67)/S67</f>
        <v>0.350291368963823</v>
      </c>
      <c r="L66" s="35">
        <f>(W66-W67)/W67</f>
        <v>0.163108676657796</v>
      </c>
      <c r="M66" s="28">
        <f>(V66-V67)/V67</f>
        <v>-0.340110490509044</v>
      </c>
      <c r="N66" s="28">
        <f>(X66-X67)/X67</f>
        <v>0</v>
      </c>
      <c r="O66" s="28"/>
      <c r="P66" s="82">
        <v>1900213941.21</v>
      </c>
      <c r="Q66" s="11">
        <f>P66-R66</f>
        <v>401505092.26</v>
      </c>
      <c r="R66" s="45">
        <v>1498708848.95</v>
      </c>
      <c r="S66" s="45">
        <v>311236638.03</v>
      </c>
      <c r="T66" s="13">
        <v>3304359.29</v>
      </c>
      <c r="U66" s="13">
        <v>98273947.14</v>
      </c>
      <c r="V66" s="13">
        <v>166476870.38</v>
      </c>
      <c r="W66" s="45">
        <v>2369000730.8</v>
      </c>
      <c r="X66" s="65">
        <f>40001*10000</f>
        <v>400010000</v>
      </c>
      <c r="Y66" s="65">
        <f>15881*10000</f>
        <v>158810000</v>
      </c>
      <c r="Z66" s="2"/>
      <c r="AA66" s="70"/>
      <c r="AB66" s="70"/>
      <c r="AC66" s="28"/>
      <c r="AD66" s="71"/>
      <c r="AE66" s="71"/>
      <c r="AF66" s="73"/>
      <c r="AG66" s="70"/>
    </row>
    <row r="67" spans="1:33">
      <c r="A67" s="1"/>
      <c r="B67" s="1">
        <v>2022</v>
      </c>
      <c r="C67" s="1"/>
      <c r="D67" s="1"/>
      <c r="E67" s="28">
        <f>(S67+T67)/(R67+负债表!F66)</f>
        <v>0.205088776702911</v>
      </c>
      <c r="F67" s="28">
        <f>(S67+T67)/P67</f>
        <v>0.153261970099354</v>
      </c>
      <c r="G67" s="28">
        <f>S67/R67</f>
        <v>0.201398867035439</v>
      </c>
      <c r="H67" s="28">
        <f>S67/P67</f>
        <v>0.150504516306821</v>
      </c>
      <c r="I67" s="28">
        <f>Q67/P67</f>
        <v>0.252704255380258</v>
      </c>
      <c r="J67" s="28"/>
      <c r="K67" s="35">
        <f>(S67-S68)/S68</f>
        <v>0.183299304079798</v>
      </c>
      <c r="L67" s="35">
        <f>(W67-W68)/W68</f>
        <v>0.290975496258507</v>
      </c>
      <c r="M67" s="28">
        <f>(V67-V68)/V68</f>
        <v>0.410166795148268</v>
      </c>
      <c r="N67" s="28">
        <f>(X67-X68)/X68</f>
        <v>0.111138888888889</v>
      </c>
      <c r="O67" s="28"/>
      <c r="P67" s="82">
        <v>1531488328.63</v>
      </c>
      <c r="Q67" s="11">
        <f>P67-R67</f>
        <v>387013617.71</v>
      </c>
      <c r="R67" s="45">
        <v>1144474710.92</v>
      </c>
      <c r="S67" s="45">
        <v>230495910.13</v>
      </c>
      <c r="T67" s="13">
        <v>4223008.3</v>
      </c>
      <c r="U67" s="13">
        <v>64783651.91</v>
      </c>
      <c r="V67" s="13">
        <v>252279916.54</v>
      </c>
      <c r="W67" s="45">
        <v>2036783645.71</v>
      </c>
      <c r="X67" s="65">
        <f>40001*10000</f>
        <v>400010000</v>
      </c>
      <c r="Y67" s="65">
        <f>4001*10000</f>
        <v>40010000</v>
      </c>
      <c r="Z67" s="2"/>
      <c r="AA67" s="70"/>
      <c r="AB67" s="70"/>
      <c r="AC67" s="28"/>
      <c r="AD67" s="71"/>
      <c r="AE67" s="71"/>
      <c r="AF67" s="73"/>
      <c r="AG67" s="70"/>
    </row>
    <row r="68" spans="1:33">
      <c r="A68" s="1"/>
      <c r="B68" s="1">
        <v>2021</v>
      </c>
      <c r="C68" s="1"/>
      <c r="D68" s="1"/>
      <c r="E68" s="28">
        <f>(S68+T68)/(R68+负债表!F67)</f>
        <v>0.29503250319617</v>
      </c>
      <c r="F68" s="28">
        <f>(S68+T68)/P68</f>
        <v>0.179137262873947</v>
      </c>
      <c r="G68" s="28">
        <f>S68/R68</f>
        <v>0.287471127201362</v>
      </c>
      <c r="H68" s="28">
        <f>S68/P68</f>
        <v>0.174546161267864</v>
      </c>
      <c r="I68" s="28">
        <f>Q68/P68</f>
        <v>0.392821940181835</v>
      </c>
      <c r="J68" s="28"/>
      <c r="K68" s="35">
        <f>(S68-S69)/S69</f>
        <v>0.452380788948507</v>
      </c>
      <c r="L68" s="35">
        <f>(W68-W69)/W69</f>
        <v>0.743719881243184</v>
      </c>
      <c r="M68" s="28">
        <f>(V68-V69)/V69</f>
        <v>0.363865678911838</v>
      </c>
      <c r="N68" s="28" t="e">
        <f>(X68-X69)/X69</f>
        <v>#DIV/0!</v>
      </c>
      <c r="O68" s="28"/>
      <c r="P68" s="82">
        <v>1115984885.46</v>
      </c>
      <c r="Q68" s="11">
        <f>P68-R68</f>
        <v>438383347.92</v>
      </c>
      <c r="R68" s="45">
        <v>677601537.54</v>
      </c>
      <c r="S68" s="45">
        <v>194790877.79</v>
      </c>
      <c r="T68" s="13">
        <f>512.36*10000</f>
        <v>5123600</v>
      </c>
      <c r="U68" s="13">
        <v>53699711.96</v>
      </c>
      <c r="V68" s="13">
        <v>178900763.66</v>
      </c>
      <c r="W68" s="45">
        <v>1577708989.53</v>
      </c>
      <c r="X68" s="65">
        <f>36000*10000</f>
        <v>360000000</v>
      </c>
      <c r="Y68" s="65">
        <f>4001*10000</f>
        <v>40010000</v>
      </c>
      <c r="Z68" s="2"/>
      <c r="AA68" s="70"/>
      <c r="AB68" s="70"/>
      <c r="AC68" s="28"/>
      <c r="AD68" s="71"/>
      <c r="AE68" s="71"/>
      <c r="AF68" s="73"/>
      <c r="AG68" s="70"/>
    </row>
    <row r="69" spans="1:33">
      <c r="A69" s="1"/>
      <c r="B69" s="1">
        <v>2020</v>
      </c>
      <c r="C69" s="1"/>
      <c r="D69" s="1"/>
      <c r="E69" s="28">
        <f>(S69+T69)/(R69+负债表!F68)</f>
        <v>0.285900905898735</v>
      </c>
      <c r="F69" s="28">
        <f>(S69+T69)/P69</f>
        <v>0.16770364164916</v>
      </c>
      <c r="G69" s="28">
        <f>S69/R69</f>
        <v>0.276818735455834</v>
      </c>
      <c r="H69" s="28">
        <f>S69/P69</f>
        <v>0.162376225660166</v>
      </c>
      <c r="I69" s="28">
        <f>Q69/P69</f>
        <v>0.413420390809954</v>
      </c>
      <c r="J69" s="28"/>
      <c r="K69" s="35">
        <f>(S69-S70)/S70</f>
        <v>0.641237592165881</v>
      </c>
      <c r="L69" s="35">
        <f>(W69-W70)/W70</f>
        <v>0.217848323481965</v>
      </c>
      <c r="M69" s="28">
        <f>(V69-V70)/V70</f>
        <v>0.0993629629903871</v>
      </c>
      <c r="N69" s="28" t="e">
        <f>(X69-X70)/X70</f>
        <v>#DIV/0!</v>
      </c>
      <c r="O69" s="28"/>
      <c r="P69" s="82">
        <v>825972668.38</v>
      </c>
      <c r="Q69" s="11">
        <f>P69-R69</f>
        <v>341473943.36</v>
      </c>
      <c r="R69" s="45">
        <v>484498725.02</v>
      </c>
      <c r="S69" s="45">
        <v>134118324.39</v>
      </c>
      <c r="T69" s="13">
        <f>440.03*10000</f>
        <v>4400300</v>
      </c>
      <c r="U69" s="13">
        <v>37360923.8</v>
      </c>
      <c r="V69" s="13">
        <v>131171834.9</v>
      </c>
      <c r="W69" s="45">
        <v>904794976.82</v>
      </c>
      <c r="X69" s="65"/>
      <c r="Y69" s="65"/>
      <c r="Z69" s="2"/>
      <c r="AA69" s="70"/>
      <c r="AB69" s="70"/>
      <c r="AC69" s="28"/>
      <c r="AD69" s="71"/>
      <c r="AE69" s="71"/>
      <c r="AF69" s="73"/>
      <c r="AG69" s="70"/>
    </row>
    <row r="70" spans="1:33">
      <c r="A70" s="1"/>
      <c r="B70" s="1">
        <v>2019</v>
      </c>
      <c r="C70" s="1"/>
      <c r="D70" s="1"/>
      <c r="E70" s="28">
        <f>(S70+T70)/(R70+负债表!F69)</f>
        <v>0.250034200180491</v>
      </c>
      <c r="F70" s="28">
        <f>(S70+T70)/P70</f>
        <v>0.136969626628775</v>
      </c>
      <c r="G70" s="28">
        <f>S70/R70</f>
        <v>0.234868235980624</v>
      </c>
      <c r="H70" s="28">
        <f>S70/P70</f>
        <v>0.128661657349286</v>
      </c>
      <c r="I70" s="28">
        <f>Q70/P70</f>
        <v>0.452196433408305</v>
      </c>
      <c r="J70" s="28"/>
      <c r="K70" s="28" t="e">
        <f>(S70-S71)/S71</f>
        <v>#DIV/0!</v>
      </c>
      <c r="L70" s="28" t="e">
        <f>(W70-W71)/W71</f>
        <v>#DIV/0!</v>
      </c>
      <c r="M70" s="28" t="e">
        <f>(V70-V71)/V71</f>
        <v>#DIV/0!</v>
      </c>
      <c r="N70" s="28" t="e">
        <f>(X70-X71)/X71</f>
        <v>#DIV/0!</v>
      </c>
      <c r="O70" s="28"/>
      <c r="P70" s="82">
        <v>635137158.37</v>
      </c>
      <c r="Q70" s="11">
        <f>P70-R70</f>
        <v>287206757.74</v>
      </c>
      <c r="R70" s="45">
        <v>347930400.63</v>
      </c>
      <c r="S70" s="45">
        <v>81717799.44</v>
      </c>
      <c r="T70" s="13">
        <f>527.67*10000</f>
        <v>5276700</v>
      </c>
      <c r="U70" s="13">
        <v>30886576.06</v>
      </c>
      <c r="V70" s="13">
        <v>119316221.59</v>
      </c>
      <c r="W70" s="45">
        <v>742945537.12</v>
      </c>
      <c r="X70" s="65"/>
      <c r="Y70" s="65"/>
      <c r="Z70" s="2"/>
      <c r="AA70" s="70"/>
      <c r="AB70" s="70"/>
      <c r="AC70" s="28"/>
      <c r="AD70" s="71"/>
      <c r="AE70" s="71"/>
      <c r="AF70" s="73"/>
      <c r="AG70" s="70"/>
    </row>
    <row r="71" spans="1:33">
      <c r="A71" s="1"/>
      <c r="B71" s="1">
        <v>2018</v>
      </c>
      <c r="C71" s="1"/>
      <c r="D71" s="1"/>
      <c r="E71" s="30"/>
      <c r="F71" s="30"/>
      <c r="G71" s="1"/>
      <c r="H71" s="1"/>
      <c r="I71" s="1"/>
      <c r="J71" s="6"/>
      <c r="K71" s="30"/>
      <c r="L71" s="28"/>
      <c r="M71" s="28"/>
      <c r="N71" s="28"/>
      <c r="O71" s="28"/>
      <c r="P71" s="1"/>
      <c r="Q71" s="1"/>
      <c r="R71" s="2"/>
      <c r="S71" s="2"/>
      <c r="T71" s="13"/>
      <c r="U71" s="13"/>
      <c r="V71" s="13"/>
      <c r="W71" s="2"/>
      <c r="X71" s="65"/>
      <c r="Y71" s="65"/>
      <c r="Z71" s="2"/>
      <c r="AA71" s="70"/>
      <c r="AB71" s="70"/>
      <c r="AC71" s="28"/>
      <c r="AD71" s="71"/>
      <c r="AE71" s="71"/>
      <c r="AF71" s="73"/>
      <c r="AG71" s="70"/>
    </row>
    <row r="72" spans="1:33">
      <c r="A72" s="1"/>
      <c r="B72" s="1">
        <v>2017</v>
      </c>
      <c r="C72" s="1"/>
      <c r="D72" s="1"/>
      <c r="E72" s="30"/>
      <c r="F72" s="30"/>
      <c r="G72" s="1"/>
      <c r="H72" s="1"/>
      <c r="I72" s="1"/>
      <c r="J72" s="6"/>
      <c r="K72" s="30"/>
      <c r="L72" s="28"/>
      <c r="M72" s="28"/>
      <c r="N72" s="28"/>
      <c r="O72" s="28"/>
      <c r="P72" s="1"/>
      <c r="Q72" s="1"/>
      <c r="R72" s="2"/>
      <c r="S72" s="2"/>
      <c r="T72" s="13"/>
      <c r="U72" s="13"/>
      <c r="V72" s="13"/>
      <c r="W72" s="2"/>
      <c r="X72" s="65"/>
      <c r="Y72" s="65"/>
      <c r="Z72" s="2"/>
      <c r="AA72" s="70"/>
      <c r="AB72" s="70"/>
      <c r="AC72" s="28"/>
      <c r="AD72" s="71"/>
      <c r="AE72" s="71"/>
      <c r="AF72" s="73"/>
      <c r="AG72" s="70"/>
    </row>
    <row r="73" spans="1:33">
      <c r="A73" s="1"/>
      <c r="B73" s="1">
        <v>2016</v>
      </c>
      <c r="C73" s="1"/>
      <c r="D73" s="1"/>
      <c r="E73" s="30"/>
      <c r="F73" s="30"/>
      <c r="G73" s="1"/>
      <c r="H73" s="1"/>
      <c r="I73" s="1"/>
      <c r="J73" s="6"/>
      <c r="K73" s="30"/>
      <c r="L73" s="28"/>
      <c r="M73" s="28"/>
      <c r="N73" s="28"/>
      <c r="O73" s="28"/>
      <c r="P73" s="1"/>
      <c r="Q73" s="1"/>
      <c r="R73" s="2"/>
      <c r="S73" s="2"/>
      <c r="T73" s="13"/>
      <c r="U73" s="13"/>
      <c r="V73" s="13"/>
      <c r="W73" s="2"/>
      <c r="X73" s="65"/>
      <c r="Y73" s="65"/>
      <c r="Z73" s="2"/>
      <c r="AA73" s="70"/>
      <c r="AB73" s="70"/>
      <c r="AC73" s="28"/>
      <c r="AD73" s="71"/>
      <c r="AE73" s="71"/>
      <c r="AF73" s="73"/>
      <c r="AG73" s="70"/>
    </row>
    <row r="74" spans="1:33">
      <c r="A74" s="1"/>
      <c r="B74" s="1">
        <v>2015</v>
      </c>
      <c r="C74" s="1"/>
      <c r="D74" s="1"/>
      <c r="E74" s="30"/>
      <c r="F74" s="30"/>
      <c r="G74" s="1"/>
      <c r="H74" s="1"/>
      <c r="I74" s="1"/>
      <c r="J74" s="6"/>
      <c r="K74" s="30"/>
      <c r="L74" s="28"/>
      <c r="M74" s="28"/>
      <c r="N74" s="28"/>
      <c r="O74" s="28"/>
      <c r="P74" s="1"/>
      <c r="Q74" s="1"/>
      <c r="R74" s="2"/>
      <c r="S74" s="2"/>
      <c r="T74" s="13"/>
      <c r="U74" s="13"/>
      <c r="V74" s="13"/>
      <c r="W74" s="2"/>
      <c r="X74" s="65"/>
      <c r="Y74" s="65"/>
      <c r="Z74" s="2"/>
      <c r="AA74" s="70"/>
      <c r="AB74" s="70"/>
      <c r="AC74" s="28"/>
      <c r="AD74" s="71"/>
      <c r="AE74" s="71"/>
      <c r="AF74" s="73"/>
      <c r="AG74" s="70"/>
    </row>
    <row r="75" spans="1:33">
      <c r="A75" s="1"/>
      <c r="B75" s="1">
        <v>2014</v>
      </c>
      <c r="C75" s="1"/>
      <c r="D75" s="1"/>
      <c r="E75" s="30"/>
      <c r="F75" s="30"/>
      <c r="G75" s="1"/>
      <c r="H75" s="1"/>
      <c r="I75" s="1"/>
      <c r="J75" s="6"/>
      <c r="K75" s="30"/>
      <c r="L75" s="28"/>
      <c r="M75" s="28"/>
      <c r="N75" s="28"/>
      <c r="O75" s="28"/>
      <c r="P75" s="1"/>
      <c r="Q75" s="1"/>
      <c r="R75" s="2"/>
      <c r="S75" s="2"/>
      <c r="T75" s="13"/>
      <c r="U75" s="13"/>
      <c r="V75" s="13"/>
      <c r="W75" s="2"/>
      <c r="X75" s="65"/>
      <c r="Y75" s="65"/>
      <c r="Z75" s="2"/>
      <c r="AA75" s="70"/>
      <c r="AB75" s="70"/>
      <c r="AC75" s="28"/>
      <c r="AD75" s="71"/>
      <c r="AE75" s="71"/>
      <c r="AF75" s="73"/>
      <c r="AG75" s="70"/>
    </row>
    <row r="76" spans="1:33">
      <c r="A76" s="1" t="s">
        <v>71</v>
      </c>
      <c r="B76" s="1">
        <v>2023</v>
      </c>
      <c r="C76" s="1">
        <v>2002</v>
      </c>
      <c r="D76" s="1">
        <v>2020</v>
      </c>
      <c r="E76" s="28">
        <f>(S76+T76)/(R76+负债表!F75)</f>
        <v>0.10245119423451</v>
      </c>
      <c r="F76" s="28">
        <f t="shared" ref="F76:F83" si="46">(S76+T76)/P76</f>
        <v>0.0906630630018566</v>
      </c>
      <c r="G76" s="28">
        <f t="shared" ref="G76:G83" si="47">S76/R76</f>
        <v>0.102730830066408</v>
      </c>
      <c r="H76" s="28">
        <f t="shared" ref="H76:H83" si="48">S76/P76</f>
        <v>0.0909105236706594</v>
      </c>
      <c r="I76" s="28">
        <f t="shared" ref="I76:I83" si="49">Q76/P76</f>
        <v>0.115060945074691</v>
      </c>
      <c r="J76" s="28"/>
      <c r="K76" s="28">
        <f t="shared" ref="K76:K83" si="50">(S76-S77)/S77</f>
        <v>0.368767216512146</v>
      </c>
      <c r="L76" s="28">
        <f t="shared" ref="L76:L83" si="51">(W76-W77)/W77</f>
        <v>0.127708191807445</v>
      </c>
      <c r="M76" s="28">
        <f t="shared" ref="M76:M83" si="52">(V76-V77)/V77</f>
        <v>0.866754842116478</v>
      </c>
      <c r="N76" s="28">
        <f t="shared" ref="N76:N83" si="53">(X76-X77)/X77</f>
        <v>0</v>
      </c>
      <c r="O76" s="28"/>
      <c r="P76" s="82">
        <v>1895108189.39</v>
      </c>
      <c r="Q76" s="11">
        <f>P76-R76</f>
        <v>218052939.29</v>
      </c>
      <c r="R76" s="45">
        <v>1677055250.1</v>
      </c>
      <c r="S76" s="45">
        <v>172285277.91</v>
      </c>
      <c r="T76" s="13">
        <v>-468964.74</v>
      </c>
      <c r="U76" s="13">
        <v>27397384.39</v>
      </c>
      <c r="V76" s="13">
        <v>226028593.03</v>
      </c>
      <c r="W76" s="45">
        <v>994249429.79</v>
      </c>
      <c r="X76" s="65">
        <v>100000000</v>
      </c>
      <c r="Y76" s="65">
        <v>84644897</v>
      </c>
      <c r="Z76" s="2"/>
      <c r="AA76" s="70"/>
      <c r="AB76" s="70"/>
      <c r="AC76" s="28"/>
      <c r="AD76" s="71"/>
      <c r="AE76" s="71"/>
      <c r="AF76" s="73"/>
      <c r="AG76" s="70"/>
    </row>
    <row r="77" spans="1:33">
      <c r="A77" s="1"/>
      <c r="B77" s="1">
        <v>2022</v>
      </c>
      <c r="C77" s="1"/>
      <c r="D77" s="1"/>
      <c r="E77" s="28">
        <f>(S77+T77)/(R77+负债表!F76)</f>
        <v>0.0792293073483222</v>
      </c>
      <c r="F77" s="28">
        <f t="shared" si="46"/>
        <v>0.0698664040285519</v>
      </c>
      <c r="G77" s="28">
        <f t="shared" si="47"/>
        <v>0.0784342563988962</v>
      </c>
      <c r="H77" s="28">
        <f t="shared" si="48"/>
        <v>0.0691653080236143</v>
      </c>
      <c r="I77" s="28">
        <f t="shared" si="49"/>
        <v>0.118174746607432</v>
      </c>
      <c r="J77" s="28"/>
      <c r="K77" s="28">
        <f t="shared" si="50"/>
        <v>0.0624500781842894</v>
      </c>
      <c r="L77" s="28">
        <f t="shared" si="51"/>
        <v>0.0935372203340933</v>
      </c>
      <c r="M77" s="28">
        <f t="shared" si="52"/>
        <v>0.0115857620814162</v>
      </c>
      <c r="N77" s="28">
        <f t="shared" si="53"/>
        <v>0</v>
      </c>
      <c r="O77" s="28"/>
      <c r="P77" s="82">
        <v>1819827642.74</v>
      </c>
      <c r="Q77" s="11">
        <f t="shared" ref="Q77:Q82" si="54">P77-R77</f>
        <v>215057670.55</v>
      </c>
      <c r="R77" s="45">
        <v>1604769972.19</v>
      </c>
      <c r="S77" s="45">
        <v>125868939.46</v>
      </c>
      <c r="T77" s="13">
        <v>1275873.89</v>
      </c>
      <c r="U77" s="13">
        <v>16983371.39</v>
      </c>
      <c r="V77" s="13">
        <v>121081026.78</v>
      </c>
      <c r="W77" s="45">
        <v>881654879.35</v>
      </c>
      <c r="X77" s="65">
        <v>100000000</v>
      </c>
      <c r="Y77" s="65">
        <v>38688750</v>
      </c>
      <c r="Z77" s="2"/>
      <c r="AA77" s="70"/>
      <c r="AB77" s="70"/>
      <c r="AC77" s="28"/>
      <c r="AD77" s="71"/>
      <c r="AE77" s="71"/>
      <c r="AF77" s="73"/>
      <c r="AG77" s="70"/>
    </row>
    <row r="78" spans="1:33">
      <c r="A78" s="1"/>
      <c r="B78" s="1">
        <v>2021</v>
      </c>
      <c r="C78" s="1"/>
      <c r="D78" s="1"/>
      <c r="E78" s="28">
        <f>(S78+T78)/(R78+负债表!F77)</f>
        <v>0.0775945913041197</v>
      </c>
      <c r="F78" s="28">
        <f t="shared" si="46"/>
        <v>0.0701077406011549</v>
      </c>
      <c r="G78" s="28">
        <f t="shared" si="47"/>
        <v>0.0773759850117556</v>
      </c>
      <c r="H78" s="28">
        <f t="shared" si="48"/>
        <v>0.0699102269216412</v>
      </c>
      <c r="I78" s="28">
        <f t="shared" si="49"/>
        <v>0.0964867599291973</v>
      </c>
      <c r="J78" s="28"/>
      <c r="K78" s="28">
        <f t="shared" si="50"/>
        <v>-0.0740571132909316</v>
      </c>
      <c r="L78" s="28">
        <f t="shared" si="51"/>
        <v>0.109502470820768</v>
      </c>
      <c r="M78" s="28">
        <f t="shared" si="52"/>
        <v>0.113297383060443</v>
      </c>
      <c r="N78" s="28">
        <f t="shared" si="53"/>
        <v>0</v>
      </c>
      <c r="O78" s="28"/>
      <c r="P78" s="82">
        <v>1694608296.62</v>
      </c>
      <c r="Q78" s="11">
        <f t="shared" si="54"/>
        <v>163507263.89</v>
      </c>
      <c r="R78" s="45">
        <v>1531101032.73</v>
      </c>
      <c r="S78" s="45">
        <v>118470450.56</v>
      </c>
      <c r="T78" s="13">
        <v>334708.32</v>
      </c>
      <c r="U78" s="13">
        <v>16432074.78</v>
      </c>
      <c r="V78" s="13">
        <v>119694277.36</v>
      </c>
      <c r="W78" s="45">
        <v>806241308.44</v>
      </c>
      <c r="X78" s="65">
        <v>100000000</v>
      </c>
      <c r="Y78" s="65">
        <v>38688750</v>
      </c>
      <c r="Z78" s="2"/>
      <c r="AA78" s="70"/>
      <c r="AB78" s="70"/>
      <c r="AC78" s="28"/>
      <c r="AD78" s="71"/>
      <c r="AE78" s="71"/>
      <c r="AF78" s="73"/>
      <c r="AG78" s="70"/>
    </row>
    <row r="79" spans="1:33">
      <c r="A79" s="1"/>
      <c r="B79" s="1">
        <v>2020</v>
      </c>
      <c r="C79" s="1"/>
      <c r="D79" s="1"/>
      <c r="E79" s="28">
        <f>(S79+T79)/(R79+负债表!F78)</f>
        <v>0.0880118408669267</v>
      </c>
      <c r="F79" s="28">
        <f t="shared" si="46"/>
        <v>0.0816484954838919</v>
      </c>
      <c r="G79" s="28">
        <f t="shared" si="47"/>
        <v>0.0874107192256096</v>
      </c>
      <c r="H79" s="28">
        <f t="shared" si="48"/>
        <v>0.0810908355470823</v>
      </c>
      <c r="I79" s="28">
        <f t="shared" si="49"/>
        <v>0.072301014503902</v>
      </c>
      <c r="J79" s="28"/>
      <c r="K79" s="28">
        <f t="shared" si="50"/>
        <v>0.398945613318533</v>
      </c>
      <c r="L79" s="28">
        <f t="shared" si="51"/>
        <v>0.156765042886879</v>
      </c>
      <c r="M79" s="28">
        <f t="shared" si="52"/>
        <v>-0.387252580428202</v>
      </c>
      <c r="N79" s="28" t="e">
        <f t="shared" si="53"/>
        <v>#DIV/0!</v>
      </c>
      <c r="O79" s="28"/>
      <c r="P79" s="82">
        <v>1577807677.98</v>
      </c>
      <c r="Q79" s="11">
        <f t="shared" si="54"/>
        <v>114077095.81</v>
      </c>
      <c r="R79" s="45">
        <v>1463730582.17</v>
      </c>
      <c r="S79" s="45">
        <v>127945742.94</v>
      </c>
      <c r="T79" s="13">
        <v>879880.13</v>
      </c>
      <c r="U79" s="13">
        <v>19583832.57</v>
      </c>
      <c r="V79" s="13">
        <v>107513301.64</v>
      </c>
      <c r="W79" s="45">
        <v>726669232.06</v>
      </c>
      <c r="X79" s="65">
        <v>100000000</v>
      </c>
      <c r="Y79" s="65">
        <v>23710250</v>
      </c>
      <c r="Z79" s="2"/>
      <c r="AA79" s="70"/>
      <c r="AB79" s="70"/>
      <c r="AC79" s="28"/>
      <c r="AD79" s="71"/>
      <c r="AE79" s="71"/>
      <c r="AF79" s="73"/>
      <c r="AG79" s="70"/>
    </row>
    <row r="80" spans="1:33">
      <c r="A80" s="1"/>
      <c r="B80" s="1">
        <v>2019</v>
      </c>
      <c r="C80" s="1"/>
      <c r="D80" s="1"/>
      <c r="E80" s="28">
        <f>(S80+T80)/(R80+负债表!F79)</f>
        <v>0.20452808394638</v>
      </c>
      <c r="F80" s="28">
        <f t="shared" si="46"/>
        <v>0.159902947723986</v>
      </c>
      <c r="G80" s="28">
        <f t="shared" si="47"/>
        <v>0.198590900101881</v>
      </c>
      <c r="H80" s="28">
        <f t="shared" si="48"/>
        <v>0.155261173452226</v>
      </c>
      <c r="I80" s="28">
        <f t="shared" si="49"/>
        <v>0.218185861625209</v>
      </c>
      <c r="J80" s="28"/>
      <c r="K80" s="28">
        <f t="shared" si="50"/>
        <v>0.129112257667516</v>
      </c>
      <c r="L80" s="28">
        <f t="shared" si="51"/>
        <v>0.186137845310722</v>
      </c>
      <c r="M80" s="28">
        <f t="shared" si="52"/>
        <v>0.250502333995237</v>
      </c>
      <c r="N80" s="28" t="e">
        <f t="shared" si="53"/>
        <v>#DIV/0!</v>
      </c>
      <c r="O80" s="28"/>
      <c r="P80" s="82">
        <v>589063543.36</v>
      </c>
      <c r="Q80" s="11">
        <f t="shared" si="54"/>
        <v>128525336.76</v>
      </c>
      <c r="R80" s="45">
        <v>460538206.6</v>
      </c>
      <c r="S80" s="45">
        <v>91458696.98</v>
      </c>
      <c r="T80" s="13">
        <f>273.43*10000</f>
        <v>2734300</v>
      </c>
      <c r="U80" s="13">
        <v>13724218.79</v>
      </c>
      <c r="V80" s="13">
        <v>175461043.5</v>
      </c>
      <c r="W80" s="45">
        <v>628190864.28</v>
      </c>
      <c r="X80" s="65"/>
      <c r="Y80" s="65"/>
      <c r="Z80" s="2"/>
      <c r="AA80" s="70"/>
      <c r="AB80" s="70"/>
      <c r="AC80" s="28"/>
      <c r="AD80" s="71"/>
      <c r="AE80" s="71"/>
      <c r="AF80" s="73"/>
      <c r="AG80" s="70"/>
    </row>
    <row r="81" spans="1:33">
      <c r="A81" s="1"/>
      <c r="B81" s="1">
        <v>2018</v>
      </c>
      <c r="C81" s="1"/>
      <c r="D81" s="1"/>
      <c r="E81" s="28">
        <f>(S81+T81)/(R81+负债表!F80)</f>
        <v>0.181354690138168</v>
      </c>
      <c r="F81" s="28">
        <f t="shared" si="46"/>
        <v>0.127449008649477</v>
      </c>
      <c r="G81" s="28">
        <f t="shared" si="47"/>
        <v>0.176210888966881</v>
      </c>
      <c r="H81" s="28">
        <f t="shared" si="48"/>
        <v>0.123834145645542</v>
      </c>
      <c r="I81" s="28">
        <f t="shared" si="49"/>
        <v>0.297238971033074</v>
      </c>
      <c r="J81" s="28"/>
      <c r="K81" s="28">
        <f t="shared" si="50"/>
        <v>0.0253788506174712</v>
      </c>
      <c r="L81" s="28">
        <f t="shared" si="51"/>
        <v>0.0249147173159786</v>
      </c>
      <c r="M81" s="28">
        <f t="shared" si="52"/>
        <v>0.431411640061279</v>
      </c>
      <c r="N81" s="28" t="e">
        <f t="shared" si="53"/>
        <v>#DIV/0!</v>
      </c>
      <c r="O81" s="28"/>
      <c r="P81" s="82">
        <v>654105009.63</v>
      </c>
      <c r="Q81" s="11">
        <f t="shared" si="54"/>
        <v>194425500.01</v>
      </c>
      <c r="R81" s="45">
        <v>459679509.62</v>
      </c>
      <c r="S81" s="45">
        <v>81000535.03</v>
      </c>
      <c r="T81" s="13">
        <f>236.45*10000</f>
        <v>2364500</v>
      </c>
      <c r="U81" s="13">
        <v>12886404.23</v>
      </c>
      <c r="V81" s="13">
        <v>140312447.83</v>
      </c>
      <c r="W81" s="45">
        <v>529610337.25</v>
      </c>
      <c r="X81" s="65"/>
      <c r="Y81" s="65"/>
      <c r="Z81" s="2"/>
      <c r="AA81" s="70"/>
      <c r="AB81" s="70"/>
      <c r="AC81" s="28"/>
      <c r="AD81" s="71"/>
      <c r="AE81" s="71"/>
      <c r="AF81" s="73"/>
      <c r="AG81" s="70"/>
    </row>
    <row r="82" spans="1:33">
      <c r="A82" s="1"/>
      <c r="B82" s="1">
        <v>2017</v>
      </c>
      <c r="C82" s="1"/>
      <c r="D82" s="1"/>
      <c r="E82" s="28">
        <f>(S82+T82)/(R82+负债表!F81)</f>
        <v>0.214139947647988</v>
      </c>
      <c r="F82" s="28">
        <f t="shared" si="46"/>
        <v>0.132822086830895</v>
      </c>
      <c r="G82" s="28">
        <f t="shared" si="47"/>
        <v>0.196663802656418</v>
      </c>
      <c r="H82" s="28">
        <f t="shared" si="48"/>
        <v>0.121982362281437</v>
      </c>
      <c r="I82" s="28">
        <f t="shared" si="49"/>
        <v>0.379741667588182</v>
      </c>
      <c r="J82" s="28"/>
      <c r="K82" s="28" t="e">
        <f t="shared" si="50"/>
        <v>#DIV/0!</v>
      </c>
      <c r="L82" s="28" t="e">
        <f t="shared" si="51"/>
        <v>#DIV/0!</v>
      </c>
      <c r="M82" s="28" t="e">
        <f t="shared" si="52"/>
        <v>#DIV/0!</v>
      </c>
      <c r="N82" s="28" t="e">
        <f t="shared" si="53"/>
        <v>#DIV/0!</v>
      </c>
      <c r="O82" s="28"/>
      <c r="P82" s="82">
        <v>647599481.7</v>
      </c>
      <c r="Q82" s="11">
        <f t="shared" si="54"/>
        <v>245920507.11</v>
      </c>
      <c r="R82" s="45">
        <v>401678974.59</v>
      </c>
      <c r="S82" s="60">
        <v>78995714.59</v>
      </c>
      <c r="T82" s="13">
        <f>701.98*10000</f>
        <v>7019800</v>
      </c>
      <c r="U82" s="13">
        <v>12892961.73</v>
      </c>
      <c r="V82" s="13">
        <v>98023827.6</v>
      </c>
      <c r="W82" s="45">
        <v>516736005.74</v>
      </c>
      <c r="X82" s="65"/>
      <c r="Y82" s="65"/>
      <c r="Z82" s="2"/>
      <c r="AA82" s="70"/>
      <c r="AB82" s="70"/>
      <c r="AC82" s="28"/>
      <c r="AD82" s="71"/>
      <c r="AE82" s="71"/>
      <c r="AF82" s="73"/>
      <c r="AG82" s="70"/>
    </row>
    <row r="83" spans="1:33">
      <c r="A83" s="1"/>
      <c r="B83" s="1">
        <v>2016</v>
      </c>
      <c r="C83" s="1"/>
      <c r="D83" s="1"/>
      <c r="E83" s="28" t="e">
        <f>(S83+T83)/(R83+负债表!F82)</f>
        <v>#DIV/0!</v>
      </c>
      <c r="F83" s="28" t="e">
        <f t="shared" si="46"/>
        <v>#DIV/0!</v>
      </c>
      <c r="G83" s="28" t="e">
        <f t="shared" si="47"/>
        <v>#DIV/0!</v>
      </c>
      <c r="H83" s="28" t="e">
        <f t="shared" si="48"/>
        <v>#DIV/0!</v>
      </c>
      <c r="I83" s="28" t="e">
        <f t="shared" si="49"/>
        <v>#DIV/0!</v>
      </c>
      <c r="J83" s="28"/>
      <c r="K83" s="28" t="e">
        <f t="shared" si="50"/>
        <v>#DIV/0!</v>
      </c>
      <c r="L83" s="28" t="e">
        <f t="shared" si="51"/>
        <v>#DIV/0!</v>
      </c>
      <c r="M83" s="28" t="e">
        <f t="shared" si="52"/>
        <v>#DIV/0!</v>
      </c>
      <c r="N83" s="28" t="e">
        <f t="shared" si="53"/>
        <v>#DIV/0!</v>
      </c>
      <c r="O83" s="28"/>
      <c r="P83" s="1"/>
      <c r="Q83" s="1"/>
      <c r="R83" s="2"/>
      <c r="S83" s="2"/>
      <c r="T83" s="13"/>
      <c r="U83" s="13"/>
      <c r="V83" s="13"/>
      <c r="W83" s="2"/>
      <c r="X83" s="65"/>
      <c r="Y83" s="65"/>
      <c r="Z83" s="2"/>
      <c r="AA83" s="70"/>
      <c r="AB83" s="70"/>
      <c r="AC83" s="28"/>
      <c r="AD83" s="71"/>
      <c r="AE83" s="71"/>
      <c r="AF83" s="73"/>
      <c r="AG83" s="70"/>
    </row>
    <row r="84" spans="1:33">
      <c r="A84" s="1"/>
      <c r="B84" s="1">
        <v>2015</v>
      </c>
      <c r="C84" s="1"/>
      <c r="D84" s="1"/>
      <c r="E84" s="30"/>
      <c r="F84" s="30"/>
      <c r="G84" s="1"/>
      <c r="H84" s="1"/>
      <c r="I84" s="1"/>
      <c r="J84" s="6"/>
      <c r="K84" s="30"/>
      <c r="L84" s="28"/>
      <c r="M84" s="28"/>
      <c r="N84" s="28"/>
      <c r="O84" s="28"/>
      <c r="P84" s="1"/>
      <c r="Q84" s="1"/>
      <c r="R84" s="2"/>
      <c r="S84" s="2"/>
      <c r="T84" s="13"/>
      <c r="U84" s="13"/>
      <c r="V84" s="13"/>
      <c r="W84" s="2"/>
      <c r="X84" s="65"/>
      <c r="Y84" s="65"/>
      <c r="Z84" s="2"/>
      <c r="AA84" s="70"/>
      <c r="AB84" s="70"/>
      <c r="AC84" s="28"/>
      <c r="AD84" s="71"/>
      <c r="AE84" s="71"/>
      <c r="AF84" s="73"/>
      <c r="AG84" s="70"/>
    </row>
    <row r="85" spans="1:33">
      <c r="A85" s="1"/>
      <c r="B85" s="1">
        <v>2014</v>
      </c>
      <c r="C85" s="1"/>
      <c r="D85" s="1"/>
      <c r="E85" s="30"/>
      <c r="F85" s="30"/>
      <c r="G85" s="1"/>
      <c r="H85" s="1"/>
      <c r="I85" s="1"/>
      <c r="J85" s="6"/>
      <c r="K85" s="30"/>
      <c r="L85" s="28"/>
      <c r="M85" s="28"/>
      <c r="N85" s="28"/>
      <c r="O85" s="28"/>
      <c r="P85" s="1"/>
      <c r="Q85" s="1"/>
      <c r="R85" s="2"/>
      <c r="S85" s="2"/>
      <c r="T85" s="13"/>
      <c r="U85" s="13"/>
      <c r="V85" s="13"/>
      <c r="W85" s="2"/>
      <c r="X85" s="65"/>
      <c r="Y85" s="65"/>
      <c r="Z85" s="2"/>
      <c r="AA85" s="70"/>
      <c r="AB85" s="70"/>
      <c r="AC85" s="28"/>
      <c r="AD85" s="71"/>
      <c r="AE85" s="71"/>
      <c r="AF85" s="73"/>
      <c r="AG85" s="70"/>
    </row>
    <row r="86" spans="1:33">
      <c r="A86" s="75" t="s">
        <v>72</v>
      </c>
      <c r="B86" s="76"/>
      <c r="C86" s="76"/>
      <c r="D86" s="76"/>
      <c r="E86" s="80"/>
      <c r="F86" s="80"/>
      <c r="G86" s="76"/>
      <c r="H86" s="81"/>
      <c r="I86" s="81"/>
      <c r="J86" s="81"/>
      <c r="K86" s="80"/>
      <c r="L86" s="74"/>
      <c r="M86" s="74"/>
      <c r="N86" s="74"/>
      <c r="O86" s="74"/>
      <c r="P86" s="76"/>
      <c r="Q86" s="76"/>
      <c r="R86" s="81"/>
      <c r="S86" s="81"/>
      <c r="T86" s="57"/>
      <c r="U86" s="57"/>
      <c r="V86" s="57"/>
      <c r="W86" s="81"/>
      <c r="X86" s="83"/>
      <c r="Y86" s="83"/>
      <c r="Z86" s="81"/>
      <c r="AA86" s="84"/>
      <c r="AB86" s="84"/>
      <c r="AC86" s="74"/>
      <c r="AD86" s="84"/>
      <c r="AE86" s="84"/>
      <c r="AF86" s="84"/>
      <c r="AG86" s="81"/>
    </row>
    <row r="87" spans="1:33">
      <c r="A87" s="75"/>
      <c r="B87" s="76"/>
      <c r="C87" s="76"/>
      <c r="D87" s="76"/>
      <c r="E87" s="80"/>
      <c r="F87" s="80"/>
      <c r="G87" s="76"/>
      <c r="H87" s="81"/>
      <c r="I87" s="81"/>
      <c r="J87" s="81"/>
      <c r="K87" s="80"/>
      <c r="L87" s="74"/>
      <c r="M87" s="74"/>
      <c r="N87" s="74"/>
      <c r="O87" s="74"/>
      <c r="P87" s="76"/>
      <c r="Q87" s="76"/>
      <c r="R87" s="81"/>
      <c r="S87" s="81"/>
      <c r="T87" s="57"/>
      <c r="U87" s="57"/>
      <c r="V87" s="57"/>
      <c r="W87" s="81"/>
      <c r="X87" s="83"/>
      <c r="Y87" s="83"/>
      <c r="Z87" s="81"/>
      <c r="AA87" s="84"/>
      <c r="AB87" s="84"/>
      <c r="AC87" s="74"/>
      <c r="AD87" s="84"/>
      <c r="AE87" s="84"/>
      <c r="AF87" s="84"/>
      <c r="AG87" s="81"/>
    </row>
    <row r="88" spans="1:33">
      <c r="A88" s="75"/>
      <c r="B88" s="76"/>
      <c r="C88" s="76"/>
      <c r="D88" s="76"/>
      <c r="E88" s="80"/>
      <c r="F88" s="80"/>
      <c r="G88" s="76"/>
      <c r="H88" s="81"/>
      <c r="I88" s="81"/>
      <c r="J88" s="81"/>
      <c r="K88" s="80"/>
      <c r="L88" s="74"/>
      <c r="M88" s="74"/>
      <c r="N88" s="74"/>
      <c r="O88" s="74"/>
      <c r="P88" s="76"/>
      <c r="Q88" s="76"/>
      <c r="R88" s="81"/>
      <c r="S88" s="81"/>
      <c r="T88" s="57"/>
      <c r="U88" s="57"/>
      <c r="V88" s="57"/>
      <c r="W88" s="81"/>
      <c r="X88" s="83"/>
      <c r="Y88" s="83"/>
      <c r="Z88" s="81"/>
      <c r="AA88" s="84"/>
      <c r="AB88" s="84"/>
      <c r="AC88" s="74"/>
      <c r="AD88" s="84"/>
      <c r="AE88" s="84"/>
      <c r="AF88" s="84"/>
      <c r="AG88" s="81"/>
    </row>
    <row r="89" spans="1:33">
      <c r="A89" s="75"/>
      <c r="B89" s="76"/>
      <c r="C89" s="76"/>
      <c r="D89" s="76"/>
      <c r="E89" s="80"/>
      <c r="F89" s="80"/>
      <c r="G89" s="76"/>
      <c r="H89" s="81"/>
      <c r="I89" s="81"/>
      <c r="J89" s="81"/>
      <c r="K89" s="80"/>
      <c r="L89" s="74"/>
      <c r="M89" s="74"/>
      <c r="N89" s="74"/>
      <c r="O89" s="74"/>
      <c r="P89" s="76"/>
      <c r="Q89" s="76"/>
      <c r="R89" s="81"/>
      <c r="S89" s="81"/>
      <c r="T89" s="57"/>
      <c r="U89" s="57"/>
      <c r="V89" s="57"/>
      <c r="W89" s="81"/>
      <c r="X89" s="83"/>
      <c r="Y89" s="83"/>
      <c r="Z89" s="81"/>
      <c r="AA89" s="84"/>
      <c r="AB89" s="84"/>
      <c r="AC89" s="74"/>
      <c r="AD89" s="84"/>
      <c r="AE89" s="84"/>
      <c r="AF89" s="84"/>
      <c r="AG89" s="81"/>
    </row>
    <row r="90" spans="1:33">
      <c r="A90" s="75"/>
      <c r="B90" s="76"/>
      <c r="C90" s="76"/>
      <c r="D90" s="76"/>
      <c r="E90" s="80"/>
      <c r="F90" s="80"/>
      <c r="G90" s="76"/>
      <c r="H90" s="81"/>
      <c r="I90" s="81"/>
      <c r="J90" s="81"/>
      <c r="K90" s="80"/>
      <c r="L90" s="74"/>
      <c r="M90" s="74"/>
      <c r="N90" s="74"/>
      <c r="O90" s="74"/>
      <c r="P90" s="76"/>
      <c r="Q90" s="76"/>
      <c r="R90" s="81"/>
      <c r="S90" s="81"/>
      <c r="T90" s="57"/>
      <c r="U90" s="57"/>
      <c r="V90" s="57"/>
      <c r="W90" s="81"/>
      <c r="X90" s="83"/>
      <c r="Y90" s="83"/>
      <c r="Z90" s="81"/>
      <c r="AA90" s="84"/>
      <c r="AB90" s="84"/>
      <c r="AC90" s="74"/>
      <c r="AD90" s="84"/>
      <c r="AE90" s="84"/>
      <c r="AF90" s="84"/>
      <c r="AG90" s="81"/>
    </row>
    <row r="91" spans="1:33">
      <c r="A91" s="75"/>
      <c r="B91" s="76"/>
      <c r="C91" s="76"/>
      <c r="D91" s="76"/>
      <c r="E91" s="80"/>
      <c r="F91" s="80"/>
      <c r="G91" s="76"/>
      <c r="H91" s="81"/>
      <c r="I91" s="81"/>
      <c r="J91" s="81"/>
      <c r="K91" s="80"/>
      <c r="L91" s="74"/>
      <c r="M91" s="74"/>
      <c r="N91" s="74"/>
      <c r="O91" s="74"/>
      <c r="P91" s="76"/>
      <c r="Q91" s="76"/>
      <c r="R91" s="81"/>
      <c r="S91" s="81"/>
      <c r="T91" s="57"/>
      <c r="U91" s="57"/>
      <c r="V91" s="57"/>
      <c r="W91" s="81"/>
      <c r="X91" s="83"/>
      <c r="Y91" s="83"/>
      <c r="Z91" s="81"/>
      <c r="AA91" s="84"/>
      <c r="AB91" s="84"/>
      <c r="AC91" s="74"/>
      <c r="AD91" s="84"/>
      <c r="AE91" s="84"/>
      <c r="AF91" s="84"/>
      <c r="AG91" s="81"/>
    </row>
    <row r="92" spans="1:33">
      <c r="A92" s="75"/>
      <c r="B92" s="76"/>
      <c r="C92" s="76"/>
      <c r="D92" s="76"/>
      <c r="E92" s="80"/>
      <c r="F92" s="80"/>
      <c r="G92" s="76"/>
      <c r="H92" s="81"/>
      <c r="I92" s="81"/>
      <c r="J92" s="81"/>
      <c r="K92" s="80"/>
      <c r="L92" s="74"/>
      <c r="M92" s="74"/>
      <c r="N92" s="74"/>
      <c r="O92" s="74"/>
      <c r="P92" s="76"/>
      <c r="Q92" s="76"/>
      <c r="R92" s="81"/>
      <c r="S92" s="81"/>
      <c r="T92" s="57"/>
      <c r="U92" s="57"/>
      <c r="V92" s="57"/>
      <c r="W92" s="81"/>
      <c r="X92" s="83"/>
      <c r="Y92" s="83"/>
      <c r="Z92" s="81"/>
      <c r="AA92" s="84"/>
      <c r="AB92" s="84"/>
      <c r="AC92" s="74"/>
      <c r="AD92" s="84"/>
      <c r="AE92" s="84"/>
      <c r="AF92" s="84"/>
      <c r="AG92" s="81"/>
    </row>
    <row r="93" spans="1:33">
      <c r="A93" s="75"/>
      <c r="B93" s="76"/>
      <c r="C93" s="76"/>
      <c r="D93" s="76"/>
      <c r="E93" s="80"/>
      <c r="F93" s="80"/>
      <c r="G93" s="76"/>
      <c r="H93" s="81"/>
      <c r="I93" s="81"/>
      <c r="J93" s="81"/>
      <c r="K93" s="80"/>
      <c r="L93" s="74"/>
      <c r="M93" s="74"/>
      <c r="N93" s="74"/>
      <c r="O93" s="74"/>
      <c r="P93" s="76"/>
      <c r="Q93" s="76"/>
      <c r="R93" s="81"/>
      <c r="S93" s="81"/>
      <c r="T93" s="57"/>
      <c r="U93" s="57"/>
      <c r="V93" s="57"/>
      <c r="W93" s="81"/>
      <c r="X93" s="83"/>
      <c r="Y93" s="83"/>
      <c r="Z93" s="81"/>
      <c r="AA93" s="84"/>
      <c r="AB93" s="84"/>
      <c r="AC93" s="74"/>
      <c r="AD93" s="84"/>
      <c r="AE93" s="84"/>
      <c r="AF93" s="84"/>
      <c r="AG93" s="81"/>
    </row>
    <row r="94" spans="1:33">
      <c r="A94" s="75"/>
      <c r="B94" s="76"/>
      <c r="C94" s="76"/>
      <c r="D94" s="76"/>
      <c r="E94" s="80"/>
      <c r="F94" s="80"/>
      <c r="G94" s="76"/>
      <c r="H94" s="81"/>
      <c r="I94" s="81"/>
      <c r="J94" s="81"/>
      <c r="K94" s="80"/>
      <c r="L94" s="74"/>
      <c r="M94" s="74"/>
      <c r="N94" s="74"/>
      <c r="O94" s="74"/>
      <c r="P94" s="76"/>
      <c r="Q94" s="76"/>
      <c r="R94" s="81"/>
      <c r="S94" s="81"/>
      <c r="T94" s="57"/>
      <c r="U94" s="57"/>
      <c r="V94" s="57"/>
      <c r="W94" s="81"/>
      <c r="X94" s="83"/>
      <c r="Y94" s="83"/>
      <c r="Z94" s="81"/>
      <c r="AA94" s="84"/>
      <c r="AB94" s="84"/>
      <c r="AC94" s="74"/>
      <c r="AD94" s="84"/>
      <c r="AE94" s="84"/>
      <c r="AF94" s="84"/>
      <c r="AG94" s="81"/>
    </row>
    <row r="95" spans="1:33">
      <c r="A95" s="77" t="s">
        <v>73</v>
      </c>
      <c r="B95" s="76"/>
      <c r="C95" s="76"/>
      <c r="D95" s="76"/>
      <c r="E95" s="80"/>
      <c r="F95" s="80"/>
      <c r="G95" s="76"/>
      <c r="H95" s="81"/>
      <c r="I95" s="81"/>
      <c r="J95" s="81"/>
      <c r="K95" s="80"/>
      <c r="L95" s="74"/>
      <c r="M95" s="74"/>
      <c r="N95" s="74"/>
      <c r="O95" s="74"/>
      <c r="P95" s="76"/>
      <c r="Q95" s="76"/>
      <c r="R95" s="81"/>
      <c r="S95" s="81"/>
      <c r="T95" s="57"/>
      <c r="U95" s="57"/>
      <c r="V95" s="57"/>
      <c r="W95" s="81"/>
      <c r="X95" s="83"/>
      <c r="Y95" s="83"/>
      <c r="Z95" s="81"/>
      <c r="AA95" s="84"/>
      <c r="AB95" s="84"/>
      <c r="AC95" s="74"/>
      <c r="AD95" s="84"/>
      <c r="AE95" s="84"/>
      <c r="AF95" s="84"/>
      <c r="AG95" s="81"/>
    </row>
    <row r="96" spans="1:33">
      <c r="A96" s="78"/>
      <c r="B96" s="76"/>
      <c r="C96" s="76"/>
      <c r="D96" s="76"/>
      <c r="E96" s="80"/>
      <c r="F96" s="80"/>
      <c r="G96" s="76"/>
      <c r="H96" s="81"/>
      <c r="I96" s="81"/>
      <c r="J96" s="81"/>
      <c r="K96" s="80"/>
      <c r="L96" s="74"/>
      <c r="M96" s="74"/>
      <c r="N96" s="74"/>
      <c r="O96" s="74"/>
      <c r="P96" s="76"/>
      <c r="Q96" s="76"/>
      <c r="R96" s="81"/>
      <c r="S96" s="81"/>
      <c r="T96" s="57"/>
      <c r="U96" s="57"/>
      <c r="V96" s="57"/>
      <c r="W96" s="81"/>
      <c r="X96" s="83"/>
      <c r="Y96" s="83"/>
      <c r="Z96" s="81"/>
      <c r="AA96" s="84"/>
      <c r="AB96" s="84"/>
      <c r="AC96" s="74"/>
      <c r="AD96" s="84"/>
      <c r="AE96" s="84"/>
      <c r="AF96" s="84"/>
      <c r="AG96" s="81"/>
    </row>
    <row r="97" spans="1:33">
      <c r="A97" s="78"/>
      <c r="B97" s="76"/>
      <c r="C97" s="76"/>
      <c r="D97" s="76"/>
      <c r="E97" s="80"/>
      <c r="F97" s="80"/>
      <c r="G97" s="76"/>
      <c r="H97" s="81"/>
      <c r="I97" s="81"/>
      <c r="J97" s="81"/>
      <c r="K97" s="80"/>
      <c r="L97" s="74"/>
      <c r="M97" s="74"/>
      <c r="N97" s="74"/>
      <c r="O97" s="74"/>
      <c r="P97" s="76"/>
      <c r="Q97" s="76"/>
      <c r="R97" s="81"/>
      <c r="S97" s="81"/>
      <c r="T97" s="57"/>
      <c r="U97" s="57"/>
      <c r="V97" s="57"/>
      <c r="W97" s="81"/>
      <c r="X97" s="83"/>
      <c r="Y97" s="83"/>
      <c r="Z97" s="81"/>
      <c r="AA97" s="84"/>
      <c r="AB97" s="84"/>
      <c r="AC97" s="74"/>
      <c r="AD97" s="84"/>
      <c r="AE97" s="84"/>
      <c r="AF97" s="84"/>
      <c r="AG97" s="81"/>
    </row>
    <row r="98" spans="1:33">
      <c r="A98" s="78"/>
      <c r="B98" s="76"/>
      <c r="C98" s="76"/>
      <c r="D98" s="76"/>
      <c r="E98" s="80"/>
      <c r="F98" s="80"/>
      <c r="G98" s="76"/>
      <c r="H98" s="81"/>
      <c r="I98" s="81"/>
      <c r="J98" s="81"/>
      <c r="K98" s="80"/>
      <c r="L98" s="74"/>
      <c r="M98" s="74"/>
      <c r="N98" s="74"/>
      <c r="O98" s="74"/>
      <c r="P98" s="76"/>
      <c r="Q98" s="76"/>
      <c r="R98" s="81"/>
      <c r="S98" s="81"/>
      <c r="T98" s="57"/>
      <c r="U98" s="57"/>
      <c r="V98" s="57"/>
      <c r="W98" s="81"/>
      <c r="X98" s="83"/>
      <c r="Y98" s="83"/>
      <c r="Z98" s="81"/>
      <c r="AA98" s="84"/>
      <c r="AB98" s="84"/>
      <c r="AC98" s="74"/>
      <c r="AD98" s="84"/>
      <c r="AE98" s="84"/>
      <c r="AF98" s="84"/>
      <c r="AG98" s="81"/>
    </row>
    <row r="99" spans="1:33">
      <c r="A99" s="78"/>
      <c r="B99" s="76"/>
      <c r="C99" s="76"/>
      <c r="D99" s="76"/>
      <c r="E99" s="80"/>
      <c r="F99" s="80"/>
      <c r="G99" s="76"/>
      <c r="H99" s="81"/>
      <c r="I99" s="81"/>
      <c r="J99" s="81"/>
      <c r="K99" s="80"/>
      <c r="L99" s="74"/>
      <c r="M99" s="74"/>
      <c r="N99" s="74"/>
      <c r="O99" s="74"/>
      <c r="P99" s="76"/>
      <c r="Q99" s="76"/>
      <c r="R99" s="81"/>
      <c r="S99" s="81"/>
      <c r="T99" s="57"/>
      <c r="U99" s="57"/>
      <c r="V99" s="57"/>
      <c r="W99" s="81"/>
      <c r="X99" s="83"/>
      <c r="Y99" s="83"/>
      <c r="Z99" s="81"/>
      <c r="AA99" s="84"/>
      <c r="AB99" s="84"/>
      <c r="AC99" s="74"/>
      <c r="AD99" s="84"/>
      <c r="AE99" s="84"/>
      <c r="AF99" s="84"/>
      <c r="AG99" s="81"/>
    </row>
    <row r="100" spans="1:33">
      <c r="A100" s="78"/>
      <c r="B100" s="76"/>
      <c r="C100" s="76"/>
      <c r="D100" s="76"/>
      <c r="E100" s="80"/>
      <c r="F100" s="80"/>
      <c r="G100" s="76"/>
      <c r="H100" s="81"/>
      <c r="I100" s="81"/>
      <c r="J100" s="81"/>
      <c r="K100" s="80"/>
      <c r="L100" s="74"/>
      <c r="M100" s="74"/>
      <c r="N100" s="74"/>
      <c r="O100" s="74"/>
      <c r="P100" s="76"/>
      <c r="Q100" s="76"/>
      <c r="R100" s="81"/>
      <c r="S100" s="81"/>
      <c r="T100" s="57"/>
      <c r="U100" s="57"/>
      <c r="V100" s="57"/>
      <c r="W100" s="81"/>
      <c r="X100" s="83"/>
      <c r="Y100" s="83"/>
      <c r="Z100" s="81"/>
      <c r="AA100" s="84"/>
      <c r="AB100" s="84"/>
      <c r="AC100" s="74"/>
      <c r="AD100" s="84"/>
      <c r="AE100" s="84"/>
      <c r="AF100" s="84"/>
      <c r="AG100" s="81"/>
    </row>
    <row r="101" spans="1:33">
      <c r="A101" s="78"/>
      <c r="B101" s="76"/>
      <c r="C101" s="76"/>
      <c r="D101" s="76"/>
      <c r="E101" s="80"/>
      <c r="F101" s="80"/>
      <c r="G101" s="76"/>
      <c r="H101" s="81"/>
      <c r="I101" s="81"/>
      <c r="J101" s="81"/>
      <c r="K101" s="80"/>
      <c r="L101" s="74"/>
      <c r="M101" s="74"/>
      <c r="N101" s="74"/>
      <c r="O101" s="74"/>
      <c r="P101" s="76"/>
      <c r="Q101" s="76"/>
      <c r="R101" s="81"/>
      <c r="S101" s="81"/>
      <c r="T101" s="57"/>
      <c r="U101" s="57"/>
      <c r="V101" s="57"/>
      <c r="W101" s="81"/>
      <c r="X101" s="83"/>
      <c r="Y101" s="83"/>
      <c r="Z101" s="81"/>
      <c r="AA101" s="84"/>
      <c r="AB101" s="84"/>
      <c r="AC101" s="74"/>
      <c r="AD101" s="84"/>
      <c r="AE101" s="84"/>
      <c r="AF101" s="84"/>
      <c r="AG101" s="81"/>
    </row>
    <row r="102" spans="1:33">
      <c r="A102" s="78"/>
      <c r="B102" s="76"/>
      <c r="C102" s="76"/>
      <c r="D102" s="76"/>
      <c r="E102" s="80"/>
      <c r="F102" s="80"/>
      <c r="G102" s="76"/>
      <c r="H102" s="81"/>
      <c r="I102" s="81"/>
      <c r="J102" s="81"/>
      <c r="K102" s="80"/>
      <c r="L102" s="74"/>
      <c r="M102" s="74"/>
      <c r="N102" s="74"/>
      <c r="O102" s="74"/>
      <c r="P102" s="76"/>
      <c r="Q102" s="76"/>
      <c r="R102" s="81"/>
      <c r="S102" s="81"/>
      <c r="T102" s="57"/>
      <c r="U102" s="57"/>
      <c r="V102" s="57"/>
      <c r="W102" s="81"/>
      <c r="X102" s="83"/>
      <c r="Y102" s="83"/>
      <c r="Z102" s="81"/>
      <c r="AA102" s="84"/>
      <c r="AB102" s="84"/>
      <c r="AC102" s="74"/>
      <c r="AD102" s="84"/>
      <c r="AE102" s="84"/>
      <c r="AF102" s="84"/>
      <c r="AG102" s="81"/>
    </row>
    <row r="103" spans="1:33">
      <c r="A103" s="78"/>
      <c r="B103" s="76"/>
      <c r="C103" s="76"/>
      <c r="D103" s="76"/>
      <c r="E103" s="80"/>
      <c r="F103" s="80"/>
      <c r="G103" s="76"/>
      <c r="H103" s="81"/>
      <c r="I103" s="81"/>
      <c r="J103" s="81"/>
      <c r="K103" s="80"/>
      <c r="L103" s="74"/>
      <c r="M103" s="74"/>
      <c r="N103" s="74"/>
      <c r="O103" s="74"/>
      <c r="P103" s="76"/>
      <c r="Q103" s="76"/>
      <c r="R103" s="81"/>
      <c r="S103" s="81"/>
      <c r="T103" s="57"/>
      <c r="U103" s="57"/>
      <c r="V103" s="57"/>
      <c r="W103" s="81"/>
      <c r="X103" s="83"/>
      <c r="Y103" s="83"/>
      <c r="Z103" s="81"/>
      <c r="AA103" s="84"/>
      <c r="AB103" s="84"/>
      <c r="AC103" s="74"/>
      <c r="AD103" s="84"/>
      <c r="AE103" s="84"/>
      <c r="AF103" s="84"/>
      <c r="AG103" s="81"/>
    </row>
    <row r="104" spans="1:33">
      <c r="A104" s="79"/>
      <c r="B104" s="76"/>
      <c r="C104" s="76"/>
      <c r="D104" s="76"/>
      <c r="E104" s="80"/>
      <c r="F104" s="80"/>
      <c r="G104" s="76"/>
      <c r="H104" s="81"/>
      <c r="I104" s="81"/>
      <c r="J104" s="81"/>
      <c r="K104" s="80"/>
      <c r="L104" s="74"/>
      <c r="M104" s="74"/>
      <c r="N104" s="74"/>
      <c r="O104" s="74"/>
      <c r="P104" s="76"/>
      <c r="Q104" s="76"/>
      <c r="R104" s="81"/>
      <c r="S104" s="81"/>
      <c r="T104" s="57"/>
      <c r="U104" s="57"/>
      <c r="V104" s="57"/>
      <c r="W104" s="81"/>
      <c r="X104" s="83"/>
      <c r="Y104" s="83"/>
      <c r="Z104" s="81"/>
      <c r="AA104" s="84"/>
      <c r="AB104" s="84"/>
      <c r="AC104" s="74"/>
      <c r="AD104" s="84"/>
      <c r="AE104" s="84"/>
      <c r="AF104" s="84"/>
      <c r="AG104" s="81"/>
    </row>
    <row r="105" spans="1:33">
      <c r="A105" s="75" t="s">
        <v>74</v>
      </c>
      <c r="B105" s="76"/>
      <c r="C105" s="76"/>
      <c r="D105" s="76"/>
      <c r="E105" s="80"/>
      <c r="F105" s="80"/>
      <c r="G105" s="76"/>
      <c r="H105" s="81"/>
      <c r="I105" s="81"/>
      <c r="J105" s="81"/>
      <c r="K105" s="80"/>
      <c r="L105" s="74"/>
      <c r="M105" s="74"/>
      <c r="N105" s="74"/>
      <c r="O105" s="74"/>
      <c r="P105" s="76"/>
      <c r="Q105" s="76"/>
      <c r="R105" s="81"/>
      <c r="S105" s="81"/>
      <c r="T105" s="57"/>
      <c r="U105" s="57"/>
      <c r="V105" s="57"/>
      <c r="W105" s="81"/>
      <c r="X105" s="83"/>
      <c r="Y105" s="83"/>
      <c r="Z105" s="81"/>
      <c r="AA105" s="84"/>
      <c r="AB105" s="84"/>
      <c r="AC105" s="74"/>
      <c r="AD105" s="84"/>
      <c r="AE105" s="84"/>
      <c r="AF105" s="84"/>
      <c r="AG105" s="81"/>
    </row>
    <row r="106" spans="1:33">
      <c r="A106" s="75"/>
      <c r="B106" s="76"/>
      <c r="C106" s="76"/>
      <c r="D106" s="76"/>
      <c r="E106" s="80"/>
      <c r="F106" s="80"/>
      <c r="G106" s="76"/>
      <c r="H106" s="81"/>
      <c r="I106" s="81"/>
      <c r="J106" s="81"/>
      <c r="K106" s="80"/>
      <c r="L106" s="74"/>
      <c r="M106" s="74"/>
      <c r="N106" s="74"/>
      <c r="O106" s="74"/>
      <c r="P106" s="76"/>
      <c r="Q106" s="76"/>
      <c r="R106" s="81"/>
      <c r="S106" s="81"/>
      <c r="T106" s="57"/>
      <c r="U106" s="57"/>
      <c r="V106" s="57"/>
      <c r="W106" s="81"/>
      <c r="X106" s="83"/>
      <c r="Y106" s="83"/>
      <c r="Z106" s="81"/>
      <c r="AA106" s="84"/>
      <c r="AB106" s="84"/>
      <c r="AC106" s="74"/>
      <c r="AD106" s="84"/>
      <c r="AE106" s="84"/>
      <c r="AF106" s="84"/>
      <c r="AG106" s="81"/>
    </row>
    <row r="107" spans="1:33">
      <c r="A107" s="75"/>
      <c r="B107" s="76"/>
      <c r="C107" s="76"/>
      <c r="D107" s="76"/>
      <c r="E107" s="80"/>
      <c r="F107" s="80"/>
      <c r="G107" s="76"/>
      <c r="H107" s="81"/>
      <c r="I107" s="81"/>
      <c r="J107" s="81"/>
      <c r="K107" s="80"/>
      <c r="L107" s="74"/>
      <c r="M107" s="74"/>
      <c r="N107" s="74"/>
      <c r="O107" s="74"/>
      <c r="P107" s="76"/>
      <c r="Q107" s="76"/>
      <c r="R107" s="81"/>
      <c r="S107" s="81"/>
      <c r="T107" s="57"/>
      <c r="U107" s="57"/>
      <c r="V107" s="57"/>
      <c r="W107" s="81"/>
      <c r="X107" s="83"/>
      <c r="Y107" s="83"/>
      <c r="Z107" s="81"/>
      <c r="AA107" s="84"/>
      <c r="AB107" s="84"/>
      <c r="AC107" s="74"/>
      <c r="AD107" s="84"/>
      <c r="AE107" s="84"/>
      <c r="AF107" s="84"/>
      <c r="AG107" s="81"/>
    </row>
    <row r="108" spans="1:33">
      <c r="A108" s="75"/>
      <c r="B108" s="76"/>
      <c r="C108" s="76"/>
      <c r="D108" s="76"/>
      <c r="E108" s="80"/>
      <c r="F108" s="80"/>
      <c r="G108" s="76"/>
      <c r="H108" s="81"/>
      <c r="I108" s="81"/>
      <c r="J108" s="81"/>
      <c r="K108" s="80"/>
      <c r="L108" s="74"/>
      <c r="M108" s="74"/>
      <c r="N108" s="74"/>
      <c r="O108" s="74"/>
      <c r="P108" s="76"/>
      <c r="Q108" s="76"/>
      <c r="R108" s="81"/>
      <c r="S108" s="81"/>
      <c r="T108" s="57"/>
      <c r="U108" s="57"/>
      <c r="V108" s="57"/>
      <c r="W108" s="81"/>
      <c r="X108" s="83"/>
      <c r="Y108" s="83"/>
      <c r="Z108" s="81"/>
      <c r="AA108" s="84"/>
      <c r="AB108" s="84"/>
      <c r="AC108" s="74"/>
      <c r="AD108" s="84"/>
      <c r="AE108" s="84"/>
      <c r="AF108" s="84"/>
      <c r="AG108" s="81"/>
    </row>
    <row r="109" spans="1:33">
      <c r="A109" s="75"/>
      <c r="B109" s="76"/>
      <c r="C109" s="76"/>
      <c r="D109" s="76"/>
      <c r="E109" s="80"/>
      <c r="F109" s="80"/>
      <c r="G109" s="76"/>
      <c r="H109" s="81"/>
      <c r="I109" s="81"/>
      <c r="J109" s="81"/>
      <c r="K109" s="80"/>
      <c r="L109" s="74"/>
      <c r="M109" s="74"/>
      <c r="N109" s="74"/>
      <c r="O109" s="74"/>
      <c r="P109" s="76"/>
      <c r="Q109" s="76"/>
      <c r="R109" s="81"/>
      <c r="S109" s="81"/>
      <c r="T109" s="57"/>
      <c r="U109" s="57"/>
      <c r="V109" s="57"/>
      <c r="W109" s="81"/>
      <c r="X109" s="83"/>
      <c r="Y109" s="83"/>
      <c r="Z109" s="81"/>
      <c r="AA109" s="84"/>
      <c r="AB109" s="84"/>
      <c r="AC109" s="74"/>
      <c r="AD109" s="84"/>
      <c r="AE109" s="84"/>
      <c r="AF109" s="84"/>
      <c r="AG109" s="81"/>
    </row>
    <row r="110" spans="1:33">
      <c r="A110" s="75"/>
      <c r="B110" s="76"/>
      <c r="C110" s="76"/>
      <c r="D110" s="76"/>
      <c r="E110" s="80"/>
      <c r="F110" s="80"/>
      <c r="G110" s="76"/>
      <c r="H110" s="81"/>
      <c r="I110" s="81"/>
      <c r="J110" s="81"/>
      <c r="K110" s="80"/>
      <c r="L110" s="74"/>
      <c r="M110" s="74"/>
      <c r="N110" s="74"/>
      <c r="O110" s="74"/>
      <c r="P110" s="76"/>
      <c r="Q110" s="76"/>
      <c r="R110" s="81"/>
      <c r="S110" s="81"/>
      <c r="T110" s="57"/>
      <c r="U110" s="57"/>
      <c r="V110" s="57"/>
      <c r="W110" s="81"/>
      <c r="X110" s="83"/>
      <c r="Y110" s="83"/>
      <c r="Z110" s="81"/>
      <c r="AA110" s="84"/>
      <c r="AB110" s="84"/>
      <c r="AC110" s="74"/>
      <c r="AD110" s="84"/>
      <c r="AE110" s="84"/>
      <c r="AF110" s="84"/>
      <c r="AG110" s="81"/>
    </row>
    <row r="111" spans="1:33">
      <c r="A111" s="75"/>
      <c r="B111" s="76"/>
      <c r="C111" s="76"/>
      <c r="D111" s="76"/>
      <c r="E111" s="80"/>
      <c r="F111" s="80"/>
      <c r="G111" s="76"/>
      <c r="H111" s="81"/>
      <c r="I111" s="81"/>
      <c r="J111" s="81"/>
      <c r="K111" s="80"/>
      <c r="L111" s="74"/>
      <c r="M111" s="74"/>
      <c r="N111" s="74"/>
      <c r="O111" s="74"/>
      <c r="P111" s="76"/>
      <c r="Q111" s="76"/>
      <c r="R111" s="81"/>
      <c r="S111" s="81"/>
      <c r="T111" s="57"/>
      <c r="U111" s="57"/>
      <c r="V111" s="57"/>
      <c r="W111" s="81"/>
      <c r="X111" s="83"/>
      <c r="Y111" s="83"/>
      <c r="Z111" s="81"/>
      <c r="AA111" s="84"/>
      <c r="AB111" s="84"/>
      <c r="AC111" s="74"/>
      <c r="AD111" s="84"/>
      <c r="AE111" s="84"/>
      <c r="AF111" s="84"/>
      <c r="AG111" s="81"/>
    </row>
    <row r="112" spans="1:33">
      <c r="A112" s="75"/>
      <c r="B112" s="76"/>
      <c r="C112" s="76"/>
      <c r="D112" s="76"/>
      <c r="E112" s="80"/>
      <c r="F112" s="80"/>
      <c r="G112" s="76"/>
      <c r="H112" s="81"/>
      <c r="I112" s="81"/>
      <c r="J112" s="81"/>
      <c r="K112" s="80"/>
      <c r="L112" s="74"/>
      <c r="M112" s="74"/>
      <c r="N112" s="74"/>
      <c r="O112" s="74"/>
      <c r="P112" s="76"/>
      <c r="Q112" s="76"/>
      <c r="R112" s="81"/>
      <c r="S112" s="81"/>
      <c r="T112" s="57"/>
      <c r="U112" s="57"/>
      <c r="V112" s="57"/>
      <c r="W112" s="81"/>
      <c r="X112" s="83"/>
      <c r="Y112" s="83"/>
      <c r="Z112" s="81"/>
      <c r="AA112" s="84"/>
      <c r="AB112" s="84"/>
      <c r="AC112" s="74"/>
      <c r="AD112" s="84"/>
      <c r="AE112" s="84"/>
      <c r="AF112" s="84"/>
      <c r="AG112" s="81"/>
    </row>
    <row r="113" spans="1:33">
      <c r="A113" s="75"/>
      <c r="B113" s="76"/>
      <c r="C113" s="76"/>
      <c r="D113" s="76"/>
      <c r="E113" s="80"/>
      <c r="F113" s="80"/>
      <c r="G113" s="76"/>
      <c r="H113" s="81"/>
      <c r="I113" s="81"/>
      <c r="J113" s="81"/>
      <c r="K113" s="80"/>
      <c r="L113" s="74"/>
      <c r="M113" s="74"/>
      <c r="N113" s="74"/>
      <c r="O113" s="74"/>
      <c r="P113" s="76"/>
      <c r="Q113" s="76"/>
      <c r="R113" s="81"/>
      <c r="S113" s="81"/>
      <c r="T113" s="57"/>
      <c r="U113" s="57"/>
      <c r="V113" s="57"/>
      <c r="W113" s="81"/>
      <c r="X113" s="83"/>
      <c r="Y113" s="83"/>
      <c r="Z113" s="81"/>
      <c r="AA113" s="84"/>
      <c r="AB113" s="84"/>
      <c r="AC113" s="74"/>
      <c r="AD113" s="84"/>
      <c r="AE113" s="84"/>
      <c r="AF113" s="84"/>
      <c r="AG113" s="81"/>
    </row>
    <row r="114" spans="1:33">
      <c r="A114" s="75"/>
      <c r="B114" s="76"/>
      <c r="C114" s="76"/>
      <c r="D114" s="76"/>
      <c r="E114" s="80"/>
      <c r="F114" s="80"/>
      <c r="G114" s="76"/>
      <c r="H114" s="81"/>
      <c r="I114" s="81"/>
      <c r="J114" s="81"/>
      <c r="K114" s="80"/>
      <c r="L114" s="74"/>
      <c r="M114" s="74"/>
      <c r="N114" s="74"/>
      <c r="O114" s="74"/>
      <c r="P114" s="76"/>
      <c r="Q114" s="76"/>
      <c r="R114" s="81"/>
      <c r="S114" s="81"/>
      <c r="T114" s="57"/>
      <c r="U114" s="57"/>
      <c r="V114" s="57"/>
      <c r="W114" s="81"/>
      <c r="X114" s="83"/>
      <c r="Y114" s="83"/>
      <c r="Z114" s="81"/>
      <c r="AA114" s="84"/>
      <c r="AB114" s="84"/>
      <c r="AC114" s="74"/>
      <c r="AD114" s="84"/>
      <c r="AE114" s="84"/>
      <c r="AF114" s="84"/>
      <c r="AG114" s="81"/>
    </row>
    <row r="115" spans="1:33">
      <c r="A115" s="75" t="s">
        <v>75</v>
      </c>
      <c r="B115" s="76"/>
      <c r="C115" s="76"/>
      <c r="D115" s="76"/>
      <c r="E115" s="80"/>
      <c r="F115" s="80"/>
      <c r="G115" s="76"/>
      <c r="H115" s="81"/>
      <c r="I115" s="81"/>
      <c r="J115" s="81"/>
      <c r="K115" s="80"/>
      <c r="L115" s="74"/>
      <c r="M115" s="74"/>
      <c r="N115" s="74"/>
      <c r="O115" s="74"/>
      <c r="P115" s="76"/>
      <c r="Q115" s="76"/>
      <c r="R115" s="81"/>
      <c r="S115" s="81"/>
      <c r="T115" s="57"/>
      <c r="U115" s="57"/>
      <c r="V115" s="57"/>
      <c r="W115" s="81"/>
      <c r="X115" s="83"/>
      <c r="Y115" s="83"/>
      <c r="Z115" s="81"/>
      <c r="AA115" s="84"/>
      <c r="AB115" s="84"/>
      <c r="AC115" s="74"/>
      <c r="AD115" s="84"/>
      <c r="AE115" s="84"/>
      <c r="AF115" s="84"/>
      <c r="AG115" s="81"/>
    </row>
    <row r="116" spans="1:33">
      <c r="A116" s="75"/>
      <c r="B116" s="76"/>
      <c r="C116" s="76"/>
      <c r="D116" s="76"/>
      <c r="E116" s="80"/>
      <c r="F116" s="80"/>
      <c r="G116" s="76"/>
      <c r="H116" s="81"/>
      <c r="I116" s="81"/>
      <c r="J116" s="81"/>
      <c r="K116" s="80"/>
      <c r="L116" s="74"/>
      <c r="M116" s="74"/>
      <c r="N116" s="74"/>
      <c r="O116" s="74"/>
      <c r="P116" s="76"/>
      <c r="Q116" s="76"/>
      <c r="R116" s="81"/>
      <c r="S116" s="81"/>
      <c r="T116" s="57"/>
      <c r="U116" s="57"/>
      <c r="V116" s="57"/>
      <c r="W116" s="81"/>
      <c r="X116" s="83"/>
      <c r="Y116" s="83"/>
      <c r="Z116" s="81"/>
      <c r="AA116" s="84"/>
      <c r="AB116" s="84"/>
      <c r="AC116" s="74"/>
      <c r="AD116" s="84"/>
      <c r="AE116" s="84"/>
      <c r="AF116" s="84"/>
      <c r="AG116" s="81"/>
    </row>
    <row r="117" spans="1:33">
      <c r="A117" s="75"/>
      <c r="B117" s="76"/>
      <c r="C117" s="76"/>
      <c r="D117" s="76"/>
      <c r="E117" s="80"/>
      <c r="F117" s="80"/>
      <c r="G117" s="76"/>
      <c r="H117" s="81"/>
      <c r="I117" s="81"/>
      <c r="J117" s="81"/>
      <c r="K117" s="80"/>
      <c r="L117" s="74"/>
      <c r="M117" s="74"/>
      <c r="N117" s="74"/>
      <c r="O117" s="74"/>
      <c r="P117" s="76"/>
      <c r="Q117" s="76"/>
      <c r="R117" s="81"/>
      <c r="S117" s="81"/>
      <c r="T117" s="57"/>
      <c r="U117" s="57"/>
      <c r="V117" s="57"/>
      <c r="W117" s="81"/>
      <c r="X117" s="83"/>
      <c r="Y117" s="83"/>
      <c r="Z117" s="81"/>
      <c r="AA117" s="84"/>
      <c r="AB117" s="84"/>
      <c r="AC117" s="74"/>
      <c r="AD117" s="84"/>
      <c r="AE117" s="84"/>
      <c r="AF117" s="84"/>
      <c r="AG117" s="81"/>
    </row>
    <row r="118" spans="1:33">
      <c r="A118" s="75"/>
      <c r="B118" s="76"/>
      <c r="C118" s="76"/>
      <c r="D118" s="76"/>
      <c r="E118" s="80"/>
      <c r="F118" s="80"/>
      <c r="G118" s="76"/>
      <c r="H118" s="81"/>
      <c r="I118" s="81"/>
      <c r="J118" s="81"/>
      <c r="K118" s="80"/>
      <c r="L118" s="74"/>
      <c r="M118" s="74"/>
      <c r="N118" s="74"/>
      <c r="O118" s="74"/>
      <c r="P118" s="76"/>
      <c r="Q118" s="76"/>
      <c r="R118" s="81"/>
      <c r="S118" s="81"/>
      <c r="T118" s="57"/>
      <c r="U118" s="57"/>
      <c r="V118" s="57"/>
      <c r="W118" s="81"/>
      <c r="X118" s="83"/>
      <c r="Y118" s="83"/>
      <c r="Z118" s="81"/>
      <c r="AA118" s="84"/>
      <c r="AB118" s="84"/>
      <c r="AC118" s="74"/>
      <c r="AD118" s="84"/>
      <c r="AE118" s="84"/>
      <c r="AF118" s="84"/>
      <c r="AG118" s="81"/>
    </row>
    <row r="119" spans="1:33">
      <c r="A119" s="75"/>
      <c r="B119" s="76"/>
      <c r="C119" s="76"/>
      <c r="D119" s="76"/>
      <c r="E119" s="80"/>
      <c r="F119" s="80"/>
      <c r="G119" s="76"/>
      <c r="H119" s="81"/>
      <c r="I119" s="81"/>
      <c r="J119" s="81"/>
      <c r="K119" s="80"/>
      <c r="L119" s="74"/>
      <c r="M119" s="74"/>
      <c r="N119" s="74"/>
      <c r="O119" s="74"/>
      <c r="P119" s="76"/>
      <c r="Q119" s="76"/>
      <c r="R119" s="81"/>
      <c r="S119" s="81"/>
      <c r="T119" s="57"/>
      <c r="U119" s="57"/>
      <c r="V119" s="57"/>
      <c r="W119" s="81"/>
      <c r="X119" s="83"/>
      <c r="Y119" s="83"/>
      <c r="Z119" s="81"/>
      <c r="AA119" s="84"/>
      <c r="AB119" s="84"/>
      <c r="AC119" s="74"/>
      <c r="AD119" s="84"/>
      <c r="AE119" s="84"/>
      <c r="AF119" s="84"/>
      <c r="AG119" s="81"/>
    </row>
    <row r="120" spans="1:33">
      <c r="A120" s="75"/>
      <c r="B120" s="76"/>
      <c r="C120" s="76"/>
      <c r="D120" s="76"/>
      <c r="E120" s="80"/>
      <c r="F120" s="80"/>
      <c r="G120" s="76"/>
      <c r="H120" s="81"/>
      <c r="I120" s="81"/>
      <c r="J120" s="81"/>
      <c r="K120" s="80"/>
      <c r="L120" s="74"/>
      <c r="M120" s="74"/>
      <c r="N120" s="74"/>
      <c r="O120" s="74"/>
      <c r="P120" s="76"/>
      <c r="Q120" s="76"/>
      <c r="R120" s="81"/>
      <c r="S120" s="81"/>
      <c r="T120" s="57"/>
      <c r="U120" s="57"/>
      <c r="V120" s="57"/>
      <c r="W120" s="81"/>
      <c r="X120" s="83"/>
      <c r="Y120" s="83"/>
      <c r="Z120" s="81"/>
      <c r="AA120" s="84"/>
      <c r="AB120" s="84"/>
      <c r="AC120" s="74"/>
      <c r="AD120" s="84"/>
      <c r="AE120" s="84"/>
      <c r="AF120" s="84"/>
      <c r="AG120" s="81"/>
    </row>
    <row r="121" spans="1:33">
      <c r="A121" s="75"/>
      <c r="B121" s="76"/>
      <c r="C121" s="76"/>
      <c r="D121" s="76"/>
      <c r="E121" s="80"/>
      <c r="F121" s="80"/>
      <c r="G121" s="76"/>
      <c r="H121" s="81"/>
      <c r="I121" s="81"/>
      <c r="J121" s="81"/>
      <c r="K121" s="80"/>
      <c r="L121" s="74"/>
      <c r="M121" s="74"/>
      <c r="N121" s="74"/>
      <c r="O121" s="74"/>
      <c r="P121" s="76"/>
      <c r="Q121" s="76"/>
      <c r="R121" s="81"/>
      <c r="S121" s="81"/>
      <c r="T121" s="57"/>
      <c r="U121" s="57"/>
      <c r="V121" s="57"/>
      <c r="W121" s="81"/>
      <c r="X121" s="83"/>
      <c r="Y121" s="83"/>
      <c r="Z121" s="81"/>
      <c r="AA121" s="84"/>
      <c r="AB121" s="84"/>
      <c r="AC121" s="74"/>
      <c r="AD121" s="84"/>
      <c r="AE121" s="84"/>
      <c r="AF121" s="84"/>
      <c r="AG121" s="81"/>
    </row>
    <row r="122" spans="1:33">
      <c r="A122" s="75"/>
      <c r="B122" s="76"/>
      <c r="C122" s="76"/>
      <c r="D122" s="76"/>
      <c r="E122" s="80"/>
      <c r="F122" s="80"/>
      <c r="G122" s="76"/>
      <c r="H122" s="81"/>
      <c r="I122" s="81"/>
      <c r="J122" s="81"/>
      <c r="K122" s="80"/>
      <c r="L122" s="74"/>
      <c r="M122" s="74"/>
      <c r="N122" s="74"/>
      <c r="O122" s="74"/>
      <c r="P122" s="76"/>
      <c r="Q122" s="76"/>
      <c r="R122" s="81"/>
      <c r="S122" s="81"/>
      <c r="T122" s="57"/>
      <c r="U122" s="57"/>
      <c r="V122" s="57"/>
      <c r="W122" s="81"/>
      <c r="X122" s="83"/>
      <c r="Y122" s="83"/>
      <c r="Z122" s="81"/>
      <c r="AA122" s="84"/>
      <c r="AB122" s="84"/>
      <c r="AC122" s="74"/>
      <c r="AD122" s="84"/>
      <c r="AE122" s="84"/>
      <c r="AF122" s="84"/>
      <c r="AG122" s="81"/>
    </row>
    <row r="123" spans="1:33">
      <c r="A123" s="75" t="s">
        <v>76</v>
      </c>
      <c r="B123" s="76"/>
      <c r="C123" s="76"/>
      <c r="D123" s="76"/>
      <c r="E123" s="80"/>
      <c r="F123" s="80"/>
      <c r="G123" s="76"/>
      <c r="H123" s="81"/>
      <c r="I123" s="81"/>
      <c r="J123" s="81"/>
      <c r="K123" s="80"/>
      <c r="L123" s="74"/>
      <c r="M123" s="74"/>
      <c r="N123" s="74"/>
      <c r="O123" s="74"/>
      <c r="P123" s="76"/>
      <c r="Q123" s="76"/>
      <c r="R123" s="81"/>
      <c r="S123" s="81"/>
      <c r="T123" s="57"/>
      <c r="U123" s="57"/>
      <c r="V123" s="57"/>
      <c r="W123" s="81"/>
      <c r="X123" s="83"/>
      <c r="Y123" s="83"/>
      <c r="Z123" s="81"/>
      <c r="AA123" s="84"/>
      <c r="AB123" s="84"/>
      <c r="AC123" s="74"/>
      <c r="AD123" s="84"/>
      <c r="AE123" s="84"/>
      <c r="AF123" s="84"/>
      <c r="AG123" s="81"/>
    </row>
    <row r="124" spans="1:33">
      <c r="A124" s="75"/>
      <c r="B124" s="76"/>
      <c r="C124" s="76"/>
      <c r="D124" s="76"/>
      <c r="E124" s="80"/>
      <c r="F124" s="80"/>
      <c r="G124" s="76"/>
      <c r="H124" s="81"/>
      <c r="I124" s="81"/>
      <c r="J124" s="81"/>
      <c r="K124" s="80"/>
      <c r="L124" s="74"/>
      <c r="M124" s="74"/>
      <c r="N124" s="74"/>
      <c r="O124" s="74"/>
      <c r="P124" s="76"/>
      <c r="Q124" s="76"/>
      <c r="R124" s="81"/>
      <c r="S124" s="81"/>
      <c r="T124" s="57"/>
      <c r="U124" s="57"/>
      <c r="V124" s="57"/>
      <c r="W124" s="81"/>
      <c r="X124" s="83"/>
      <c r="Y124" s="83"/>
      <c r="Z124" s="81"/>
      <c r="AA124" s="84"/>
      <c r="AB124" s="84"/>
      <c r="AC124" s="74"/>
      <c r="AD124" s="84"/>
      <c r="AE124" s="84"/>
      <c r="AF124" s="84"/>
      <c r="AG124" s="81"/>
    </row>
    <row r="125" spans="1:33">
      <c r="A125" s="75"/>
      <c r="B125" s="76"/>
      <c r="C125" s="76"/>
      <c r="D125" s="76"/>
      <c r="E125" s="80"/>
      <c r="F125" s="80"/>
      <c r="G125" s="76"/>
      <c r="H125" s="81"/>
      <c r="I125" s="81"/>
      <c r="J125" s="81"/>
      <c r="K125" s="80"/>
      <c r="L125" s="74"/>
      <c r="M125" s="74"/>
      <c r="N125" s="74"/>
      <c r="O125" s="74"/>
      <c r="P125" s="76"/>
      <c r="Q125" s="76"/>
      <c r="R125" s="81"/>
      <c r="S125" s="81"/>
      <c r="T125" s="57"/>
      <c r="U125" s="57"/>
      <c r="V125" s="57"/>
      <c r="W125" s="81"/>
      <c r="X125" s="83"/>
      <c r="Y125" s="83"/>
      <c r="Z125" s="81"/>
      <c r="AA125" s="84"/>
      <c r="AB125" s="84"/>
      <c r="AC125" s="74"/>
      <c r="AD125" s="84"/>
      <c r="AE125" s="84"/>
      <c r="AF125" s="84"/>
      <c r="AG125" s="81"/>
    </row>
    <row r="126" spans="1:33">
      <c r="A126" s="75"/>
      <c r="B126" s="76"/>
      <c r="C126" s="76"/>
      <c r="D126" s="76"/>
      <c r="E126" s="80"/>
      <c r="F126" s="80"/>
      <c r="G126" s="76"/>
      <c r="H126" s="81"/>
      <c r="I126" s="81"/>
      <c r="J126" s="81"/>
      <c r="K126" s="80"/>
      <c r="L126" s="74"/>
      <c r="M126" s="74"/>
      <c r="N126" s="74"/>
      <c r="O126" s="74"/>
      <c r="P126" s="76"/>
      <c r="Q126" s="76"/>
      <c r="R126" s="81"/>
      <c r="S126" s="81"/>
      <c r="T126" s="57"/>
      <c r="U126" s="57"/>
      <c r="V126" s="57"/>
      <c r="W126" s="81"/>
      <c r="X126" s="83"/>
      <c r="Y126" s="83"/>
      <c r="Z126" s="81"/>
      <c r="AA126" s="84"/>
      <c r="AB126" s="84"/>
      <c r="AC126" s="74"/>
      <c r="AD126" s="84"/>
      <c r="AE126" s="84"/>
      <c r="AF126" s="84"/>
      <c r="AG126" s="81"/>
    </row>
    <row r="127" spans="1:33">
      <c r="A127" s="75"/>
      <c r="B127" s="76"/>
      <c r="C127" s="76"/>
      <c r="D127" s="76"/>
      <c r="E127" s="80"/>
      <c r="F127" s="80"/>
      <c r="G127" s="76"/>
      <c r="H127" s="81"/>
      <c r="I127" s="81"/>
      <c r="J127" s="81"/>
      <c r="K127" s="80"/>
      <c r="L127" s="74"/>
      <c r="M127" s="74"/>
      <c r="N127" s="74"/>
      <c r="O127" s="74"/>
      <c r="P127" s="76"/>
      <c r="Q127" s="76"/>
      <c r="R127" s="81"/>
      <c r="S127" s="81"/>
      <c r="T127" s="57"/>
      <c r="U127" s="57"/>
      <c r="V127" s="57"/>
      <c r="W127" s="81"/>
      <c r="X127" s="83"/>
      <c r="Y127" s="83"/>
      <c r="Z127" s="81"/>
      <c r="AA127" s="84"/>
      <c r="AB127" s="84"/>
      <c r="AC127" s="74"/>
      <c r="AD127" s="84"/>
      <c r="AE127" s="84"/>
      <c r="AF127" s="84"/>
      <c r="AG127" s="81"/>
    </row>
    <row r="128" spans="1:33">
      <c r="A128" s="75"/>
      <c r="B128" s="76"/>
      <c r="C128" s="76"/>
      <c r="D128" s="76"/>
      <c r="E128" s="80"/>
      <c r="F128" s="80"/>
      <c r="G128" s="76"/>
      <c r="H128" s="81"/>
      <c r="I128" s="81"/>
      <c r="J128" s="81"/>
      <c r="K128" s="80"/>
      <c r="L128" s="74"/>
      <c r="M128" s="74"/>
      <c r="N128" s="74"/>
      <c r="O128" s="74"/>
      <c r="P128" s="76"/>
      <c r="Q128" s="76"/>
      <c r="R128" s="81"/>
      <c r="S128" s="81"/>
      <c r="T128" s="57"/>
      <c r="U128" s="57"/>
      <c r="V128" s="57"/>
      <c r="W128" s="81"/>
      <c r="X128" s="83"/>
      <c r="Y128" s="83"/>
      <c r="Z128" s="81"/>
      <c r="AA128" s="84"/>
      <c r="AB128" s="84"/>
      <c r="AC128" s="74"/>
      <c r="AD128" s="84"/>
      <c r="AE128" s="84"/>
      <c r="AF128" s="84"/>
      <c r="AG128" s="81"/>
    </row>
    <row r="129" spans="1:33">
      <c r="A129" s="75"/>
      <c r="B129" s="76"/>
      <c r="C129" s="76"/>
      <c r="D129" s="76"/>
      <c r="E129" s="80"/>
      <c r="F129" s="80"/>
      <c r="G129" s="76"/>
      <c r="H129" s="81"/>
      <c r="I129" s="81"/>
      <c r="J129" s="81"/>
      <c r="K129" s="80"/>
      <c r="L129" s="74"/>
      <c r="M129" s="74"/>
      <c r="N129" s="74"/>
      <c r="O129" s="74"/>
      <c r="P129" s="76"/>
      <c r="Q129" s="76"/>
      <c r="R129" s="81"/>
      <c r="S129" s="81"/>
      <c r="T129" s="57"/>
      <c r="U129" s="57"/>
      <c r="V129" s="57"/>
      <c r="W129" s="81"/>
      <c r="X129" s="83"/>
      <c r="Y129" s="83"/>
      <c r="Z129" s="81"/>
      <c r="AA129" s="84"/>
      <c r="AB129" s="84"/>
      <c r="AC129" s="74"/>
      <c r="AD129" s="84"/>
      <c r="AE129" s="84"/>
      <c r="AF129" s="84"/>
      <c r="AG129" s="81"/>
    </row>
    <row r="130" spans="1:33">
      <c r="A130" s="75"/>
      <c r="B130" s="76"/>
      <c r="C130" s="76"/>
      <c r="D130" s="76"/>
      <c r="E130" s="80"/>
      <c r="F130" s="80"/>
      <c r="G130" s="76"/>
      <c r="H130" s="81"/>
      <c r="I130" s="81"/>
      <c r="J130" s="81"/>
      <c r="K130" s="80"/>
      <c r="L130" s="74"/>
      <c r="M130" s="74"/>
      <c r="N130" s="74"/>
      <c r="O130" s="74"/>
      <c r="P130" s="76"/>
      <c r="Q130" s="76"/>
      <c r="R130" s="81"/>
      <c r="S130" s="81"/>
      <c r="T130" s="57"/>
      <c r="U130" s="57"/>
      <c r="V130" s="57"/>
      <c r="W130" s="81"/>
      <c r="X130" s="83"/>
      <c r="Y130" s="83"/>
      <c r="Z130" s="81"/>
      <c r="AA130" s="84"/>
      <c r="AB130" s="84"/>
      <c r="AC130" s="74"/>
      <c r="AD130" s="84"/>
      <c r="AE130" s="84"/>
      <c r="AF130" s="84"/>
      <c r="AG130" s="81"/>
    </row>
    <row r="131" spans="1:33">
      <c r="A131" s="75" t="s">
        <v>77</v>
      </c>
      <c r="B131" s="76"/>
      <c r="C131" s="76"/>
      <c r="D131" s="76"/>
      <c r="E131" s="80"/>
      <c r="F131" s="80"/>
      <c r="G131" s="76"/>
      <c r="H131" s="81"/>
      <c r="I131" s="81"/>
      <c r="J131" s="81"/>
      <c r="K131" s="80"/>
      <c r="L131" s="74"/>
      <c r="M131" s="74"/>
      <c r="N131" s="74"/>
      <c r="O131" s="74"/>
      <c r="P131" s="76"/>
      <c r="Q131" s="76"/>
      <c r="R131" s="81"/>
      <c r="S131" s="81"/>
      <c r="T131" s="57"/>
      <c r="U131" s="57"/>
      <c r="V131" s="57"/>
      <c r="W131" s="81"/>
      <c r="X131" s="83"/>
      <c r="Y131" s="83"/>
      <c r="Z131" s="81"/>
      <c r="AA131" s="84"/>
      <c r="AB131" s="84"/>
      <c r="AC131" s="74"/>
      <c r="AD131" s="84"/>
      <c r="AE131" s="84"/>
      <c r="AF131" s="84"/>
      <c r="AG131" s="81"/>
    </row>
    <row r="132" spans="1:33">
      <c r="A132" s="75"/>
      <c r="B132" s="76"/>
      <c r="C132" s="76"/>
      <c r="D132" s="76"/>
      <c r="E132" s="80"/>
      <c r="F132" s="80"/>
      <c r="G132" s="76"/>
      <c r="H132" s="81"/>
      <c r="I132" s="81"/>
      <c r="J132" s="81"/>
      <c r="K132" s="80"/>
      <c r="L132" s="74"/>
      <c r="M132" s="74"/>
      <c r="N132" s="74"/>
      <c r="O132" s="74"/>
      <c r="P132" s="76"/>
      <c r="Q132" s="76"/>
      <c r="R132" s="81"/>
      <c r="S132" s="81"/>
      <c r="T132" s="57"/>
      <c r="U132" s="57"/>
      <c r="V132" s="57"/>
      <c r="W132" s="81"/>
      <c r="X132" s="83"/>
      <c r="Y132" s="83"/>
      <c r="Z132" s="81"/>
      <c r="AA132" s="84"/>
      <c r="AB132" s="84"/>
      <c r="AC132" s="74"/>
      <c r="AD132" s="84"/>
      <c r="AE132" s="84"/>
      <c r="AF132" s="84"/>
      <c r="AG132" s="81"/>
    </row>
    <row r="133" spans="1:33">
      <c r="A133" s="75"/>
      <c r="B133" s="76"/>
      <c r="C133" s="76"/>
      <c r="D133" s="76"/>
      <c r="E133" s="80"/>
      <c r="F133" s="80"/>
      <c r="G133" s="76"/>
      <c r="H133" s="81"/>
      <c r="I133" s="81"/>
      <c r="J133" s="81"/>
      <c r="K133" s="80"/>
      <c r="L133" s="74"/>
      <c r="M133" s="74"/>
      <c r="N133" s="74"/>
      <c r="O133" s="74"/>
      <c r="P133" s="76"/>
      <c r="Q133" s="76"/>
      <c r="R133" s="81"/>
      <c r="S133" s="81"/>
      <c r="T133" s="57"/>
      <c r="U133" s="57"/>
      <c r="V133" s="57"/>
      <c r="W133" s="81"/>
      <c r="X133" s="83"/>
      <c r="Y133" s="83"/>
      <c r="Z133" s="81"/>
      <c r="AA133" s="84"/>
      <c r="AB133" s="84"/>
      <c r="AC133" s="74"/>
      <c r="AD133" s="84"/>
      <c r="AE133" s="84"/>
      <c r="AF133" s="84"/>
      <c r="AG133" s="81"/>
    </row>
    <row r="134" spans="1:33">
      <c r="A134" s="75"/>
      <c r="B134" s="76"/>
      <c r="C134" s="76"/>
      <c r="D134" s="76"/>
      <c r="E134" s="80"/>
      <c r="F134" s="80"/>
      <c r="G134" s="76"/>
      <c r="H134" s="81"/>
      <c r="I134" s="81"/>
      <c r="J134" s="81"/>
      <c r="K134" s="80"/>
      <c r="L134" s="74"/>
      <c r="M134" s="74"/>
      <c r="N134" s="74"/>
      <c r="O134" s="74"/>
      <c r="P134" s="76"/>
      <c r="Q134" s="76"/>
      <c r="R134" s="81"/>
      <c r="S134" s="81"/>
      <c r="T134" s="57"/>
      <c r="U134" s="57"/>
      <c r="V134" s="57"/>
      <c r="W134" s="81"/>
      <c r="X134" s="83"/>
      <c r="Y134" s="83"/>
      <c r="Z134" s="81"/>
      <c r="AA134" s="84"/>
      <c r="AB134" s="84"/>
      <c r="AC134" s="74"/>
      <c r="AD134" s="84"/>
      <c r="AE134" s="84"/>
      <c r="AF134" s="84"/>
      <c r="AG134" s="81"/>
    </row>
    <row r="135" spans="1:33">
      <c r="A135" s="75"/>
      <c r="B135" s="76"/>
      <c r="C135" s="76"/>
      <c r="D135" s="76"/>
      <c r="E135" s="80"/>
      <c r="F135" s="80"/>
      <c r="G135" s="76"/>
      <c r="H135" s="81"/>
      <c r="I135" s="81"/>
      <c r="J135" s="81"/>
      <c r="K135" s="80"/>
      <c r="L135" s="74"/>
      <c r="M135" s="74"/>
      <c r="N135" s="74"/>
      <c r="O135" s="74"/>
      <c r="P135" s="76"/>
      <c r="Q135" s="76"/>
      <c r="R135" s="81"/>
      <c r="S135" s="81"/>
      <c r="T135" s="57"/>
      <c r="U135" s="57"/>
      <c r="V135" s="57"/>
      <c r="W135" s="81"/>
      <c r="X135" s="83"/>
      <c r="Y135" s="83"/>
      <c r="Z135" s="81"/>
      <c r="AA135" s="84"/>
      <c r="AB135" s="84"/>
      <c r="AC135" s="74"/>
      <c r="AD135" s="84"/>
      <c r="AE135" s="84"/>
      <c r="AF135" s="84"/>
      <c r="AG135" s="81"/>
    </row>
    <row r="136" spans="1:33">
      <c r="A136" s="75"/>
      <c r="B136" s="76"/>
      <c r="C136" s="76"/>
      <c r="D136" s="76"/>
      <c r="E136" s="80"/>
      <c r="F136" s="80"/>
      <c r="G136" s="76"/>
      <c r="H136" s="81"/>
      <c r="I136" s="81"/>
      <c r="J136" s="81"/>
      <c r="K136" s="80"/>
      <c r="L136" s="74"/>
      <c r="M136" s="74"/>
      <c r="N136" s="74"/>
      <c r="O136" s="74"/>
      <c r="P136" s="76"/>
      <c r="Q136" s="76"/>
      <c r="R136" s="81"/>
      <c r="S136" s="81"/>
      <c r="T136" s="57"/>
      <c r="U136" s="57"/>
      <c r="V136" s="57"/>
      <c r="W136" s="81"/>
      <c r="X136" s="83"/>
      <c r="Y136" s="83"/>
      <c r="Z136" s="81"/>
      <c r="AA136" s="84"/>
      <c r="AB136" s="84"/>
      <c r="AC136" s="74"/>
      <c r="AD136" s="84"/>
      <c r="AE136" s="84"/>
      <c r="AF136" s="84"/>
      <c r="AG136" s="81"/>
    </row>
    <row r="137" spans="1:33">
      <c r="A137" s="75"/>
      <c r="B137" s="76"/>
      <c r="C137" s="76"/>
      <c r="D137" s="76"/>
      <c r="E137" s="80"/>
      <c r="F137" s="80"/>
      <c r="G137" s="76"/>
      <c r="H137" s="81"/>
      <c r="I137" s="81"/>
      <c r="J137" s="81"/>
      <c r="K137" s="80"/>
      <c r="L137" s="74"/>
      <c r="M137" s="74"/>
      <c r="N137" s="74"/>
      <c r="O137" s="74"/>
      <c r="P137" s="76"/>
      <c r="Q137" s="76"/>
      <c r="R137" s="81"/>
      <c r="S137" s="81"/>
      <c r="T137" s="57"/>
      <c r="U137" s="57"/>
      <c r="V137" s="57"/>
      <c r="W137" s="81"/>
      <c r="X137" s="83"/>
      <c r="Y137" s="83"/>
      <c r="Z137" s="81"/>
      <c r="AA137" s="84"/>
      <c r="AB137" s="84"/>
      <c r="AC137" s="74"/>
      <c r="AD137" s="84"/>
      <c r="AE137" s="84"/>
      <c r="AF137" s="84"/>
      <c r="AG137" s="81"/>
    </row>
    <row r="138" spans="1:33">
      <c r="A138" s="75"/>
      <c r="B138" s="76"/>
      <c r="C138" s="76"/>
      <c r="D138" s="76"/>
      <c r="E138" s="80"/>
      <c r="F138" s="80"/>
      <c r="G138" s="76"/>
      <c r="H138" s="81"/>
      <c r="I138" s="81"/>
      <c r="J138" s="81"/>
      <c r="K138" s="80"/>
      <c r="L138" s="74"/>
      <c r="M138" s="74"/>
      <c r="N138" s="74"/>
      <c r="O138" s="74"/>
      <c r="P138" s="76"/>
      <c r="Q138" s="76"/>
      <c r="R138" s="81"/>
      <c r="S138" s="81"/>
      <c r="T138" s="57"/>
      <c r="U138" s="57"/>
      <c r="V138" s="57"/>
      <c r="W138" s="81"/>
      <c r="X138" s="83"/>
      <c r="Y138" s="83"/>
      <c r="Z138" s="81"/>
      <c r="AA138" s="84"/>
      <c r="AB138" s="84"/>
      <c r="AC138" s="74"/>
      <c r="AD138" s="84"/>
      <c r="AE138" s="84"/>
      <c r="AF138" s="84"/>
      <c r="AG138" s="81"/>
    </row>
    <row r="139" spans="1:33">
      <c r="A139" s="75"/>
      <c r="B139" s="76"/>
      <c r="C139" s="76"/>
      <c r="D139" s="76"/>
      <c r="E139" s="80"/>
      <c r="F139" s="80"/>
      <c r="G139" s="76"/>
      <c r="H139" s="81"/>
      <c r="I139" s="81"/>
      <c r="J139" s="81"/>
      <c r="K139" s="80"/>
      <c r="L139" s="74"/>
      <c r="M139" s="74"/>
      <c r="N139" s="74"/>
      <c r="O139" s="74"/>
      <c r="P139" s="76"/>
      <c r="Q139" s="76"/>
      <c r="R139" s="81"/>
      <c r="S139" s="81"/>
      <c r="T139" s="57"/>
      <c r="U139" s="57"/>
      <c r="V139" s="57"/>
      <c r="W139" s="81"/>
      <c r="X139" s="83"/>
      <c r="Y139" s="83"/>
      <c r="Z139" s="81"/>
      <c r="AA139" s="84"/>
      <c r="AB139" s="84"/>
      <c r="AC139" s="74"/>
      <c r="AD139" s="84"/>
      <c r="AE139" s="84"/>
      <c r="AF139" s="84"/>
      <c r="AG139" s="81"/>
    </row>
    <row r="140" spans="1:33">
      <c r="A140" s="75"/>
      <c r="B140" s="76"/>
      <c r="C140" s="76"/>
      <c r="D140" s="76"/>
      <c r="E140" s="80"/>
      <c r="F140" s="80"/>
      <c r="G140" s="76"/>
      <c r="H140" s="81"/>
      <c r="I140" s="81"/>
      <c r="J140" s="81"/>
      <c r="K140" s="80"/>
      <c r="L140" s="74"/>
      <c r="M140" s="74"/>
      <c r="N140" s="74"/>
      <c r="O140" s="74"/>
      <c r="P140" s="76"/>
      <c r="Q140" s="76"/>
      <c r="R140" s="81"/>
      <c r="S140" s="81"/>
      <c r="T140" s="57"/>
      <c r="U140" s="57"/>
      <c r="V140" s="57"/>
      <c r="W140" s="81"/>
      <c r="X140" s="83"/>
      <c r="Y140" s="83"/>
      <c r="Z140" s="81"/>
      <c r="AA140" s="84"/>
      <c r="AB140" s="84"/>
      <c r="AC140" s="74"/>
      <c r="AD140" s="84"/>
      <c r="AE140" s="84"/>
      <c r="AF140" s="84"/>
      <c r="AG140" s="81"/>
    </row>
    <row r="141" spans="1:33">
      <c r="A141" s="75" t="s">
        <v>78</v>
      </c>
      <c r="B141" s="76"/>
      <c r="C141" s="76"/>
      <c r="D141" s="76"/>
      <c r="E141" s="80"/>
      <c r="F141" s="80"/>
      <c r="G141" s="76"/>
      <c r="H141" s="81"/>
      <c r="I141" s="81"/>
      <c r="J141" s="81"/>
      <c r="K141" s="80"/>
      <c r="L141" s="74"/>
      <c r="M141" s="74"/>
      <c r="N141" s="74"/>
      <c r="O141" s="74"/>
      <c r="P141" s="76"/>
      <c r="Q141" s="76"/>
      <c r="R141" s="81"/>
      <c r="S141" s="81"/>
      <c r="T141" s="57"/>
      <c r="U141" s="57"/>
      <c r="V141" s="57"/>
      <c r="W141" s="81"/>
      <c r="X141" s="83"/>
      <c r="Y141" s="83"/>
      <c r="Z141" s="81"/>
      <c r="AA141" s="84"/>
      <c r="AB141" s="84"/>
      <c r="AC141" s="74"/>
      <c r="AD141" s="84"/>
      <c r="AE141" s="84"/>
      <c r="AF141" s="84"/>
      <c r="AG141" s="81"/>
    </row>
    <row r="142" spans="1:33">
      <c r="A142" s="75"/>
      <c r="B142" s="76"/>
      <c r="C142" s="76"/>
      <c r="D142" s="76"/>
      <c r="E142" s="80"/>
      <c r="F142" s="80"/>
      <c r="G142" s="76"/>
      <c r="H142" s="81"/>
      <c r="I142" s="81"/>
      <c r="J142" s="81"/>
      <c r="K142" s="80"/>
      <c r="L142" s="74"/>
      <c r="M142" s="74"/>
      <c r="N142" s="74"/>
      <c r="O142" s="74"/>
      <c r="P142" s="76"/>
      <c r="Q142" s="76"/>
      <c r="R142" s="81"/>
      <c r="S142" s="81"/>
      <c r="T142" s="57"/>
      <c r="U142" s="57"/>
      <c r="V142" s="57"/>
      <c r="W142" s="81"/>
      <c r="X142" s="83"/>
      <c r="Y142" s="83"/>
      <c r="Z142" s="81"/>
      <c r="AA142" s="84"/>
      <c r="AB142" s="84"/>
      <c r="AC142" s="74"/>
      <c r="AD142" s="84"/>
      <c r="AE142" s="84"/>
      <c r="AF142" s="84"/>
      <c r="AG142" s="81"/>
    </row>
    <row r="143" spans="1:33">
      <c r="A143" s="75"/>
      <c r="B143" s="76"/>
      <c r="C143" s="76"/>
      <c r="D143" s="76"/>
      <c r="E143" s="80"/>
      <c r="F143" s="80"/>
      <c r="G143" s="76"/>
      <c r="H143" s="81"/>
      <c r="I143" s="81"/>
      <c r="J143" s="81"/>
      <c r="K143" s="80"/>
      <c r="L143" s="74"/>
      <c r="M143" s="74"/>
      <c r="N143" s="74"/>
      <c r="O143" s="74"/>
      <c r="P143" s="76"/>
      <c r="Q143" s="76"/>
      <c r="R143" s="81"/>
      <c r="S143" s="81"/>
      <c r="T143" s="57"/>
      <c r="U143" s="57"/>
      <c r="V143" s="57"/>
      <c r="W143" s="81"/>
      <c r="X143" s="83"/>
      <c r="Y143" s="83"/>
      <c r="Z143" s="81"/>
      <c r="AA143" s="84"/>
      <c r="AB143" s="84"/>
      <c r="AC143" s="74"/>
      <c r="AD143" s="84"/>
      <c r="AE143" s="84"/>
      <c r="AF143" s="84"/>
      <c r="AG143" s="81"/>
    </row>
    <row r="144" spans="1:33">
      <c r="A144" s="75"/>
      <c r="B144" s="76"/>
      <c r="C144" s="76"/>
      <c r="D144" s="76"/>
      <c r="E144" s="80"/>
      <c r="F144" s="80"/>
      <c r="G144" s="76"/>
      <c r="H144" s="81"/>
      <c r="I144" s="81"/>
      <c r="J144" s="81"/>
      <c r="K144" s="80"/>
      <c r="L144" s="74"/>
      <c r="M144" s="74"/>
      <c r="N144" s="74"/>
      <c r="O144" s="74"/>
      <c r="P144" s="76"/>
      <c r="Q144" s="76"/>
      <c r="R144" s="81"/>
      <c r="S144" s="81"/>
      <c r="T144" s="57"/>
      <c r="U144" s="57"/>
      <c r="V144" s="57"/>
      <c r="W144" s="81"/>
      <c r="X144" s="83"/>
      <c r="Y144" s="83"/>
      <c r="Z144" s="81"/>
      <c r="AA144" s="84"/>
      <c r="AB144" s="84"/>
      <c r="AC144" s="74"/>
      <c r="AD144" s="84"/>
      <c r="AE144" s="84"/>
      <c r="AF144" s="84"/>
      <c r="AG144" s="81"/>
    </row>
    <row r="145" spans="1:33">
      <c r="A145" s="75"/>
      <c r="B145" s="76"/>
      <c r="C145" s="76"/>
      <c r="D145" s="76"/>
      <c r="E145" s="80"/>
      <c r="F145" s="80"/>
      <c r="G145" s="76"/>
      <c r="H145" s="81"/>
      <c r="I145" s="81"/>
      <c r="J145" s="81"/>
      <c r="K145" s="80"/>
      <c r="L145" s="74"/>
      <c r="M145" s="74"/>
      <c r="N145" s="74"/>
      <c r="O145" s="74"/>
      <c r="P145" s="76"/>
      <c r="Q145" s="76"/>
      <c r="R145" s="81"/>
      <c r="S145" s="81"/>
      <c r="T145" s="57"/>
      <c r="U145" s="57"/>
      <c r="V145" s="57"/>
      <c r="W145" s="81"/>
      <c r="X145" s="83"/>
      <c r="Y145" s="83"/>
      <c r="Z145" s="81"/>
      <c r="AA145" s="84"/>
      <c r="AB145" s="84"/>
      <c r="AC145" s="74"/>
      <c r="AD145" s="84"/>
      <c r="AE145" s="84"/>
      <c r="AF145" s="84"/>
      <c r="AG145" s="81"/>
    </row>
    <row r="146" spans="1:33">
      <c r="A146" s="75"/>
      <c r="B146" s="76"/>
      <c r="C146" s="76"/>
      <c r="D146" s="76"/>
      <c r="E146" s="80"/>
      <c r="F146" s="80"/>
      <c r="G146" s="76"/>
      <c r="H146" s="81"/>
      <c r="I146" s="81"/>
      <c r="J146" s="81"/>
      <c r="K146" s="80"/>
      <c r="L146" s="74"/>
      <c r="M146" s="74"/>
      <c r="N146" s="74"/>
      <c r="O146" s="74"/>
      <c r="P146" s="76"/>
      <c r="Q146" s="76"/>
      <c r="R146" s="81"/>
      <c r="S146" s="81"/>
      <c r="T146" s="57"/>
      <c r="U146" s="57"/>
      <c r="V146" s="57"/>
      <c r="W146" s="81"/>
      <c r="X146" s="83"/>
      <c r="Y146" s="83"/>
      <c r="Z146" s="81"/>
      <c r="AA146" s="84"/>
      <c r="AB146" s="84"/>
      <c r="AC146" s="74"/>
      <c r="AD146" s="84"/>
      <c r="AE146" s="84"/>
      <c r="AF146" s="84"/>
      <c r="AG146" s="81"/>
    </row>
    <row r="147" spans="1:33">
      <c r="A147" s="75"/>
      <c r="B147" s="76"/>
      <c r="C147" s="76"/>
      <c r="D147" s="76"/>
      <c r="E147" s="80"/>
      <c r="F147" s="80"/>
      <c r="G147" s="76"/>
      <c r="H147" s="81"/>
      <c r="I147" s="81"/>
      <c r="J147" s="81"/>
      <c r="K147" s="80"/>
      <c r="L147" s="74"/>
      <c r="M147" s="74"/>
      <c r="N147" s="74"/>
      <c r="O147" s="74"/>
      <c r="P147" s="76"/>
      <c r="Q147" s="76"/>
      <c r="R147" s="81"/>
      <c r="S147" s="81"/>
      <c r="T147" s="57"/>
      <c r="U147" s="57"/>
      <c r="V147" s="57"/>
      <c r="W147" s="81"/>
      <c r="X147" s="83"/>
      <c r="Y147" s="83"/>
      <c r="Z147" s="81"/>
      <c r="AA147" s="84"/>
      <c r="AB147" s="84"/>
      <c r="AC147" s="74"/>
      <c r="AD147" s="84"/>
      <c r="AE147" s="84"/>
      <c r="AF147" s="84"/>
      <c r="AG147" s="81"/>
    </row>
    <row r="148" spans="1:33">
      <c r="A148" s="75"/>
      <c r="B148" s="76"/>
      <c r="C148" s="76"/>
      <c r="D148" s="76"/>
      <c r="E148" s="80"/>
      <c r="F148" s="80"/>
      <c r="G148" s="76"/>
      <c r="H148" s="81"/>
      <c r="I148" s="81"/>
      <c r="J148" s="81"/>
      <c r="K148" s="80"/>
      <c r="L148" s="74"/>
      <c r="M148" s="74"/>
      <c r="N148" s="74"/>
      <c r="O148" s="74"/>
      <c r="P148" s="76"/>
      <c r="Q148" s="76"/>
      <c r="R148" s="81"/>
      <c r="S148" s="81"/>
      <c r="T148" s="57"/>
      <c r="U148" s="57"/>
      <c r="V148" s="57"/>
      <c r="W148" s="81"/>
      <c r="X148" s="83"/>
      <c r="Y148" s="83"/>
      <c r="Z148" s="81"/>
      <c r="AA148" s="84"/>
      <c r="AB148" s="84"/>
      <c r="AC148" s="74"/>
      <c r="AD148" s="84"/>
      <c r="AE148" s="84"/>
      <c r="AF148" s="84"/>
      <c r="AG148" s="81"/>
    </row>
    <row r="149" spans="1:33">
      <c r="A149" s="75"/>
      <c r="B149" s="76"/>
      <c r="C149" s="76"/>
      <c r="D149" s="76"/>
      <c r="E149" s="80"/>
      <c r="F149" s="80"/>
      <c r="G149" s="76"/>
      <c r="H149" s="81"/>
      <c r="I149" s="81"/>
      <c r="J149" s="81"/>
      <c r="K149" s="80"/>
      <c r="L149" s="74"/>
      <c r="M149" s="74"/>
      <c r="N149" s="74"/>
      <c r="O149" s="74"/>
      <c r="P149" s="76"/>
      <c r="Q149" s="76"/>
      <c r="R149" s="81"/>
      <c r="S149" s="81"/>
      <c r="T149" s="57"/>
      <c r="U149" s="57"/>
      <c r="V149" s="57"/>
      <c r="W149" s="81"/>
      <c r="X149" s="83"/>
      <c r="Y149" s="83"/>
      <c r="Z149" s="81"/>
      <c r="AA149" s="84"/>
      <c r="AB149" s="84"/>
      <c r="AC149" s="74"/>
      <c r="AD149" s="84"/>
      <c r="AE149" s="84"/>
      <c r="AF149" s="84"/>
      <c r="AG149" s="81"/>
    </row>
    <row r="150" spans="1:33">
      <c r="A150" s="75" t="s">
        <v>79</v>
      </c>
      <c r="B150" s="76"/>
      <c r="C150" s="76"/>
      <c r="D150" s="76"/>
      <c r="E150" s="80"/>
      <c r="F150" s="80"/>
      <c r="G150" s="76"/>
      <c r="H150" s="81"/>
      <c r="I150" s="81"/>
      <c r="J150" s="81"/>
      <c r="K150" s="80"/>
      <c r="L150" s="74"/>
      <c r="M150" s="74"/>
      <c r="N150" s="74"/>
      <c r="O150" s="74"/>
      <c r="P150" s="76"/>
      <c r="Q150" s="76"/>
      <c r="R150" s="81"/>
      <c r="S150" s="81"/>
      <c r="T150" s="57"/>
      <c r="U150" s="57"/>
      <c r="V150" s="57"/>
      <c r="W150" s="81"/>
      <c r="X150" s="83"/>
      <c r="Y150" s="83"/>
      <c r="Z150" s="81"/>
      <c r="AA150" s="84"/>
      <c r="AB150" s="84"/>
      <c r="AC150" s="74"/>
      <c r="AD150" s="84"/>
      <c r="AE150" s="84"/>
      <c r="AF150" s="84"/>
      <c r="AG150" s="81"/>
    </row>
    <row r="151" spans="1:33">
      <c r="A151" s="75"/>
      <c r="B151" s="76"/>
      <c r="C151" s="76"/>
      <c r="D151" s="76"/>
      <c r="E151" s="80"/>
      <c r="F151" s="80"/>
      <c r="G151" s="76"/>
      <c r="H151" s="81"/>
      <c r="I151" s="81"/>
      <c r="J151" s="81"/>
      <c r="K151" s="80"/>
      <c r="L151" s="74"/>
      <c r="M151" s="74"/>
      <c r="N151" s="74"/>
      <c r="O151" s="74"/>
      <c r="P151" s="76"/>
      <c r="Q151" s="76"/>
      <c r="R151" s="81"/>
      <c r="S151" s="81"/>
      <c r="T151" s="57"/>
      <c r="U151" s="57"/>
      <c r="V151" s="57"/>
      <c r="W151" s="81"/>
      <c r="X151" s="83"/>
      <c r="Y151" s="83"/>
      <c r="Z151" s="81"/>
      <c r="AA151" s="84"/>
      <c r="AB151" s="84"/>
      <c r="AC151" s="74"/>
      <c r="AD151" s="84"/>
      <c r="AE151" s="84"/>
      <c r="AF151" s="84"/>
      <c r="AG151" s="81"/>
    </row>
    <row r="152" spans="1:33">
      <c r="A152" s="75"/>
      <c r="B152" s="76"/>
      <c r="C152" s="76"/>
      <c r="D152" s="76"/>
      <c r="E152" s="80"/>
      <c r="F152" s="80"/>
      <c r="G152" s="76"/>
      <c r="H152" s="81"/>
      <c r="I152" s="81"/>
      <c r="J152" s="81"/>
      <c r="K152" s="80"/>
      <c r="L152" s="74"/>
      <c r="M152" s="74"/>
      <c r="N152" s="74"/>
      <c r="O152" s="74"/>
      <c r="P152" s="76"/>
      <c r="Q152" s="76"/>
      <c r="R152" s="81"/>
      <c r="S152" s="81"/>
      <c r="T152" s="57"/>
      <c r="U152" s="57"/>
      <c r="V152" s="57"/>
      <c r="W152" s="81"/>
      <c r="X152" s="83"/>
      <c r="Y152" s="83"/>
      <c r="Z152" s="81"/>
      <c r="AA152" s="84"/>
      <c r="AB152" s="84"/>
      <c r="AC152" s="74"/>
      <c r="AD152" s="84"/>
      <c r="AE152" s="84"/>
      <c r="AF152" s="84"/>
      <c r="AG152" s="81"/>
    </row>
    <row r="153" spans="1:33">
      <c r="A153" s="75"/>
      <c r="B153" s="76"/>
      <c r="C153" s="76"/>
      <c r="D153" s="76"/>
      <c r="E153" s="80"/>
      <c r="F153" s="80"/>
      <c r="G153" s="76"/>
      <c r="H153" s="81"/>
      <c r="I153" s="81"/>
      <c r="J153" s="81"/>
      <c r="K153" s="80"/>
      <c r="L153" s="74"/>
      <c r="M153" s="74"/>
      <c r="N153" s="74"/>
      <c r="O153" s="74"/>
      <c r="P153" s="76"/>
      <c r="Q153" s="76"/>
      <c r="R153" s="81"/>
      <c r="S153" s="81"/>
      <c r="T153" s="57"/>
      <c r="U153" s="57"/>
      <c r="V153" s="57"/>
      <c r="W153" s="81"/>
      <c r="X153" s="83"/>
      <c r="Y153" s="83"/>
      <c r="Z153" s="81"/>
      <c r="AA153" s="84"/>
      <c r="AB153" s="84"/>
      <c r="AC153" s="74"/>
      <c r="AD153" s="84"/>
      <c r="AE153" s="84"/>
      <c r="AF153" s="84"/>
      <c r="AG153" s="81"/>
    </row>
    <row r="154" spans="1:33">
      <c r="A154" s="75"/>
      <c r="B154" s="76"/>
      <c r="C154" s="76"/>
      <c r="D154" s="76"/>
      <c r="E154" s="80"/>
      <c r="F154" s="80"/>
      <c r="G154" s="76"/>
      <c r="H154" s="81"/>
      <c r="I154" s="81"/>
      <c r="J154" s="81"/>
      <c r="K154" s="80"/>
      <c r="L154" s="74"/>
      <c r="M154" s="74"/>
      <c r="N154" s="74"/>
      <c r="O154" s="74"/>
      <c r="P154" s="76"/>
      <c r="Q154" s="76"/>
      <c r="R154" s="81"/>
      <c r="S154" s="81"/>
      <c r="T154" s="57"/>
      <c r="U154" s="57"/>
      <c r="V154" s="57"/>
      <c r="W154" s="81"/>
      <c r="X154" s="83"/>
      <c r="Y154" s="83"/>
      <c r="Z154" s="81"/>
      <c r="AA154" s="84"/>
      <c r="AB154" s="84"/>
      <c r="AC154" s="74"/>
      <c r="AD154" s="84"/>
      <c r="AE154" s="84"/>
      <c r="AF154" s="84"/>
      <c r="AG154" s="81"/>
    </row>
    <row r="155" spans="1:33">
      <c r="A155" s="75"/>
      <c r="B155" s="76"/>
      <c r="C155" s="76"/>
      <c r="D155" s="76"/>
      <c r="E155" s="80"/>
      <c r="F155" s="80"/>
      <c r="G155" s="76"/>
      <c r="H155" s="81"/>
      <c r="I155" s="81"/>
      <c r="J155" s="81"/>
      <c r="K155" s="80"/>
      <c r="L155" s="74"/>
      <c r="M155" s="74"/>
      <c r="N155" s="74"/>
      <c r="O155" s="74"/>
      <c r="P155" s="76"/>
      <c r="Q155" s="76"/>
      <c r="R155" s="81"/>
      <c r="S155" s="81"/>
      <c r="T155" s="57"/>
      <c r="U155" s="57"/>
      <c r="V155" s="57"/>
      <c r="W155" s="81"/>
      <c r="X155" s="83"/>
      <c r="Y155" s="83"/>
      <c r="Z155" s="81"/>
      <c r="AA155" s="84"/>
      <c r="AB155" s="84"/>
      <c r="AC155" s="74"/>
      <c r="AD155" s="84"/>
      <c r="AE155" s="84"/>
      <c r="AF155" s="84"/>
      <c r="AG155" s="81"/>
    </row>
    <row r="156" spans="1:33">
      <c r="A156" s="75"/>
      <c r="B156" s="76"/>
      <c r="C156" s="76"/>
      <c r="D156" s="76"/>
      <c r="E156" s="80"/>
      <c r="F156" s="80"/>
      <c r="G156" s="76"/>
      <c r="H156" s="81"/>
      <c r="I156" s="81"/>
      <c r="J156" s="81"/>
      <c r="K156" s="80"/>
      <c r="L156" s="74"/>
      <c r="M156" s="74"/>
      <c r="N156" s="74"/>
      <c r="O156" s="74"/>
      <c r="P156" s="76"/>
      <c r="Q156" s="76"/>
      <c r="R156" s="81"/>
      <c r="S156" s="81"/>
      <c r="T156" s="57"/>
      <c r="U156" s="57"/>
      <c r="V156" s="57"/>
      <c r="W156" s="81"/>
      <c r="X156" s="83"/>
      <c r="Y156" s="83"/>
      <c r="Z156" s="81"/>
      <c r="AA156" s="84"/>
      <c r="AB156" s="84"/>
      <c r="AC156" s="74"/>
      <c r="AD156" s="84"/>
      <c r="AE156" s="84"/>
      <c r="AF156" s="84"/>
      <c r="AG156" s="81"/>
    </row>
    <row r="157" spans="1:33">
      <c r="A157" s="75"/>
      <c r="B157" s="76"/>
      <c r="C157" s="76"/>
      <c r="D157" s="76"/>
      <c r="E157" s="80"/>
      <c r="F157" s="80"/>
      <c r="G157" s="76"/>
      <c r="H157" s="81"/>
      <c r="I157" s="81"/>
      <c r="J157" s="81"/>
      <c r="K157" s="80"/>
      <c r="L157" s="74"/>
      <c r="M157" s="74"/>
      <c r="N157" s="74"/>
      <c r="O157" s="74"/>
      <c r="P157" s="76"/>
      <c r="Q157" s="76"/>
      <c r="R157" s="81"/>
      <c r="S157" s="81"/>
      <c r="T157" s="57"/>
      <c r="U157" s="57"/>
      <c r="V157" s="57"/>
      <c r="W157" s="81"/>
      <c r="X157" s="83"/>
      <c r="Y157" s="83"/>
      <c r="Z157" s="81"/>
      <c r="AA157" s="84"/>
      <c r="AB157" s="84"/>
      <c r="AC157" s="74"/>
      <c r="AD157" s="84"/>
      <c r="AE157" s="84"/>
      <c r="AF157" s="84"/>
      <c r="AG157" s="81"/>
    </row>
    <row r="158" spans="1:33">
      <c r="A158" s="75"/>
      <c r="B158" s="76"/>
      <c r="C158" s="76"/>
      <c r="D158" s="76"/>
      <c r="E158" s="80"/>
      <c r="F158" s="80"/>
      <c r="G158" s="76"/>
      <c r="H158" s="81"/>
      <c r="I158" s="81"/>
      <c r="J158" s="81"/>
      <c r="K158" s="80"/>
      <c r="L158" s="74"/>
      <c r="M158" s="74"/>
      <c r="N158" s="74"/>
      <c r="O158" s="74"/>
      <c r="P158" s="76"/>
      <c r="Q158" s="76"/>
      <c r="R158" s="81"/>
      <c r="S158" s="81"/>
      <c r="T158" s="57"/>
      <c r="U158" s="57"/>
      <c r="V158" s="57"/>
      <c r="W158" s="81"/>
      <c r="X158" s="83"/>
      <c r="Y158" s="83"/>
      <c r="Z158" s="81"/>
      <c r="AA158" s="84"/>
      <c r="AB158" s="84"/>
      <c r="AC158" s="74"/>
      <c r="AD158" s="84"/>
      <c r="AE158" s="84"/>
      <c r="AF158" s="84"/>
      <c r="AG158" s="81"/>
    </row>
    <row r="159" spans="1:33">
      <c r="A159" s="75"/>
      <c r="B159" s="76"/>
      <c r="C159" s="76"/>
      <c r="D159" s="76"/>
      <c r="E159" s="80"/>
      <c r="F159" s="80"/>
      <c r="G159" s="76"/>
      <c r="H159" s="81"/>
      <c r="I159" s="81"/>
      <c r="J159" s="81"/>
      <c r="K159" s="80"/>
      <c r="L159" s="74"/>
      <c r="M159" s="74"/>
      <c r="N159" s="74"/>
      <c r="O159" s="74"/>
      <c r="P159" s="76"/>
      <c r="Q159" s="76"/>
      <c r="R159" s="81"/>
      <c r="S159" s="81"/>
      <c r="T159" s="57"/>
      <c r="U159" s="57"/>
      <c r="V159" s="57"/>
      <c r="W159" s="81"/>
      <c r="X159" s="83"/>
      <c r="Y159" s="83"/>
      <c r="Z159" s="81"/>
      <c r="AA159" s="84"/>
      <c r="AB159" s="84"/>
      <c r="AC159" s="74"/>
      <c r="AD159" s="84"/>
      <c r="AE159" s="84"/>
      <c r="AF159" s="84"/>
      <c r="AG159" s="81"/>
    </row>
    <row r="160" spans="1:33">
      <c r="A160" s="75" t="s">
        <v>80</v>
      </c>
      <c r="B160" s="76"/>
      <c r="C160" s="76"/>
      <c r="D160" s="76"/>
      <c r="E160" s="80"/>
      <c r="F160" s="80"/>
      <c r="G160" s="76"/>
      <c r="H160" s="81"/>
      <c r="I160" s="81"/>
      <c r="J160" s="81"/>
      <c r="K160" s="80"/>
      <c r="L160" s="74"/>
      <c r="M160" s="74"/>
      <c r="N160" s="74"/>
      <c r="O160" s="74"/>
      <c r="P160" s="76"/>
      <c r="Q160" s="76"/>
      <c r="R160" s="81"/>
      <c r="S160" s="81"/>
      <c r="T160" s="57"/>
      <c r="U160" s="57"/>
      <c r="V160" s="57"/>
      <c r="W160" s="81"/>
      <c r="X160" s="83"/>
      <c r="Y160" s="83"/>
      <c r="Z160" s="81"/>
      <c r="AA160" s="84"/>
      <c r="AB160" s="84"/>
      <c r="AC160" s="74"/>
      <c r="AD160" s="84"/>
      <c r="AE160" s="84"/>
      <c r="AF160" s="84"/>
      <c r="AG160" s="81"/>
    </row>
    <row r="161" spans="1:33">
      <c r="A161" s="75"/>
      <c r="B161" s="76"/>
      <c r="C161" s="76"/>
      <c r="D161" s="76"/>
      <c r="E161" s="80"/>
      <c r="F161" s="80"/>
      <c r="G161" s="76"/>
      <c r="H161" s="81"/>
      <c r="I161" s="81"/>
      <c r="J161" s="81"/>
      <c r="K161" s="80"/>
      <c r="L161" s="74"/>
      <c r="M161" s="74"/>
      <c r="N161" s="74"/>
      <c r="O161" s="74"/>
      <c r="P161" s="76"/>
      <c r="Q161" s="76"/>
      <c r="R161" s="81"/>
      <c r="S161" s="81"/>
      <c r="T161" s="57"/>
      <c r="U161" s="57"/>
      <c r="V161" s="57"/>
      <c r="W161" s="81"/>
      <c r="X161" s="83"/>
      <c r="Y161" s="83"/>
      <c r="Z161" s="81"/>
      <c r="AA161" s="84"/>
      <c r="AB161" s="84"/>
      <c r="AC161" s="74"/>
      <c r="AD161" s="84"/>
      <c r="AE161" s="84"/>
      <c r="AF161" s="84"/>
      <c r="AG161" s="81"/>
    </row>
    <row r="162" spans="1:33">
      <c r="A162" s="75"/>
      <c r="B162" s="76"/>
      <c r="C162" s="76"/>
      <c r="D162" s="76"/>
      <c r="E162" s="80"/>
      <c r="F162" s="80"/>
      <c r="G162" s="76"/>
      <c r="H162" s="81"/>
      <c r="I162" s="81"/>
      <c r="J162" s="81"/>
      <c r="K162" s="80"/>
      <c r="L162" s="74"/>
      <c r="M162" s="74"/>
      <c r="N162" s="74"/>
      <c r="O162" s="74"/>
      <c r="P162" s="76"/>
      <c r="Q162" s="76"/>
      <c r="R162" s="81"/>
      <c r="S162" s="81"/>
      <c r="T162" s="57"/>
      <c r="U162" s="57"/>
      <c r="V162" s="57"/>
      <c r="W162" s="81"/>
      <c r="X162" s="83"/>
      <c r="Y162" s="83"/>
      <c r="Z162" s="81"/>
      <c r="AA162" s="84"/>
      <c r="AB162" s="84"/>
      <c r="AC162" s="74"/>
      <c r="AD162" s="84"/>
      <c r="AE162" s="84"/>
      <c r="AF162" s="84"/>
      <c r="AG162" s="81"/>
    </row>
    <row r="163" spans="1:33">
      <c r="A163" s="75"/>
      <c r="B163" s="76"/>
      <c r="C163" s="76"/>
      <c r="D163" s="76"/>
      <c r="E163" s="80"/>
      <c r="F163" s="80"/>
      <c r="G163" s="76"/>
      <c r="H163" s="81"/>
      <c r="I163" s="81"/>
      <c r="J163" s="81"/>
      <c r="K163" s="80"/>
      <c r="L163" s="74"/>
      <c r="M163" s="74"/>
      <c r="N163" s="74"/>
      <c r="O163" s="74"/>
      <c r="P163" s="76"/>
      <c r="Q163" s="76"/>
      <c r="R163" s="81"/>
      <c r="S163" s="81"/>
      <c r="T163" s="57"/>
      <c r="U163" s="57"/>
      <c r="V163" s="57"/>
      <c r="W163" s="81"/>
      <c r="X163" s="83"/>
      <c r="Y163" s="83"/>
      <c r="Z163" s="81"/>
      <c r="AA163" s="84"/>
      <c r="AB163" s="84"/>
      <c r="AC163" s="74"/>
      <c r="AD163" s="84"/>
      <c r="AE163" s="84"/>
      <c r="AF163" s="84"/>
      <c r="AG163" s="81"/>
    </row>
    <row r="164" spans="1:33">
      <c r="A164" s="75"/>
      <c r="B164" s="76"/>
      <c r="C164" s="76"/>
      <c r="D164" s="76"/>
      <c r="E164" s="80"/>
      <c r="F164" s="80"/>
      <c r="G164" s="76"/>
      <c r="H164" s="81"/>
      <c r="I164" s="81"/>
      <c r="J164" s="81"/>
      <c r="K164" s="80"/>
      <c r="L164" s="74"/>
      <c r="M164" s="74"/>
      <c r="N164" s="74"/>
      <c r="O164" s="74"/>
      <c r="P164" s="76"/>
      <c r="Q164" s="76"/>
      <c r="R164" s="81"/>
      <c r="S164" s="81"/>
      <c r="T164" s="57"/>
      <c r="U164" s="57"/>
      <c r="V164" s="57"/>
      <c r="W164" s="81"/>
      <c r="X164" s="83"/>
      <c r="Y164" s="83"/>
      <c r="Z164" s="81"/>
      <c r="AA164" s="84"/>
      <c r="AB164" s="84"/>
      <c r="AC164" s="74"/>
      <c r="AD164" s="84"/>
      <c r="AE164" s="84"/>
      <c r="AF164" s="84"/>
      <c r="AG164" s="81"/>
    </row>
    <row r="165" spans="1:33">
      <c r="A165" s="75"/>
      <c r="B165" s="76"/>
      <c r="C165" s="76"/>
      <c r="D165" s="76"/>
      <c r="E165" s="80"/>
      <c r="F165" s="80"/>
      <c r="G165" s="76"/>
      <c r="H165" s="81"/>
      <c r="I165" s="81"/>
      <c r="J165" s="81"/>
      <c r="K165" s="80"/>
      <c r="L165" s="74"/>
      <c r="M165" s="74"/>
      <c r="N165" s="74"/>
      <c r="O165" s="74"/>
      <c r="P165" s="76"/>
      <c r="Q165" s="76"/>
      <c r="R165" s="81"/>
      <c r="S165" s="81"/>
      <c r="T165" s="57"/>
      <c r="U165" s="57"/>
      <c r="V165" s="57"/>
      <c r="W165" s="81"/>
      <c r="X165" s="83"/>
      <c r="Y165" s="83"/>
      <c r="Z165" s="81"/>
      <c r="AA165" s="84"/>
      <c r="AB165" s="84"/>
      <c r="AC165" s="74"/>
      <c r="AD165" s="84"/>
      <c r="AE165" s="84"/>
      <c r="AF165" s="84"/>
      <c r="AG165" s="81"/>
    </row>
    <row r="166" spans="1:33">
      <c r="A166" s="75"/>
      <c r="B166" s="76"/>
      <c r="C166" s="76"/>
      <c r="D166" s="76"/>
      <c r="E166" s="80"/>
      <c r="F166" s="80"/>
      <c r="G166" s="76"/>
      <c r="H166" s="81"/>
      <c r="I166" s="81"/>
      <c r="J166" s="81"/>
      <c r="K166" s="80"/>
      <c r="L166" s="74"/>
      <c r="M166" s="74"/>
      <c r="N166" s="74"/>
      <c r="O166" s="74"/>
      <c r="P166" s="76"/>
      <c r="Q166" s="76"/>
      <c r="R166" s="81"/>
      <c r="S166" s="81"/>
      <c r="T166" s="57"/>
      <c r="U166" s="57"/>
      <c r="V166" s="57"/>
      <c r="W166" s="81"/>
      <c r="X166" s="83"/>
      <c r="Y166" s="83"/>
      <c r="Z166" s="81"/>
      <c r="AA166" s="84"/>
      <c r="AB166" s="84"/>
      <c r="AC166" s="74"/>
      <c r="AD166" s="84"/>
      <c r="AE166" s="84"/>
      <c r="AF166" s="84"/>
      <c r="AG166" s="81"/>
    </row>
    <row r="167" spans="1:33">
      <c r="A167" s="75"/>
      <c r="B167" s="76"/>
      <c r="C167" s="76"/>
      <c r="D167" s="76"/>
      <c r="E167" s="80"/>
      <c r="F167" s="80"/>
      <c r="G167" s="76"/>
      <c r="H167" s="81"/>
      <c r="I167" s="81"/>
      <c r="J167" s="81"/>
      <c r="K167" s="80"/>
      <c r="L167" s="74"/>
      <c r="M167" s="74"/>
      <c r="N167" s="74"/>
      <c r="O167" s="74"/>
      <c r="P167" s="76"/>
      <c r="Q167" s="76"/>
      <c r="R167" s="81"/>
      <c r="S167" s="81"/>
      <c r="T167" s="57"/>
      <c r="U167" s="57"/>
      <c r="V167" s="57"/>
      <c r="W167" s="81"/>
      <c r="X167" s="83"/>
      <c r="Y167" s="83"/>
      <c r="Z167" s="81"/>
      <c r="AA167" s="84"/>
      <c r="AB167" s="84"/>
      <c r="AC167" s="74"/>
      <c r="AD167" s="84"/>
      <c r="AE167" s="84"/>
      <c r="AF167" s="84"/>
      <c r="AG167" s="81"/>
    </row>
    <row r="168" spans="1:33">
      <c r="A168" s="75" t="s">
        <v>81</v>
      </c>
      <c r="B168" s="76"/>
      <c r="C168" s="76"/>
      <c r="D168" s="76"/>
      <c r="E168" s="80"/>
      <c r="F168" s="80"/>
      <c r="G168" s="76"/>
      <c r="H168" s="81"/>
      <c r="I168" s="81"/>
      <c r="J168" s="81"/>
      <c r="K168" s="80"/>
      <c r="L168" s="74"/>
      <c r="M168" s="74"/>
      <c r="N168" s="74"/>
      <c r="O168" s="74"/>
      <c r="P168" s="76"/>
      <c r="Q168" s="76"/>
      <c r="R168" s="81"/>
      <c r="S168" s="81"/>
      <c r="T168" s="57"/>
      <c r="U168" s="57"/>
      <c r="V168" s="57"/>
      <c r="W168" s="81"/>
      <c r="X168" s="83"/>
      <c r="Y168" s="83"/>
      <c r="Z168" s="81"/>
      <c r="AA168" s="84"/>
      <c r="AB168" s="84"/>
      <c r="AC168" s="74"/>
      <c r="AD168" s="84"/>
      <c r="AE168" s="84"/>
      <c r="AF168" s="84"/>
      <c r="AG168" s="81"/>
    </row>
    <row r="169" spans="1:33">
      <c r="A169" s="75"/>
      <c r="B169" s="76"/>
      <c r="C169" s="76"/>
      <c r="D169" s="76"/>
      <c r="E169" s="80"/>
      <c r="F169" s="80"/>
      <c r="G169" s="76"/>
      <c r="H169" s="81"/>
      <c r="I169" s="81"/>
      <c r="J169" s="81"/>
      <c r="K169" s="80"/>
      <c r="L169" s="74"/>
      <c r="M169" s="74"/>
      <c r="N169" s="74"/>
      <c r="O169" s="74"/>
      <c r="P169" s="76"/>
      <c r="Q169" s="76"/>
      <c r="R169" s="81"/>
      <c r="S169" s="81"/>
      <c r="T169" s="57"/>
      <c r="U169" s="57"/>
      <c r="V169" s="57"/>
      <c r="W169" s="81"/>
      <c r="X169" s="83"/>
      <c r="Y169" s="83"/>
      <c r="Z169" s="81"/>
      <c r="AA169" s="84"/>
      <c r="AB169" s="84"/>
      <c r="AC169" s="74"/>
      <c r="AD169" s="84"/>
      <c r="AE169" s="84"/>
      <c r="AF169" s="84"/>
      <c r="AG169" s="81"/>
    </row>
    <row r="170" spans="1:33">
      <c r="A170" s="75"/>
      <c r="B170" s="76"/>
      <c r="C170" s="76"/>
      <c r="D170" s="76"/>
      <c r="E170" s="80"/>
      <c r="F170" s="80"/>
      <c r="G170" s="76"/>
      <c r="H170" s="81"/>
      <c r="I170" s="81"/>
      <c r="J170" s="81"/>
      <c r="K170" s="80"/>
      <c r="L170" s="74"/>
      <c r="M170" s="74"/>
      <c r="N170" s="74"/>
      <c r="O170" s="74"/>
      <c r="P170" s="76"/>
      <c r="Q170" s="76"/>
      <c r="R170" s="81"/>
      <c r="S170" s="81"/>
      <c r="T170" s="57"/>
      <c r="U170" s="57"/>
      <c r="V170" s="57"/>
      <c r="W170" s="81"/>
      <c r="X170" s="83"/>
      <c r="Y170" s="83"/>
      <c r="Z170" s="81"/>
      <c r="AA170" s="84"/>
      <c r="AB170" s="84"/>
      <c r="AC170" s="74"/>
      <c r="AD170" s="84"/>
      <c r="AE170" s="84"/>
      <c r="AF170" s="84"/>
      <c r="AG170" s="81"/>
    </row>
    <row r="171" spans="1:33">
      <c r="A171" s="75"/>
      <c r="B171" s="76"/>
      <c r="C171" s="76"/>
      <c r="D171" s="76"/>
      <c r="E171" s="80"/>
      <c r="F171" s="80"/>
      <c r="G171" s="76"/>
      <c r="H171" s="81"/>
      <c r="I171" s="81"/>
      <c r="J171" s="81"/>
      <c r="K171" s="80"/>
      <c r="L171" s="74"/>
      <c r="M171" s="74"/>
      <c r="N171" s="74"/>
      <c r="O171" s="74"/>
      <c r="P171" s="76"/>
      <c r="Q171" s="76"/>
      <c r="R171" s="81"/>
      <c r="S171" s="81"/>
      <c r="T171" s="57"/>
      <c r="U171" s="57"/>
      <c r="V171" s="57"/>
      <c r="W171" s="81"/>
      <c r="X171" s="83"/>
      <c r="Y171" s="83"/>
      <c r="Z171" s="81"/>
      <c r="AA171" s="84"/>
      <c r="AB171" s="84"/>
      <c r="AC171" s="74"/>
      <c r="AD171" s="84"/>
      <c r="AE171" s="84"/>
      <c r="AF171" s="84"/>
      <c r="AG171" s="81"/>
    </row>
    <row r="172" spans="1:33">
      <c r="A172" s="75"/>
      <c r="B172" s="76"/>
      <c r="C172" s="76"/>
      <c r="D172" s="76"/>
      <c r="E172" s="80"/>
      <c r="F172" s="80"/>
      <c r="G172" s="76"/>
      <c r="H172" s="81"/>
      <c r="I172" s="81"/>
      <c r="J172" s="81"/>
      <c r="K172" s="80"/>
      <c r="L172" s="74"/>
      <c r="M172" s="74"/>
      <c r="N172" s="74"/>
      <c r="O172" s="74"/>
      <c r="P172" s="76"/>
      <c r="Q172" s="76"/>
      <c r="R172" s="81"/>
      <c r="S172" s="81"/>
      <c r="T172" s="57"/>
      <c r="U172" s="57"/>
      <c r="V172" s="57"/>
      <c r="W172" s="81"/>
      <c r="X172" s="83"/>
      <c r="Y172" s="83"/>
      <c r="Z172" s="81"/>
      <c r="AA172" s="84"/>
      <c r="AB172" s="84"/>
      <c r="AC172" s="74"/>
      <c r="AD172" s="84"/>
      <c r="AE172" s="84"/>
      <c r="AF172" s="84"/>
      <c r="AG172" s="81"/>
    </row>
    <row r="173" spans="1:33">
      <c r="A173" s="75"/>
      <c r="B173" s="76"/>
      <c r="C173" s="76"/>
      <c r="D173" s="76"/>
      <c r="E173" s="80"/>
      <c r="F173" s="80"/>
      <c r="G173" s="76"/>
      <c r="H173" s="81"/>
      <c r="I173" s="81"/>
      <c r="J173" s="81"/>
      <c r="K173" s="80"/>
      <c r="L173" s="74"/>
      <c r="M173" s="74"/>
      <c r="N173" s="74"/>
      <c r="O173" s="74"/>
      <c r="P173" s="76"/>
      <c r="Q173" s="76"/>
      <c r="R173" s="81"/>
      <c r="S173" s="81"/>
      <c r="T173" s="57"/>
      <c r="U173" s="57"/>
      <c r="V173" s="57"/>
      <c r="W173" s="81"/>
      <c r="X173" s="83"/>
      <c r="Y173" s="83"/>
      <c r="Z173" s="81"/>
      <c r="AA173" s="84"/>
      <c r="AB173" s="84"/>
      <c r="AC173" s="74"/>
      <c r="AD173" s="84"/>
      <c r="AE173" s="84"/>
      <c r="AF173" s="84"/>
      <c r="AG173" s="81"/>
    </row>
    <row r="174" spans="1:33">
      <c r="A174" s="75"/>
      <c r="B174" s="76"/>
      <c r="C174" s="76"/>
      <c r="D174" s="76"/>
      <c r="E174" s="80"/>
      <c r="F174" s="80"/>
      <c r="G174" s="76"/>
      <c r="H174" s="81"/>
      <c r="I174" s="81"/>
      <c r="J174" s="81"/>
      <c r="K174" s="80"/>
      <c r="L174" s="74"/>
      <c r="M174" s="74"/>
      <c r="N174" s="74"/>
      <c r="O174" s="74"/>
      <c r="P174" s="76"/>
      <c r="Q174" s="76"/>
      <c r="R174" s="81"/>
      <c r="S174" s="81"/>
      <c r="T174" s="57"/>
      <c r="U174" s="57"/>
      <c r="V174" s="57"/>
      <c r="W174" s="81"/>
      <c r="X174" s="83"/>
      <c r="Y174" s="83"/>
      <c r="Z174" s="81"/>
      <c r="AA174" s="84"/>
      <c r="AB174" s="84"/>
      <c r="AC174" s="74"/>
      <c r="AD174" s="84"/>
      <c r="AE174" s="84"/>
      <c r="AF174" s="84"/>
      <c r="AG174" s="81"/>
    </row>
    <row r="175" spans="1:33">
      <c r="A175" s="75"/>
      <c r="B175" s="76"/>
      <c r="C175" s="76"/>
      <c r="D175" s="76"/>
      <c r="E175" s="80"/>
      <c r="F175" s="80"/>
      <c r="G175" s="76"/>
      <c r="H175" s="81"/>
      <c r="I175" s="81"/>
      <c r="J175" s="81"/>
      <c r="K175" s="80"/>
      <c r="L175" s="74"/>
      <c r="M175" s="74"/>
      <c r="N175" s="74"/>
      <c r="O175" s="74"/>
      <c r="P175" s="76"/>
      <c r="Q175" s="76"/>
      <c r="R175" s="81"/>
      <c r="S175" s="81"/>
      <c r="T175" s="57"/>
      <c r="U175" s="57"/>
      <c r="V175" s="57"/>
      <c r="W175" s="81"/>
      <c r="X175" s="83"/>
      <c r="Y175" s="83"/>
      <c r="Z175" s="81"/>
      <c r="AA175" s="84"/>
      <c r="AB175" s="84"/>
      <c r="AC175" s="74"/>
      <c r="AD175" s="84"/>
      <c r="AE175" s="84"/>
      <c r="AF175" s="84"/>
      <c r="AG175" s="81"/>
    </row>
    <row r="176" spans="1:33">
      <c r="A176" s="75"/>
      <c r="B176" s="76"/>
      <c r="C176" s="76"/>
      <c r="D176" s="76"/>
      <c r="E176" s="80"/>
      <c r="F176" s="80"/>
      <c r="G176" s="76"/>
      <c r="H176" s="81"/>
      <c r="I176" s="81"/>
      <c r="J176" s="81"/>
      <c r="K176" s="80"/>
      <c r="L176" s="74"/>
      <c r="M176" s="74"/>
      <c r="N176" s="74"/>
      <c r="O176" s="74"/>
      <c r="P176" s="76"/>
      <c r="Q176" s="76"/>
      <c r="R176" s="81"/>
      <c r="S176" s="81"/>
      <c r="T176" s="57"/>
      <c r="U176" s="57"/>
      <c r="V176" s="57"/>
      <c r="W176" s="81"/>
      <c r="X176" s="83"/>
      <c r="Y176" s="83"/>
      <c r="Z176" s="81"/>
      <c r="AA176" s="84"/>
      <c r="AB176" s="84"/>
      <c r="AC176" s="74"/>
      <c r="AD176" s="84"/>
      <c r="AE176" s="84"/>
      <c r="AF176" s="84"/>
      <c r="AG176" s="81"/>
    </row>
    <row r="177" spans="1:33">
      <c r="A177" s="75" t="s">
        <v>82</v>
      </c>
      <c r="B177" s="76"/>
      <c r="C177" s="76"/>
      <c r="D177" s="76"/>
      <c r="E177" s="80"/>
      <c r="F177" s="80"/>
      <c r="G177" s="76"/>
      <c r="H177" s="81"/>
      <c r="I177" s="81"/>
      <c r="J177" s="81"/>
      <c r="K177" s="80"/>
      <c r="L177" s="74"/>
      <c r="M177" s="74"/>
      <c r="N177" s="74"/>
      <c r="O177" s="74"/>
      <c r="P177" s="76"/>
      <c r="Q177" s="76"/>
      <c r="R177" s="81"/>
      <c r="S177" s="81"/>
      <c r="T177" s="57"/>
      <c r="U177" s="57"/>
      <c r="V177" s="57"/>
      <c r="W177" s="81"/>
      <c r="X177" s="83"/>
      <c r="Y177" s="83"/>
      <c r="Z177" s="81"/>
      <c r="AA177" s="84"/>
      <c r="AB177" s="84"/>
      <c r="AC177" s="74"/>
      <c r="AD177" s="84"/>
      <c r="AE177" s="84"/>
      <c r="AF177" s="84"/>
      <c r="AG177" s="81"/>
    </row>
    <row r="178" spans="1:33">
      <c r="A178" s="75"/>
      <c r="B178" s="76"/>
      <c r="C178" s="76"/>
      <c r="D178" s="76"/>
      <c r="E178" s="80"/>
      <c r="F178" s="80"/>
      <c r="G178" s="76"/>
      <c r="H178" s="81"/>
      <c r="I178" s="81"/>
      <c r="J178" s="81"/>
      <c r="K178" s="80"/>
      <c r="L178" s="74"/>
      <c r="M178" s="74"/>
      <c r="N178" s="74"/>
      <c r="O178" s="74"/>
      <c r="P178" s="76"/>
      <c r="Q178" s="76"/>
      <c r="R178" s="81"/>
      <c r="S178" s="81"/>
      <c r="T178" s="57"/>
      <c r="U178" s="57"/>
      <c r="V178" s="57"/>
      <c r="W178" s="81"/>
      <c r="X178" s="83"/>
      <c r="Y178" s="83"/>
      <c r="Z178" s="81"/>
      <c r="AA178" s="84"/>
      <c r="AB178" s="84"/>
      <c r="AC178" s="74"/>
      <c r="AD178" s="84"/>
      <c r="AE178" s="84"/>
      <c r="AF178" s="84"/>
      <c r="AG178" s="81"/>
    </row>
    <row r="179" spans="1:33">
      <c r="A179" s="75"/>
      <c r="B179" s="76"/>
      <c r="C179" s="76"/>
      <c r="D179" s="76"/>
      <c r="E179" s="80"/>
      <c r="F179" s="80"/>
      <c r="G179" s="76"/>
      <c r="H179" s="81"/>
      <c r="I179" s="81"/>
      <c r="J179" s="81"/>
      <c r="K179" s="80"/>
      <c r="L179" s="74"/>
      <c r="M179" s="74"/>
      <c r="N179" s="74"/>
      <c r="O179" s="74"/>
      <c r="P179" s="76"/>
      <c r="Q179" s="76"/>
      <c r="R179" s="81"/>
      <c r="S179" s="81"/>
      <c r="T179" s="57"/>
      <c r="U179" s="57"/>
      <c r="V179" s="57"/>
      <c r="W179" s="81"/>
      <c r="X179" s="83"/>
      <c r="Y179" s="83"/>
      <c r="Z179" s="81"/>
      <c r="AA179" s="84"/>
      <c r="AB179" s="84"/>
      <c r="AC179" s="74"/>
      <c r="AD179" s="84"/>
      <c r="AE179" s="84"/>
      <c r="AF179" s="84"/>
      <c r="AG179" s="81"/>
    </row>
    <row r="180" spans="1:33">
      <c r="A180" s="75"/>
      <c r="B180" s="76"/>
      <c r="C180" s="76"/>
      <c r="D180" s="76"/>
      <c r="E180" s="80"/>
      <c r="F180" s="80"/>
      <c r="G180" s="76"/>
      <c r="H180" s="81"/>
      <c r="I180" s="81"/>
      <c r="J180" s="81"/>
      <c r="K180" s="80"/>
      <c r="L180" s="74"/>
      <c r="M180" s="74"/>
      <c r="N180" s="74"/>
      <c r="O180" s="74"/>
      <c r="P180" s="76"/>
      <c r="Q180" s="76"/>
      <c r="R180" s="81"/>
      <c r="S180" s="81"/>
      <c r="T180" s="57"/>
      <c r="U180" s="57"/>
      <c r="V180" s="57"/>
      <c r="W180" s="81"/>
      <c r="X180" s="83"/>
      <c r="Y180" s="83"/>
      <c r="Z180" s="81"/>
      <c r="AA180" s="84"/>
      <c r="AB180" s="84"/>
      <c r="AC180" s="74"/>
      <c r="AD180" s="84"/>
      <c r="AE180" s="84"/>
      <c r="AF180" s="84"/>
      <c r="AG180" s="81"/>
    </row>
    <row r="181" spans="1:33">
      <c r="A181" s="75"/>
      <c r="B181" s="76"/>
      <c r="C181" s="76"/>
      <c r="D181" s="76"/>
      <c r="E181" s="80"/>
      <c r="F181" s="80"/>
      <c r="G181" s="76"/>
      <c r="H181" s="81"/>
      <c r="I181" s="81"/>
      <c r="J181" s="81"/>
      <c r="K181" s="80"/>
      <c r="L181" s="74"/>
      <c r="M181" s="74"/>
      <c r="N181" s="74"/>
      <c r="O181" s="74"/>
      <c r="P181" s="76"/>
      <c r="Q181" s="76"/>
      <c r="R181" s="81"/>
      <c r="S181" s="81"/>
      <c r="T181" s="57"/>
      <c r="U181" s="57"/>
      <c r="V181" s="57"/>
      <c r="W181" s="81"/>
      <c r="X181" s="83"/>
      <c r="Y181" s="83"/>
      <c r="Z181" s="81"/>
      <c r="AA181" s="84"/>
      <c r="AB181" s="84"/>
      <c r="AC181" s="74"/>
      <c r="AD181" s="84"/>
      <c r="AE181" s="84"/>
      <c r="AF181" s="84"/>
      <c r="AG181" s="81"/>
    </row>
    <row r="182" spans="1:33">
      <c r="A182" s="75"/>
      <c r="B182" s="76"/>
      <c r="C182" s="76"/>
      <c r="D182" s="76"/>
      <c r="E182" s="80"/>
      <c r="F182" s="80"/>
      <c r="G182" s="76"/>
      <c r="H182" s="81"/>
      <c r="I182" s="81"/>
      <c r="J182" s="81"/>
      <c r="K182" s="80"/>
      <c r="L182" s="74"/>
      <c r="M182" s="74"/>
      <c r="N182" s="74"/>
      <c r="O182" s="74"/>
      <c r="P182" s="76"/>
      <c r="Q182" s="76"/>
      <c r="R182" s="81"/>
      <c r="S182" s="81"/>
      <c r="T182" s="57"/>
      <c r="U182" s="57"/>
      <c r="V182" s="57"/>
      <c r="W182" s="81"/>
      <c r="X182" s="83"/>
      <c r="Y182" s="83"/>
      <c r="Z182" s="81"/>
      <c r="AA182" s="84"/>
      <c r="AB182" s="84"/>
      <c r="AC182" s="74"/>
      <c r="AD182" s="84"/>
      <c r="AE182" s="84"/>
      <c r="AF182" s="84"/>
      <c r="AG182" s="81"/>
    </row>
    <row r="183" spans="1:33">
      <c r="A183" s="75"/>
      <c r="B183" s="76"/>
      <c r="C183" s="76"/>
      <c r="D183" s="76"/>
      <c r="E183" s="80"/>
      <c r="F183" s="80"/>
      <c r="G183" s="76"/>
      <c r="H183" s="81"/>
      <c r="I183" s="81"/>
      <c r="J183" s="81"/>
      <c r="K183" s="80"/>
      <c r="L183" s="74"/>
      <c r="M183" s="74"/>
      <c r="N183" s="74"/>
      <c r="O183" s="74"/>
      <c r="P183" s="76"/>
      <c r="Q183" s="76"/>
      <c r="R183" s="81"/>
      <c r="S183" s="81"/>
      <c r="T183" s="57"/>
      <c r="U183" s="57"/>
      <c r="V183" s="57"/>
      <c r="W183" s="81"/>
      <c r="X183" s="83"/>
      <c r="Y183" s="83"/>
      <c r="Z183" s="81"/>
      <c r="AA183" s="84"/>
      <c r="AB183" s="84"/>
      <c r="AC183" s="74"/>
      <c r="AD183" s="84"/>
      <c r="AE183" s="84"/>
      <c r="AF183" s="84"/>
      <c r="AG183" s="81"/>
    </row>
    <row r="184" spans="1:33">
      <c r="A184" s="75"/>
      <c r="B184" s="76"/>
      <c r="C184" s="76"/>
      <c r="D184" s="76"/>
      <c r="E184" s="80"/>
      <c r="F184" s="80"/>
      <c r="G184" s="76"/>
      <c r="H184" s="81"/>
      <c r="I184" s="81"/>
      <c r="J184" s="81"/>
      <c r="K184" s="80"/>
      <c r="L184" s="74"/>
      <c r="M184" s="74"/>
      <c r="N184" s="74"/>
      <c r="O184" s="74"/>
      <c r="P184" s="76"/>
      <c r="Q184" s="76"/>
      <c r="R184" s="81"/>
      <c r="S184" s="81"/>
      <c r="T184" s="57"/>
      <c r="U184" s="57"/>
      <c r="V184" s="57"/>
      <c r="W184" s="81"/>
      <c r="X184" s="83"/>
      <c r="Y184" s="83"/>
      <c r="Z184" s="81"/>
      <c r="AA184" s="84"/>
      <c r="AB184" s="84"/>
      <c r="AC184" s="74"/>
      <c r="AD184" s="84"/>
      <c r="AE184" s="84"/>
      <c r="AF184" s="84"/>
      <c r="AG184" s="81"/>
    </row>
    <row r="185" spans="1:33">
      <c r="A185" s="75"/>
      <c r="B185" s="76"/>
      <c r="C185" s="76"/>
      <c r="D185" s="76"/>
      <c r="E185" s="80"/>
      <c r="F185" s="80"/>
      <c r="G185" s="76"/>
      <c r="H185" s="81"/>
      <c r="I185" s="81"/>
      <c r="J185" s="81"/>
      <c r="K185" s="80"/>
      <c r="L185" s="74"/>
      <c r="M185" s="74"/>
      <c r="N185" s="74"/>
      <c r="O185" s="74"/>
      <c r="P185" s="76"/>
      <c r="Q185" s="76"/>
      <c r="R185" s="81"/>
      <c r="S185" s="81"/>
      <c r="T185" s="57"/>
      <c r="U185" s="57"/>
      <c r="V185" s="57"/>
      <c r="W185" s="81"/>
      <c r="X185" s="83"/>
      <c r="Y185" s="83"/>
      <c r="Z185" s="81"/>
      <c r="AA185" s="84"/>
      <c r="AB185" s="84"/>
      <c r="AC185" s="74"/>
      <c r="AD185" s="84"/>
      <c r="AE185" s="84"/>
      <c r="AF185" s="84"/>
      <c r="AG185" s="81"/>
    </row>
    <row r="186" spans="1:33">
      <c r="A186" s="75" t="s">
        <v>83</v>
      </c>
      <c r="B186" s="76"/>
      <c r="C186" s="76"/>
      <c r="D186" s="76"/>
      <c r="E186" s="80"/>
      <c r="F186" s="80"/>
      <c r="G186" s="76"/>
      <c r="H186" s="81"/>
      <c r="I186" s="81"/>
      <c r="J186" s="81"/>
      <c r="K186" s="80"/>
      <c r="L186" s="74"/>
      <c r="M186" s="74"/>
      <c r="N186" s="74"/>
      <c r="O186" s="74"/>
      <c r="P186" s="76"/>
      <c r="Q186" s="76"/>
      <c r="R186" s="81"/>
      <c r="S186" s="81"/>
      <c r="T186" s="57"/>
      <c r="U186" s="57"/>
      <c r="V186" s="57"/>
      <c r="W186" s="81"/>
      <c r="X186" s="83"/>
      <c r="Y186" s="83"/>
      <c r="Z186" s="81"/>
      <c r="AA186" s="84"/>
      <c r="AB186" s="84"/>
      <c r="AC186" s="74"/>
      <c r="AD186" s="84"/>
      <c r="AE186" s="84"/>
      <c r="AF186" s="84"/>
      <c r="AG186" s="81"/>
    </row>
    <row r="187" spans="1:33">
      <c r="A187" s="75"/>
      <c r="B187" s="76"/>
      <c r="C187" s="76"/>
      <c r="D187" s="76"/>
      <c r="E187" s="80"/>
      <c r="F187" s="80"/>
      <c r="G187" s="76"/>
      <c r="H187" s="81"/>
      <c r="I187" s="81"/>
      <c r="J187" s="81"/>
      <c r="K187" s="80"/>
      <c r="L187" s="74"/>
      <c r="M187" s="74"/>
      <c r="N187" s="74"/>
      <c r="O187" s="74"/>
      <c r="P187" s="76"/>
      <c r="Q187" s="76"/>
      <c r="R187" s="81"/>
      <c r="S187" s="81"/>
      <c r="T187" s="57"/>
      <c r="U187" s="57"/>
      <c r="V187" s="57"/>
      <c r="W187" s="81"/>
      <c r="X187" s="83"/>
      <c r="Y187" s="83"/>
      <c r="Z187" s="81"/>
      <c r="AA187" s="84"/>
      <c r="AB187" s="84"/>
      <c r="AC187" s="74"/>
      <c r="AD187" s="84"/>
      <c r="AE187" s="84"/>
      <c r="AF187" s="84"/>
      <c r="AG187" s="81"/>
    </row>
    <row r="188" spans="1:33">
      <c r="A188" s="75"/>
      <c r="B188" s="76"/>
      <c r="C188" s="76"/>
      <c r="D188" s="76"/>
      <c r="E188" s="80"/>
      <c r="F188" s="80"/>
      <c r="G188" s="76"/>
      <c r="H188" s="81"/>
      <c r="I188" s="81"/>
      <c r="J188" s="81"/>
      <c r="K188" s="80"/>
      <c r="L188" s="74"/>
      <c r="M188" s="74"/>
      <c r="N188" s="74"/>
      <c r="O188" s="74"/>
      <c r="P188" s="76"/>
      <c r="Q188" s="76"/>
      <c r="R188" s="81"/>
      <c r="S188" s="81"/>
      <c r="T188" s="57"/>
      <c r="U188" s="57"/>
      <c r="V188" s="57"/>
      <c r="W188" s="81"/>
      <c r="X188" s="83"/>
      <c r="Y188" s="83"/>
      <c r="Z188" s="81"/>
      <c r="AA188" s="84"/>
      <c r="AB188" s="84"/>
      <c r="AC188" s="74"/>
      <c r="AD188" s="84"/>
      <c r="AE188" s="84"/>
      <c r="AF188" s="84"/>
      <c r="AG188" s="81"/>
    </row>
    <row r="189" spans="1:33">
      <c r="A189" s="75"/>
      <c r="B189" s="76"/>
      <c r="C189" s="76"/>
      <c r="D189" s="76"/>
      <c r="E189" s="80"/>
      <c r="F189" s="80"/>
      <c r="G189" s="76"/>
      <c r="H189" s="81"/>
      <c r="I189" s="81"/>
      <c r="J189" s="81"/>
      <c r="K189" s="80"/>
      <c r="L189" s="74"/>
      <c r="M189" s="74"/>
      <c r="N189" s="74"/>
      <c r="O189" s="74"/>
      <c r="P189" s="76"/>
      <c r="Q189" s="76"/>
      <c r="R189" s="81"/>
      <c r="S189" s="81"/>
      <c r="T189" s="57"/>
      <c r="U189" s="57"/>
      <c r="V189" s="57"/>
      <c r="W189" s="81"/>
      <c r="X189" s="83"/>
      <c r="Y189" s="83"/>
      <c r="Z189" s="81"/>
      <c r="AA189" s="84"/>
      <c r="AB189" s="84"/>
      <c r="AC189" s="74"/>
      <c r="AD189" s="84"/>
      <c r="AE189" s="84"/>
      <c r="AF189" s="84"/>
      <c r="AG189" s="81"/>
    </row>
    <row r="190" spans="1:33">
      <c r="A190" s="75"/>
      <c r="B190" s="76"/>
      <c r="C190" s="76"/>
      <c r="D190" s="76"/>
      <c r="E190" s="80"/>
      <c r="F190" s="80"/>
      <c r="G190" s="76"/>
      <c r="H190" s="81"/>
      <c r="I190" s="81"/>
      <c r="J190" s="81"/>
      <c r="K190" s="80"/>
      <c r="L190" s="74"/>
      <c r="M190" s="74"/>
      <c r="N190" s="74"/>
      <c r="O190" s="74"/>
      <c r="P190" s="76"/>
      <c r="Q190" s="76"/>
      <c r="R190" s="81"/>
      <c r="S190" s="81"/>
      <c r="T190" s="57"/>
      <c r="U190" s="57"/>
      <c r="V190" s="57"/>
      <c r="W190" s="81"/>
      <c r="X190" s="83"/>
      <c r="Y190" s="83"/>
      <c r="Z190" s="81"/>
      <c r="AA190" s="84"/>
      <c r="AB190" s="84"/>
      <c r="AC190" s="74"/>
      <c r="AD190" s="84"/>
      <c r="AE190" s="84"/>
      <c r="AF190" s="84"/>
      <c r="AG190" s="81"/>
    </row>
    <row r="191" spans="1:33">
      <c r="A191" s="75"/>
      <c r="B191" s="76"/>
      <c r="C191" s="76"/>
      <c r="D191" s="76"/>
      <c r="E191" s="80"/>
      <c r="F191" s="80"/>
      <c r="G191" s="76"/>
      <c r="H191" s="81"/>
      <c r="I191" s="81"/>
      <c r="J191" s="81"/>
      <c r="K191" s="80"/>
      <c r="L191" s="74"/>
      <c r="M191" s="74"/>
      <c r="N191" s="74"/>
      <c r="O191" s="74"/>
      <c r="P191" s="76"/>
      <c r="Q191" s="76"/>
      <c r="R191" s="81"/>
      <c r="S191" s="81"/>
      <c r="T191" s="57"/>
      <c r="U191" s="57"/>
      <c r="V191" s="57"/>
      <c r="W191" s="81"/>
      <c r="X191" s="83"/>
      <c r="Y191" s="83"/>
      <c r="Z191" s="81"/>
      <c r="AA191" s="84"/>
      <c r="AB191" s="84"/>
      <c r="AC191" s="74"/>
      <c r="AD191" s="84"/>
      <c r="AE191" s="84"/>
      <c r="AF191" s="84"/>
      <c r="AG191" s="81"/>
    </row>
    <row r="192" spans="1:33">
      <c r="A192" s="75"/>
      <c r="B192" s="76"/>
      <c r="C192" s="76"/>
      <c r="D192" s="76"/>
      <c r="E192" s="80"/>
      <c r="F192" s="80"/>
      <c r="G192" s="76"/>
      <c r="H192" s="81"/>
      <c r="I192" s="81"/>
      <c r="J192" s="81"/>
      <c r="K192" s="80"/>
      <c r="L192" s="74"/>
      <c r="M192" s="74"/>
      <c r="N192" s="74"/>
      <c r="O192" s="74"/>
      <c r="P192" s="76"/>
      <c r="Q192" s="76"/>
      <c r="R192" s="81"/>
      <c r="S192" s="81"/>
      <c r="T192" s="57"/>
      <c r="U192" s="57"/>
      <c r="V192" s="57"/>
      <c r="W192" s="81"/>
      <c r="X192" s="83"/>
      <c r="Y192" s="83"/>
      <c r="Z192" s="81"/>
      <c r="AA192" s="84"/>
      <c r="AB192" s="84"/>
      <c r="AC192" s="74"/>
      <c r="AD192" s="84"/>
      <c r="AE192" s="84"/>
      <c r="AF192" s="84"/>
      <c r="AG192" s="81"/>
    </row>
    <row r="193" spans="1:33">
      <c r="A193" s="75"/>
      <c r="B193" s="76"/>
      <c r="C193" s="76"/>
      <c r="D193" s="76"/>
      <c r="E193" s="80"/>
      <c r="F193" s="80"/>
      <c r="G193" s="76"/>
      <c r="H193" s="81"/>
      <c r="I193" s="81"/>
      <c r="J193" s="81"/>
      <c r="K193" s="80"/>
      <c r="L193" s="74"/>
      <c r="M193" s="74"/>
      <c r="N193" s="74"/>
      <c r="O193" s="74"/>
      <c r="P193" s="76"/>
      <c r="Q193" s="76"/>
      <c r="R193" s="81"/>
      <c r="S193" s="81"/>
      <c r="T193" s="57"/>
      <c r="U193" s="57"/>
      <c r="V193" s="57"/>
      <c r="W193" s="81"/>
      <c r="X193" s="83"/>
      <c r="Y193" s="83"/>
      <c r="Z193" s="81"/>
      <c r="AA193" s="84"/>
      <c r="AB193" s="84"/>
      <c r="AC193" s="74"/>
      <c r="AD193" s="84"/>
      <c r="AE193" s="84"/>
      <c r="AF193" s="84"/>
      <c r="AG193" s="81"/>
    </row>
    <row r="194" spans="1:33">
      <c r="A194" s="75"/>
      <c r="B194" s="76"/>
      <c r="C194" s="76"/>
      <c r="D194" s="76"/>
      <c r="E194" s="80"/>
      <c r="F194" s="80"/>
      <c r="G194" s="76"/>
      <c r="H194" s="81"/>
      <c r="I194" s="81"/>
      <c r="J194" s="81"/>
      <c r="K194" s="80"/>
      <c r="L194" s="74"/>
      <c r="M194" s="74"/>
      <c r="N194" s="74"/>
      <c r="O194" s="74"/>
      <c r="P194" s="76"/>
      <c r="Q194" s="76"/>
      <c r="R194" s="81"/>
      <c r="S194" s="81"/>
      <c r="T194" s="57"/>
      <c r="U194" s="57"/>
      <c r="V194" s="57"/>
      <c r="W194" s="81"/>
      <c r="X194" s="83"/>
      <c r="Y194" s="83"/>
      <c r="Z194" s="81"/>
      <c r="AA194" s="84"/>
      <c r="AB194" s="84"/>
      <c r="AC194" s="74"/>
      <c r="AD194" s="84"/>
      <c r="AE194" s="84"/>
      <c r="AF194" s="84"/>
      <c r="AG194" s="81"/>
    </row>
    <row r="195" spans="1:33">
      <c r="A195" s="75"/>
      <c r="B195" s="76"/>
      <c r="C195" s="76"/>
      <c r="D195" s="76"/>
      <c r="E195" s="80"/>
      <c r="F195" s="80"/>
      <c r="G195" s="76"/>
      <c r="H195" s="81"/>
      <c r="I195" s="81"/>
      <c r="J195" s="81"/>
      <c r="K195" s="80"/>
      <c r="L195" s="74"/>
      <c r="M195" s="74"/>
      <c r="N195" s="74"/>
      <c r="O195" s="74"/>
      <c r="P195" s="76"/>
      <c r="Q195" s="76"/>
      <c r="R195" s="81"/>
      <c r="S195" s="81"/>
      <c r="T195" s="57"/>
      <c r="U195" s="57"/>
      <c r="V195" s="57"/>
      <c r="W195" s="81"/>
      <c r="X195" s="83"/>
      <c r="Y195" s="83"/>
      <c r="Z195" s="81"/>
      <c r="AA195" s="84"/>
      <c r="AB195" s="84"/>
      <c r="AC195" s="74"/>
      <c r="AD195" s="84"/>
      <c r="AE195" s="84"/>
      <c r="AF195" s="84"/>
      <c r="AG195" s="81"/>
    </row>
    <row r="196" spans="1:33">
      <c r="A196" s="75"/>
      <c r="B196" s="76"/>
      <c r="C196" s="76"/>
      <c r="D196" s="76"/>
      <c r="E196" s="80"/>
      <c r="F196" s="80"/>
      <c r="G196" s="76"/>
      <c r="H196" s="81"/>
      <c r="I196" s="81"/>
      <c r="J196" s="81"/>
      <c r="K196" s="80"/>
      <c r="L196" s="74"/>
      <c r="M196" s="74"/>
      <c r="N196" s="74"/>
      <c r="O196" s="74"/>
      <c r="P196" s="76"/>
      <c r="Q196" s="76"/>
      <c r="R196" s="81"/>
      <c r="S196" s="81"/>
      <c r="T196" s="57"/>
      <c r="U196" s="57"/>
      <c r="V196" s="57"/>
      <c r="W196" s="81"/>
      <c r="X196" s="83"/>
      <c r="Y196" s="83"/>
      <c r="Z196" s="81"/>
      <c r="AA196" s="84"/>
      <c r="AB196" s="84"/>
      <c r="AC196" s="74"/>
      <c r="AD196" s="84"/>
      <c r="AE196" s="84"/>
      <c r="AF196" s="84"/>
      <c r="AG196" s="81"/>
    </row>
    <row r="197" spans="1:33">
      <c r="A197" s="75"/>
      <c r="B197" s="76"/>
      <c r="C197" s="76"/>
      <c r="D197" s="76"/>
      <c r="E197" s="80"/>
      <c r="F197" s="80"/>
      <c r="G197" s="76"/>
      <c r="H197" s="81"/>
      <c r="I197" s="81"/>
      <c r="J197" s="81"/>
      <c r="K197" s="80"/>
      <c r="L197" s="74"/>
      <c r="M197" s="74"/>
      <c r="N197" s="74"/>
      <c r="O197" s="74"/>
      <c r="P197" s="76"/>
      <c r="Q197" s="76"/>
      <c r="R197" s="81"/>
      <c r="S197" s="81"/>
      <c r="T197" s="57"/>
      <c r="U197" s="57"/>
      <c r="V197" s="57"/>
      <c r="W197" s="81"/>
      <c r="X197" s="83"/>
      <c r="Y197" s="83"/>
      <c r="Z197" s="81"/>
      <c r="AA197" s="84"/>
      <c r="AB197" s="84"/>
      <c r="AC197" s="74"/>
      <c r="AD197" s="84"/>
      <c r="AE197" s="84"/>
      <c r="AF197" s="84"/>
      <c r="AG197" s="81"/>
    </row>
    <row r="198" spans="1:33">
      <c r="A198" s="75" t="s">
        <v>84</v>
      </c>
      <c r="B198" s="76"/>
      <c r="C198" s="76"/>
      <c r="D198" s="76"/>
      <c r="E198" s="80"/>
      <c r="F198" s="80"/>
      <c r="G198" s="76"/>
      <c r="H198" s="81"/>
      <c r="I198" s="81"/>
      <c r="J198" s="81"/>
      <c r="K198" s="80"/>
      <c r="L198" s="74"/>
      <c r="M198" s="74"/>
      <c r="N198" s="74"/>
      <c r="O198" s="74"/>
      <c r="P198" s="76"/>
      <c r="Q198" s="76"/>
      <c r="R198" s="81"/>
      <c r="S198" s="81"/>
      <c r="T198" s="57"/>
      <c r="U198" s="57"/>
      <c r="V198" s="57"/>
      <c r="W198" s="81"/>
      <c r="X198" s="83"/>
      <c r="Y198" s="83"/>
      <c r="Z198" s="81"/>
      <c r="AA198" s="84"/>
      <c r="AB198" s="84"/>
      <c r="AC198" s="74"/>
      <c r="AD198" s="84"/>
      <c r="AE198" s="84"/>
      <c r="AF198" s="84"/>
      <c r="AG198" s="81"/>
    </row>
    <row r="199" spans="1:33">
      <c r="A199" s="75"/>
      <c r="B199" s="76"/>
      <c r="C199" s="76"/>
      <c r="D199" s="76"/>
      <c r="E199" s="80"/>
      <c r="F199" s="80"/>
      <c r="G199" s="76"/>
      <c r="H199" s="81"/>
      <c r="I199" s="81"/>
      <c r="J199" s="81"/>
      <c r="K199" s="80"/>
      <c r="L199" s="74"/>
      <c r="M199" s="74"/>
      <c r="N199" s="74"/>
      <c r="O199" s="74"/>
      <c r="P199" s="76"/>
      <c r="Q199" s="76"/>
      <c r="R199" s="81"/>
      <c r="S199" s="81"/>
      <c r="T199" s="57"/>
      <c r="U199" s="57"/>
      <c r="V199" s="57"/>
      <c r="W199" s="81"/>
      <c r="X199" s="83"/>
      <c r="Y199" s="83"/>
      <c r="Z199" s="81"/>
      <c r="AA199" s="84"/>
      <c r="AB199" s="84"/>
      <c r="AC199" s="74"/>
      <c r="AD199" s="84"/>
      <c r="AE199" s="84"/>
      <c r="AF199" s="84"/>
      <c r="AG199" s="81"/>
    </row>
    <row r="200" spans="1:33">
      <c r="A200" s="75"/>
      <c r="B200" s="76"/>
      <c r="C200" s="76"/>
      <c r="D200" s="76"/>
      <c r="E200" s="80"/>
      <c r="F200" s="80"/>
      <c r="G200" s="76"/>
      <c r="H200" s="81"/>
      <c r="I200" s="81"/>
      <c r="J200" s="81"/>
      <c r="K200" s="80"/>
      <c r="L200" s="74"/>
      <c r="M200" s="74"/>
      <c r="N200" s="74"/>
      <c r="O200" s="74"/>
      <c r="P200" s="76"/>
      <c r="Q200" s="76"/>
      <c r="R200" s="81"/>
      <c r="S200" s="81"/>
      <c r="T200" s="57"/>
      <c r="U200" s="57"/>
      <c r="V200" s="57"/>
      <c r="W200" s="81"/>
      <c r="X200" s="83"/>
      <c r="Y200" s="83"/>
      <c r="Z200" s="81"/>
      <c r="AA200" s="84"/>
      <c r="AB200" s="84"/>
      <c r="AC200" s="74"/>
      <c r="AD200" s="84"/>
      <c r="AE200" s="84"/>
      <c r="AF200" s="84"/>
      <c r="AG200" s="81"/>
    </row>
    <row r="201" spans="1:33">
      <c r="A201" s="75"/>
      <c r="B201" s="76"/>
      <c r="C201" s="76"/>
      <c r="D201" s="76"/>
      <c r="E201" s="80"/>
      <c r="F201" s="80"/>
      <c r="G201" s="76"/>
      <c r="H201" s="81"/>
      <c r="I201" s="81"/>
      <c r="J201" s="81"/>
      <c r="K201" s="80"/>
      <c r="L201" s="74"/>
      <c r="M201" s="74"/>
      <c r="N201" s="74"/>
      <c r="O201" s="74"/>
      <c r="P201" s="76"/>
      <c r="Q201" s="76"/>
      <c r="R201" s="81"/>
      <c r="S201" s="81"/>
      <c r="T201" s="57"/>
      <c r="U201" s="57"/>
      <c r="V201" s="57"/>
      <c r="W201" s="81"/>
      <c r="X201" s="83"/>
      <c r="Y201" s="83"/>
      <c r="Z201" s="81"/>
      <c r="AA201" s="84"/>
      <c r="AB201" s="84"/>
      <c r="AC201" s="74"/>
      <c r="AD201" s="84"/>
      <c r="AE201" s="84"/>
      <c r="AF201" s="84"/>
      <c r="AG201" s="81"/>
    </row>
    <row r="202" spans="1:33">
      <c r="A202" s="75"/>
      <c r="B202" s="76"/>
      <c r="C202" s="76"/>
      <c r="D202" s="76"/>
      <c r="E202" s="80"/>
      <c r="F202" s="80"/>
      <c r="G202" s="76"/>
      <c r="H202" s="81"/>
      <c r="I202" s="81"/>
      <c r="J202" s="81"/>
      <c r="K202" s="80"/>
      <c r="L202" s="74"/>
      <c r="M202" s="74"/>
      <c r="N202" s="74"/>
      <c r="O202" s="74"/>
      <c r="P202" s="76"/>
      <c r="Q202" s="76"/>
      <c r="R202" s="81"/>
      <c r="S202" s="81"/>
      <c r="T202" s="57"/>
      <c r="U202" s="57"/>
      <c r="V202" s="57"/>
      <c r="W202" s="81"/>
      <c r="X202" s="83"/>
      <c r="Y202" s="83"/>
      <c r="Z202" s="81"/>
      <c r="AA202" s="84"/>
      <c r="AB202" s="84"/>
      <c r="AC202" s="74"/>
      <c r="AD202" s="84"/>
      <c r="AE202" s="84"/>
      <c r="AF202" s="84"/>
      <c r="AG202" s="81"/>
    </row>
    <row r="203" spans="1:33">
      <c r="A203" s="75"/>
      <c r="B203" s="76"/>
      <c r="C203" s="76"/>
      <c r="D203" s="76"/>
      <c r="E203" s="80"/>
      <c r="F203" s="80"/>
      <c r="G203" s="76"/>
      <c r="H203" s="81"/>
      <c r="I203" s="81"/>
      <c r="J203" s="81"/>
      <c r="K203" s="80"/>
      <c r="L203" s="74"/>
      <c r="M203" s="74"/>
      <c r="N203" s="74"/>
      <c r="O203" s="74"/>
      <c r="P203" s="76"/>
      <c r="Q203" s="76"/>
      <c r="R203" s="81"/>
      <c r="S203" s="81"/>
      <c r="T203" s="57"/>
      <c r="U203" s="57"/>
      <c r="V203" s="57"/>
      <c r="W203" s="81"/>
      <c r="X203" s="83"/>
      <c r="Y203" s="83"/>
      <c r="Z203" s="81"/>
      <c r="AA203" s="84"/>
      <c r="AB203" s="84"/>
      <c r="AC203" s="74"/>
      <c r="AD203" s="84"/>
      <c r="AE203" s="84"/>
      <c r="AF203" s="84"/>
      <c r="AG203" s="81"/>
    </row>
    <row r="204" spans="1:33">
      <c r="A204" s="75"/>
      <c r="B204" s="76"/>
      <c r="C204" s="76"/>
      <c r="D204" s="76"/>
      <c r="E204" s="80"/>
      <c r="F204" s="80"/>
      <c r="G204" s="76"/>
      <c r="H204" s="81"/>
      <c r="I204" s="81"/>
      <c r="J204" s="81"/>
      <c r="K204" s="80"/>
      <c r="L204" s="74"/>
      <c r="M204" s="74"/>
      <c r="N204" s="74"/>
      <c r="O204" s="74"/>
      <c r="P204" s="76"/>
      <c r="Q204" s="76"/>
      <c r="R204" s="81"/>
      <c r="S204" s="81"/>
      <c r="T204" s="57"/>
      <c r="U204" s="57"/>
      <c r="V204" s="57"/>
      <c r="W204" s="81"/>
      <c r="X204" s="83"/>
      <c r="Y204" s="83"/>
      <c r="Z204" s="81"/>
      <c r="AA204" s="84"/>
      <c r="AB204" s="84"/>
      <c r="AC204" s="74"/>
      <c r="AD204" s="84"/>
      <c r="AE204" s="84"/>
      <c r="AF204" s="84"/>
      <c r="AG204" s="81"/>
    </row>
    <row r="205" spans="1:33">
      <c r="A205" s="75"/>
      <c r="B205" s="76"/>
      <c r="C205" s="76"/>
      <c r="D205" s="76"/>
      <c r="E205" s="80"/>
      <c r="F205" s="80"/>
      <c r="G205" s="76"/>
      <c r="H205" s="81"/>
      <c r="I205" s="81"/>
      <c r="J205" s="81"/>
      <c r="K205" s="80"/>
      <c r="L205" s="74"/>
      <c r="M205" s="74"/>
      <c r="N205" s="74"/>
      <c r="O205" s="74"/>
      <c r="P205" s="76"/>
      <c r="Q205" s="76"/>
      <c r="R205" s="81"/>
      <c r="S205" s="81"/>
      <c r="T205" s="57"/>
      <c r="U205" s="57"/>
      <c r="V205" s="57"/>
      <c r="W205" s="81"/>
      <c r="X205" s="83"/>
      <c r="Y205" s="83"/>
      <c r="Z205" s="81"/>
      <c r="AA205" s="84"/>
      <c r="AB205" s="84"/>
      <c r="AC205" s="74"/>
      <c r="AD205" s="84"/>
      <c r="AE205" s="84"/>
      <c r="AF205" s="84"/>
      <c r="AG205" s="81"/>
    </row>
    <row r="206" spans="1:33">
      <c r="A206" s="75" t="s">
        <v>85</v>
      </c>
      <c r="B206" s="76"/>
      <c r="C206" s="76"/>
      <c r="D206" s="76"/>
      <c r="E206" s="80"/>
      <c r="F206" s="80"/>
      <c r="G206" s="76"/>
      <c r="H206" s="81"/>
      <c r="I206" s="81"/>
      <c r="J206" s="81"/>
      <c r="K206" s="80"/>
      <c r="L206" s="74"/>
      <c r="M206" s="74"/>
      <c r="N206" s="74"/>
      <c r="O206" s="74"/>
      <c r="P206" s="76"/>
      <c r="Q206" s="76"/>
      <c r="R206" s="81"/>
      <c r="S206" s="81"/>
      <c r="T206" s="57"/>
      <c r="U206" s="57"/>
      <c r="V206" s="57"/>
      <c r="W206" s="81"/>
      <c r="X206" s="83"/>
      <c r="Y206" s="83"/>
      <c r="Z206" s="81"/>
      <c r="AA206" s="84"/>
      <c r="AB206" s="84"/>
      <c r="AC206" s="74"/>
      <c r="AD206" s="84"/>
      <c r="AE206" s="84"/>
      <c r="AF206" s="84"/>
      <c r="AG206" s="81"/>
    </row>
    <row r="207" spans="1:33">
      <c r="A207" s="75"/>
      <c r="B207" s="76"/>
      <c r="C207" s="76"/>
      <c r="D207" s="76"/>
      <c r="E207" s="80"/>
      <c r="F207" s="80"/>
      <c r="G207" s="76"/>
      <c r="H207" s="81"/>
      <c r="I207" s="81"/>
      <c r="J207" s="81"/>
      <c r="K207" s="80"/>
      <c r="L207" s="74"/>
      <c r="M207" s="74"/>
      <c r="N207" s="74"/>
      <c r="O207" s="74"/>
      <c r="P207" s="76"/>
      <c r="Q207" s="76"/>
      <c r="R207" s="81"/>
      <c r="S207" s="81"/>
      <c r="T207" s="57"/>
      <c r="U207" s="57"/>
      <c r="V207" s="57"/>
      <c r="W207" s="81"/>
      <c r="X207" s="83"/>
      <c r="Y207" s="83"/>
      <c r="Z207" s="81"/>
      <c r="AA207" s="84"/>
      <c r="AB207" s="84"/>
      <c r="AC207" s="74"/>
      <c r="AD207" s="84"/>
      <c r="AE207" s="84"/>
      <c r="AF207" s="84"/>
      <c r="AG207" s="81"/>
    </row>
    <row r="208" spans="1:33">
      <c r="A208" s="75"/>
      <c r="B208" s="76"/>
      <c r="C208" s="76"/>
      <c r="D208" s="76"/>
      <c r="E208" s="80"/>
      <c r="F208" s="80"/>
      <c r="G208" s="76"/>
      <c r="H208" s="81"/>
      <c r="I208" s="81"/>
      <c r="J208" s="81"/>
      <c r="K208" s="80"/>
      <c r="L208" s="74"/>
      <c r="M208" s="74"/>
      <c r="N208" s="74"/>
      <c r="O208" s="74"/>
      <c r="P208" s="76"/>
      <c r="Q208" s="76"/>
      <c r="R208" s="81"/>
      <c r="S208" s="81"/>
      <c r="T208" s="57"/>
      <c r="U208" s="57"/>
      <c r="V208" s="57"/>
      <c r="W208" s="81"/>
      <c r="X208" s="83"/>
      <c r="Y208" s="83"/>
      <c r="Z208" s="81"/>
      <c r="AA208" s="84"/>
      <c r="AB208" s="84"/>
      <c r="AC208" s="74"/>
      <c r="AD208" s="84"/>
      <c r="AE208" s="84"/>
      <c r="AF208" s="84"/>
      <c r="AG208" s="81"/>
    </row>
    <row r="209" spans="1:33">
      <c r="A209" s="75"/>
      <c r="B209" s="76"/>
      <c r="C209" s="76"/>
      <c r="D209" s="76"/>
      <c r="E209" s="80"/>
      <c r="F209" s="80"/>
      <c r="G209" s="76"/>
      <c r="H209" s="81"/>
      <c r="I209" s="81"/>
      <c r="J209" s="81"/>
      <c r="K209" s="80"/>
      <c r="L209" s="74"/>
      <c r="M209" s="74"/>
      <c r="N209" s="74"/>
      <c r="O209" s="74"/>
      <c r="P209" s="76"/>
      <c r="Q209" s="76"/>
      <c r="R209" s="81"/>
      <c r="S209" s="81"/>
      <c r="T209" s="57"/>
      <c r="U209" s="57"/>
      <c r="V209" s="57"/>
      <c r="W209" s="81"/>
      <c r="X209" s="83"/>
      <c r="Y209" s="83"/>
      <c r="Z209" s="81"/>
      <c r="AA209" s="84"/>
      <c r="AB209" s="84"/>
      <c r="AC209" s="74"/>
      <c r="AD209" s="84"/>
      <c r="AE209" s="84"/>
      <c r="AF209" s="84"/>
      <c r="AG209" s="81"/>
    </row>
    <row r="210" spans="1:33">
      <c r="A210" s="75"/>
      <c r="B210" s="76"/>
      <c r="C210" s="76"/>
      <c r="D210" s="76"/>
      <c r="E210" s="80"/>
      <c r="F210" s="80"/>
      <c r="G210" s="76"/>
      <c r="H210" s="81"/>
      <c r="I210" s="81"/>
      <c r="J210" s="81"/>
      <c r="K210" s="80"/>
      <c r="L210" s="74"/>
      <c r="M210" s="74"/>
      <c r="N210" s="74"/>
      <c r="O210" s="74"/>
      <c r="P210" s="76"/>
      <c r="Q210" s="76"/>
      <c r="R210" s="81"/>
      <c r="S210" s="81"/>
      <c r="T210" s="57"/>
      <c r="U210" s="57"/>
      <c r="V210" s="57"/>
      <c r="W210" s="81"/>
      <c r="X210" s="83"/>
      <c r="Y210" s="83"/>
      <c r="Z210" s="81"/>
      <c r="AA210" s="84"/>
      <c r="AB210" s="84"/>
      <c r="AC210" s="74"/>
      <c r="AD210" s="84"/>
      <c r="AE210" s="84"/>
      <c r="AF210" s="84"/>
      <c r="AG210" s="81"/>
    </row>
    <row r="211" spans="1:33">
      <c r="A211" s="75"/>
      <c r="B211" s="76"/>
      <c r="C211" s="76"/>
      <c r="D211" s="76"/>
      <c r="E211" s="80"/>
      <c r="F211" s="80"/>
      <c r="G211" s="76"/>
      <c r="H211" s="81"/>
      <c r="I211" s="81"/>
      <c r="J211" s="81"/>
      <c r="K211" s="80"/>
      <c r="L211" s="74"/>
      <c r="M211" s="74"/>
      <c r="N211" s="74"/>
      <c r="O211" s="74"/>
      <c r="P211" s="76"/>
      <c r="Q211" s="76"/>
      <c r="R211" s="81"/>
      <c r="S211" s="81"/>
      <c r="T211" s="57"/>
      <c r="U211" s="57"/>
      <c r="V211" s="57"/>
      <c r="W211" s="81"/>
      <c r="X211" s="83"/>
      <c r="Y211" s="83"/>
      <c r="Z211" s="81"/>
      <c r="AA211" s="84"/>
      <c r="AB211" s="84"/>
      <c r="AC211" s="74"/>
      <c r="AD211" s="84"/>
      <c r="AE211" s="84"/>
      <c r="AF211" s="84"/>
      <c r="AG211" s="81"/>
    </row>
    <row r="212" spans="1:33">
      <c r="A212" s="75"/>
      <c r="B212" s="76"/>
      <c r="C212" s="76"/>
      <c r="D212" s="76"/>
      <c r="E212" s="80"/>
      <c r="F212" s="80"/>
      <c r="G212" s="76"/>
      <c r="H212" s="81"/>
      <c r="I212" s="81"/>
      <c r="J212" s="81"/>
      <c r="K212" s="80"/>
      <c r="L212" s="74"/>
      <c r="M212" s="74"/>
      <c r="N212" s="74"/>
      <c r="O212" s="74"/>
      <c r="P212" s="76"/>
      <c r="Q212" s="76"/>
      <c r="R212" s="81"/>
      <c r="S212" s="81"/>
      <c r="T212" s="57"/>
      <c r="U212" s="57"/>
      <c r="V212" s="57"/>
      <c r="W212" s="81"/>
      <c r="X212" s="83"/>
      <c r="Y212" s="83"/>
      <c r="Z212" s="81"/>
      <c r="AA212" s="84"/>
      <c r="AB212" s="84"/>
      <c r="AC212" s="74"/>
      <c r="AD212" s="84"/>
      <c r="AE212" s="84"/>
      <c r="AF212" s="84"/>
      <c r="AG212" s="81"/>
    </row>
    <row r="213" spans="1:33">
      <c r="A213" s="75"/>
      <c r="B213" s="76"/>
      <c r="C213" s="76"/>
      <c r="D213" s="76"/>
      <c r="E213" s="80"/>
      <c r="F213" s="80"/>
      <c r="G213" s="76"/>
      <c r="H213" s="81"/>
      <c r="I213" s="81"/>
      <c r="J213" s="81"/>
      <c r="K213" s="80"/>
      <c r="L213" s="74"/>
      <c r="M213" s="74"/>
      <c r="N213" s="74"/>
      <c r="O213" s="74"/>
      <c r="P213" s="76"/>
      <c r="Q213" s="76"/>
      <c r="R213" s="81"/>
      <c r="S213" s="81"/>
      <c r="T213" s="57"/>
      <c r="U213" s="57"/>
      <c r="V213" s="57"/>
      <c r="W213" s="81"/>
      <c r="X213" s="83"/>
      <c r="Y213" s="83"/>
      <c r="Z213" s="81"/>
      <c r="AA213" s="84"/>
      <c r="AB213" s="84"/>
      <c r="AC213" s="74"/>
      <c r="AD213" s="84"/>
      <c r="AE213" s="84"/>
      <c r="AF213" s="84"/>
      <c r="AG213" s="81"/>
    </row>
    <row r="214" spans="1:33">
      <c r="A214" s="75"/>
      <c r="B214" s="76"/>
      <c r="C214" s="76"/>
      <c r="D214" s="76"/>
      <c r="E214" s="80"/>
      <c r="F214" s="80"/>
      <c r="G214" s="76"/>
      <c r="H214" s="81"/>
      <c r="I214" s="81"/>
      <c r="J214" s="81"/>
      <c r="K214" s="80"/>
      <c r="L214" s="74"/>
      <c r="M214" s="74"/>
      <c r="N214" s="74"/>
      <c r="O214" s="74"/>
      <c r="P214" s="76"/>
      <c r="Q214" s="76"/>
      <c r="R214" s="81"/>
      <c r="S214" s="81"/>
      <c r="T214" s="57"/>
      <c r="U214" s="57"/>
      <c r="V214" s="57"/>
      <c r="W214" s="81"/>
      <c r="X214" s="83"/>
      <c r="Y214" s="83"/>
      <c r="Z214" s="81"/>
      <c r="AA214" s="84"/>
      <c r="AB214" s="84"/>
      <c r="AC214" s="74"/>
      <c r="AD214" s="84"/>
      <c r="AE214" s="84"/>
      <c r="AF214" s="84"/>
      <c r="AG214" s="81"/>
    </row>
    <row r="215" spans="1:1">
      <c r="A215" s="85" t="s">
        <v>86</v>
      </c>
    </row>
    <row r="216" spans="1:1">
      <c r="A216" s="85"/>
    </row>
    <row r="217" spans="1:1">
      <c r="A217" s="85"/>
    </row>
    <row r="218" spans="1:1">
      <c r="A218" s="85"/>
    </row>
    <row r="219" spans="1:1">
      <c r="A219" s="85"/>
    </row>
    <row r="220" spans="1:1">
      <c r="A220" s="85"/>
    </row>
    <row r="221" spans="1:1">
      <c r="A221" s="85"/>
    </row>
  </sheetData>
  <mergeCells count="87">
    <mergeCell ref="A1:A2"/>
    <mergeCell ref="A3:A16"/>
    <mergeCell ref="A17:A30"/>
    <mergeCell ref="A31:A44"/>
    <mergeCell ref="A45:A55"/>
    <mergeCell ref="A56:A65"/>
    <mergeCell ref="A66:A75"/>
    <mergeCell ref="A76:A85"/>
    <mergeCell ref="A86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5"/>
    <mergeCell ref="A186:A197"/>
    <mergeCell ref="A198:A205"/>
    <mergeCell ref="A206:A214"/>
    <mergeCell ref="A215:A221"/>
    <mergeCell ref="B1:B2"/>
    <mergeCell ref="C1:C2"/>
    <mergeCell ref="C3:C16"/>
    <mergeCell ref="C17:C30"/>
    <mergeCell ref="C31:C44"/>
    <mergeCell ref="C45:C55"/>
    <mergeCell ref="C56:C65"/>
    <mergeCell ref="C66:C75"/>
    <mergeCell ref="C76:C85"/>
    <mergeCell ref="D1:D2"/>
    <mergeCell ref="D3:D16"/>
    <mergeCell ref="D17:D30"/>
    <mergeCell ref="D31:D44"/>
    <mergeCell ref="D45:D55"/>
    <mergeCell ref="D56:D65"/>
    <mergeCell ref="D66:D75"/>
    <mergeCell ref="D76:D85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Z3:Z16"/>
    <mergeCell ref="AA1:AA2"/>
    <mergeCell ref="AA3:AA16"/>
    <mergeCell ref="AB1:AB2"/>
    <mergeCell ref="AC1:AC2"/>
    <mergeCell ref="AD1:AD2"/>
    <mergeCell ref="AD3:AD16"/>
    <mergeCell ref="AD17:AD30"/>
    <mergeCell ref="AD31:AD44"/>
    <mergeCell ref="AD45:AD55"/>
    <mergeCell ref="AD56:AD65"/>
    <mergeCell ref="AD66:AD75"/>
    <mergeCell ref="AD76:AD85"/>
    <mergeCell ref="AE1:AE2"/>
    <mergeCell ref="AE3:AE16"/>
    <mergeCell ref="AE17:AE30"/>
    <mergeCell ref="AE31:AE44"/>
    <mergeCell ref="AE45:AE55"/>
    <mergeCell ref="AE56:AE65"/>
    <mergeCell ref="AE66:AE75"/>
    <mergeCell ref="AE76:AE85"/>
    <mergeCell ref="AF1:AF2"/>
    <mergeCell ref="AF3:AF85"/>
    <mergeCell ref="AG1:AG2"/>
    <mergeCell ref="AG3:AG8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87</v>
      </c>
      <c r="D1" s="29" t="s">
        <v>88</v>
      </c>
      <c r="E1" s="29" t="s">
        <v>89</v>
      </c>
      <c r="F1" s="28" t="s">
        <v>90</v>
      </c>
      <c r="G1" s="28" t="s">
        <v>91</v>
      </c>
      <c r="H1" s="28" t="s">
        <v>92</v>
      </c>
      <c r="I1" s="28" t="s">
        <v>93</v>
      </c>
      <c r="J1" s="32" t="s">
        <v>94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95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96</v>
      </c>
      <c r="K2" s="34" t="s">
        <v>97</v>
      </c>
      <c r="L2" s="34" t="s">
        <v>98</v>
      </c>
      <c r="M2" s="7" t="s">
        <v>99</v>
      </c>
      <c r="N2" s="7" t="s">
        <v>100</v>
      </c>
      <c r="O2" s="7" t="s">
        <v>101</v>
      </c>
      <c r="P2" s="7" t="s">
        <v>102</v>
      </c>
      <c r="Q2" s="7" t="s">
        <v>103</v>
      </c>
      <c r="R2" s="7" t="s">
        <v>104</v>
      </c>
      <c r="S2" s="34" t="s">
        <v>105</v>
      </c>
      <c r="T2" s="37" t="s">
        <v>106</v>
      </c>
      <c r="U2" s="29" t="s">
        <v>88</v>
      </c>
      <c r="V2" s="29" t="s">
        <v>89</v>
      </c>
      <c r="W2" s="41" t="s">
        <v>107</v>
      </c>
      <c r="X2" s="42" t="s">
        <v>90</v>
      </c>
      <c r="Y2" s="2" t="s">
        <v>108</v>
      </c>
      <c r="Z2" s="42" t="s">
        <v>109</v>
      </c>
      <c r="AA2" s="42" t="s">
        <v>110</v>
      </c>
      <c r="AB2" s="42" t="s">
        <v>111</v>
      </c>
      <c r="AC2" s="42" t="s">
        <v>112</v>
      </c>
      <c r="AD2" s="42" t="s">
        <v>113</v>
      </c>
      <c r="AE2" s="42" t="s">
        <v>114</v>
      </c>
      <c r="AF2" s="42" t="s">
        <v>115</v>
      </c>
      <c r="AG2" s="42" t="s">
        <v>116</v>
      </c>
    </row>
    <row r="3" s="25" customFormat="1" spans="1:33">
      <c r="A3" s="6" t="s">
        <v>42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I9" sqref="AI9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117</v>
      </c>
      <c r="D1" s="8" t="s">
        <v>118</v>
      </c>
      <c r="E1" s="8" t="s">
        <v>26</v>
      </c>
      <c r="F1" s="8" t="s">
        <v>119</v>
      </c>
      <c r="G1" s="12" t="s">
        <v>120</v>
      </c>
      <c r="H1" s="6" t="s">
        <v>121</v>
      </c>
      <c r="I1" s="6" t="s">
        <v>122</v>
      </c>
      <c r="J1" s="6" t="s">
        <v>123</v>
      </c>
      <c r="K1" s="6" t="s">
        <v>124</v>
      </c>
      <c r="L1" s="6" t="s">
        <v>125</v>
      </c>
      <c r="M1" s="6" t="s">
        <v>126</v>
      </c>
      <c r="N1" s="14" t="s">
        <v>127</v>
      </c>
      <c r="O1" s="15" t="s">
        <v>128</v>
      </c>
      <c r="P1" s="16" t="s">
        <v>129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130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131</v>
      </c>
      <c r="Q2" s="12" t="s">
        <v>132</v>
      </c>
      <c r="R2" s="12" t="s">
        <v>133</v>
      </c>
      <c r="S2" s="12" t="s">
        <v>134</v>
      </c>
      <c r="T2" s="12" t="s">
        <v>135</v>
      </c>
      <c r="U2" s="12" t="s">
        <v>136</v>
      </c>
      <c r="V2" s="12" t="s">
        <v>137</v>
      </c>
      <c r="W2" s="12" t="s">
        <v>138</v>
      </c>
      <c r="X2" s="12" t="s">
        <v>139</v>
      </c>
      <c r="Y2" s="12" t="s">
        <v>140</v>
      </c>
      <c r="Z2" s="12" t="s">
        <v>141</v>
      </c>
      <c r="AA2" s="12" t="s">
        <v>142</v>
      </c>
      <c r="AB2" s="12" t="s">
        <v>143</v>
      </c>
      <c r="AC2" s="12" t="s">
        <v>144</v>
      </c>
      <c r="AD2" s="12" t="s">
        <v>145</v>
      </c>
      <c r="AE2" s="23" t="s">
        <v>146</v>
      </c>
      <c r="AF2" s="12" t="s">
        <v>147</v>
      </c>
      <c r="AG2" s="12" t="s">
        <v>148</v>
      </c>
      <c r="AH2" s="12" t="s">
        <v>149</v>
      </c>
      <c r="AI2" s="13" t="s">
        <v>150</v>
      </c>
      <c r="AJ2" s="13" t="s">
        <v>151</v>
      </c>
      <c r="AK2" s="13" t="s">
        <v>152</v>
      </c>
    </row>
    <row r="3" spans="1:37">
      <c r="A3" s="6" t="s">
        <v>42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153</v>
      </c>
      <c r="C1" s="1" t="s">
        <v>154</v>
      </c>
      <c r="D1" s="1" t="s">
        <v>155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2024-08-21T17:26:00Z</dcterms:created>
  <dcterms:modified xsi:type="dcterms:W3CDTF">2024-08-24T12:52:46Z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