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<sst xmlns="http://schemas.openxmlformats.org/spreadsheetml/2006/main" count="67" uniqueCount="67">
  <si>
    <t>名称</t>
  </si>
  <si>
    <t>时间</t>
  </si>
  <si>
    <t>每股账面价值</t>
  </si>
  <si>
    <t>每股账面价值
（百分比）</t>
  </si>
  <si>
    <t>股份数</t>
  </si>
  <si>
    <t>总资产</t>
  </si>
  <si>
    <t>所有者权益</t>
  </si>
  <si>
    <t>归母所有者权益</t>
  </si>
  <si>
    <t>有息债务</t>
  </si>
  <si>
    <t>非经营性资产</t>
  </si>
  <si>
    <t>总的有息债务</t>
  </si>
  <si>
    <t>非经营性资产总计</t>
  </si>
  <si>
    <t>权益类</t>
  </si>
  <si>
    <t>现金类</t>
  </si>
  <si>
    <t>总投入资本</t>
  </si>
  <si>
    <t>总投入资本增长率</t>
  </si>
  <si>
    <t>净经营性投入资本</t>
  </si>
  <si>
    <t>净经营性投入资本增长率</t>
  </si>
  <si>
    <t>利润总额</t>
  </si>
  <si>
    <t>营业利润</t>
  </si>
  <si>
    <t>营业利润百分比</t>
  </si>
  <si>
    <t>财务费用</t>
  </si>
  <si>
    <t>投资性资产</t>
  </si>
  <si>
    <t>总现金</t>
  </si>
  <si>
    <t>经营性资产</t>
  </si>
  <si>
    <t>固定资产</t>
  </si>
  <si>
    <t>在建工程合计</t>
  </si>
  <si>
    <t>无形资产</t>
  </si>
  <si>
    <t>净经营息税前利润</t>
  </si>
  <si>
    <t>净经营息税前利润增长率</t>
  </si>
  <si>
    <t>经营利润占总投入资本的比值</t>
  </si>
  <si>
    <t>净经营性投入资本回报率</t>
  </si>
  <si>
    <t>结论</t>
  </si>
  <si>
    <t>保险合同准备金</t>
  </si>
  <si>
    <t>长期借款</t>
  </si>
  <si>
    <t>应付债券</t>
  </si>
  <si>
    <t>租赁负债</t>
  </si>
  <si>
    <t>长期应付款合计</t>
  </si>
  <si>
    <t>短期借款</t>
  </si>
  <si>
    <t>向中央银行借款</t>
  </si>
  <si>
    <t>卖出回购金融资产款</t>
  </si>
  <si>
    <t>吸收存款及同业存放</t>
  </si>
  <si>
    <t>拆入资金</t>
  </si>
  <si>
    <t>以公允价值计量且变动计入当期损益的金融负债</t>
  </si>
  <si>
    <t>衍生金融负债</t>
  </si>
  <si>
    <t>发放贷款和垫款</t>
  </si>
  <si>
    <t>债权投资</t>
  </si>
  <si>
    <t>其他债权投资</t>
  </si>
  <si>
    <t>长期应收款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</si>
  <si>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</si>
  <si>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</si>
  <si>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</si>
  <si>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</si>
  <si>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</si>
  <si>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</si>
  <si>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</si>
  <si>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存放中央银行款项</t>
  </si>
  <si>
    <t>存放同业款项</t>
  </si>
  <si>
    <t>拆出资金</t>
  </si>
  <si>
    <t>交易性金融资产</t>
  </si>
  <si>
    <t>衍生金融资产</t>
  </si>
  <si>
    <t>格力电器</t>
  </si>
  <si>
    <t>美的集团</t>
  </si>
  <si>
    <t>1580771*1000</t>
  </si>
  <si>
    <t>投入资本回报率在25%~40%之间</t>
  </si>
  <si>
    <t>浙江美大</t>
  </si>
  <si>
    <t>2016年后净经营投入资本大量减少，直到2022年才恢复。因此，其净经营投入资本回报率为30%到65%之间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</si>
</sst>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9.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44" borderId="14" applyNumberFormat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9" fillId="37" borderId="14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7" borderId="12" applyNumberFormat="0" applyAlignment="0" applyProtection="0">
      <alignment vertical="center"/>
    </xf>
    <xf numFmtId="0" fontId="20" fillId="37" borderId="15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9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9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0" fontId="0" fillId="0" borderId="3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3" fontId="0" fillId="0" borderId="1" xfId="0" applyNumberFormat="1" applyBorder="1">
      <alignment vertical="center"/>
    </xf>
    <xf numFmtId="44" fontId="0" fillId="5" borderId="5" xfId="0" applyNumberFormat="1" applyFill="1" applyBorder="1" applyAlignment="1">
      <alignment horizontal="center" vertical="center"/>
    </xf>
    <xf numFmtId="44" fontId="0" fillId="5" borderId="6" xfId="0" applyNumberFormat="1" applyFill="1" applyBorder="1" applyAlignment="1">
      <alignment horizontal="center" vertical="center"/>
    </xf>
    <xf numFmtId="0" fontId="1" fillId="5" borderId="0" xfId="0" applyFont="1" applyFill="1">
      <alignment vertical="center"/>
    </xf>
    <xf numFmtId="44" fontId="0" fillId="5" borderId="3" xfId="0" applyNumberFormat="1" applyFill="1" applyBorder="1" applyAlignment="1">
      <alignment horizontal="center" vertical="center"/>
    </xf>
    <xf numFmtId="4" fontId="1" fillId="0" borderId="0" xfId="0" applyNumberFormat="1" applyFont="1">
      <alignment vertical="center"/>
    </xf>
    <xf numFmtId="44" fontId="0" fillId="5" borderId="3" xfId="0" applyNumberFormat="1" applyFill="1" applyBorder="1" applyAlignment="1">
      <alignment vertical="center"/>
    </xf>
    <xf numFmtId="44" fontId="0" fillId="5" borderId="7" xfId="0" applyNumberFormat="1" applyFill="1" applyBorder="1" applyAlignment="1">
      <alignment horizontal="center" vertical="center"/>
    </xf>
    <xf numFmtId="44" fontId="2" fillId="5" borderId="3" xfId="0" applyNumberFormat="1" applyFont="1" applyFill="1" applyBorder="1" applyAlignment="1">
      <alignment horizontal="center" vertical="center"/>
    </xf>
    <xf numFmtId="44" fontId="2" fillId="6" borderId="2" xfId="0" applyNumberFormat="1" applyFont="1" applyFill="1" applyBorder="1" applyAlignment="1">
      <alignment horizontal="center" vertical="center"/>
    </xf>
    <xf numFmtId="44" fontId="0" fillId="3" borderId="2" xfId="0" applyNumberFormat="1" applyFill="1" applyBorder="1" applyAlignment="1">
      <alignment horizontal="center" vertical="center"/>
    </xf>
    <xf numFmtId="44" fontId="2" fillId="6" borderId="3" xfId="0" applyNumberFormat="1" applyFont="1" applyFill="1" applyBorder="1" applyAlignment="1">
      <alignment horizontal="center" vertical="center"/>
    </xf>
    <xf numFmtId="44" fontId="0" fillId="3" borderId="3" xfId="0" applyNumberFormat="1" applyFill="1" applyBorder="1" applyAlignment="1">
      <alignment horizontal="center" vertical="center"/>
    </xf>
    <xf numFmtId="44" fontId="0" fillId="7" borderId="2" xfId="0" applyNumberFormat="1" applyFill="1" applyBorder="1" applyAlignment="1">
      <alignment horizontal="center" vertical="center"/>
    </xf>
    <xf numFmtId="10" fontId="0" fillId="7" borderId="2" xfId="9" applyNumberFormat="1" applyFill="1" applyBorder="1" applyAlignment="1">
      <alignment horizontal="center" vertical="center" wrapText="1"/>
    </xf>
    <xf numFmtId="44" fontId="0" fillId="7" borderId="3" xfId="0" applyNumberFormat="1" applyFill="1" applyBorder="1" applyAlignment="1">
      <alignment horizontal="center" vertical="center"/>
    </xf>
    <xf numFmtId="10" fontId="0" fillId="7" borderId="3" xfId="9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44" fontId="0" fillId="3" borderId="2" xfId="9" applyNumberFormat="1" applyFill="1" applyBorder="1" applyAlignment="1">
      <alignment horizontal="center" vertical="center" wrapText="1"/>
    </xf>
    <xf numFmtId="44" fontId="0" fillId="9" borderId="1" xfId="0" applyNumberForma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44" fontId="2" fillId="10" borderId="1" xfId="0" applyNumberFormat="1" applyFont="1" applyFill="1" applyBorder="1" applyAlignment="1">
      <alignment horizontal="center" vertical="center"/>
    </xf>
    <xf numFmtId="44" fontId="0" fillId="3" borderId="3" xfId="9" applyNumberFormat="1" applyFill="1" applyBorder="1" applyAlignment="1">
      <alignment horizontal="center" vertical="center" wrapText="1"/>
    </xf>
    <xf numFmtId="44" fontId="0" fillId="11" borderId="1" xfId="0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44" fontId="0" fillId="16" borderId="1" xfId="0" applyNumberFormat="1" applyFill="1" applyBorder="1" applyAlignment="1">
      <alignment horizontal="center" vertical="center"/>
    </xf>
    <xf numFmtId="44" fontId="0" fillId="16" borderId="2" xfId="0" applyNumberFormat="1" applyFill="1" applyBorder="1" applyAlignment="1">
      <alignment horizontal="center" vertical="center"/>
    </xf>
    <xf numFmtId="10" fontId="0" fillId="16" borderId="2" xfId="9" applyNumberFormat="1" applyFill="1" applyBorder="1" applyAlignment="1">
      <alignment horizontal="center" vertical="center"/>
    </xf>
    <xf numFmtId="44" fontId="0" fillId="16" borderId="3" xfId="0" applyNumberFormat="1" applyFill="1" applyBorder="1" applyAlignment="1">
      <alignment horizontal="center" vertical="center"/>
    </xf>
    <xf numFmtId="10" fontId="0" fillId="16" borderId="3" xfId="9" applyNumberFormat="1" applyFill="1" applyBorder="1" applyAlignment="1">
      <alignment horizontal="center" vertical="center"/>
    </xf>
    <xf numFmtId="10" fontId="0" fillId="16" borderId="2" xfId="9" applyNumberFormat="1" applyFill="1" applyBorder="1" applyAlignment="1">
      <alignment horizontal="center" vertical="center"/>
    </xf>
    <xf numFmtId="10" fontId="0" fillId="16" borderId="3" xfId="9" applyNumberFormat="1" applyFill="1" applyBorder="1" applyAlignment="1">
      <alignment horizontal="center" vertical="center"/>
    </xf>
    <xf numFmtId="10" fontId="0" fillId="2" borderId="1" xfId="9" applyNumberFormat="1" applyFill="1" applyBorder="1" applyAlignment="1">
      <alignment horizontal="center" vertical="center"/>
    </xf>
    <xf numFmtId="10" fontId="0" fillId="0" borderId="1" xfId="9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5"/>
  <sheetViews>
    <sheetView tabSelected="1" workbookViewId="0">
      <pane xSplit="2" ySplit="2" topLeftCell="AX3" activePane="bottomRight" state="frozen"/>
      <selection/>
      <selection pane="topRight"/>
      <selection pane="bottomLeft"/>
      <selection pane="bottomRight" activeCell="BD6" sqref="BD6"/>
    </sheetView>
  </sheetViews>
  <sheetFormatPr defaultColWidth="9.23076923076923" defaultRowHeight="16.8"/>
  <cols>
    <col min="1" max="1" width="10.3076923076923" style="1" customWidth="1"/>
    <col min="2" max="2" width="9.23076923076923" style="1"/>
    <col min="3" max="3" width="15.1538461538462" style="1" customWidth="1"/>
    <col min="4" max="4" width="15.1538461538462" style="2" customWidth="1"/>
    <col min="5" max="5" width="15.1538461538462" style="1" customWidth="1"/>
    <col min="6" max="6" width="18.4615384615385" style="1" customWidth="1"/>
    <col min="7" max="7" width="16.2307692307692" style="1" customWidth="1"/>
    <col min="8" max="8" width="18.7692307692308" style="1" customWidth="1"/>
    <col min="9" max="9" width="18.7692307692308" style="3" customWidth="1"/>
    <col min="10" max="10" width="17.3076923076923" style="3" customWidth="1"/>
    <col min="11" max="11" width="13.4615384615385" style="3" customWidth="1"/>
    <col min="12" max="12" width="14.5384615384615" style="3" customWidth="1"/>
    <col min="13" max="13" width="18.7692307692308" style="3" customWidth="1"/>
    <col min="14" max="14" width="17.3076923076923" style="3" customWidth="1"/>
    <col min="15" max="17" width="23.6153846153846" style="3" customWidth="1"/>
    <col min="18" max="18" width="52.6923076923077" style="1" customWidth="1"/>
    <col min="19" max="19" width="52.6923076923077" style="3" customWidth="1"/>
    <col min="20" max="22" width="16.3846153846154" style="3" customWidth="1"/>
    <col min="23" max="25" width="21.2307692307692" style="3" customWidth="1"/>
    <col min="26" max="26" width="18.7692307692308" style="3" customWidth="1"/>
    <col min="27" max="27" width="16.3846153846154" style="3" customWidth="1"/>
    <col min="28" max="28" width="21.2307692307692" style="3" customWidth="1"/>
    <col min="29" max="29" width="23.6153846153846" style="3" customWidth="1"/>
    <col min="30" max="30" width="16.3846153846154" style="3" customWidth="1"/>
    <col min="31" max="31" width="18.4615384615385" style="3" customWidth="1"/>
    <col min="32" max="32" width="21.2307692307692" style="3" customWidth="1"/>
    <col min="33" max="33" width="16.3846153846154" style="3" customWidth="1"/>
    <col min="34" max="34" width="11.5384615384615" style="3" customWidth="1"/>
    <col min="35" max="35" width="22.1153846153846" style="3" customWidth="1"/>
    <col min="36" max="36" width="19.8461538461538" style="4" customWidth="1"/>
    <col min="37" max="37" width="20.9230769230769" style="4" customWidth="1"/>
    <col min="38" max="40" width="21.2307692307692" style="4" customWidth="1"/>
    <col min="41" max="41" width="22.0769230769231" style="5" customWidth="1"/>
    <col min="42" max="42" width="18.7692307692308" style="2" customWidth="1"/>
    <col min="43" max="43" width="21.7692307692308" style="2" customWidth="1"/>
    <col min="44" max="44" width="29.1730769230769" style="2" customWidth="1"/>
    <col min="45" max="45" width="18.7692307692308" style="6" customWidth="1"/>
    <col min="46" max="46" width="20.9230769230769" style="5" customWidth="1"/>
    <col min="47" max="47" width="17.6153846153846" style="2" customWidth="1"/>
    <col min="48" max="48" width="15.3076923076923" style="3" customWidth="1"/>
    <col min="49" max="49" width="13.9230769230769" style="3" customWidth="1"/>
    <col min="50" max="50" width="9.23076923076923" style="3" customWidth="1"/>
    <col min="51" max="51" width="13.9230769230769" style="3" customWidth="1"/>
    <col min="52" max="52" width="11.5384615384615" style="3" customWidth="1"/>
    <col min="53" max="53" width="16.3846153846154" style="3" customWidth="1"/>
    <col min="54" max="54" width="11.5384615384615" style="3" customWidth="1"/>
    <col min="55" max="55" width="21.2307692307692" style="3" customWidth="1"/>
    <col min="56" max="56" width="27.3076923076923" style="2" customWidth="1"/>
    <col min="57" max="57" width="32.1538461538462" style="2" customWidth="1"/>
    <col min="58" max="58" width="27.3076923076923" style="7" customWidth="1"/>
    <col min="59" max="59" width="112.615384615385" customWidth="1"/>
  </cols>
  <sheetData>
    <row r="1" spans="1:59">
      <c r="A1" s="8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16" t="s">
        <v>5</v>
      </c>
      <c r="G1" s="17" t="s">
        <v>6</v>
      </c>
      <c r="H1" s="18" t="s">
        <v>7</v>
      </c>
      <c r="I1" s="21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4" t="s">
        <v>9</v>
      </c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30"/>
      <c r="AK1" s="32" t="s">
        <v>10</v>
      </c>
      <c r="AL1" s="18" t="s">
        <v>11</v>
      </c>
      <c r="AM1" s="33" t="s">
        <v>12</v>
      </c>
      <c r="AN1" s="33" t="s">
        <v>13</v>
      </c>
      <c r="AO1" s="36" t="s">
        <v>14</v>
      </c>
      <c r="AP1" s="37" t="s">
        <v>15</v>
      </c>
      <c r="AQ1" s="36" t="s">
        <v>16</v>
      </c>
      <c r="AR1" s="37" t="s">
        <v>17</v>
      </c>
      <c r="AS1" s="41" t="s">
        <v>18</v>
      </c>
      <c r="AT1" s="42" t="s">
        <v>19</v>
      </c>
      <c r="AU1" s="43" t="s">
        <v>20</v>
      </c>
      <c r="AV1" s="44" t="s">
        <v>21</v>
      </c>
      <c r="AW1" s="46" t="s">
        <v>22</v>
      </c>
      <c r="AX1" s="47" t="s">
        <v>23</v>
      </c>
      <c r="AY1" s="48" t="s">
        <v>24</v>
      </c>
      <c r="AZ1" s="49" t="s">
        <v>25</v>
      </c>
      <c r="BA1" s="50" t="s">
        <v>26</v>
      </c>
      <c r="BB1" s="51" t="s">
        <v>27</v>
      </c>
      <c r="BC1" s="52" t="s">
        <v>28</v>
      </c>
      <c r="BD1" s="53" t="s">
        <v>29</v>
      </c>
      <c r="BE1" s="56" t="s">
        <v>30</v>
      </c>
      <c r="BF1" s="2" t="s">
        <v>31</v>
      </c>
      <c r="BG1" s="1" t="s">
        <v>32</v>
      </c>
    </row>
    <row r="2" spans="1:59">
      <c r="A2" s="8"/>
      <c r="B2" s="8"/>
      <c r="C2" s="11"/>
      <c r="D2" s="12"/>
      <c r="E2" s="11"/>
      <c r="F2" s="16"/>
      <c r="G2" s="17"/>
      <c r="H2" s="18"/>
      <c r="I2" s="21" t="s">
        <v>33</v>
      </c>
      <c r="J2" s="21" t="s">
        <v>34</v>
      </c>
      <c r="K2" s="21" t="s">
        <v>35</v>
      </c>
      <c r="L2" s="21" t="s">
        <v>36</v>
      </c>
      <c r="M2" s="21" t="s">
        <v>37</v>
      </c>
      <c r="N2" s="21" t="s">
        <v>38</v>
      </c>
      <c r="O2" s="21" t="s">
        <v>39</v>
      </c>
      <c r="P2" s="21" t="s">
        <v>40</v>
      </c>
      <c r="Q2" s="21" t="s">
        <v>41</v>
      </c>
      <c r="R2" s="21" t="s">
        <v>42</v>
      </c>
      <c r="S2" s="21" t="s">
        <v>43</v>
      </c>
      <c r="T2" s="21" t="s">
        <v>44</v>
      </c>
      <c r="U2" s="26" t="s">
        <v>45</v>
      </c>
      <c r="V2" s="27" t="s">
        <v>46</v>
      </c>
      <c r="W2" s="27" t="s">
        <v>47</v>
      </c>
      <c r="X2" s="27" t="s">
        <v>48</v>
      </c>
      <c r="Y2" s="27" t="s">
        <v>49</v>
      </c>
      <c r="Z2" s="27" t="s">
        <v>50</v>
      </c>
      <c r="AA2" s="27" t="s">
        <v>51</v>
      </c>
      <c r="AB2" s="27" t="s">
        <v>52</v>
      </c>
      <c r="AC2" s="29" t="s">
        <v>53</v>
      </c>
      <c r="AD2" s="29" t="s">
        <v>54</v>
      </c>
      <c r="AE2" s="29" t="s">
        <v>55</v>
      </c>
      <c r="AF2" s="29" t="s">
        <v>56</v>
      </c>
      <c r="AG2" s="29" t="s">
        <v>57</v>
      </c>
      <c r="AH2" s="29" t="s">
        <v>58</v>
      </c>
      <c r="AI2" s="29" t="s">
        <v>59</v>
      </c>
      <c r="AJ2" s="31" t="s">
        <v>60</v>
      </c>
      <c r="AK2" s="34"/>
      <c r="AL2" s="18"/>
      <c r="AM2" s="35"/>
      <c r="AN2" s="35"/>
      <c r="AO2" s="38"/>
      <c r="AP2" s="39"/>
      <c r="AQ2" s="38"/>
      <c r="AR2" s="39"/>
      <c r="AS2" s="45"/>
      <c r="AT2" s="42"/>
      <c r="AU2" s="43"/>
      <c r="AV2" s="44"/>
      <c r="AW2" s="46"/>
      <c r="AX2" s="47"/>
      <c r="AY2" s="48"/>
      <c r="AZ2" s="49"/>
      <c r="BA2" s="50"/>
      <c r="BB2" s="51"/>
      <c r="BC2" s="54"/>
      <c r="BD2" s="55"/>
      <c r="BE2" s="57"/>
      <c r="BF2" s="2"/>
      <c r="BG2" s="1"/>
    </row>
    <row r="3" spans="1:59">
      <c r="A3" s="13" t="s">
        <v>61</v>
      </c>
      <c r="B3" s="1">
        <v>2022</v>
      </c>
      <c r="E3" s="19"/>
      <c r="F3" s="20">
        <v>355024758878.82</v>
      </c>
      <c r="G3" s="20">
        <v>101876048014.19</v>
      </c>
      <c r="H3" s="20"/>
      <c r="J3" s="22">
        <v>30784241211.21</v>
      </c>
      <c r="L3" s="22">
        <v>146836620.66</v>
      </c>
      <c r="M3" s="22">
        <v>104644415.2</v>
      </c>
      <c r="N3" s="22">
        <v>52895851287.92</v>
      </c>
      <c r="O3" s="22"/>
      <c r="P3" s="22"/>
      <c r="Q3" s="22">
        <v>219111069.61</v>
      </c>
      <c r="T3" s="22">
        <v>184811894.98</v>
      </c>
      <c r="U3" s="22">
        <v>719799280.27</v>
      </c>
      <c r="V3" s="22">
        <v>150351500</v>
      </c>
      <c r="W3" s="28">
        <v>14340348882.97</v>
      </c>
      <c r="X3" s="22">
        <v>116084973.52</v>
      </c>
      <c r="AA3" s="22">
        <v>5892290568.81</v>
      </c>
      <c r="AB3" s="22">
        <v>4669455797.9</v>
      </c>
      <c r="AC3" s="22">
        <v>4428003204.49</v>
      </c>
      <c r="AD3" s="22">
        <v>634689201.98</v>
      </c>
      <c r="AE3" s="22">
        <v>157484332251.39</v>
      </c>
      <c r="AI3" s="22">
        <v>3867203363.52</v>
      </c>
      <c r="AK3" s="4">
        <f t="shared" ref="AK3:AK25" si="0">SUM(I3:T3)</f>
        <v>84335496499.58</v>
      </c>
      <c r="AL3" s="4">
        <f t="shared" ref="AL3:AL25" si="1">SUM(Y3:AI3)</f>
        <v>176975974388.09</v>
      </c>
      <c r="AM3" s="4">
        <f t="shared" ref="AM3:AM25" si="2">SUM(Y3:AD3)</f>
        <v>15624438773.18</v>
      </c>
      <c r="AN3" s="4">
        <f t="shared" ref="AN3:AN25" si="3">SUM(AE3:AI3)</f>
        <v>161351535614.91</v>
      </c>
      <c r="AO3" s="5">
        <f t="shared" ref="AO3:AO25" si="4">G3+AK3</f>
        <v>186211544513.77</v>
      </c>
      <c r="AP3" s="2">
        <f t="shared" ref="AP3:AP24" si="5">(AO3-AO4)/AO4</f>
        <v>0.276444529684232</v>
      </c>
      <c r="AQ3" s="6">
        <f t="shared" ref="AQ3:AQ25" si="6">AO3-AL3</f>
        <v>9235570125.67999</v>
      </c>
      <c r="AR3" s="2">
        <f t="shared" ref="AR3:AR24" si="7">(AQ3-AQ4)/AQ4</f>
        <v>0.160791005308263</v>
      </c>
      <c r="AT3" s="5">
        <v>27284097086.18</v>
      </c>
      <c r="AU3" s="2">
        <f>(AT3-AT4)/AT4</f>
        <v>0.0227433176979417</v>
      </c>
      <c r="AV3" s="22">
        <v>-2206764591.65</v>
      </c>
      <c r="BC3" s="5">
        <f>AT3+AV3</f>
        <v>25077332494.53</v>
      </c>
      <c r="BD3" s="2">
        <f>(BC3-BC4)/BC4</f>
        <v>0.0270370964775442</v>
      </c>
      <c r="BE3" s="58">
        <f>(AT3+AV3)/AO3</f>
        <v>0.134671201831289</v>
      </c>
      <c r="BF3" s="40">
        <f>BC3/AQ3</f>
        <v>2.71529880161931</v>
      </c>
      <c r="BG3" s="3"/>
    </row>
    <row r="4" spans="1:59">
      <c r="A4" s="14"/>
      <c r="B4" s="1">
        <v>2021</v>
      </c>
      <c r="F4" s="20">
        <v>319598183780.38</v>
      </c>
      <c r="G4" s="20">
        <v>107925451166.51</v>
      </c>
      <c r="H4" s="20"/>
      <c r="J4" s="22">
        <v>8960864258.3</v>
      </c>
      <c r="L4" s="22">
        <v>3313452.52</v>
      </c>
      <c r="M4" s="22">
        <v>446194591.92</v>
      </c>
      <c r="N4" s="22">
        <v>27617920548.11</v>
      </c>
      <c r="O4" s="22"/>
      <c r="P4" s="22">
        <v>746564041.09</v>
      </c>
      <c r="Q4" s="22">
        <v>182681905.74</v>
      </c>
      <c r="U4" s="22">
        <v>4142652901.85</v>
      </c>
      <c r="W4" s="22">
        <v>5910056891.62</v>
      </c>
      <c r="X4" s="22">
        <v>2419031.07</v>
      </c>
      <c r="AA4" s="22">
        <v>10337008014.57</v>
      </c>
      <c r="AB4" s="22">
        <v>10114246030.05</v>
      </c>
      <c r="AC4" s="22">
        <v>81309327.39</v>
      </c>
      <c r="AD4" s="22">
        <v>454854822.63</v>
      </c>
      <c r="AE4" s="22">
        <v>116939298776.87</v>
      </c>
      <c r="AJ4" s="4">
        <v>198773198.65</v>
      </c>
      <c r="AK4" s="4">
        <f t="shared" si="0"/>
        <v>37957538797.68</v>
      </c>
      <c r="AL4" s="4">
        <f t="shared" si="1"/>
        <v>137926716971.51</v>
      </c>
      <c r="AM4" s="4">
        <f t="shared" si="2"/>
        <v>20987418194.64</v>
      </c>
      <c r="AN4" s="4">
        <f t="shared" si="3"/>
        <v>116939298776.87</v>
      </c>
      <c r="AO4" s="5">
        <f t="shared" si="4"/>
        <v>145882989964.19</v>
      </c>
      <c r="AP4" s="2">
        <f t="shared" si="5"/>
        <v>0.0449575936431235</v>
      </c>
      <c r="AQ4" s="6">
        <f t="shared" si="6"/>
        <v>7956272992.67999</v>
      </c>
      <c r="AR4" s="40">
        <f t="shared" si="7"/>
        <v>-1.51157508486794</v>
      </c>
      <c r="AT4" s="5">
        <v>26677365292</v>
      </c>
      <c r="AU4" s="2">
        <f t="shared" ref="AU4:AU13" si="8">(AT4-AT5)/AT5</f>
        <v>0.0243380121783109</v>
      </c>
      <c r="AV4" s="22">
        <v>-2260201997.18</v>
      </c>
      <c r="BC4" s="5">
        <f t="shared" ref="BC4:BC13" si="9">AT4+AV4</f>
        <v>24417163294.82</v>
      </c>
      <c r="BD4" s="2">
        <f t="shared" ref="BD4:BD13" si="10">(BC4-BC5)/BC5</f>
        <v>0.0129075726830989</v>
      </c>
      <c r="BE4" s="58">
        <f t="shared" ref="BE4:BE23" si="11">(AT4+AV4)/AO4</f>
        <v>0.16737498525917</v>
      </c>
      <c r="BF4" s="40">
        <f t="shared" ref="BF4:BF13" si="12">BC4/AQ4</f>
        <v>3.06891974637931</v>
      </c>
      <c r="BG4" s="3"/>
    </row>
    <row r="5" spans="1:59">
      <c r="A5" s="14"/>
      <c r="B5" s="1">
        <v>2020</v>
      </c>
      <c r="E5" s="19"/>
      <c r="F5" s="20">
        <v>279217923628.27</v>
      </c>
      <c r="G5" s="20">
        <v>116880487088.14</v>
      </c>
      <c r="J5" s="22">
        <v>1860713816.09</v>
      </c>
      <c r="L5" s="22"/>
      <c r="N5" s="22">
        <v>20304384742.34</v>
      </c>
      <c r="O5" s="22"/>
      <c r="P5" s="22"/>
      <c r="Q5" s="22">
        <v>261006708.24</v>
      </c>
      <c r="R5" s="20">
        <v>300020250</v>
      </c>
      <c r="T5" s="22"/>
      <c r="U5" s="22">
        <v>5273805581.52</v>
      </c>
      <c r="V5" s="22"/>
      <c r="W5" s="22">
        <v>502202293.17</v>
      </c>
      <c r="AA5" s="22">
        <v>8119841062.14</v>
      </c>
      <c r="AB5" s="22">
        <v>7788405891.47</v>
      </c>
      <c r="AC5" s="22">
        <v>2003483333.33</v>
      </c>
      <c r="AD5" s="22">
        <v>463420861.39</v>
      </c>
      <c r="AE5" s="22">
        <v>136413143859.81</v>
      </c>
      <c r="AI5" s="22">
        <v>370820500</v>
      </c>
      <c r="AJ5" s="4">
        <v>285494153.96</v>
      </c>
      <c r="AK5" s="4">
        <f t="shared" si="0"/>
        <v>22726125516.67</v>
      </c>
      <c r="AL5" s="4">
        <f t="shared" si="1"/>
        <v>155159115508.14</v>
      </c>
      <c r="AM5" s="4">
        <f t="shared" si="2"/>
        <v>18375151148.33</v>
      </c>
      <c r="AN5" s="4">
        <f t="shared" si="3"/>
        <v>136783964359.81</v>
      </c>
      <c r="AO5" s="5">
        <f t="shared" si="4"/>
        <v>139606612604.81</v>
      </c>
      <c r="AP5" s="2">
        <f t="shared" si="5"/>
        <v>0.0789458404699093</v>
      </c>
      <c r="AQ5" s="6">
        <f t="shared" si="6"/>
        <v>-15552502903.33</v>
      </c>
      <c r="AR5" s="2">
        <f t="shared" si="7"/>
        <v>0.391702195689578</v>
      </c>
      <c r="AT5" s="5">
        <v>26043517837.7</v>
      </c>
      <c r="AU5" s="2">
        <f t="shared" si="8"/>
        <v>-0.120303205456237</v>
      </c>
      <c r="AV5" s="22">
        <v>-1937504660.07</v>
      </c>
      <c r="BC5" s="5">
        <f t="shared" si="9"/>
        <v>24106013177.63</v>
      </c>
      <c r="BD5" s="40">
        <f t="shared" si="10"/>
        <v>-0.113047247615728</v>
      </c>
      <c r="BE5" s="58">
        <f t="shared" si="11"/>
        <v>0.172670998370742</v>
      </c>
      <c r="BF5" s="40">
        <f t="shared" si="12"/>
        <v>-1.54997644607213</v>
      </c>
      <c r="BG5" s="3"/>
    </row>
    <row r="6" spans="1:59">
      <c r="A6" s="14"/>
      <c r="B6" s="1">
        <v>2019</v>
      </c>
      <c r="E6" s="19"/>
      <c r="F6" s="20">
        <v>282972157415.28</v>
      </c>
      <c r="G6" s="20">
        <v>112047656523.08</v>
      </c>
      <c r="J6" s="22">
        <v>46885882.86</v>
      </c>
      <c r="M6" s="22"/>
      <c r="N6" s="22">
        <v>15944176463.01</v>
      </c>
      <c r="O6" s="22"/>
      <c r="P6" s="22"/>
      <c r="Q6" s="22">
        <v>352512311.72</v>
      </c>
      <c r="R6" s="20">
        <v>1000446666.67</v>
      </c>
      <c r="U6" s="22">
        <v>14423786409.22</v>
      </c>
      <c r="W6" s="22">
        <v>296836282.2</v>
      </c>
      <c r="AA6" s="22">
        <v>7064186161.29</v>
      </c>
      <c r="AB6" s="22">
        <v>4644601697.51</v>
      </c>
      <c r="AC6" s="22">
        <v>2003483333.33</v>
      </c>
      <c r="AD6" s="22">
        <v>498648691.85</v>
      </c>
      <c r="AE6" s="22">
        <v>125400715267.64</v>
      </c>
      <c r="AI6" s="22">
        <v>955208583.58</v>
      </c>
      <c r="AJ6" s="4">
        <v>92392625.69</v>
      </c>
      <c r="AK6" s="4">
        <f t="shared" si="0"/>
        <v>17344021324.26</v>
      </c>
      <c r="AL6" s="4">
        <f t="shared" si="1"/>
        <v>140566843735.2</v>
      </c>
      <c r="AM6" s="4">
        <f t="shared" si="2"/>
        <v>14210919883.98</v>
      </c>
      <c r="AN6" s="4">
        <f t="shared" si="3"/>
        <v>126355923851.22</v>
      </c>
      <c r="AO6" s="5">
        <f t="shared" si="4"/>
        <v>129391677847.34</v>
      </c>
      <c r="AP6" s="2">
        <f t="shared" si="5"/>
        <v>0.121675571110119</v>
      </c>
      <c r="AQ6" s="6">
        <f t="shared" si="6"/>
        <v>-11175165887.86</v>
      </c>
      <c r="AR6" s="2">
        <f t="shared" si="7"/>
        <v>1.98776365774723</v>
      </c>
      <c r="AT6" s="5">
        <v>29605107122.4</v>
      </c>
      <c r="AU6" s="2">
        <f t="shared" si="8"/>
        <v>-0.0449005628570342</v>
      </c>
      <c r="AV6" s="22">
        <v>-2426643429.91</v>
      </c>
      <c r="BC6" s="5">
        <f t="shared" si="9"/>
        <v>27178463692.49</v>
      </c>
      <c r="BD6" s="40">
        <f t="shared" si="10"/>
        <v>-0.0955189807972125</v>
      </c>
      <c r="BE6" s="2">
        <f t="shared" si="11"/>
        <v>0.210048004204381</v>
      </c>
      <c r="BF6" s="40">
        <f t="shared" si="12"/>
        <v>-2.4320411853586</v>
      </c>
      <c r="BG6" s="3"/>
    </row>
    <row r="7" spans="1:59">
      <c r="A7" s="14"/>
      <c r="B7" s="1">
        <v>2018</v>
      </c>
      <c r="F7" s="20">
        <v>251234157276.81</v>
      </c>
      <c r="G7" s="20">
        <v>92714711727.46</v>
      </c>
      <c r="H7" s="20"/>
      <c r="M7" s="22"/>
      <c r="N7" s="22">
        <v>22067750002.7</v>
      </c>
      <c r="O7" s="22"/>
      <c r="P7" s="22"/>
      <c r="Q7" s="22">
        <v>315879779.13</v>
      </c>
      <c r="T7" s="22">
        <v>257364882.07</v>
      </c>
      <c r="U7" s="22">
        <v>9071332784.86</v>
      </c>
      <c r="V7" s="22"/>
      <c r="Y7" s="22">
        <v>2216195036.33</v>
      </c>
      <c r="AA7" s="22">
        <v>2250732461.71</v>
      </c>
      <c r="AD7" s="22">
        <v>537589343.08</v>
      </c>
      <c r="AE7" s="22">
        <v>113079030368.11</v>
      </c>
      <c r="AI7" s="22">
        <v>1012470387.43</v>
      </c>
      <c r="AJ7" s="4">
        <v>170216138.92</v>
      </c>
      <c r="AK7" s="4">
        <f t="shared" si="0"/>
        <v>22640994663.9</v>
      </c>
      <c r="AL7" s="4">
        <f t="shared" si="1"/>
        <v>119096017596.66</v>
      </c>
      <c r="AM7" s="4">
        <f t="shared" si="2"/>
        <v>5004516841.12</v>
      </c>
      <c r="AN7" s="4">
        <f t="shared" si="3"/>
        <v>114091500755.54</v>
      </c>
      <c r="AO7" s="5">
        <f t="shared" si="4"/>
        <v>115355706391.36</v>
      </c>
      <c r="AP7" s="2">
        <f t="shared" si="5"/>
        <v>0.335390156120619</v>
      </c>
      <c r="AQ7" s="6">
        <f t="shared" si="6"/>
        <v>-3740311205.29997</v>
      </c>
      <c r="AR7" s="40">
        <f t="shared" si="7"/>
        <v>-0.775106286374895</v>
      </c>
      <c r="AT7" s="5">
        <v>30996884691.88</v>
      </c>
      <c r="AU7" s="2">
        <f t="shared" si="8"/>
        <v>0.18645157364959</v>
      </c>
      <c r="AV7" s="22">
        <v>-948201396.74</v>
      </c>
      <c r="BC7" s="5">
        <f t="shared" si="9"/>
        <v>30048683295.14</v>
      </c>
      <c r="BD7" s="2">
        <f t="shared" si="10"/>
        <v>0.131479438162906</v>
      </c>
      <c r="BE7" s="2">
        <f t="shared" si="11"/>
        <v>0.260487185551062</v>
      </c>
      <c r="BF7" s="40">
        <f t="shared" si="12"/>
        <v>-8.03373881097418</v>
      </c>
      <c r="BG7" s="3"/>
    </row>
    <row r="8" spans="1:59">
      <c r="A8" s="14"/>
      <c r="B8" s="1">
        <v>2017</v>
      </c>
      <c r="F8" s="20">
        <v>214987907124.7</v>
      </c>
      <c r="G8" s="20">
        <v>66854705559.51</v>
      </c>
      <c r="H8" s="20"/>
      <c r="M8" s="22"/>
      <c r="N8" s="22">
        <v>18646095044.32</v>
      </c>
      <c r="O8" s="22"/>
      <c r="P8" s="22"/>
      <c r="Q8" s="22">
        <v>266944787.77</v>
      </c>
      <c r="T8" s="22">
        <v>615777702.86</v>
      </c>
      <c r="U8" s="22">
        <v>6673429372.96</v>
      </c>
      <c r="V8" s="22"/>
      <c r="Y8" s="22">
        <v>2174941527.25</v>
      </c>
      <c r="AA8" s="22">
        <v>110391368.86</v>
      </c>
      <c r="AD8" s="22">
        <v>516630135.79</v>
      </c>
      <c r="AE8" s="22">
        <v>99610976256.82</v>
      </c>
      <c r="AI8" s="22">
        <v>602045597.22</v>
      </c>
      <c r="AJ8" s="4">
        <v>481055568</v>
      </c>
      <c r="AK8" s="4">
        <f t="shared" si="0"/>
        <v>19528817534.95</v>
      </c>
      <c r="AL8" s="4">
        <f t="shared" si="1"/>
        <v>103014984885.94</v>
      </c>
      <c r="AM8" s="4">
        <f t="shared" si="2"/>
        <v>2801963031.9</v>
      </c>
      <c r="AN8" s="4">
        <f t="shared" si="3"/>
        <v>100213021854.04</v>
      </c>
      <c r="AO8" s="5">
        <f t="shared" si="4"/>
        <v>86383523094.46</v>
      </c>
      <c r="AP8" s="2">
        <f t="shared" si="5"/>
        <v>0.305499106414088</v>
      </c>
      <c r="AQ8" s="6">
        <f t="shared" si="6"/>
        <v>-16631461791.48</v>
      </c>
      <c r="AR8" s="40">
        <f t="shared" si="7"/>
        <v>-0.472521461159856</v>
      </c>
      <c r="AT8" s="5">
        <v>26125705743.33</v>
      </c>
      <c r="AU8" s="2">
        <f t="shared" si="8"/>
        <v>0.496686410890338</v>
      </c>
      <c r="AV8" s="22">
        <v>431279988.49</v>
      </c>
      <c r="BC8" s="5">
        <f t="shared" si="9"/>
        <v>26556985731.82</v>
      </c>
      <c r="BD8" s="2">
        <f t="shared" si="10"/>
        <v>1.10600057297219</v>
      </c>
      <c r="BE8" s="2">
        <f t="shared" si="11"/>
        <v>0.307431148678436</v>
      </c>
      <c r="BF8" s="40">
        <f t="shared" si="12"/>
        <v>-1.5967920357683</v>
      </c>
      <c r="BG8" s="3"/>
    </row>
    <row r="9" spans="1:59">
      <c r="A9" s="14"/>
      <c r="B9" s="1">
        <v>2016</v>
      </c>
      <c r="F9" s="20">
        <v>182369705049.35</v>
      </c>
      <c r="G9" s="20">
        <v>54923602790.51</v>
      </c>
      <c r="N9" s="22">
        <v>10701081645.32</v>
      </c>
      <c r="O9" s="22">
        <v>4274000</v>
      </c>
      <c r="Q9" s="22">
        <v>145241859.45</v>
      </c>
      <c r="T9" s="22">
        <v>394763490.33</v>
      </c>
      <c r="U9" s="22">
        <v>4737184235.79</v>
      </c>
      <c r="V9" s="22"/>
      <c r="Y9" s="22">
        <v>1384303560.4</v>
      </c>
      <c r="AA9" s="22">
        <v>103913171.51</v>
      </c>
      <c r="AD9" s="22">
        <v>597736633.95</v>
      </c>
      <c r="AE9" s="22">
        <v>95613130731.47</v>
      </c>
      <c r="AJ9" s="4">
        <v>250848418.63</v>
      </c>
      <c r="AK9" s="4">
        <f t="shared" si="0"/>
        <v>11245360995.1</v>
      </c>
      <c r="AL9" s="4">
        <f t="shared" si="1"/>
        <v>97699084097.33</v>
      </c>
      <c r="AM9" s="4">
        <f t="shared" si="2"/>
        <v>2085953365.86</v>
      </c>
      <c r="AN9" s="4">
        <f t="shared" si="3"/>
        <v>95613130731.47</v>
      </c>
      <c r="AO9" s="5">
        <f t="shared" si="4"/>
        <v>66168963785.61</v>
      </c>
      <c r="AP9" s="2">
        <f t="shared" si="5"/>
        <v>0.168920271129228</v>
      </c>
      <c r="AQ9" s="6">
        <f t="shared" si="6"/>
        <v>-31530120311.72</v>
      </c>
      <c r="AR9" s="40">
        <f t="shared" si="7"/>
        <v>-0.111942880654824</v>
      </c>
      <c r="AT9" s="5">
        <v>17455697835.72</v>
      </c>
      <c r="AU9" s="2">
        <f t="shared" si="8"/>
        <v>0.291467096121333</v>
      </c>
      <c r="AV9" s="22">
        <v>-4845546598.04</v>
      </c>
      <c r="BC9" s="5">
        <f t="shared" si="9"/>
        <v>12610151237.68</v>
      </c>
      <c r="BD9" s="2">
        <f t="shared" si="10"/>
        <v>0.0882659868857361</v>
      </c>
      <c r="BE9" s="58">
        <f t="shared" si="11"/>
        <v>0.190575014572351</v>
      </c>
      <c r="BF9" s="40">
        <f t="shared" si="12"/>
        <v>-0.3999398388909</v>
      </c>
      <c r="BG9" s="3"/>
    </row>
    <row r="10" spans="1:59">
      <c r="A10" s="14"/>
      <c r="B10" s="1">
        <v>2015</v>
      </c>
      <c r="F10" s="20">
        <v>161698016315.06</v>
      </c>
      <c r="G10" s="20">
        <v>48566608577.92</v>
      </c>
      <c r="N10" s="22">
        <v>6276660136.03</v>
      </c>
      <c r="O10" s="22">
        <v>8000000</v>
      </c>
      <c r="Q10" s="22">
        <v>566612235.82</v>
      </c>
      <c r="T10" s="22">
        <v>1189028366.37</v>
      </c>
      <c r="U10" s="22">
        <v>7872619001.46</v>
      </c>
      <c r="V10" s="22"/>
      <c r="Y10" s="22">
        <v>2704719177.56</v>
      </c>
      <c r="AA10" s="22">
        <v>95459187.55</v>
      </c>
      <c r="AD10" s="22">
        <v>491540849.66</v>
      </c>
      <c r="AE10" s="22">
        <v>88819798560.53</v>
      </c>
      <c r="AK10" s="4">
        <f t="shared" si="0"/>
        <v>8040300738.22</v>
      </c>
      <c r="AL10" s="4">
        <f t="shared" si="1"/>
        <v>92111517775.3</v>
      </c>
      <c r="AM10" s="4">
        <f t="shared" si="2"/>
        <v>3291719214.77</v>
      </c>
      <c r="AN10" s="4">
        <f t="shared" si="3"/>
        <v>88819798560.53</v>
      </c>
      <c r="AO10" s="5">
        <f t="shared" si="4"/>
        <v>56606909316.14</v>
      </c>
      <c r="AP10" s="2">
        <f t="shared" si="5"/>
        <v>0.0884088107892995</v>
      </c>
      <c r="AQ10" s="6">
        <f t="shared" si="6"/>
        <v>-35504608459.16</v>
      </c>
      <c r="AR10" s="2">
        <f t="shared" si="7"/>
        <v>5.71542948968692</v>
      </c>
      <c r="AT10" s="5">
        <v>13516176980.54</v>
      </c>
      <c r="AU10" s="2">
        <f t="shared" si="8"/>
        <v>-0.159923795937382</v>
      </c>
      <c r="AV10" s="22">
        <v>-1928797250.18</v>
      </c>
      <c r="BC10" s="5">
        <f t="shared" si="9"/>
        <v>11587379730.36</v>
      </c>
      <c r="BD10" s="40">
        <f t="shared" si="10"/>
        <v>-0.235004090324208</v>
      </c>
      <c r="BE10" s="2">
        <f t="shared" si="11"/>
        <v>0.204699035335889</v>
      </c>
      <c r="BF10" s="40">
        <f t="shared" si="12"/>
        <v>-0.326362695808592</v>
      </c>
      <c r="BG10" s="3"/>
    </row>
    <row r="11" spans="1:59">
      <c r="A11" s="14"/>
      <c r="B11" s="1">
        <v>2014</v>
      </c>
      <c r="F11" s="20">
        <v>156230948479.88</v>
      </c>
      <c r="G11" s="20">
        <v>45131451010.18</v>
      </c>
      <c r="J11" s="22">
        <v>2258969252.88</v>
      </c>
      <c r="N11" s="22">
        <v>3578773331.48</v>
      </c>
      <c r="O11" s="22">
        <v>17457000</v>
      </c>
      <c r="Q11" s="22">
        <v>806513124.48</v>
      </c>
      <c r="T11" s="22">
        <v>215703496.13</v>
      </c>
      <c r="U11" s="22">
        <v>6441703560.98</v>
      </c>
      <c r="V11" s="22"/>
      <c r="Y11" s="22">
        <v>2150098933.13</v>
      </c>
      <c r="AA11" s="22">
        <v>92213098.24</v>
      </c>
      <c r="AD11" s="22">
        <v>507901502.13</v>
      </c>
      <c r="AE11" s="22">
        <v>54545673449.14</v>
      </c>
      <c r="AJ11" s="4">
        <v>84177518.23</v>
      </c>
      <c r="AK11" s="4">
        <f t="shared" si="0"/>
        <v>6877416204.97</v>
      </c>
      <c r="AL11" s="4">
        <f t="shared" si="1"/>
        <v>57295886982.64</v>
      </c>
      <c r="AM11" s="4">
        <f t="shared" si="2"/>
        <v>2750213533.5</v>
      </c>
      <c r="AN11" s="4">
        <f t="shared" si="3"/>
        <v>54545673449.14</v>
      </c>
      <c r="AO11" s="5">
        <f t="shared" si="4"/>
        <v>52008867215.15</v>
      </c>
      <c r="AP11" s="2">
        <f t="shared" si="5"/>
        <v>0.270189535347486</v>
      </c>
      <c r="AQ11" s="6">
        <f t="shared" si="6"/>
        <v>-5287019767.49</v>
      </c>
      <c r="AR11" s="40">
        <f t="shared" si="7"/>
        <v>-6.30021135609893</v>
      </c>
      <c r="AT11" s="5">
        <v>16089227281.02</v>
      </c>
      <c r="AU11" s="2">
        <f t="shared" si="8"/>
        <v>0.312077568458372</v>
      </c>
      <c r="AV11" s="22">
        <v>-942244684.38</v>
      </c>
      <c r="BC11" s="5">
        <f t="shared" si="9"/>
        <v>15146982596.64</v>
      </c>
      <c r="BD11" s="2">
        <f t="shared" si="10"/>
        <v>0.248818897903287</v>
      </c>
      <c r="BE11" s="2">
        <f t="shared" si="11"/>
        <v>0.291238463894629</v>
      </c>
      <c r="BF11" s="40">
        <f t="shared" si="12"/>
        <v>-2.86493776508632</v>
      </c>
      <c r="BG11" s="3"/>
    </row>
    <row r="12" spans="1:59">
      <c r="A12" s="14"/>
      <c r="B12" s="1">
        <v>2013</v>
      </c>
      <c r="F12" s="20">
        <v>133719278987.4</v>
      </c>
      <c r="G12" s="20">
        <v>35373754122.78</v>
      </c>
      <c r="J12" s="22">
        <v>1375348442.79</v>
      </c>
      <c r="N12" s="22">
        <v>3316971153.31</v>
      </c>
      <c r="O12" s="22">
        <v>37413972.46</v>
      </c>
      <c r="Q12" s="22">
        <v>542265495.74</v>
      </c>
      <c r="R12" s="20">
        <v>300000000</v>
      </c>
      <c r="U12" s="22">
        <v>4565455698.91</v>
      </c>
      <c r="Y12" s="22">
        <v>805932600</v>
      </c>
      <c r="AA12" s="22">
        <v>97568533.3</v>
      </c>
      <c r="AD12" s="22">
        <v>503056462.68</v>
      </c>
      <c r="AE12" s="22">
        <v>38541684470.83</v>
      </c>
      <c r="AJ12" s="4">
        <v>1246106661.88</v>
      </c>
      <c r="AK12" s="4">
        <f t="shared" si="0"/>
        <v>5571999064.3</v>
      </c>
      <c r="AL12" s="4">
        <f t="shared" si="1"/>
        <v>39948242066.81</v>
      </c>
      <c r="AM12" s="4">
        <f t="shared" si="2"/>
        <v>1406557595.98</v>
      </c>
      <c r="AN12" s="4">
        <f t="shared" si="3"/>
        <v>38541684470.83</v>
      </c>
      <c r="AO12" s="5">
        <f t="shared" si="4"/>
        <v>40945753187.08</v>
      </c>
      <c r="AP12" s="2">
        <f t="shared" si="5"/>
        <v>0.272936101068283</v>
      </c>
      <c r="AQ12" s="6">
        <f t="shared" si="6"/>
        <v>997511120.269997</v>
      </c>
      <c r="AR12" s="40">
        <f t="shared" si="7"/>
        <v>-0.539876858705058</v>
      </c>
      <c r="AT12" s="5">
        <v>12262405567.93</v>
      </c>
      <c r="AU12" s="2">
        <f t="shared" si="8"/>
        <v>0.527776624890662</v>
      </c>
      <c r="AV12" s="22">
        <v>-133358976.73</v>
      </c>
      <c r="BC12" s="5">
        <f t="shared" si="9"/>
        <v>12129046591.2</v>
      </c>
      <c r="BD12" s="2">
        <f t="shared" si="10"/>
        <v>0.603319266826275</v>
      </c>
      <c r="BE12" s="2">
        <f t="shared" si="11"/>
        <v>0.296222334359872</v>
      </c>
      <c r="BF12" s="40">
        <f t="shared" si="12"/>
        <v>12.15930965052</v>
      </c>
      <c r="BG12" s="3"/>
    </row>
    <row r="13" spans="1:59">
      <c r="A13" s="15"/>
      <c r="B13" s="1">
        <v>2012</v>
      </c>
      <c r="F13" s="20">
        <v>107566899919.95</v>
      </c>
      <c r="G13" s="20">
        <v>27580202128.65</v>
      </c>
      <c r="J13" s="22">
        <v>984463173.32</v>
      </c>
      <c r="N13" s="22">
        <v>3520642063.91</v>
      </c>
      <c r="Q13" s="22">
        <v>81078010.98</v>
      </c>
      <c r="U13" s="22">
        <v>2088903434.99</v>
      </c>
      <c r="Y13" s="22">
        <v>554912450</v>
      </c>
      <c r="AA13" s="22">
        <v>28159992.3</v>
      </c>
      <c r="AD13" s="22">
        <v>208009129.76</v>
      </c>
      <c r="AE13" s="22">
        <v>28943921701.45</v>
      </c>
      <c r="AI13" s="22">
        <v>263460017.4</v>
      </c>
      <c r="AK13" s="4">
        <f t="shared" si="0"/>
        <v>4586183248.21</v>
      </c>
      <c r="AL13" s="4">
        <f t="shared" si="1"/>
        <v>29998463290.91</v>
      </c>
      <c r="AM13" s="4">
        <f t="shared" si="2"/>
        <v>791081572.06</v>
      </c>
      <c r="AN13" s="4">
        <f t="shared" si="3"/>
        <v>29207381718.85</v>
      </c>
      <c r="AO13" s="5">
        <f t="shared" si="4"/>
        <v>32166385376.86</v>
      </c>
      <c r="AP13" s="2">
        <f t="shared" si="5"/>
        <v>-0.848815461633844</v>
      </c>
      <c r="AQ13" s="6">
        <f t="shared" si="6"/>
        <v>2167922085.95</v>
      </c>
      <c r="AR13" s="2">
        <f t="shared" si="7"/>
        <v>-0.984238148914393</v>
      </c>
      <c r="AT13" s="5">
        <v>8026307883.07</v>
      </c>
      <c r="AU13" s="2">
        <f t="shared" si="8"/>
        <v>-0.769115292626367</v>
      </c>
      <c r="AV13" s="22">
        <v>-461347589.66</v>
      </c>
      <c r="AW13" s="2"/>
      <c r="AY13" s="2"/>
      <c r="BC13" s="5">
        <f t="shared" si="9"/>
        <v>7564960293.41</v>
      </c>
      <c r="BD13" s="2">
        <f t="shared" si="10"/>
        <v>-0.758891729470893</v>
      </c>
      <c r="BE13" s="2">
        <f t="shared" si="11"/>
        <v>0.23518216936032</v>
      </c>
      <c r="BF13" s="40">
        <f t="shared" si="12"/>
        <v>3.48949823540129</v>
      </c>
      <c r="BG13" s="3"/>
    </row>
    <row r="14" spans="1:59">
      <c r="A14" s="13" t="s">
        <v>62</v>
      </c>
      <c r="B14" s="1">
        <v>2022</v>
      </c>
      <c r="F14" s="19">
        <f>422555267*1000</f>
        <v>422555267000</v>
      </c>
      <c r="G14" s="19">
        <f>151923802*1000</f>
        <v>151923802000</v>
      </c>
      <c r="J14" s="23">
        <f>50685948*1000</f>
        <v>50685948000</v>
      </c>
      <c r="K14" s="23">
        <f>3163616*1000</f>
        <v>3163616000</v>
      </c>
      <c r="L14" s="23">
        <f>1507480*1000</f>
        <v>1507480000</v>
      </c>
      <c r="N14" s="23">
        <f>5169480*1000</f>
        <v>5169480000</v>
      </c>
      <c r="Q14" s="23">
        <f>77469*1000</f>
        <v>77469000</v>
      </c>
      <c r="S14" s="23" t="s">
        <v>63</v>
      </c>
      <c r="T14" s="23">
        <f>234606*1000</f>
        <v>234606000</v>
      </c>
      <c r="U14" s="23">
        <f>693294*1000</f>
        <v>693294000</v>
      </c>
      <c r="W14" s="23">
        <f>11094259*1000</f>
        <v>11094259000</v>
      </c>
      <c r="X14" s="23">
        <f>614598*1000</f>
        <v>614598000</v>
      </c>
      <c r="AA14" s="23">
        <f>5188817*1000</f>
        <v>5188817000</v>
      </c>
      <c r="AB14" s="23">
        <f>41359*1000</f>
        <v>41359000</v>
      </c>
      <c r="AC14" s="23">
        <f>10625244*1000</f>
        <v>10625244000</v>
      </c>
      <c r="AD14" s="23">
        <f>809936*1000</f>
        <v>809936000</v>
      </c>
      <c r="AE14" s="23">
        <f>55270099*1000</f>
        <v>55270099000</v>
      </c>
      <c r="AI14" s="23">
        <f>3284593*1000</f>
        <v>3284593000</v>
      </c>
      <c r="AJ14" s="4">
        <f>665484*1000</f>
        <v>665484000</v>
      </c>
      <c r="AK14" s="4">
        <f t="shared" si="0"/>
        <v>60838599000</v>
      </c>
      <c r="AL14" s="4">
        <f t="shared" si="1"/>
        <v>75220048000</v>
      </c>
      <c r="AM14" s="4">
        <f t="shared" si="2"/>
        <v>16665356000</v>
      </c>
      <c r="AN14" s="4">
        <f t="shared" si="3"/>
        <v>58554692000</v>
      </c>
      <c r="AO14" s="5">
        <f t="shared" si="4"/>
        <v>212762401000</v>
      </c>
      <c r="AP14" s="2">
        <f t="shared" si="5"/>
        <v>0.314249218187746</v>
      </c>
      <c r="AQ14" s="6">
        <f t="shared" si="6"/>
        <v>137542353000</v>
      </c>
      <c r="AR14" s="2">
        <f t="shared" si="7"/>
        <v>0.870824295103787</v>
      </c>
      <c r="AT14" s="5">
        <f>34763272*1000</f>
        <v>34763272000</v>
      </c>
      <c r="AU14" s="2">
        <f t="shared" ref="AU14:AU23" si="13">(AT14-AT15)/AT15</f>
        <v>0.0445319646725426</v>
      </c>
      <c r="AV14" s="23">
        <f>-3387491*1000</f>
        <v>-3387491000</v>
      </c>
      <c r="BC14" s="5">
        <f t="shared" ref="BC14:BC25" si="14">AT14+AV14</f>
        <v>31375781000</v>
      </c>
      <c r="BD14" s="2">
        <f t="shared" ref="BD14:BD24" si="15">(BC14-BC15)/BC15</f>
        <v>0.0858518701658732</v>
      </c>
      <c r="BE14" s="2">
        <f t="shared" si="11"/>
        <v>0.147468635682486</v>
      </c>
      <c r="BF14" s="59">
        <f t="shared" ref="BF14:BF25" si="16">BC14/AQ14</f>
        <v>0.228117233096921</v>
      </c>
      <c r="BG14" s="13" t="s">
        <v>64</v>
      </c>
    </row>
    <row r="15" spans="1:59">
      <c r="A15" s="14"/>
      <c r="B15" s="1">
        <v>2021</v>
      </c>
      <c r="F15" s="19">
        <f>387946104*1000</f>
        <v>387946104000</v>
      </c>
      <c r="G15" s="19">
        <f>134825076*1000</f>
        <v>134825076000</v>
      </c>
      <c r="J15" s="23">
        <f>19734020*1000</f>
        <v>19734020000</v>
      </c>
      <c r="L15" s="23">
        <f>1533552*1000</f>
        <v>1533552000</v>
      </c>
      <c r="N15" s="23">
        <f>5381623*1000</f>
        <v>5381623000</v>
      </c>
      <c r="O15" s="23">
        <f>178878*1000</f>
        <v>178878000</v>
      </c>
      <c r="Q15" s="23">
        <f>78180*1000</f>
        <v>78180000</v>
      </c>
      <c r="T15" s="23">
        <f>157602*1000</f>
        <v>157602000</v>
      </c>
      <c r="U15" s="23">
        <f>851927*1000</f>
        <v>851927000</v>
      </c>
      <c r="W15" s="23">
        <f>7893935*1000</f>
        <v>7893935000</v>
      </c>
      <c r="X15" s="23">
        <f>871356*1000</f>
        <v>871356000</v>
      </c>
      <c r="AA15" s="23">
        <f>3796705*1000</f>
        <v>3796705000</v>
      </c>
      <c r="AB15" s="23">
        <f>45747*1000</f>
        <v>45747000</v>
      </c>
      <c r="AC15" s="23">
        <f>5912873*1000</f>
        <v>5912873000</v>
      </c>
      <c r="AD15" s="23">
        <f>859195*1000</f>
        <v>859195000</v>
      </c>
      <c r="AE15" s="23">
        <f>71875556*1000</f>
        <v>71875556000</v>
      </c>
      <c r="AI15" s="23">
        <f>5879202*1000</f>
        <v>5879202000</v>
      </c>
      <c r="AJ15" s="4">
        <f>545865*1000</f>
        <v>545865000</v>
      </c>
      <c r="AK15" s="4">
        <f t="shared" si="0"/>
        <v>27063855000</v>
      </c>
      <c r="AL15" s="4">
        <f t="shared" si="1"/>
        <v>88369278000</v>
      </c>
      <c r="AM15" s="4">
        <f t="shared" si="2"/>
        <v>10614520000</v>
      </c>
      <c r="AN15" s="4">
        <f t="shared" si="3"/>
        <v>77754758000</v>
      </c>
      <c r="AO15" s="5">
        <f t="shared" si="4"/>
        <v>161888931000</v>
      </c>
      <c r="AP15" s="2">
        <f t="shared" si="5"/>
        <v>-0.0867680704345255</v>
      </c>
      <c r="AQ15" s="6">
        <f t="shared" si="6"/>
        <v>73519653000</v>
      </c>
      <c r="AR15" s="2">
        <f t="shared" si="7"/>
        <v>0.203152309933236</v>
      </c>
      <c r="AT15" s="5">
        <f>33281195*1000</f>
        <v>33281195000</v>
      </c>
      <c r="AU15" s="2">
        <f t="shared" si="13"/>
        <v>0.0567653782815904</v>
      </c>
      <c r="AV15" s="23">
        <f>-4386111*1000</f>
        <v>-4386111000</v>
      </c>
      <c r="BC15" s="5">
        <f t="shared" si="14"/>
        <v>28895084000</v>
      </c>
      <c r="BD15" s="2">
        <f t="shared" si="15"/>
        <v>0.00137440360001629</v>
      </c>
      <c r="BE15" s="2">
        <f t="shared" si="11"/>
        <v>0.178487088780641</v>
      </c>
      <c r="BF15" s="59">
        <f t="shared" si="16"/>
        <v>0.39302530440398</v>
      </c>
      <c r="BG15" s="14"/>
    </row>
    <row r="16" spans="1:59">
      <c r="A16" s="14"/>
      <c r="B16" s="1">
        <v>2020</v>
      </c>
      <c r="F16" s="19">
        <f>360382603*1000</f>
        <v>360382603000</v>
      </c>
      <c r="G16" s="19">
        <f>124237100*1000</f>
        <v>124237100000</v>
      </c>
      <c r="J16" s="23">
        <f>42827287*1000</f>
        <v>42827287000</v>
      </c>
      <c r="M16" s="23">
        <f>13260*1000</f>
        <v>13260000</v>
      </c>
      <c r="N16" s="23">
        <f>9943929*1000</f>
        <v>9943929000</v>
      </c>
      <c r="Q16" s="23">
        <f>87535*1000</f>
        <v>87535000</v>
      </c>
      <c r="T16" s="23">
        <f>161225*1000</f>
        <v>161225000</v>
      </c>
      <c r="U16" s="23">
        <f>1113501*1000</f>
        <v>1113501000</v>
      </c>
      <c r="W16" s="23">
        <f>21456155*1000</f>
        <v>21456155000</v>
      </c>
      <c r="X16" s="23">
        <f>981623*1000</f>
        <v>981623000</v>
      </c>
      <c r="AA16" s="23">
        <f>2901337*1000</f>
        <v>2901337000</v>
      </c>
      <c r="AB16" s="3">
        <f>46651*1000</f>
        <v>46651000</v>
      </c>
      <c r="AC16" s="23">
        <f>3360849*1000</f>
        <v>3360849000</v>
      </c>
      <c r="AD16" s="23">
        <f>405559*1000</f>
        <v>405559000</v>
      </c>
      <c r="AE16" s="23">
        <f>81210482*1000</f>
        <v>81210482000</v>
      </c>
      <c r="AI16" s="23">
        <f>28239601*1000</f>
        <v>28239601000</v>
      </c>
      <c r="AJ16" s="4">
        <f>420494*1000</f>
        <v>420494000</v>
      </c>
      <c r="AK16" s="4">
        <f t="shared" si="0"/>
        <v>53033236000</v>
      </c>
      <c r="AL16" s="4">
        <f t="shared" si="1"/>
        <v>116164479000</v>
      </c>
      <c r="AM16" s="4">
        <f t="shared" si="2"/>
        <v>6714396000</v>
      </c>
      <c r="AN16" s="4">
        <f t="shared" si="3"/>
        <v>109450083000</v>
      </c>
      <c r="AO16" s="5">
        <f t="shared" si="4"/>
        <v>177270336000</v>
      </c>
      <c r="AP16" s="2">
        <f t="shared" si="5"/>
        <v>0.14649378553622</v>
      </c>
      <c r="AQ16" s="6">
        <f t="shared" si="6"/>
        <v>61105857000</v>
      </c>
      <c r="AR16" s="2">
        <f t="shared" si="7"/>
        <v>-0.213314679563636</v>
      </c>
      <c r="AT16" s="5">
        <f>31493457*1000</f>
        <v>31493457000</v>
      </c>
      <c r="AU16" s="2">
        <f t="shared" si="13"/>
        <v>0.0609897715507535</v>
      </c>
      <c r="AV16" s="23">
        <f>-2638032*1000</f>
        <v>-2638032000</v>
      </c>
      <c r="BC16" s="5">
        <f t="shared" si="14"/>
        <v>28855425000</v>
      </c>
      <c r="BD16" s="2">
        <f t="shared" si="15"/>
        <v>0.0511436988988854</v>
      </c>
      <c r="BE16" s="2">
        <f t="shared" si="11"/>
        <v>0.162776388035954</v>
      </c>
      <c r="BF16" s="59">
        <f t="shared" si="16"/>
        <v>0.472220281600829</v>
      </c>
      <c r="BG16" s="14"/>
    </row>
    <row r="17" spans="1:59">
      <c r="A17" s="14"/>
      <c r="B17" s="1">
        <v>2019</v>
      </c>
      <c r="F17" s="19">
        <f>301955419*1000</f>
        <v>301955419000</v>
      </c>
      <c r="G17" s="19">
        <f>107496097*1000</f>
        <v>107496097000</v>
      </c>
      <c r="J17" s="23">
        <f>41298377*1000</f>
        <v>41298377000</v>
      </c>
      <c r="M17" s="23">
        <f>33646*1000</f>
        <v>33646000</v>
      </c>
      <c r="N17" s="23">
        <f>5701838*1000</f>
        <v>5701838000</v>
      </c>
      <c r="Q17" s="23">
        <f>62477*1000</f>
        <v>62477000</v>
      </c>
      <c r="T17" s="23">
        <f>27100*1000</f>
        <v>27100000</v>
      </c>
      <c r="U17" s="23">
        <f>790101*1000</f>
        <v>790101000</v>
      </c>
      <c r="X17" s="23">
        <f>1208079*1000</f>
        <v>1208079000</v>
      </c>
      <c r="AA17" s="23">
        <f>2790806*1000</f>
        <v>2790806000</v>
      </c>
      <c r="AB17" s="23"/>
      <c r="AC17" s="23">
        <f>1750107*1000</f>
        <v>1750107000</v>
      </c>
      <c r="AD17" s="23">
        <f>399335*1000</f>
        <v>399335000</v>
      </c>
      <c r="AE17" s="23">
        <f>70916841*1000</f>
        <v>70916841000</v>
      </c>
      <c r="AI17" s="23">
        <f>1087351*1000</f>
        <v>1087351000</v>
      </c>
      <c r="AJ17" s="4">
        <f>197412*1000</f>
        <v>197412000</v>
      </c>
      <c r="AK17" s="4">
        <f t="shared" si="0"/>
        <v>47123438000</v>
      </c>
      <c r="AL17" s="4">
        <f t="shared" si="1"/>
        <v>76944440000</v>
      </c>
      <c r="AM17" s="4">
        <f t="shared" si="2"/>
        <v>4940248000</v>
      </c>
      <c r="AN17" s="4">
        <f t="shared" si="3"/>
        <v>72004192000</v>
      </c>
      <c r="AO17" s="5">
        <f t="shared" si="4"/>
        <v>154619535000</v>
      </c>
      <c r="AP17" s="2">
        <f t="shared" si="5"/>
        <v>0.223200896636959</v>
      </c>
      <c r="AQ17" s="6">
        <f t="shared" si="6"/>
        <v>77675095000</v>
      </c>
      <c r="AR17" s="2">
        <f t="shared" si="7"/>
        <v>-0.169298617034415</v>
      </c>
      <c r="AT17" s="5">
        <f>29683092*1000</f>
        <v>29683092000</v>
      </c>
      <c r="AU17" s="2">
        <f t="shared" si="13"/>
        <v>0.161123576720505</v>
      </c>
      <c r="AV17" s="23">
        <f>-2231636*1000</f>
        <v>-2231636000</v>
      </c>
      <c r="BC17" s="5">
        <f t="shared" si="14"/>
        <v>27451456000</v>
      </c>
      <c r="BD17" s="2">
        <f t="shared" si="15"/>
        <v>0.15628549360726</v>
      </c>
      <c r="BE17" s="2">
        <f t="shared" si="11"/>
        <v>0.177541964538957</v>
      </c>
      <c r="BF17" s="59">
        <f t="shared" si="16"/>
        <v>0.353413870945378</v>
      </c>
      <c r="BG17" s="14"/>
    </row>
    <row r="18" spans="1:59">
      <c r="A18" s="14"/>
      <c r="B18" s="1">
        <v>2018</v>
      </c>
      <c r="F18" s="19">
        <f>263701148*1000</f>
        <v>263701148000</v>
      </c>
      <c r="G18" s="19">
        <f>92454517*1000</f>
        <v>92454517000</v>
      </c>
      <c r="J18" s="23">
        <f>32091439*1000</f>
        <v>32091439000</v>
      </c>
      <c r="M18" s="23">
        <f>88890*1000</f>
        <v>88890000</v>
      </c>
      <c r="N18" s="23">
        <f>870390*1000</f>
        <v>870390000</v>
      </c>
      <c r="O18" s="23">
        <f>99754*1000</f>
        <v>99754000</v>
      </c>
      <c r="Q18" s="23">
        <f>44386*1000</f>
        <v>44386000</v>
      </c>
      <c r="T18" s="23">
        <f>756299*1000</f>
        <v>756299000</v>
      </c>
      <c r="X18" s="23">
        <f>34815*1000</f>
        <v>34815000</v>
      </c>
      <c r="Y18" s="23">
        <f>1906878*1000</f>
        <v>1906878000</v>
      </c>
      <c r="AA18" s="23">
        <f>2713316*1000</f>
        <v>2713316000</v>
      </c>
      <c r="AD18" s="23">
        <f>391765*1000</f>
        <v>391765000</v>
      </c>
      <c r="AE18" s="23">
        <f>27888280*1000</f>
        <v>27888280000</v>
      </c>
      <c r="AJ18" s="4">
        <f>220197*1000</f>
        <v>220197000</v>
      </c>
      <c r="AK18" s="4">
        <f t="shared" si="0"/>
        <v>33951158000</v>
      </c>
      <c r="AL18" s="4">
        <f t="shared" si="1"/>
        <v>32900239000</v>
      </c>
      <c r="AM18" s="4">
        <f t="shared" si="2"/>
        <v>5011959000</v>
      </c>
      <c r="AN18" s="4">
        <f t="shared" si="3"/>
        <v>27888280000</v>
      </c>
      <c r="AO18" s="5">
        <f t="shared" si="4"/>
        <v>126405675000</v>
      </c>
      <c r="AP18" s="2">
        <f t="shared" si="5"/>
        <v>0.0235397832133182</v>
      </c>
      <c r="AQ18" s="6">
        <f t="shared" si="6"/>
        <v>93505436000</v>
      </c>
      <c r="AR18" s="2">
        <f t="shared" si="7"/>
        <v>0.32935794535576</v>
      </c>
      <c r="AT18" s="5">
        <f>25564111*1000</f>
        <v>25564111000</v>
      </c>
      <c r="AU18" s="2">
        <f t="shared" si="13"/>
        <v>0.181999425370635</v>
      </c>
      <c r="AV18" s="23">
        <f>-1823040*1000</f>
        <v>-1823040000</v>
      </c>
      <c r="BC18" s="5">
        <f t="shared" si="14"/>
        <v>23741071000</v>
      </c>
      <c r="BD18" s="2">
        <f t="shared" si="15"/>
        <v>0.05780072120576</v>
      </c>
      <c r="BE18" s="2">
        <f t="shared" si="11"/>
        <v>0.187816496371702</v>
      </c>
      <c r="BF18" s="59">
        <f t="shared" si="16"/>
        <v>0.25390043633399</v>
      </c>
      <c r="BG18" s="14"/>
    </row>
    <row r="19" spans="1:59">
      <c r="A19" s="14"/>
      <c r="B19" s="1">
        <v>2017</v>
      </c>
      <c r="F19" s="19">
        <f>248106858*1000</f>
        <v>248106858000</v>
      </c>
      <c r="G19" s="19">
        <f>82925171*1000</f>
        <v>82925171000</v>
      </c>
      <c r="J19" s="23">
        <f>32986325*1000</f>
        <v>32986325000</v>
      </c>
      <c r="K19" s="23">
        <f>4553054*1000</f>
        <v>4553054000</v>
      </c>
      <c r="M19" s="23">
        <f>250536*1000</f>
        <v>250536000</v>
      </c>
      <c r="N19" s="23">
        <f>2584102*1000</f>
        <v>2584102000</v>
      </c>
      <c r="Q19" s="23">
        <f>108926*1000</f>
        <v>108926000</v>
      </c>
      <c r="T19" s="23">
        <f>90432*1000</f>
        <v>90432000</v>
      </c>
      <c r="X19" s="23">
        <f>362248*1000</f>
        <v>362248000</v>
      </c>
      <c r="Y19" s="23">
        <f>1831051*1000</f>
        <v>1831051000</v>
      </c>
      <c r="AA19" s="23">
        <f>2633698*1000</f>
        <v>2633698000</v>
      </c>
      <c r="AD19" s="23">
        <f>420802*1000</f>
        <v>420802000</v>
      </c>
      <c r="AE19" s="23">
        <f>48274200*1000</f>
        <v>48274200000</v>
      </c>
      <c r="AJ19" s="4">
        <f>353327*1000</f>
        <v>353327000</v>
      </c>
      <c r="AK19" s="4">
        <f t="shared" si="0"/>
        <v>40573375000</v>
      </c>
      <c r="AL19" s="4">
        <f t="shared" si="1"/>
        <v>53159751000</v>
      </c>
      <c r="AM19" s="4">
        <f t="shared" si="2"/>
        <v>4885551000</v>
      </c>
      <c r="AN19" s="4">
        <f t="shared" si="3"/>
        <v>48274200000</v>
      </c>
      <c r="AO19" s="5">
        <f t="shared" si="4"/>
        <v>123498546000</v>
      </c>
      <c r="AP19" s="2">
        <f t="shared" si="5"/>
        <v>0.552119751759465</v>
      </c>
      <c r="AQ19" s="6">
        <f t="shared" si="6"/>
        <v>70338795000</v>
      </c>
      <c r="AR19" s="2">
        <f t="shared" si="7"/>
        <v>0.580470847273165</v>
      </c>
      <c r="AT19" s="5">
        <f>21627854*1000</f>
        <v>21627854000</v>
      </c>
      <c r="AU19" s="2">
        <f t="shared" si="13"/>
        <v>0.24041552021037</v>
      </c>
      <c r="AV19" s="23">
        <f>815949*1000</f>
        <v>815949000</v>
      </c>
      <c r="BC19" s="5">
        <f t="shared" si="14"/>
        <v>22443803000</v>
      </c>
      <c r="BD19" s="2">
        <f t="shared" si="15"/>
        <v>0.366026078156075</v>
      </c>
      <c r="BE19" s="2">
        <f t="shared" si="11"/>
        <v>0.181733337977922</v>
      </c>
      <c r="BF19" s="59">
        <f t="shared" si="16"/>
        <v>0.319081425833354</v>
      </c>
      <c r="BG19" s="14"/>
    </row>
    <row r="20" spans="1:59">
      <c r="A20" s="14"/>
      <c r="B20" s="1">
        <v>2016</v>
      </c>
      <c r="F20" s="19">
        <f>170600711*1000</f>
        <v>170600711000</v>
      </c>
      <c r="G20" s="19">
        <f>68976696*1000</f>
        <v>68976696000</v>
      </c>
      <c r="J20" s="23">
        <f>2254348*1000</f>
        <v>2254348000</v>
      </c>
      <c r="K20" s="23">
        <f>4818769*1000</f>
        <v>4818769000</v>
      </c>
      <c r="M20" s="23">
        <f>366881*1000</f>
        <v>366881000</v>
      </c>
      <c r="N20" s="23">
        <f>3024426*1000</f>
        <v>3024426000</v>
      </c>
      <c r="Q20" s="23">
        <f>36708*1000</f>
        <v>36708000</v>
      </c>
      <c r="T20" s="23">
        <f>89838*1000</f>
        <v>89838000</v>
      </c>
      <c r="X20" s="23">
        <f>33868*1000</f>
        <v>33868000</v>
      </c>
      <c r="Y20" s="23">
        <f>5187732*1000</f>
        <v>5187732000</v>
      </c>
      <c r="AA20" s="23">
        <f>2211732*1000</f>
        <v>2211732000</v>
      </c>
      <c r="AD20" s="23">
        <f>494122*1000</f>
        <v>494122000</v>
      </c>
      <c r="AE20" s="23">
        <f>17196070*1000</f>
        <v>17196070000</v>
      </c>
      <c r="AF20" s="23">
        <f>735183*1000</f>
        <v>735183000</v>
      </c>
      <c r="AG20" s="23">
        <f>9237865*1000</f>
        <v>9237865000</v>
      </c>
      <c r="AJ20" s="4">
        <f>412813*1000</f>
        <v>412813000</v>
      </c>
      <c r="AK20" s="4">
        <f t="shared" si="0"/>
        <v>10590970000</v>
      </c>
      <c r="AL20" s="4">
        <f t="shared" si="1"/>
        <v>35062704000</v>
      </c>
      <c r="AM20" s="4">
        <f t="shared" si="2"/>
        <v>7893586000</v>
      </c>
      <c r="AN20" s="4">
        <f t="shared" si="3"/>
        <v>27169118000</v>
      </c>
      <c r="AO20" s="5">
        <f t="shared" si="4"/>
        <v>79567666000</v>
      </c>
      <c r="AP20" s="2">
        <f t="shared" si="5"/>
        <v>0.309114148279945</v>
      </c>
      <c r="AQ20" s="6">
        <f t="shared" si="6"/>
        <v>44504962000</v>
      </c>
      <c r="AR20" s="2">
        <f t="shared" si="7"/>
        <v>0.187498280654178</v>
      </c>
      <c r="AT20" s="5">
        <f>17435975*1000</f>
        <v>17435975000</v>
      </c>
      <c r="AU20" s="2">
        <f t="shared" si="13"/>
        <v>0.168876010407811</v>
      </c>
      <c r="AV20" s="23">
        <f>-1005979*1000</f>
        <v>-1005979000</v>
      </c>
      <c r="BC20" s="5">
        <f t="shared" si="14"/>
        <v>16429996000</v>
      </c>
      <c r="BD20" s="2">
        <f t="shared" si="15"/>
        <v>0.0912731667287136</v>
      </c>
      <c r="BE20" s="2">
        <f t="shared" si="11"/>
        <v>0.206490862758247</v>
      </c>
      <c r="BF20" s="59">
        <f t="shared" si="16"/>
        <v>0.36917222848095</v>
      </c>
      <c r="BG20" s="14"/>
    </row>
    <row r="21" spans="1:59">
      <c r="A21" s="14"/>
      <c r="B21" s="1">
        <v>2015</v>
      </c>
      <c r="F21" s="19">
        <f>128841935*1000</f>
        <v>128841935000</v>
      </c>
      <c r="G21" s="19">
        <f>56031622*1000</f>
        <v>56031622000</v>
      </c>
      <c r="J21" s="23">
        <f>90061*1000</f>
        <v>90061000</v>
      </c>
      <c r="N21" s="23">
        <f>3920933*1000</f>
        <v>3920933000</v>
      </c>
      <c r="P21" s="23">
        <f>651784*1000</f>
        <v>651784000</v>
      </c>
      <c r="Q21" s="23">
        <f>52000*1000</f>
        <v>52000000</v>
      </c>
      <c r="T21" s="23">
        <f>33377*1000</f>
        <v>33377000</v>
      </c>
      <c r="Y21" s="23">
        <f>3289954*1000</f>
        <v>3289954000</v>
      </c>
      <c r="AA21" s="23">
        <f>2888274*1000</f>
        <v>2888274000</v>
      </c>
      <c r="AD21" s="23">
        <f>150803*1000</f>
        <v>150803000</v>
      </c>
      <c r="AE21" s="23">
        <f>11861977*1000</f>
        <v>11861977000</v>
      </c>
      <c r="AF21" s="23">
        <f>1048045*1000</f>
        <v>1048045000</v>
      </c>
      <c r="AG21" s="23">
        <f>4062807*1000</f>
        <v>4062807000</v>
      </c>
      <c r="AJ21" s="4">
        <f>158822*1000</f>
        <v>158822000</v>
      </c>
      <c r="AK21" s="4">
        <f t="shared" si="0"/>
        <v>4748155000</v>
      </c>
      <c r="AL21" s="4">
        <f t="shared" si="1"/>
        <v>23301860000</v>
      </c>
      <c r="AM21" s="4">
        <f t="shared" si="2"/>
        <v>6329031000</v>
      </c>
      <c r="AN21" s="4">
        <f t="shared" si="3"/>
        <v>16972829000</v>
      </c>
      <c r="AO21" s="5">
        <f t="shared" si="4"/>
        <v>60779777000</v>
      </c>
      <c r="AP21" s="2">
        <f t="shared" si="5"/>
        <v>0.167561586728711</v>
      </c>
      <c r="AQ21" s="6">
        <f t="shared" si="6"/>
        <v>37477917000</v>
      </c>
      <c r="AR21" s="2">
        <f t="shared" si="7"/>
        <v>-0.055226893250753</v>
      </c>
      <c r="AT21" s="5">
        <f>14916873*1000</f>
        <v>14916873000</v>
      </c>
      <c r="AU21" s="2">
        <f t="shared" si="13"/>
        <v>0.109019658660099</v>
      </c>
      <c r="AV21" s="23">
        <f>138932*1000</f>
        <v>138932000</v>
      </c>
      <c r="BC21" s="5">
        <f t="shared" si="14"/>
        <v>15055805000</v>
      </c>
      <c r="BD21" s="2">
        <f t="shared" si="15"/>
        <v>0.098817042594561</v>
      </c>
      <c r="BE21" s="2">
        <f t="shared" si="11"/>
        <v>0.247710764058907</v>
      </c>
      <c r="BF21" s="59">
        <f t="shared" si="16"/>
        <v>0.401724700975244</v>
      </c>
      <c r="BG21" s="14"/>
    </row>
    <row r="22" spans="1:59">
      <c r="A22" s="14"/>
      <c r="B22" s="1">
        <v>2014</v>
      </c>
      <c r="F22" s="20">
        <f>120292088.16*1000</f>
        <v>120292088160</v>
      </c>
      <c r="G22" s="20">
        <f>45731455.24*1000</f>
        <v>45731455240</v>
      </c>
      <c r="J22" s="22">
        <f>19205.03*1000</f>
        <v>19205030</v>
      </c>
      <c r="K22" s="22">
        <f>153026.3*1000</f>
        <v>153026300</v>
      </c>
      <c r="N22" s="22">
        <f>6070879.03*1000</f>
        <v>6070879030</v>
      </c>
      <c r="Q22" s="22">
        <f>7493.81*1000</f>
        <v>7493810</v>
      </c>
      <c r="T22" s="22">
        <f>74960.7*1000</f>
        <v>74960700</v>
      </c>
      <c r="Y22" s="22">
        <f>1655494.72*1000</f>
        <v>1655494720</v>
      </c>
      <c r="AA22" s="22">
        <f>951874.39*1000</f>
        <v>951874390</v>
      </c>
      <c r="AD22" s="22">
        <f>171634.9*1000</f>
        <v>171634900</v>
      </c>
      <c r="AE22" s="22">
        <f>6203282.81*1000</f>
        <v>6203282810</v>
      </c>
      <c r="AF22" s="22">
        <f>1279592.47*1000</f>
        <v>1279592470</v>
      </c>
      <c r="AG22" s="22">
        <f>2126444.99*1000</f>
        <v>2126444990</v>
      </c>
      <c r="AJ22" s="4">
        <f>162513.84*1000</f>
        <v>162513840</v>
      </c>
      <c r="AK22" s="4">
        <f t="shared" si="0"/>
        <v>6325564870</v>
      </c>
      <c r="AL22" s="4">
        <f t="shared" si="1"/>
        <v>12388324280</v>
      </c>
      <c r="AM22" s="4">
        <f t="shared" si="2"/>
        <v>2779004010</v>
      </c>
      <c r="AN22" s="4">
        <f t="shared" si="3"/>
        <v>9609320270</v>
      </c>
      <c r="AO22" s="5">
        <f t="shared" si="4"/>
        <v>52057020110</v>
      </c>
      <c r="AP22" s="2">
        <f t="shared" si="5"/>
        <v>0.0641701792851416</v>
      </c>
      <c r="AQ22" s="6">
        <f t="shared" si="6"/>
        <v>39668695830</v>
      </c>
      <c r="AR22" s="2">
        <f t="shared" si="7"/>
        <v>0.381623890084309</v>
      </c>
      <c r="AT22" s="5">
        <f>13450503.68*1000</f>
        <v>13450503680</v>
      </c>
      <c r="AU22" s="2">
        <f t="shared" si="13"/>
        <v>0.442621989400738</v>
      </c>
      <c r="AV22" s="22">
        <f>251326.94*1000</f>
        <v>251326940</v>
      </c>
      <c r="BC22" s="5">
        <f t="shared" si="14"/>
        <v>13701830620</v>
      </c>
      <c r="BD22" s="2">
        <f t="shared" si="15"/>
        <v>0.385720965499537</v>
      </c>
      <c r="BE22" s="2">
        <f t="shared" si="11"/>
        <v>0.263208124303833</v>
      </c>
      <c r="BF22" s="59">
        <f t="shared" si="16"/>
        <v>0.345406631937665</v>
      </c>
      <c r="BG22" s="14"/>
    </row>
    <row r="23" spans="1:59">
      <c r="A23" s="14"/>
      <c r="B23" s="1">
        <v>2013</v>
      </c>
      <c r="F23" s="20">
        <f>96946024.77*1000</f>
        <v>96946024770</v>
      </c>
      <c r="G23" s="20">
        <f>39080562.28*1000</f>
        <v>39080562280</v>
      </c>
      <c r="J23" s="22">
        <f>711464.64*1000</f>
        <v>711464640</v>
      </c>
      <c r="K23" s="22">
        <f>152716.59*1000</f>
        <v>152716590</v>
      </c>
      <c r="N23" s="22">
        <f>8872173.98*1000</f>
        <v>8872173980</v>
      </c>
      <c r="O23" s="22">
        <f>89708.03*1000</f>
        <v>89708030</v>
      </c>
      <c r="Q23" s="3">
        <f>61*1000</f>
        <v>61000</v>
      </c>
      <c r="T23" s="22">
        <f>11260.18*1000</f>
        <v>11260180</v>
      </c>
      <c r="Y23" s="22">
        <f>844439.05*1000</f>
        <v>844439050</v>
      </c>
      <c r="AA23" s="22">
        <f>912427.64*1000</f>
        <v>912427640</v>
      </c>
      <c r="AD23" s="22">
        <f>205834.7*1000</f>
        <v>205834700</v>
      </c>
      <c r="AE23" s="22">
        <f>15573683*1000</f>
        <v>15573683000</v>
      </c>
      <c r="AF23" s="22">
        <f>923632.22*1000</f>
        <v>923632220</v>
      </c>
      <c r="AG23" s="22">
        <f>1746284.24*1000</f>
        <v>1746284240</v>
      </c>
      <c r="AJ23" s="4">
        <f>759565.22*1000</f>
        <v>759565220</v>
      </c>
      <c r="AK23" s="4">
        <f t="shared" si="0"/>
        <v>9837384420</v>
      </c>
      <c r="AL23" s="4">
        <f t="shared" si="1"/>
        <v>20206300850</v>
      </c>
      <c r="AM23" s="4">
        <f t="shared" si="2"/>
        <v>1962701390</v>
      </c>
      <c r="AN23" s="4">
        <f t="shared" si="3"/>
        <v>18243599460</v>
      </c>
      <c r="AO23" s="5">
        <f t="shared" si="4"/>
        <v>48917946700</v>
      </c>
      <c r="AP23" s="2" t="e">
        <f t="shared" si="5"/>
        <v>#DIV/0!</v>
      </c>
      <c r="AQ23" s="6">
        <f t="shared" si="6"/>
        <v>28711645850</v>
      </c>
      <c r="AR23" s="2" t="e">
        <f t="shared" si="7"/>
        <v>#DIV/0!</v>
      </c>
      <c r="AT23" s="5">
        <f>9323650.81*1000</f>
        <v>9323650810</v>
      </c>
      <c r="AU23" s="2" t="e">
        <f t="shared" si="13"/>
        <v>#DIV/0!</v>
      </c>
      <c r="AV23" s="22">
        <f>564220.53*1000</f>
        <v>564220530</v>
      </c>
      <c r="BC23" s="5">
        <f t="shared" si="14"/>
        <v>9887871340</v>
      </c>
      <c r="BD23" s="2" t="e">
        <f t="shared" si="15"/>
        <v>#DIV/0!</v>
      </c>
      <c r="BE23" s="2">
        <f t="shared" si="11"/>
        <v>0.202131773858775</v>
      </c>
      <c r="BF23" s="59">
        <f t="shared" si="16"/>
        <v>0.344385389526529</v>
      </c>
      <c r="BG23" s="14"/>
    </row>
    <row r="24" spans="1:59">
      <c r="A24" s="15"/>
      <c r="B24" s="1">
        <v>2012</v>
      </c>
      <c r="AK24" s="4">
        <f t="shared" si="0"/>
        <v>0</v>
      </c>
      <c r="AL24" s="4">
        <f t="shared" si="1"/>
        <v>0</v>
      </c>
      <c r="AM24" s="4">
        <f t="shared" si="2"/>
        <v>0</v>
      </c>
      <c r="AN24" s="4">
        <f t="shared" si="3"/>
        <v>0</v>
      </c>
      <c r="AO24" s="5">
        <f t="shared" si="4"/>
        <v>0</v>
      </c>
      <c r="AP24" s="2">
        <f t="shared" si="5"/>
        <v>-1</v>
      </c>
      <c r="AQ24" s="6">
        <f t="shared" si="6"/>
        <v>0</v>
      </c>
      <c r="AR24" s="2">
        <f t="shared" si="7"/>
        <v>-1</v>
      </c>
      <c r="BC24" s="5">
        <f t="shared" si="14"/>
        <v>0</v>
      </c>
      <c r="BD24" s="2">
        <f t="shared" si="15"/>
        <v>-1</v>
      </c>
      <c r="BE24" s="2" t="e">
        <f t="shared" ref="BE24:BE35" si="17">(AT24+AV24)/AO24</f>
        <v>#DIV/0!</v>
      </c>
      <c r="BF24" s="40" t="e">
        <f t="shared" si="16"/>
        <v>#DIV/0!</v>
      </c>
      <c r="BG24" s="15"/>
    </row>
    <row r="25" spans="1:59">
      <c r="A25" s="13" t="s">
        <v>65</v>
      </c>
      <c r="B25" s="1">
        <v>2022</v>
      </c>
      <c r="F25" s="20">
        <v>2280704243.5</v>
      </c>
      <c r="G25" s="20">
        <v>1966525146.08</v>
      </c>
      <c r="L25" s="22">
        <v>3248317.27</v>
      </c>
      <c r="AA25" s="22">
        <v>59820439.69</v>
      </c>
      <c r="AB25" s="22">
        <v>14428590.29</v>
      </c>
      <c r="AD25" s="22">
        <v>15189283.18</v>
      </c>
      <c r="AE25" s="22">
        <v>1099193118.61</v>
      </c>
      <c r="AK25" s="4">
        <f t="shared" si="0"/>
        <v>3248317.27</v>
      </c>
      <c r="AL25" s="4">
        <f t="shared" si="1"/>
        <v>1188631431.77</v>
      </c>
      <c r="AM25" s="4">
        <f t="shared" si="2"/>
        <v>89438313.16</v>
      </c>
      <c r="AN25" s="4">
        <f t="shared" si="3"/>
        <v>1099193118.61</v>
      </c>
      <c r="AO25" s="5">
        <f t="shared" si="4"/>
        <v>1969773463.35</v>
      </c>
      <c r="AP25" s="2">
        <f t="shared" ref="AP25:AP34" si="18">(AO25-AO26)/AO26</f>
        <v>0.0100156696739298</v>
      </c>
      <c r="AQ25" s="6">
        <f t="shared" si="6"/>
        <v>781142031.58</v>
      </c>
      <c r="AR25" s="2">
        <f t="shared" ref="AR25:AR34" si="19">(AQ25-AQ26)/AQ26</f>
        <v>0.0958443864095955</v>
      </c>
      <c r="AT25" s="5">
        <v>528663743.59</v>
      </c>
      <c r="AU25" s="2">
        <f>(AT25-AT26)/AT26</f>
        <v>-0.317688300921738</v>
      </c>
      <c r="AV25" s="22">
        <v>-17099574.87</v>
      </c>
      <c r="BC25" s="5">
        <f t="shared" si="14"/>
        <v>511564168.72</v>
      </c>
      <c r="BD25" s="2">
        <f t="shared" ref="BD25:BD34" si="20">(BC25-BC26)/BC26</f>
        <v>-0.326773538299499</v>
      </c>
      <c r="BE25" s="2">
        <f t="shared" si="17"/>
        <v>0.259707107562502</v>
      </c>
      <c r="BF25" s="40">
        <f t="shared" si="16"/>
        <v>0.654892641848077</v>
      </c>
      <c r="BG25" s="1" t="s">
        <v>66</v>
      </c>
    </row>
    <row r="26" spans="1:59">
      <c r="A26" s="14"/>
      <c r="B26" s="1">
        <v>2021</v>
      </c>
      <c r="F26" s="20">
        <v>2355604290.03</v>
      </c>
      <c r="G26" s="20">
        <v>1950240498.73</v>
      </c>
      <c r="AA26" s="22">
        <v>59835739.65</v>
      </c>
      <c r="AB26" s="22">
        <v>25581572.8</v>
      </c>
      <c r="AD26" s="22">
        <v>5365939.37</v>
      </c>
      <c r="AE26" s="22">
        <v>646635206.42</v>
      </c>
      <c r="AI26" s="22">
        <v>500000000</v>
      </c>
      <c r="AK26" s="4">
        <f t="shared" ref="AK26:AK35" si="21">SUM(I26:T26)</f>
        <v>0</v>
      </c>
      <c r="AL26" s="4">
        <f t="shared" ref="AL26:AL35" si="22">SUM(Y26:AI26)</f>
        <v>1237418458.24</v>
      </c>
      <c r="AM26" s="4">
        <f t="shared" ref="AM26:AM35" si="23">SUM(Y26:AD26)</f>
        <v>90783251.82</v>
      </c>
      <c r="AN26" s="4">
        <f t="shared" ref="AN26:AN35" si="24">SUM(AE26:AI26)</f>
        <v>1146635206.42</v>
      </c>
      <c r="AO26" s="5">
        <f t="shared" ref="AO26:AO35" si="25">G26+AK26</f>
        <v>1950240498.73</v>
      </c>
      <c r="AP26" s="2">
        <f t="shared" si="18"/>
        <v>0.14469955671411</v>
      </c>
      <c r="AQ26" s="6">
        <f t="shared" ref="AQ26:AQ35" si="26">AO26-AL26</f>
        <v>712822040.49</v>
      </c>
      <c r="AR26" s="2">
        <f t="shared" si="19"/>
        <v>0.127439118340811</v>
      </c>
      <c r="AT26" s="5">
        <v>774812661.58</v>
      </c>
      <c r="AU26" s="2">
        <f t="shared" ref="AU26:AU34" si="27">(AT26-AT27)/AT27</f>
        <v>0.219501228906759</v>
      </c>
      <c r="AV26" s="22">
        <v>-14943289.5</v>
      </c>
      <c r="BC26" s="5">
        <f t="shared" ref="BC26:BC35" si="28">AT26+AV26</f>
        <v>759869372.08</v>
      </c>
      <c r="BD26" s="2">
        <f t="shared" si="20"/>
        <v>0.238628488308497</v>
      </c>
      <c r="BE26" s="2">
        <f t="shared" si="17"/>
        <v>0.389628547132945</v>
      </c>
      <c r="BF26" s="40">
        <f t="shared" ref="BF26:BF35" si="29">BC26/AQ26</f>
        <v>1.06600151078053</v>
      </c>
      <c r="BG26" s="1"/>
    </row>
    <row r="27" spans="1:59">
      <c r="A27" s="14"/>
      <c r="B27" s="1">
        <v>2020</v>
      </c>
      <c r="F27" s="20">
        <v>2178534859.65</v>
      </c>
      <c r="G27" s="20">
        <v>1703713858.62</v>
      </c>
      <c r="AB27" s="22">
        <v>61494221.69</v>
      </c>
      <c r="AE27" s="22">
        <v>509970827.31</v>
      </c>
      <c r="AI27" s="22">
        <v>500000000</v>
      </c>
      <c r="AK27" s="4">
        <f t="shared" si="21"/>
        <v>0</v>
      </c>
      <c r="AL27" s="4">
        <f t="shared" si="22"/>
        <v>1071465049</v>
      </c>
      <c r="AM27" s="4">
        <f t="shared" si="23"/>
        <v>61494221.69</v>
      </c>
      <c r="AN27" s="4">
        <f t="shared" si="24"/>
        <v>1009970827.31</v>
      </c>
      <c r="AO27" s="5">
        <f t="shared" si="25"/>
        <v>1703713858.62</v>
      </c>
      <c r="AP27" s="2">
        <f t="shared" si="18"/>
        <v>0.121419133008278</v>
      </c>
      <c r="AQ27" s="6">
        <f t="shared" si="26"/>
        <v>632248809.62</v>
      </c>
      <c r="AR27" s="2">
        <f t="shared" si="19"/>
        <v>-0.0243927560426143</v>
      </c>
      <c r="AT27" s="5">
        <v>635352095.77</v>
      </c>
      <c r="AU27" s="2">
        <f t="shared" si="27"/>
        <v>0.188110051040797</v>
      </c>
      <c r="AV27" s="22">
        <v>-21875674.67</v>
      </c>
      <c r="BC27" s="5">
        <f t="shared" si="28"/>
        <v>613476421.1</v>
      </c>
      <c r="BD27" s="2">
        <f t="shared" si="20"/>
        <v>0.175994228940392</v>
      </c>
      <c r="BE27" s="2">
        <f t="shared" si="17"/>
        <v>0.360081840032054</v>
      </c>
      <c r="BF27" s="40">
        <f t="shared" si="29"/>
        <v>0.97030854272184</v>
      </c>
      <c r="BG27" s="1"/>
    </row>
    <row r="28" spans="1:59">
      <c r="A28" s="14"/>
      <c r="B28" s="1">
        <v>2019</v>
      </c>
      <c r="F28" s="20">
        <v>1986804431.74</v>
      </c>
      <c r="G28" s="20">
        <v>1519248074.58</v>
      </c>
      <c r="AB28" s="22">
        <v>72064248.93</v>
      </c>
      <c r="AE28" s="22">
        <v>799127127.08</v>
      </c>
      <c r="AK28" s="4">
        <f t="shared" si="21"/>
        <v>0</v>
      </c>
      <c r="AL28" s="4">
        <f t="shared" si="22"/>
        <v>871191376.01</v>
      </c>
      <c r="AM28" s="4">
        <f t="shared" si="23"/>
        <v>72064248.93</v>
      </c>
      <c r="AN28" s="4">
        <f t="shared" si="24"/>
        <v>799127127.08</v>
      </c>
      <c r="AO28" s="5">
        <f t="shared" si="25"/>
        <v>1519248074.58</v>
      </c>
      <c r="AP28" s="2">
        <f t="shared" si="18"/>
        <v>0.112940089770122</v>
      </c>
      <c r="AQ28" s="6">
        <f t="shared" si="26"/>
        <v>648056698.57</v>
      </c>
      <c r="AR28" s="2">
        <f t="shared" si="19"/>
        <v>0.452711637276148</v>
      </c>
      <c r="AT28" s="5">
        <v>534758623.76</v>
      </c>
      <c r="AU28" s="2">
        <f t="shared" si="27"/>
        <v>0.200074446440493</v>
      </c>
      <c r="AV28" s="22">
        <v>-13092440.37</v>
      </c>
      <c r="BC28" s="5">
        <f t="shared" si="28"/>
        <v>521666183.39</v>
      </c>
      <c r="BD28" s="2">
        <f t="shared" si="20"/>
        <v>0.181269968272371</v>
      </c>
      <c r="BE28" s="2">
        <f t="shared" si="17"/>
        <v>0.34337129802466</v>
      </c>
      <c r="BF28" s="40">
        <f t="shared" si="29"/>
        <v>0.804969973369779</v>
      </c>
      <c r="BG28" s="1"/>
    </row>
    <row r="29" spans="1:59">
      <c r="A29" s="14"/>
      <c r="B29" s="1">
        <v>2018</v>
      </c>
      <c r="F29" s="20">
        <v>1780577615.37</v>
      </c>
      <c r="G29" s="20">
        <v>1365076241.34</v>
      </c>
      <c r="W29" s="22"/>
      <c r="X29" s="22"/>
      <c r="Y29" s="22">
        <v>79596197.89</v>
      </c>
      <c r="AE29" s="22">
        <v>839378641.12</v>
      </c>
      <c r="AK29" s="4">
        <f t="shared" si="21"/>
        <v>0</v>
      </c>
      <c r="AL29" s="4">
        <f t="shared" si="22"/>
        <v>918974839.01</v>
      </c>
      <c r="AM29" s="4">
        <f t="shared" si="23"/>
        <v>79596197.89</v>
      </c>
      <c r="AN29" s="4">
        <f t="shared" si="24"/>
        <v>839378641.12</v>
      </c>
      <c r="AO29" s="5">
        <f t="shared" si="25"/>
        <v>1365076241.34</v>
      </c>
      <c r="AP29" s="2">
        <f t="shared" si="18"/>
        <v>0.0433072356903912</v>
      </c>
      <c r="AQ29" s="6">
        <f t="shared" si="26"/>
        <v>446101402.33</v>
      </c>
      <c r="AR29" s="2">
        <f t="shared" si="19"/>
        <v>1.2631412788426</v>
      </c>
      <c r="AT29" s="5">
        <v>445604541.74</v>
      </c>
      <c r="AU29" s="2">
        <f t="shared" si="27"/>
        <v>0.241240846538926</v>
      </c>
      <c r="AV29" s="22">
        <v>-3989841.12</v>
      </c>
      <c r="BC29" s="5">
        <f t="shared" si="28"/>
        <v>441614700.62</v>
      </c>
      <c r="BD29" s="2">
        <f t="shared" si="20"/>
        <v>0.23784155115736</v>
      </c>
      <c r="BE29" s="2">
        <f t="shared" si="17"/>
        <v>0.323509183770203</v>
      </c>
      <c r="BF29" s="40">
        <f t="shared" si="29"/>
        <v>0.989942417381865</v>
      </c>
      <c r="BG29" s="1"/>
    </row>
    <row r="30" spans="1:59">
      <c r="A30" s="14"/>
      <c r="B30" s="1">
        <v>2017</v>
      </c>
      <c r="F30" s="20">
        <v>1675684054.7</v>
      </c>
      <c r="G30" s="20">
        <v>1308412512.29</v>
      </c>
      <c r="W30" s="22"/>
      <c r="X30" s="22"/>
      <c r="Y30" s="22">
        <v>246167490</v>
      </c>
      <c r="AE30" s="22">
        <v>865129001.96</v>
      </c>
      <c r="AK30" s="4">
        <f t="shared" si="21"/>
        <v>0</v>
      </c>
      <c r="AL30" s="4">
        <f t="shared" si="22"/>
        <v>1111296491.96</v>
      </c>
      <c r="AM30" s="4">
        <f t="shared" si="23"/>
        <v>246167490</v>
      </c>
      <c r="AN30" s="4">
        <f t="shared" si="24"/>
        <v>865129001.96</v>
      </c>
      <c r="AO30" s="5">
        <f t="shared" si="25"/>
        <v>1308412512.29</v>
      </c>
      <c r="AP30" s="2">
        <f t="shared" si="18"/>
        <v>0.136708786288776</v>
      </c>
      <c r="AQ30" s="6">
        <f t="shared" si="26"/>
        <v>197116020.33</v>
      </c>
      <c r="AR30" s="2">
        <f t="shared" si="19"/>
        <v>-0.747602781315949</v>
      </c>
      <c r="AT30" s="5">
        <v>358999257.06</v>
      </c>
      <c r="AU30" s="2">
        <f t="shared" si="27"/>
        <v>0.492402376042527</v>
      </c>
      <c r="AV30" s="22">
        <v>-2237359.54</v>
      </c>
      <c r="BC30" s="5">
        <f t="shared" si="28"/>
        <v>356761897.52</v>
      </c>
      <c r="BD30" s="2">
        <f t="shared" si="20"/>
        <v>0.49753152635757</v>
      </c>
      <c r="BE30" s="2">
        <f t="shared" si="17"/>
        <v>0.272667751316128</v>
      </c>
      <c r="BF30" s="40">
        <f t="shared" si="29"/>
        <v>1.80990817957227</v>
      </c>
      <c r="BG30" s="1"/>
    </row>
    <row r="31" spans="1:59">
      <c r="A31" s="14"/>
      <c r="B31" s="1">
        <v>2016</v>
      </c>
      <c r="F31" s="20">
        <v>1397628601.54</v>
      </c>
      <c r="G31" s="20">
        <v>1151053399.14</v>
      </c>
      <c r="AE31" s="22">
        <v>370077993.16</v>
      </c>
      <c r="AK31" s="4">
        <f t="shared" si="21"/>
        <v>0</v>
      </c>
      <c r="AL31" s="4">
        <f t="shared" si="22"/>
        <v>370077993.16</v>
      </c>
      <c r="AM31" s="4">
        <f t="shared" si="23"/>
        <v>0</v>
      </c>
      <c r="AN31" s="4">
        <f t="shared" si="24"/>
        <v>370077993.16</v>
      </c>
      <c r="AO31" s="5">
        <f t="shared" si="25"/>
        <v>1151053399.14</v>
      </c>
      <c r="AP31" s="2">
        <f t="shared" si="18"/>
        <v>0.10309939770209</v>
      </c>
      <c r="AQ31" s="6">
        <f t="shared" si="26"/>
        <v>780975405.98</v>
      </c>
      <c r="AR31" s="2">
        <f t="shared" si="19"/>
        <v>0.162763175302666</v>
      </c>
      <c r="AT31" s="5">
        <v>240551250</v>
      </c>
      <c r="AU31" s="2">
        <f t="shared" si="27"/>
        <v>0.396308823617669</v>
      </c>
      <c r="AV31" s="22">
        <v>-2317936.55</v>
      </c>
      <c r="BC31" s="5">
        <f t="shared" si="28"/>
        <v>238233313.45</v>
      </c>
      <c r="BD31" s="2">
        <f t="shared" si="20"/>
        <v>0.403937630672033</v>
      </c>
      <c r="BE31" s="2">
        <f t="shared" si="17"/>
        <v>0.206969818800756</v>
      </c>
      <c r="BF31" s="2">
        <f t="shared" si="29"/>
        <v>0.305045858839889</v>
      </c>
      <c r="BG31" s="1"/>
    </row>
    <row r="32" spans="1:59">
      <c r="A32" s="14"/>
      <c r="B32" s="1">
        <v>2015</v>
      </c>
      <c r="F32" s="20">
        <v>1211887859.67</v>
      </c>
      <c r="G32" s="20">
        <v>1043472058.4</v>
      </c>
      <c r="AE32" s="22">
        <v>371817311.7</v>
      </c>
      <c r="AK32" s="4">
        <f t="shared" si="21"/>
        <v>0</v>
      </c>
      <c r="AL32" s="4">
        <f t="shared" si="22"/>
        <v>371817311.7</v>
      </c>
      <c r="AM32" s="4">
        <f t="shared" si="23"/>
        <v>0</v>
      </c>
      <c r="AN32" s="4">
        <f t="shared" si="24"/>
        <v>371817311.7</v>
      </c>
      <c r="AO32" s="5">
        <f t="shared" si="25"/>
        <v>1043472058.4</v>
      </c>
      <c r="AP32" s="2">
        <f t="shared" si="18"/>
        <v>0.0563266241762569</v>
      </c>
      <c r="AQ32" s="6">
        <f t="shared" si="26"/>
        <v>671654746.7</v>
      </c>
      <c r="AR32" s="2">
        <f t="shared" si="19"/>
        <v>0.0834683256485954</v>
      </c>
      <c r="AT32" s="5">
        <v>172276537.92</v>
      </c>
      <c r="AU32" s="2">
        <f t="shared" si="27"/>
        <v>0.145418316324006</v>
      </c>
      <c r="AV32" s="22">
        <v>-2587152.69</v>
      </c>
      <c r="BC32" s="5">
        <f t="shared" si="28"/>
        <v>169689385.23</v>
      </c>
      <c r="BD32" s="2">
        <f t="shared" si="20"/>
        <v>0.138760393700949</v>
      </c>
      <c r="BE32" s="2">
        <f t="shared" si="17"/>
        <v>0.162619960797218</v>
      </c>
      <c r="BF32" s="2">
        <f t="shared" si="29"/>
        <v>0.252643766851533</v>
      </c>
      <c r="BG32" s="1"/>
    </row>
    <row r="33" spans="1:59">
      <c r="A33" s="14"/>
      <c r="B33" s="1">
        <v>2014</v>
      </c>
      <c r="F33" s="20">
        <v>1131171976.49</v>
      </c>
      <c r="G33" s="20">
        <v>987830879.69</v>
      </c>
      <c r="AA33" s="22"/>
      <c r="AE33" s="22">
        <v>367919128.88</v>
      </c>
      <c r="AK33" s="4">
        <f t="shared" si="21"/>
        <v>0</v>
      </c>
      <c r="AL33" s="4">
        <f t="shared" si="22"/>
        <v>367919128.88</v>
      </c>
      <c r="AM33" s="4">
        <f t="shared" si="23"/>
        <v>0</v>
      </c>
      <c r="AN33" s="4">
        <f t="shared" si="24"/>
        <v>367919128.88</v>
      </c>
      <c r="AO33" s="5">
        <f t="shared" si="25"/>
        <v>987830879.69</v>
      </c>
      <c r="AP33" s="2">
        <f t="shared" si="18"/>
        <v>0.0736158167454659</v>
      </c>
      <c r="AQ33" s="6">
        <f t="shared" si="26"/>
        <v>619911750.81</v>
      </c>
      <c r="AR33" s="2">
        <f t="shared" si="19"/>
        <v>-0.180315028098546</v>
      </c>
      <c r="AT33" s="5">
        <v>150404909.25</v>
      </c>
      <c r="AU33" s="2">
        <f t="shared" si="27"/>
        <v>0.248427730988878</v>
      </c>
      <c r="AV33" s="22">
        <v>-1392539.16</v>
      </c>
      <c r="BC33" s="5">
        <f t="shared" si="28"/>
        <v>149012370.09</v>
      </c>
      <c r="BD33" s="2">
        <f t="shared" si="20"/>
        <v>0.243327030081226</v>
      </c>
      <c r="BE33" s="2">
        <f t="shared" si="17"/>
        <v>0.15084805825949</v>
      </c>
      <c r="BF33" s="2">
        <f t="shared" si="29"/>
        <v>0.24037674700519</v>
      </c>
      <c r="BG33" s="1"/>
    </row>
    <row r="34" spans="1:59">
      <c r="A34" s="14"/>
      <c r="B34" s="1">
        <v>2013</v>
      </c>
      <c r="F34" s="20">
        <v>1073058997.05</v>
      </c>
      <c r="G34" s="20">
        <v>920097174.69</v>
      </c>
      <c r="Z34" s="22">
        <v>99450000</v>
      </c>
      <c r="AA34" s="22"/>
      <c r="AE34" s="22">
        <v>64366686.38</v>
      </c>
      <c r="AK34" s="4">
        <f t="shared" si="21"/>
        <v>0</v>
      </c>
      <c r="AL34" s="4">
        <f t="shared" si="22"/>
        <v>163816686.38</v>
      </c>
      <c r="AM34" s="4">
        <f t="shared" si="23"/>
        <v>99450000</v>
      </c>
      <c r="AN34" s="4">
        <f t="shared" si="24"/>
        <v>64366686.38</v>
      </c>
      <c r="AO34" s="5">
        <f t="shared" si="25"/>
        <v>920097174.69</v>
      </c>
      <c r="AP34" s="2">
        <f t="shared" si="18"/>
        <v>0.0668784100197629</v>
      </c>
      <c r="AQ34" s="6">
        <f t="shared" si="26"/>
        <v>756280488.31</v>
      </c>
      <c r="AR34" s="2">
        <f t="shared" si="19"/>
        <v>3.3013251018359</v>
      </c>
      <c r="AT34" s="5">
        <v>120475463.27</v>
      </c>
      <c r="AU34" s="2">
        <f t="shared" si="27"/>
        <v>0.267548925071396</v>
      </c>
      <c r="AV34" s="22">
        <v>-625764.45</v>
      </c>
      <c r="BC34" s="5">
        <f t="shared" si="28"/>
        <v>119849698.82</v>
      </c>
      <c r="BD34" s="2">
        <f t="shared" si="20"/>
        <v>0.374624547343486</v>
      </c>
      <c r="BE34" s="2">
        <f t="shared" si="17"/>
        <v>0.130257653340127</v>
      </c>
      <c r="BF34" s="2">
        <f t="shared" si="29"/>
        <v>0.158472551748385</v>
      </c>
      <c r="BG34" s="1"/>
    </row>
    <row r="35" spans="1:59">
      <c r="A35" s="15"/>
      <c r="B35" s="1">
        <v>2012</v>
      </c>
      <c r="F35" s="20">
        <v>1002265871.17</v>
      </c>
      <c r="G35" s="20">
        <v>862419902.82</v>
      </c>
      <c r="AA35" s="22"/>
      <c r="AE35" s="22">
        <v>686594902.29</v>
      </c>
      <c r="AK35" s="4">
        <f t="shared" si="21"/>
        <v>0</v>
      </c>
      <c r="AL35" s="4">
        <f t="shared" si="22"/>
        <v>686594902.29</v>
      </c>
      <c r="AM35" s="4">
        <f t="shared" si="23"/>
        <v>0</v>
      </c>
      <c r="AN35" s="4">
        <f t="shared" si="24"/>
        <v>686594902.29</v>
      </c>
      <c r="AO35" s="5">
        <f t="shared" si="25"/>
        <v>862419902.82</v>
      </c>
      <c r="AQ35" s="6">
        <f t="shared" si="26"/>
        <v>175825000.53</v>
      </c>
      <c r="AT35" s="5">
        <v>95046006.42</v>
      </c>
      <c r="AV35" s="22">
        <v>-7858782.06</v>
      </c>
      <c r="BC35" s="5">
        <f t="shared" si="28"/>
        <v>87187224.36</v>
      </c>
      <c r="BE35" s="2">
        <f t="shared" si="17"/>
        <v>0.10109602535251</v>
      </c>
      <c r="BF35" s="2">
        <f t="shared" si="29"/>
        <v>0.495875012638625</v>
      </c>
      <c r="BG35" s="1"/>
    </row>
  </sheetData>
  <mergeCells count="38">
    <mergeCell ref="I1:T1"/>
    <mergeCell ref="U1:AJ1"/>
    <mergeCell ref="A1:A2"/>
    <mergeCell ref="A3:A13"/>
    <mergeCell ref="A14:A24"/>
    <mergeCell ref="A25:A35"/>
    <mergeCell ref="B1:B2"/>
    <mergeCell ref="C1:C2"/>
    <mergeCell ref="D1:D2"/>
    <mergeCell ref="E1:E2"/>
    <mergeCell ref="F1:F2"/>
    <mergeCell ref="G1:G2"/>
    <mergeCell ref="H1:H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G14:BG24"/>
    <mergeCell ref="BG25:BG3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2023-08-09T14:17:00Z</dcterms:created>
  <dcterms:modified xsi:type="dcterms:W3CDTF">2023-10-24T07:53:57Z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AD31B94172273599F63ACF64DE67C76B</vt:lpwstr>
  </property>
  <property fmtid="{D5CDD505-2E9C-101B-9397-08002B2CF9AE}" pid="3" name="KSOProductBuildVer">
    <vt:lpwstr>2052-5.1.1.7662</vt:lpwstr>
  </property>
</Properties>
</file>