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240" windowHeight="12760"/>
  </bookViews>
  <sheets>
    <sheet name="估值" sheetId="4" r:id="rId1"/>
    <sheet name="Sheet1" sheetId="1" r:id="rId2"/>
    <sheet name="Sheet2" sheetId="2" r:id="rId3"/>
    <sheet name="Sheet3" sheetId="3" r:id="rId4"/>
    <sheet name="Sheet5" sheetId="5" r:id="rId5"/>
  </sheets>
  <definedNames>
    <definedName name="_xlnm._FilterDatabase" localSheetId="0" hidden="1">估值!$L$2:$L$2</definedName>
  </definedNames>
  <calcPr calcId="144525"/>
</workbook>
</file>

<file path=xl/sharedStrings.xml><?xml version="1.0" encoding="utf-8"?>
<sst xmlns="http://schemas.openxmlformats.org/spreadsheetml/2006/main" count="417" uniqueCount="154">
  <si>
    <t>年份</t>
  </si>
  <si>
    <t>公司名称</t>
  </si>
  <si>
    <t>总资产</t>
  </si>
  <si>
    <t>所有股东权益</t>
  </si>
  <si>
    <t>少数股东权益</t>
  </si>
  <si>
    <t>利息支出</t>
  </si>
  <si>
    <t>租赁负债的利息支出</t>
  </si>
  <si>
    <t>汇兑损益</t>
  </si>
  <si>
    <t>其他筹资费用</t>
  </si>
  <si>
    <t>债务资本成本总额</t>
  </si>
  <si>
    <t>期初有息债</t>
  </si>
  <si>
    <t>期末有息债务总额</t>
  </si>
  <si>
    <t>期初有息债务总额</t>
  </si>
  <si>
    <t>有息债务平均额
(有息债务平均额=&lt;期初有息债务总额+期末有息债务总额&gt;/2)</t>
  </si>
  <si>
    <t>税前债务资本成本率</t>
  </si>
  <si>
    <t>所得税比率</t>
  </si>
  <si>
    <t>债务比例</t>
  </si>
  <si>
    <t>股权比例</t>
  </si>
  <si>
    <t>当年自由现金流</t>
  </si>
  <si>
    <t>加权资本成本率</t>
  </si>
  <si>
    <t>增长率</t>
  </si>
  <si>
    <t>货币资金</t>
  </si>
  <si>
    <t>拆出资金</t>
  </si>
  <si>
    <t>衍生金融资产</t>
  </si>
  <si>
    <t>交易性金融资产</t>
  </si>
  <si>
    <t>其他应收款</t>
  </si>
  <si>
    <t>持有待售资产</t>
  </si>
  <si>
    <t>买入返售金融金融资产</t>
  </si>
  <si>
    <t>投资性房地产</t>
  </si>
  <si>
    <t>金融资产价值</t>
  </si>
  <si>
    <t>股权资产价值</t>
  </si>
  <si>
    <t>未来自由现金流量的现值</t>
  </si>
  <si>
    <t>公司价值</t>
  </si>
  <si>
    <t>债务价值
(债务合计)</t>
  </si>
  <si>
    <t>股权价值</t>
  </si>
  <si>
    <t>归属于上市股东的股权价值</t>
  </si>
  <si>
    <t>发行的股票数量</t>
  </si>
  <si>
    <t>每股价格</t>
  </si>
  <si>
    <t>自由现金流产生的价值</t>
  </si>
  <si>
    <t>总价值</t>
  </si>
  <si>
    <t>短期借款</t>
  </si>
  <si>
    <t>交易性金融负债</t>
  </si>
  <si>
    <t>衍生金融负债</t>
  </si>
  <si>
    <t>持有待售负债</t>
  </si>
  <si>
    <t>其他应付款</t>
  </si>
  <si>
    <t>一年内到期的非流动负债</t>
  </si>
  <si>
    <t>长期借款</t>
  </si>
  <si>
    <t>应付债券</t>
  </si>
  <si>
    <t>长期应付款</t>
  </si>
  <si>
    <t>租赁负债</t>
  </si>
  <si>
    <t>不变增长阶段的增长率</t>
  </si>
  <si>
    <t>高速增长阶段的增长率</t>
  </si>
  <si>
    <t>过渡阶段的增长率</t>
  </si>
  <si>
    <t>零增长</t>
  </si>
  <si>
    <t>不变增长</t>
  </si>
  <si>
    <t>两阶段增长
（高速增长可以维持3年的情况）</t>
  </si>
  <si>
    <t>两阶段增长
（高速增长可以维持5年的情况）</t>
  </si>
  <si>
    <t>三阶段增长</t>
  </si>
  <si>
    <t>海天味业</t>
  </si>
  <si>
    <t>苏泊尔</t>
  </si>
  <si>
    <t>永新光学</t>
  </si>
  <si>
    <t>永兴材料</t>
  </si>
  <si>
    <t>药明康德</t>
  </si>
  <si>
    <t>中晶科技</t>
  </si>
  <si>
    <t>恒瑞医药</t>
  </si>
  <si>
    <t>总负债</t>
  </si>
  <si>
    <t>资产负债率</t>
  </si>
  <si>
    <t>净利润</t>
  </si>
  <si>
    <t>扣非净利润</t>
  </si>
  <si>
    <t>计算得到的净资产</t>
  </si>
  <si>
    <t>扣非后净资产收益率</t>
  </si>
  <si>
    <t>未扣非净资产收益率</t>
  </si>
  <si>
    <t>每股收益</t>
  </si>
  <si>
    <t>净利润同比增长</t>
  </si>
  <si>
    <t>营业收入同比增长</t>
  </si>
  <si>
    <t>应付利息</t>
  </si>
  <si>
    <t>有息债务</t>
  </si>
  <si>
    <t>期初短期借款</t>
  </si>
  <si>
    <t>期初长期借款</t>
  </si>
  <si>
    <t>期初应付债券</t>
  </si>
  <si>
    <t>期初一年内到期的非流动负债</t>
  </si>
  <si>
    <t>期末短期借款</t>
  </si>
  <si>
    <t>期末长期借款</t>
  </si>
  <si>
    <t>期末应付债券</t>
  </si>
  <si>
    <t>期末一年内到期的非流动负债</t>
  </si>
  <si>
    <t>期初债务总额</t>
  </si>
  <si>
    <t>期末债务总额</t>
  </si>
  <si>
    <t>所得税税率</t>
  </si>
  <si>
    <t>固定资产折旧</t>
  </si>
  <si>
    <t>长期摊销</t>
  </si>
  <si>
    <t>经营活动现金流量净额</t>
  </si>
  <si>
    <t>自由现金流</t>
  </si>
  <si>
    <t>自由现金流量变化率</t>
  </si>
  <si>
    <t>现金流量净额变化率</t>
  </si>
  <si>
    <t>高增长率</t>
  </si>
  <si>
    <t>不变增长率</t>
  </si>
  <si>
    <t>零增长率模型的现值</t>
  </si>
  <si>
    <t>不变增长率模型的现值</t>
  </si>
  <si>
    <t>两阶段增长模型的现值(保守)</t>
  </si>
  <si>
    <t>两阶段增长模型的现值（激进）</t>
  </si>
  <si>
    <t>三阶段增长模型的现值</t>
  </si>
  <si>
    <t>长期股权投资价值</t>
  </si>
  <si>
    <t>股份数</t>
  </si>
  <si>
    <t>公司价值(零增长)</t>
  </si>
  <si>
    <t>公司价值（不变增长）</t>
  </si>
  <si>
    <t>公司价值（两阶段保守）</t>
  </si>
  <si>
    <t>公司价值（两阶段激进）</t>
  </si>
  <si>
    <t>母公司权益占比</t>
  </si>
  <si>
    <t>股票价值(零增长)</t>
  </si>
  <si>
    <t>股票价值(不变增长)</t>
  </si>
  <si>
    <t>股票价值(两阶段保守)</t>
  </si>
  <si>
    <t>股票价值(两阶段激进)</t>
  </si>
  <si>
    <t>每股价值(零增长)</t>
  </si>
  <si>
    <t>每股价值(不变增长)</t>
  </si>
  <si>
    <t>每股价值（两阶段保守）</t>
  </si>
  <si>
    <t>每股价值（两阶段激进）</t>
  </si>
  <si>
    <t>湖州久立特钢有限公司</t>
  </si>
  <si>
    <t>永兴特种不锈钢股份有限公司</t>
  </si>
  <si>
    <t>永兴特种材料科技股份有限公司</t>
  </si>
  <si>
    <t>总结</t>
  </si>
  <si>
    <t>胜华新材</t>
  </si>
  <si>
    <t>明德生物</t>
  </si>
  <si>
    <t>隆基绿能</t>
  </si>
  <si>
    <t>福斯特</t>
  </si>
  <si>
    <t>通威</t>
  </si>
  <si>
    <t>兆易股份</t>
  </si>
  <si>
    <t>钺昌科技</t>
  </si>
  <si>
    <t>韦尔股份</t>
  </si>
  <si>
    <t>紫光国微</t>
  </si>
  <si>
    <t>科沃斯</t>
  </si>
  <si>
    <t>亿嘉和</t>
  </si>
  <si>
    <t>使命、愿景、价值观</t>
  </si>
  <si>
    <t>团队</t>
  </si>
  <si>
    <t>管理层的学习工作背景</t>
  </si>
  <si>
    <t>管理层的薪酬结构</t>
  </si>
  <si>
    <t>管理层买入卖出股票情况</t>
  </si>
  <si>
    <t>管理层的经营方式、管理方式、对待员工的方式、进行资本分配的方式、对成本的态度</t>
  </si>
  <si>
    <t>管理层是否具有热爱、诚实、独立、不爱出风头的品质</t>
  </si>
  <si>
    <t>治理结构(股东构成、持股比例、现金报酬与持股比例)</t>
  </si>
  <si>
    <t>经营业绩</t>
  </si>
  <si>
    <t>每股净资产</t>
  </si>
  <si>
    <t>股息支付率</t>
  </si>
  <si>
    <t>股价</t>
  </si>
  <si>
    <t>10年期股价平均收益率</t>
  </si>
  <si>
    <t>清算价值</t>
  </si>
  <si>
    <t>内在价值</t>
  </si>
  <si>
    <t>平均值</t>
  </si>
  <si>
    <t>-</t>
  </si>
  <si>
    <t>公司</t>
  </si>
  <si>
    <t>固定资产折旧计提</t>
  </si>
  <si>
    <t>固定资产减少额</t>
  </si>
  <si>
    <t>无形资产摊销计提</t>
  </si>
  <si>
    <t>无形资产减少额</t>
  </si>
  <si>
    <t>长期待摊费用</t>
  </si>
</sst>
</file>

<file path=xl/styles.xml><?xml version="1.0" encoding="utf-8"?>
<styleSheet xmlns="http://schemas.openxmlformats.org/spreadsheetml/2006/main">
  <numFmts count="7">
    <numFmt numFmtId="176" formatCode="0.00_ ;[Red]\-0.00\ "/>
    <numFmt numFmtId="177" formatCode="&quot;￥&quot;#,##0.00_);[Red]\(&quot;￥&quot;#,##0.00\)"/>
    <numFmt numFmtId="178" formatCode="0.00_);[Red]\(0.00\)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宋体"/>
      <charset val="134"/>
      <scheme val="minor"/>
    </font>
    <font>
      <sz val="9"/>
      <color rgb="FF000000"/>
      <name val="宋体"/>
      <charset val="134"/>
    </font>
    <font>
      <sz val="12"/>
      <name val="Calibri"/>
      <charset val="134"/>
    </font>
    <font>
      <sz val="11"/>
      <color theme="1"/>
      <name val="宋体"/>
      <charset val="134"/>
    </font>
    <font>
      <sz val="11"/>
      <name val="宋体"/>
      <charset val="134"/>
      <scheme val="minor"/>
    </font>
    <font>
      <sz val="11"/>
      <name val="宋体"/>
      <charset val="134"/>
    </font>
    <font>
      <sz val="11"/>
      <color rgb="FF000000"/>
      <name val="宋体"/>
      <charset val="134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3377FF"/>
      </right>
      <top/>
      <bottom style="thin">
        <color rgb="FF3377F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10" fillId="27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23" fillId="36" borderId="8" applyNumberFormat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7" fillId="22" borderId="8" applyNumberFormat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4" fillId="19" borderId="5" applyNumberFormat="0" applyAlignment="0" applyProtection="0">
      <alignment vertical="center"/>
    </xf>
    <xf numFmtId="0" fontId="21" fillId="22" borderId="9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0" fillId="11" borderId="4" applyNumberFormat="0" applyFon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24" fillId="0" borderId="10" applyNumberFormat="0" applyFill="0" applyAlignment="0" applyProtection="0">
      <alignment vertical="center"/>
    </xf>
  </cellStyleXfs>
  <cellXfs count="7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0" fontId="0" fillId="0" borderId="0" xfId="0" applyFill="1">
      <alignment vertical="center"/>
    </xf>
    <xf numFmtId="10" fontId="0" fillId="0" borderId="0" xfId="0" applyNumberForma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10" fontId="0" fillId="0" borderId="0" xfId="0" applyNumberFormat="1" applyFill="1" applyAlignment="1">
      <alignment horizontal="center" vertical="center"/>
    </xf>
    <xf numFmtId="0" fontId="0" fillId="3" borderId="0" xfId="0" applyFill="1">
      <alignment vertical="center"/>
    </xf>
    <xf numFmtId="44" fontId="0" fillId="0" borderId="0" xfId="0" applyNumberFormat="1" applyAlignment="1">
      <alignment horizontal="center" vertical="center"/>
    </xf>
    <xf numFmtId="10" fontId="0" fillId="0" borderId="0" xfId="9" applyNumberFormat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4" fontId="0" fillId="3" borderId="0" xfId="0" applyNumberFormat="1" applyFill="1" applyAlignment="1">
      <alignment horizontal="center" vertical="center"/>
    </xf>
    <xf numFmtId="44" fontId="0" fillId="3" borderId="0" xfId="0" applyNumberFormat="1" applyFill="1" applyAlignment="1">
      <alignment horizontal="center" vertical="center"/>
    </xf>
    <xf numFmtId="44" fontId="1" fillId="4" borderId="1" xfId="0" applyNumberFormat="1" applyFont="1" applyFill="1" applyBorder="1" applyAlignment="1">
      <alignment horizontal="center" vertical="center" wrapText="1"/>
    </xf>
    <xf numFmtId="10" fontId="0" fillId="3" borderId="0" xfId="0" applyNumberFormat="1" applyFill="1" applyAlignment="1">
      <alignment horizontal="center" vertical="center"/>
    </xf>
    <xf numFmtId="178" fontId="0" fillId="3" borderId="0" xfId="0" applyNumberFormat="1" applyFill="1" applyAlignment="1">
      <alignment horizontal="center" vertical="center"/>
    </xf>
    <xf numFmtId="10" fontId="0" fillId="3" borderId="0" xfId="9" applyNumberFormat="1" applyFill="1" applyAlignment="1">
      <alignment horizontal="center" vertical="center"/>
    </xf>
    <xf numFmtId="10" fontId="0" fillId="0" borderId="0" xfId="0" applyNumberFormat="1" applyFont="1" applyFill="1" applyBorder="1" applyAlignment="1" applyProtection="1">
      <alignment horizontal="center" vertical="center"/>
    </xf>
    <xf numFmtId="0" fontId="0" fillId="0" borderId="0" xfId="0" applyNumberFormat="1" applyFont="1" applyFill="1" applyBorder="1" applyAlignment="1" applyProtection="1">
      <alignment horizontal="center" vertical="center"/>
    </xf>
    <xf numFmtId="44" fontId="0" fillId="0" borderId="0" xfId="0" applyNumberFormat="1" applyAlignment="1">
      <alignment vertical="center"/>
    </xf>
    <xf numFmtId="44" fontId="2" fillId="0" borderId="0" xfId="0" applyNumberFormat="1" applyFont="1" applyFill="1" applyAlignment="1">
      <alignment horizontal="center" vertical="center"/>
    </xf>
    <xf numFmtId="44" fontId="0" fillId="5" borderId="0" xfId="0" applyNumberFormat="1" applyFill="1" applyAlignment="1">
      <alignment horizontal="center" vertical="center"/>
    </xf>
    <xf numFmtId="44" fontId="0" fillId="6" borderId="0" xfId="0" applyNumberFormat="1" applyFill="1" applyAlignment="1">
      <alignment horizontal="center" vertical="center"/>
    </xf>
    <xf numFmtId="44" fontId="0" fillId="7" borderId="0" xfId="0" applyNumberFormat="1" applyFill="1" applyAlignment="1">
      <alignment horizontal="center" vertical="center"/>
    </xf>
    <xf numFmtId="44" fontId="0" fillId="2" borderId="0" xfId="0" applyNumberFormat="1" applyFill="1" applyAlignment="1">
      <alignment horizontal="center" vertical="center"/>
    </xf>
    <xf numFmtId="177" fontId="0" fillId="0" borderId="0" xfId="0" applyNumberFormat="1" applyAlignment="1">
      <alignment horizontal="center" vertical="center" wrapText="1"/>
    </xf>
    <xf numFmtId="3" fontId="0" fillId="0" borderId="0" xfId="0" applyNumberFormat="1" applyAlignment="1">
      <alignment horizontal="center" vertical="center"/>
    </xf>
    <xf numFmtId="44" fontId="0" fillId="0" borderId="0" xfId="0" applyNumberFormat="1" applyAlignment="1">
      <alignment horizontal="center" vertical="center" wrapText="1"/>
    </xf>
    <xf numFmtId="44" fontId="0" fillId="0" borderId="0" xfId="0" applyNumberFormat="1" applyAlignment="1">
      <alignment vertical="center" wrapText="1"/>
    </xf>
    <xf numFmtId="44" fontId="0" fillId="0" borderId="0" xfId="0" applyNumberFormat="1" applyFill="1" applyAlignment="1">
      <alignment horizontal="center" vertical="center"/>
    </xf>
    <xf numFmtId="178" fontId="0" fillId="7" borderId="0" xfId="0" applyNumberFormat="1" applyFill="1" applyAlignment="1">
      <alignment horizontal="center" vertical="center"/>
    </xf>
    <xf numFmtId="178" fontId="0" fillId="2" borderId="0" xfId="0" applyNumberForma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0" fillId="3" borderId="0" xfId="0" applyNumberFormat="1" applyFill="1" applyAlignment="1">
      <alignment horizontal="center" vertical="center"/>
    </xf>
    <xf numFmtId="44" fontId="1" fillId="4" borderId="2" xfId="0" applyNumberFormat="1" applyFont="1" applyFill="1" applyBorder="1" applyAlignment="1">
      <alignment horizontal="center" vertical="center" wrapText="1"/>
    </xf>
    <xf numFmtId="44" fontId="3" fillId="0" borderId="0" xfId="0" applyNumberFormat="1" applyFont="1">
      <alignment vertical="center"/>
    </xf>
    <xf numFmtId="44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0" fillId="5" borderId="1" xfId="0" applyFill="1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4" fontId="0" fillId="5" borderId="1" xfId="0" applyNumberFormat="1" applyFill="1" applyBorder="1" applyAlignment="1">
      <alignment horizontal="center" vertical="center"/>
    </xf>
    <xf numFmtId="44" fontId="0" fillId="0" borderId="1" xfId="0" applyNumberFormat="1" applyBorder="1" applyAlignment="1">
      <alignment horizontal="center" vertical="center"/>
    </xf>
    <xf numFmtId="44" fontId="0" fillId="0" borderId="1" xfId="0" applyNumberFormat="1" applyFill="1" applyBorder="1" applyAlignment="1">
      <alignment horizontal="center" vertical="center"/>
    </xf>
    <xf numFmtId="44" fontId="0" fillId="5" borderId="1" xfId="0" applyNumberFormat="1" applyFill="1" applyBorder="1" applyAlignment="1">
      <alignment vertical="center"/>
    </xf>
    <xf numFmtId="44" fontId="0" fillId="6" borderId="1" xfId="0" applyNumberFormat="1" applyFill="1" applyBorder="1" applyAlignment="1">
      <alignment horizontal="center" vertical="center"/>
    </xf>
    <xf numFmtId="44" fontId="0" fillId="6" borderId="1" xfId="0" applyNumberFormat="1" applyFill="1" applyBorder="1" applyAlignment="1">
      <alignment vertical="center"/>
    </xf>
    <xf numFmtId="44" fontId="0" fillId="0" borderId="1" xfId="0" applyNumberFormat="1" applyFill="1" applyBorder="1" applyAlignment="1">
      <alignment horizontal="center" vertical="center" wrapText="1"/>
    </xf>
    <xf numFmtId="10" fontId="4" fillId="0" borderId="1" xfId="9" applyNumberFormat="1" applyFont="1" applyFill="1" applyBorder="1" applyAlignment="1">
      <alignment horizontal="center" vertical="center"/>
    </xf>
    <xf numFmtId="10" fontId="0" fillId="0" borderId="1" xfId="9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10" fontId="0" fillId="0" borderId="1" xfId="0" applyNumberFormat="1" applyFill="1" applyBorder="1" applyAlignment="1">
      <alignment horizontal="center" vertical="center"/>
    </xf>
    <xf numFmtId="44" fontId="3" fillId="5" borderId="1" xfId="0" applyNumberFormat="1" applyFont="1" applyFill="1" applyBorder="1" applyAlignment="1">
      <alignment horizontal="center" vertical="center"/>
    </xf>
    <xf numFmtId="44" fontId="0" fillId="0" borderId="1" xfId="9" applyNumberFormat="1" applyBorder="1" applyAlignment="1">
      <alignment horizontal="center" vertical="center"/>
    </xf>
    <xf numFmtId="10" fontId="0" fillId="0" borderId="1" xfId="0" applyNumberFormat="1" applyFont="1" applyFill="1" applyBorder="1" applyAlignment="1" applyProtection="1">
      <alignment horizontal="center" vertical="center"/>
    </xf>
    <xf numFmtId="44" fontId="5" fillId="0" borderId="1" xfId="0" applyNumberFormat="1" applyFont="1" applyFill="1" applyBorder="1" applyAlignment="1"/>
    <xf numFmtId="44" fontId="3" fillId="0" borderId="1" xfId="0" applyNumberFormat="1" applyFont="1" applyBorder="1">
      <alignment vertical="center"/>
    </xf>
    <xf numFmtId="44" fontId="6" fillId="4" borderId="1" xfId="0" applyNumberFormat="1" applyFont="1" applyFill="1" applyBorder="1" applyAlignment="1">
      <alignment horizontal="center" vertical="center" wrapText="1"/>
    </xf>
    <xf numFmtId="10" fontId="0" fillId="5" borderId="1" xfId="0" applyNumberFormat="1" applyFill="1" applyBorder="1" applyAlignment="1">
      <alignment horizontal="center" vertical="center"/>
    </xf>
    <xf numFmtId="44" fontId="0" fillId="0" borderId="1" xfId="0" applyNumberFormat="1" applyBorder="1">
      <alignment vertical="center"/>
    </xf>
    <xf numFmtId="0" fontId="0" fillId="0" borderId="1" xfId="0" applyBorder="1">
      <alignment vertical="center"/>
    </xf>
    <xf numFmtId="4" fontId="0" fillId="0" borderId="1" xfId="0" applyNumberFormat="1" applyBorder="1">
      <alignment vertical="center"/>
    </xf>
    <xf numFmtId="0" fontId="0" fillId="0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44" fontId="3" fillId="2" borderId="1" xfId="0" applyNumberFormat="1" applyFont="1" applyFill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0" borderId="1" xfId="0" applyNumberFormat="1" applyFill="1" applyBorder="1" applyAlignment="1">
      <alignment horizontal="center" vertical="center"/>
    </xf>
    <xf numFmtId="178" fontId="0" fillId="0" borderId="1" xfId="0" applyNumberFormat="1" applyBorder="1">
      <alignment vertical="center"/>
    </xf>
    <xf numFmtId="44" fontId="3" fillId="0" borderId="1" xfId="0" applyNumberFormat="1" applyFont="1" applyBorder="1" applyAlignment="1">
      <alignment vertical="center" wrapText="1"/>
    </xf>
    <xf numFmtId="178" fontId="0" fillId="0" borderId="1" xfId="0" applyNumberFormat="1" applyFill="1" applyBorder="1" applyAlignment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D14"/>
  <sheetViews>
    <sheetView tabSelected="1" workbookViewId="0">
      <pane xSplit="2" ySplit="2" topLeftCell="AM3" activePane="bottomRight" state="frozen"/>
      <selection/>
      <selection pane="topRight"/>
      <selection pane="bottomLeft"/>
      <selection pane="bottomRight" activeCell="AN6" sqref="AN6"/>
    </sheetView>
  </sheetViews>
  <sheetFormatPr defaultColWidth="8.88461538461539" defaultRowHeight="16.8"/>
  <cols>
    <col min="1" max="2" width="8.88461538461539" style="1"/>
    <col min="3" max="3" width="19.7788461538462" style="1"/>
    <col min="4" max="4" width="19.7788461538462" style="1" customWidth="1"/>
    <col min="5" max="5" width="16.4423076923077" style="1" customWidth="1"/>
    <col min="6" max="6" width="18.6634615384615" style="10" customWidth="1"/>
    <col min="7" max="7" width="23.1153846153846" style="10" customWidth="1"/>
    <col min="8" max="10" width="18.6634615384615" style="10" customWidth="1"/>
    <col min="11" max="11" width="23.1153846153846" style="10" customWidth="1"/>
    <col min="12" max="14" width="18.6634615384615" style="10" customWidth="1"/>
    <col min="15" max="15" width="23.1153846153846" style="10" customWidth="1"/>
    <col min="16" max="16" width="27.6634615384615" style="10" customWidth="1"/>
    <col min="17" max="17" width="18.6634615384615" style="10" customWidth="1"/>
    <col min="18" max="25" width="20.8846153846154" style="1" customWidth="1"/>
    <col min="26" max="26" width="27.6634615384615" style="1" customWidth="1"/>
    <col min="27" max="32" width="20.8846153846154" style="1" customWidth="1"/>
    <col min="33" max="33" width="20.8846153846154" style="10" customWidth="1"/>
    <col min="34" max="35" width="20.8846153846154" style="11" customWidth="1"/>
    <col min="36" max="36" width="20.8846153846154" style="1" customWidth="1"/>
    <col min="37" max="38" width="20.8846153846154" style="4" customWidth="1"/>
    <col min="39" max="39" width="23.1153846153846" style="38" customWidth="1"/>
    <col min="40" max="40" width="16.4423076923077" style="4" customWidth="1"/>
    <col min="41" max="42" width="23.1153846153846" style="4" customWidth="1"/>
    <col min="43" max="43" width="18.6634615384615" customWidth="1"/>
    <col min="44" max="44" width="18.6634615384615" style="39" customWidth="1"/>
    <col min="45" max="46" width="18.6634615384615" customWidth="1"/>
    <col min="47" max="47" width="18.6634615384615" style="39" customWidth="1"/>
    <col min="48" max="49" width="18.6634615384615" customWidth="1"/>
    <col min="50" max="50" width="23.1153846153846" customWidth="1"/>
    <col min="51" max="51" width="18.6634615384615" style="39" customWidth="1"/>
    <col min="52" max="52" width="24.2211538461538" style="39" customWidth="1"/>
    <col min="53" max="53" width="18.6634615384615" customWidth="1"/>
    <col min="54" max="54" width="25.4423076923077" style="10" customWidth="1"/>
    <col min="55" max="57" width="27.6634615384615" style="32" customWidth="1"/>
    <col min="58" max="58" width="11.8846153846154" style="7" customWidth="1"/>
    <col min="59" max="59" width="22.0769230769231" style="39"/>
    <col min="60" max="62" width="22.0769230769231" style="39" customWidth="1"/>
    <col min="63" max="63" width="20.9230769230769" style="39" customWidth="1"/>
    <col min="64" max="64" width="18.6634615384615" customWidth="1"/>
    <col min="65" max="65" width="20.9230769230769" style="39" customWidth="1"/>
    <col min="66" max="66" width="22.0769230769231" style="39" customWidth="1"/>
    <col min="67" max="68" width="23.4615384615385" style="39" customWidth="1"/>
    <col min="69" max="70" width="20.9230769230769" style="39" customWidth="1"/>
    <col min="71" max="73" width="22.0769230769231" style="39" customWidth="1"/>
    <col min="74" max="74" width="20.9230769230769" style="39" customWidth="1"/>
    <col min="75" max="75" width="19.8461538461538" style="38" customWidth="1"/>
    <col min="76" max="79" width="12.8846153846154" style="40"/>
    <col min="80" max="80" width="11.8846153846154" style="40" customWidth="1"/>
    <col min="81" max="81" width="23.0769230769231" style="10" customWidth="1"/>
    <col min="82" max="82" width="24.6730769230769" style="10" customWidth="1"/>
  </cols>
  <sheetData>
    <row r="1" spans="1:82">
      <c r="A1" s="41" t="s">
        <v>0</v>
      </c>
      <c r="B1" s="41" t="s">
        <v>1</v>
      </c>
      <c r="C1" s="41" t="s">
        <v>2</v>
      </c>
      <c r="D1" s="41" t="s">
        <v>3</v>
      </c>
      <c r="E1" s="41" t="s">
        <v>4</v>
      </c>
      <c r="F1" s="44" t="s">
        <v>5</v>
      </c>
      <c r="G1" s="44" t="s">
        <v>6</v>
      </c>
      <c r="H1" s="44" t="s">
        <v>7</v>
      </c>
      <c r="I1" s="44" t="s">
        <v>8</v>
      </c>
      <c r="J1" s="46" t="s">
        <v>9</v>
      </c>
      <c r="K1" s="45" t="s">
        <v>10</v>
      </c>
      <c r="L1" s="45"/>
      <c r="M1" s="45"/>
      <c r="N1" s="45"/>
      <c r="O1" s="45"/>
      <c r="P1" s="45"/>
      <c r="Q1" s="46"/>
      <c r="R1" s="46"/>
      <c r="S1" s="46"/>
      <c r="T1" s="46"/>
      <c r="U1" s="46" t="s">
        <v>11</v>
      </c>
      <c r="V1" s="46"/>
      <c r="W1" s="46"/>
      <c r="X1" s="46"/>
      <c r="Y1" s="46"/>
      <c r="Z1" s="46"/>
      <c r="AA1" s="46"/>
      <c r="AB1" s="46"/>
      <c r="AC1" s="46"/>
      <c r="AD1" s="46"/>
      <c r="AE1" s="46" t="s">
        <v>12</v>
      </c>
      <c r="AF1" s="46" t="s">
        <v>11</v>
      </c>
      <c r="AG1" s="50" t="s">
        <v>13</v>
      </c>
      <c r="AH1" s="51" t="s">
        <v>14</v>
      </c>
      <c r="AI1" s="51"/>
      <c r="AJ1" s="41" t="s">
        <v>15</v>
      </c>
      <c r="AK1" s="54" t="s">
        <v>16</v>
      </c>
      <c r="AL1" s="54" t="s">
        <v>17</v>
      </c>
      <c r="AM1" s="55" t="s">
        <v>18</v>
      </c>
      <c r="AN1" s="54" t="s">
        <v>19</v>
      </c>
      <c r="AO1" s="61" t="s">
        <v>20</v>
      </c>
      <c r="AP1" s="61"/>
      <c r="AQ1" s="41"/>
      <c r="AR1" s="44" t="s">
        <v>21</v>
      </c>
      <c r="AS1" s="41" t="s">
        <v>22</v>
      </c>
      <c r="AT1" s="41" t="s">
        <v>23</v>
      </c>
      <c r="AU1" s="44" t="s">
        <v>24</v>
      </c>
      <c r="AV1" s="41" t="s">
        <v>25</v>
      </c>
      <c r="AW1" s="41" t="s">
        <v>26</v>
      </c>
      <c r="AX1" s="41" t="s">
        <v>27</v>
      </c>
      <c r="AY1" s="44" t="s">
        <v>28</v>
      </c>
      <c r="AZ1" s="46" t="s">
        <v>29</v>
      </c>
      <c r="BA1" s="41" t="s">
        <v>30</v>
      </c>
      <c r="BB1" s="46" t="s">
        <v>31</v>
      </c>
      <c r="BC1" s="46"/>
      <c r="BD1" s="46"/>
      <c r="BE1" s="46"/>
      <c r="BF1" s="65"/>
      <c r="BG1" s="45" t="s">
        <v>32</v>
      </c>
      <c r="BH1" s="46"/>
      <c r="BI1" s="46"/>
      <c r="BJ1" s="46"/>
      <c r="BK1" s="46"/>
      <c r="BL1" s="66" t="s">
        <v>33</v>
      </c>
      <c r="BM1" s="45" t="s">
        <v>34</v>
      </c>
      <c r="BN1" s="45"/>
      <c r="BO1" s="45"/>
      <c r="BP1" s="45"/>
      <c r="BQ1" s="45"/>
      <c r="BR1" s="45" t="s">
        <v>35</v>
      </c>
      <c r="BS1" s="46"/>
      <c r="BT1" s="46"/>
      <c r="BU1" s="46"/>
      <c r="BV1" s="46"/>
      <c r="BW1" s="67" t="s">
        <v>36</v>
      </c>
      <c r="BX1" s="68" t="s">
        <v>37</v>
      </c>
      <c r="BY1" s="68"/>
      <c r="BZ1" s="68"/>
      <c r="CA1" s="68"/>
      <c r="CB1" s="68"/>
      <c r="CC1" s="10" t="s">
        <v>38</v>
      </c>
      <c r="CD1" s="10" t="s">
        <v>39</v>
      </c>
    </row>
    <row r="2" ht="68" spans="1:80">
      <c r="A2" s="41"/>
      <c r="B2" s="41"/>
      <c r="C2" s="41"/>
      <c r="D2" s="41"/>
      <c r="E2" s="41"/>
      <c r="F2" s="44"/>
      <c r="G2" s="44"/>
      <c r="H2" s="44"/>
      <c r="I2" s="44"/>
      <c r="J2" s="46"/>
      <c r="K2" s="44" t="s">
        <v>40</v>
      </c>
      <c r="L2" s="47" t="s">
        <v>41</v>
      </c>
      <c r="M2" s="47" t="s">
        <v>42</v>
      </c>
      <c r="N2" s="47" t="s">
        <v>43</v>
      </c>
      <c r="O2" s="47" t="s">
        <v>44</v>
      </c>
      <c r="P2" s="47" t="s">
        <v>45</v>
      </c>
      <c r="Q2" s="44" t="s">
        <v>46</v>
      </c>
      <c r="R2" s="44" t="s">
        <v>47</v>
      </c>
      <c r="S2" s="44" t="s">
        <v>48</v>
      </c>
      <c r="T2" s="44" t="s">
        <v>49</v>
      </c>
      <c r="U2" s="48" t="s">
        <v>40</v>
      </c>
      <c r="V2" s="49" t="s">
        <v>41</v>
      </c>
      <c r="W2" s="49" t="s">
        <v>42</v>
      </c>
      <c r="X2" s="49" t="s">
        <v>43</v>
      </c>
      <c r="Y2" s="49" t="s">
        <v>44</v>
      </c>
      <c r="Z2" s="49" t="s">
        <v>45</v>
      </c>
      <c r="AA2" s="48" t="s">
        <v>46</v>
      </c>
      <c r="AB2" s="48" t="s">
        <v>47</v>
      </c>
      <c r="AC2" s="48" t="s">
        <v>48</v>
      </c>
      <c r="AD2" s="48" t="s">
        <v>49</v>
      </c>
      <c r="AE2" s="46"/>
      <c r="AF2" s="46"/>
      <c r="AG2" s="46"/>
      <c r="AH2" s="51"/>
      <c r="AI2" s="51"/>
      <c r="AJ2" s="41"/>
      <c r="AK2" s="54"/>
      <c r="AL2" s="54"/>
      <c r="AM2" s="55"/>
      <c r="AN2" s="54"/>
      <c r="AO2" s="61" t="s">
        <v>50</v>
      </c>
      <c r="AP2" s="61" t="s">
        <v>51</v>
      </c>
      <c r="AQ2" s="41" t="s">
        <v>52</v>
      </c>
      <c r="AR2" s="44"/>
      <c r="AS2" s="41"/>
      <c r="AT2" s="41"/>
      <c r="AU2" s="44"/>
      <c r="AV2" s="41"/>
      <c r="AW2" s="41"/>
      <c r="AX2" s="41"/>
      <c r="AY2" s="44"/>
      <c r="AZ2" s="46"/>
      <c r="BA2" s="41"/>
      <c r="BB2" s="46" t="s">
        <v>53</v>
      </c>
      <c r="BC2" s="46" t="s">
        <v>54</v>
      </c>
      <c r="BD2" s="50" t="s">
        <v>55</v>
      </c>
      <c r="BE2" s="50" t="s">
        <v>56</v>
      </c>
      <c r="BF2" s="65" t="s">
        <v>57</v>
      </c>
      <c r="BG2" s="46" t="s">
        <v>53</v>
      </c>
      <c r="BH2" s="46" t="s">
        <v>54</v>
      </c>
      <c r="BI2" s="50" t="s">
        <v>55</v>
      </c>
      <c r="BJ2" s="50" t="s">
        <v>56</v>
      </c>
      <c r="BK2" s="46" t="s">
        <v>57</v>
      </c>
      <c r="BL2" s="66"/>
      <c r="BM2" s="46" t="s">
        <v>53</v>
      </c>
      <c r="BN2" s="46" t="s">
        <v>54</v>
      </c>
      <c r="BO2" s="50" t="s">
        <v>55</v>
      </c>
      <c r="BP2" s="50" t="s">
        <v>56</v>
      </c>
      <c r="BQ2" s="46" t="s">
        <v>57</v>
      </c>
      <c r="BR2" s="46" t="s">
        <v>53</v>
      </c>
      <c r="BS2" s="46" t="s">
        <v>54</v>
      </c>
      <c r="BT2" s="50" t="s">
        <v>55</v>
      </c>
      <c r="BU2" s="50" t="s">
        <v>56</v>
      </c>
      <c r="BV2" s="46" t="s">
        <v>57</v>
      </c>
      <c r="BW2" s="67"/>
      <c r="BX2" s="69" t="s">
        <v>53</v>
      </c>
      <c r="BY2" s="69" t="s">
        <v>54</v>
      </c>
      <c r="BZ2" s="72" t="s">
        <v>55</v>
      </c>
      <c r="CA2" s="72" t="s">
        <v>56</v>
      </c>
      <c r="CB2" s="69" t="s">
        <v>57</v>
      </c>
    </row>
    <row r="3" spans="1:80">
      <c r="A3" s="41"/>
      <c r="B3" s="41"/>
      <c r="C3" s="41"/>
      <c r="D3" s="41"/>
      <c r="E3" s="41"/>
      <c r="F3" s="44"/>
      <c r="G3" s="44"/>
      <c r="H3" s="44"/>
      <c r="I3" s="44"/>
      <c r="J3" s="46"/>
      <c r="K3" s="44"/>
      <c r="L3" s="47"/>
      <c r="M3" s="47"/>
      <c r="N3" s="47"/>
      <c r="O3" s="47"/>
      <c r="P3" s="47"/>
      <c r="Q3" s="44"/>
      <c r="R3" s="44"/>
      <c r="S3" s="44"/>
      <c r="T3" s="44"/>
      <c r="U3" s="48"/>
      <c r="V3" s="49"/>
      <c r="W3" s="49"/>
      <c r="X3" s="49"/>
      <c r="Y3" s="49"/>
      <c r="Z3" s="49"/>
      <c r="AA3" s="48"/>
      <c r="AB3" s="48"/>
      <c r="AC3" s="48"/>
      <c r="AD3" s="48"/>
      <c r="AE3" s="46"/>
      <c r="AF3" s="46"/>
      <c r="AG3" s="46"/>
      <c r="AH3" s="51"/>
      <c r="AI3" s="51"/>
      <c r="AJ3" s="41"/>
      <c r="AK3" s="54"/>
      <c r="AL3" s="54"/>
      <c r="AM3" s="55"/>
      <c r="AN3" s="54"/>
      <c r="AO3" s="61"/>
      <c r="AP3" s="61"/>
      <c r="AQ3" s="41"/>
      <c r="AR3" s="44"/>
      <c r="AS3" s="41"/>
      <c r="AT3" s="41"/>
      <c r="AU3" s="44"/>
      <c r="AV3" s="41"/>
      <c r="AW3" s="41"/>
      <c r="AX3" s="41"/>
      <c r="AY3" s="44"/>
      <c r="AZ3" s="46"/>
      <c r="BA3" s="41"/>
      <c r="BB3" s="46"/>
      <c r="BC3" s="46"/>
      <c r="BD3" s="50"/>
      <c r="BE3" s="50"/>
      <c r="BF3" s="65"/>
      <c r="BG3" s="46"/>
      <c r="BH3" s="46"/>
      <c r="BI3" s="50"/>
      <c r="BJ3" s="50"/>
      <c r="BK3" s="46"/>
      <c r="BL3" s="66"/>
      <c r="BM3" s="46"/>
      <c r="BN3" s="46"/>
      <c r="BO3" s="50"/>
      <c r="BP3" s="50"/>
      <c r="BQ3" s="46"/>
      <c r="BR3" s="46"/>
      <c r="BS3" s="46"/>
      <c r="BT3" s="50"/>
      <c r="BU3" s="50"/>
      <c r="BV3" s="46"/>
      <c r="BW3" s="67"/>
      <c r="BX3" s="69"/>
      <c r="BY3" s="69"/>
      <c r="BZ3" s="72"/>
      <c r="CA3" s="72"/>
      <c r="CB3" s="69"/>
    </row>
    <row r="4" spans="1:82">
      <c r="A4" s="41"/>
      <c r="B4" s="41"/>
      <c r="C4" s="41"/>
      <c r="D4" s="41"/>
      <c r="E4" s="41"/>
      <c r="F4" s="44"/>
      <c r="G4" s="44"/>
      <c r="H4" s="44"/>
      <c r="I4" s="44"/>
      <c r="J4" s="46"/>
      <c r="K4" s="44"/>
      <c r="L4" s="47"/>
      <c r="M4" s="47"/>
      <c r="N4" s="47"/>
      <c r="O4" s="47"/>
      <c r="P4" s="47"/>
      <c r="Q4" s="44"/>
      <c r="R4" s="44"/>
      <c r="S4" s="44"/>
      <c r="T4" s="44"/>
      <c r="U4" s="48"/>
      <c r="V4" s="49"/>
      <c r="W4" s="49"/>
      <c r="X4" s="49"/>
      <c r="Y4" s="49"/>
      <c r="Z4" s="49"/>
      <c r="AA4" s="48"/>
      <c r="AB4" s="48"/>
      <c r="AC4" s="48"/>
      <c r="AD4" s="48"/>
      <c r="AE4" s="46"/>
      <c r="AF4" s="46"/>
      <c r="AG4" s="46"/>
      <c r="AH4" s="51"/>
      <c r="AI4" s="51"/>
      <c r="AJ4" s="41"/>
      <c r="AK4" s="54"/>
      <c r="AL4" s="54"/>
      <c r="AM4" s="56">
        <v>6253994132.97455</v>
      </c>
      <c r="AN4" s="54">
        <v>0.035</v>
      </c>
      <c r="AO4" s="53">
        <v>0.04</v>
      </c>
      <c r="AP4" s="53">
        <v>0.15</v>
      </c>
      <c r="AQ4" s="41"/>
      <c r="AR4" s="62">
        <v>18223307402.03</v>
      </c>
      <c r="AS4" s="41"/>
      <c r="AT4" s="41"/>
      <c r="AU4" s="62">
        <v>6081662998.97</v>
      </c>
      <c r="AV4" s="56">
        <v>10738064.59</v>
      </c>
      <c r="AW4" s="41"/>
      <c r="AX4" s="41"/>
      <c r="AY4" s="62">
        <v>4131328.25</v>
      </c>
      <c r="AZ4" s="62">
        <f>SUM(AR4:AY4)</f>
        <v>24319839793.84</v>
      </c>
      <c r="BA4" s="41"/>
      <c r="BB4" s="45">
        <f>AM4/AN4</f>
        <v>178685546656.416</v>
      </c>
      <c r="BC4" s="46">
        <f>AM4*(1+AO4)/(AN4-AO4)</f>
        <v>-1300830779658.71</v>
      </c>
      <c r="BD4" s="46">
        <f>AM4*(1+AP4)/(1+AN4)+AM4*(1+AP4)^2/(1+AN4)^2+AM4*(1+AP4)^3/(1+AN4)^3+AM4*(1+AP4)^3*(1+AO4)/(1+AN4)^4/(AN4-AO4)</f>
        <v>-1700813455285.63</v>
      </c>
      <c r="BE4" s="46">
        <f>AM4*(1+AP4)/(1+AN4)+AM4*(1+AP4)^2/(1+AN4)^2+AM4*(1+AP4)^3/(1+AN4)^3+AM4*(1+AP4)^4/(1+AN4)^4+AM4*(1+AP4)^5/(1+AN4)^5+AM4*(1+AP4)^5*(1+AO4)/(1+AN4)^6/(AN4-AO4)</f>
        <v>-2085099835102.44</v>
      </c>
      <c r="BF4" s="65"/>
      <c r="BG4" s="46"/>
      <c r="BH4" s="46"/>
      <c r="BI4" s="50"/>
      <c r="BJ4" s="50"/>
      <c r="BK4" s="46"/>
      <c r="BL4" s="66"/>
      <c r="BM4" s="46"/>
      <c r="BN4" s="46"/>
      <c r="BO4" s="50"/>
      <c r="BP4" s="50"/>
      <c r="BQ4" s="46"/>
      <c r="BR4" s="46"/>
      <c r="BS4" s="46"/>
      <c r="BT4" s="50"/>
      <c r="BU4" s="50"/>
      <c r="BV4" s="46"/>
      <c r="BW4" s="67"/>
      <c r="BX4" s="69"/>
      <c r="BY4" s="69"/>
      <c r="BZ4" s="72"/>
      <c r="CA4" s="72"/>
      <c r="CB4" s="69"/>
      <c r="CC4" s="10">
        <f>(AM4*(1+AP4)^5)/(1+AN4)^5</f>
        <v>10591193979.5332</v>
      </c>
      <c r="CD4" s="10">
        <f>CC4+AZ4</f>
        <v>34911033773.3732</v>
      </c>
    </row>
    <row r="5" spans="1:80">
      <c r="A5" s="41">
        <v>2022</v>
      </c>
      <c r="B5" s="41"/>
      <c r="C5" s="42">
        <v>33337724549.58</v>
      </c>
      <c r="D5" s="42">
        <v>23499848566.38</v>
      </c>
      <c r="E5" s="41"/>
      <c r="F5" s="44"/>
      <c r="G5" s="44"/>
      <c r="H5" s="44"/>
      <c r="I5" s="44"/>
      <c r="J5" s="46"/>
      <c r="K5" s="44"/>
      <c r="L5" s="47"/>
      <c r="M5" s="47"/>
      <c r="N5" s="47"/>
      <c r="O5" s="47"/>
      <c r="P5" s="47"/>
      <c r="Q5" s="44"/>
      <c r="R5" s="44"/>
      <c r="S5" s="44"/>
      <c r="T5" s="44"/>
      <c r="U5" s="48"/>
      <c r="V5" s="49"/>
      <c r="W5" s="49"/>
      <c r="X5" s="49"/>
      <c r="Y5" s="49"/>
      <c r="Z5" s="49"/>
      <c r="AA5" s="48"/>
      <c r="AB5" s="48"/>
      <c r="AC5" s="48"/>
      <c r="AD5" s="48"/>
      <c r="AE5" s="46"/>
      <c r="AF5" s="46"/>
      <c r="AG5" s="46"/>
      <c r="AH5" s="51"/>
      <c r="AI5" s="51"/>
      <c r="AJ5" s="41"/>
      <c r="AK5" s="54"/>
      <c r="AL5" s="54"/>
      <c r="AM5" s="56">
        <v>6253994132.97455</v>
      </c>
      <c r="AN5" s="57">
        <v>0.09</v>
      </c>
      <c r="AO5" s="53">
        <v>0.04</v>
      </c>
      <c r="AP5" s="53">
        <v>0.15</v>
      </c>
      <c r="AQ5" s="41"/>
      <c r="AR5" s="62">
        <v>18223307402.03</v>
      </c>
      <c r="AS5" s="41"/>
      <c r="AT5" s="41"/>
      <c r="AU5" s="62">
        <v>6081662998.97</v>
      </c>
      <c r="AV5" s="56">
        <v>10738064.59</v>
      </c>
      <c r="AW5" s="41"/>
      <c r="AX5" s="41"/>
      <c r="AY5" s="62">
        <v>4131328.25</v>
      </c>
      <c r="AZ5" s="62">
        <f>SUM(AR5:AY5)</f>
        <v>24319839793.84</v>
      </c>
      <c r="BA5" s="41"/>
      <c r="BB5" s="45">
        <f>AM5/AN5</f>
        <v>69488823699.7172</v>
      </c>
      <c r="BC5" s="46">
        <f>AM5*(1+AO5)/(AN5-AO5)</f>
        <v>130083077965.871</v>
      </c>
      <c r="BD5" s="46">
        <f>AM5*(1+AP5)/(1+AN5)+AM5*(1+AP5)^2/(1+AN5)^2+AM5*(1+AP5)^3/(1+AN5)^3+AM5*(1+AP5)^3*(1+AO5)/(1+AN5)^4/(AN5-AO5)</f>
        <v>161059279919.254</v>
      </c>
      <c r="BE5" s="46">
        <f>AM5*(1+AP5)/(1+AN5)+AM5*(1+AP5)^2/(1+AN5)^2+AM5*(1+AP5)^3/(1+AN5)^3+AM5*(1+AP5)^4/(1+AN5)^4+AM5*(1+AP5)^5/(1+AN5)^5+AM5*(1+AP5)^5*(1+AO5)/(1+AN5)^6/(AN5-AO5)</f>
        <v>192838301977.742</v>
      </c>
      <c r="BF5" s="65"/>
      <c r="BG5" s="62">
        <f>$AZ5+$BA5+BB5</f>
        <v>93808663493.5572</v>
      </c>
      <c r="BH5" s="62">
        <f>$AZ5+$BA5+BC5</f>
        <v>154402917759.711</v>
      </c>
      <c r="BI5" s="62">
        <f>$AZ5+$BA5+BD5</f>
        <v>185379119713.094</v>
      </c>
      <c r="BJ5" s="62">
        <f>$AZ5+$BA5+BE5</f>
        <v>217158141771.582</v>
      </c>
      <c r="BK5" s="62">
        <f>$AZ5+$BA5+BF5</f>
        <v>24319839793.84</v>
      </c>
      <c r="BL5" s="64">
        <f>C5-D5</f>
        <v>9837875983.2</v>
      </c>
      <c r="BM5" s="62">
        <f>BG5-$BL5</f>
        <v>83970787510.3572</v>
      </c>
      <c r="BN5" s="62">
        <f>BH5-$BL5</f>
        <v>144565041776.511</v>
      </c>
      <c r="BO5" s="62">
        <f>BI5-$BL5</f>
        <v>175541243729.894</v>
      </c>
      <c r="BP5" s="62">
        <f>BJ5-$BL5</f>
        <v>207320265788.382</v>
      </c>
      <c r="BQ5" s="62">
        <f>BK5-$BL5</f>
        <v>14481963810.64</v>
      </c>
      <c r="BR5" s="62">
        <f>BM5*(1-$E5/$D5)</f>
        <v>83970787510.3572</v>
      </c>
      <c r="BS5" s="62">
        <f>BN5*(1-$E5/$D5)</f>
        <v>144565041776.511</v>
      </c>
      <c r="BT5" s="62">
        <f>BO5*(1-$E5/$D5)</f>
        <v>175541243729.894</v>
      </c>
      <c r="BU5" s="62">
        <f>BP5*(1-$E5/$D5)</f>
        <v>207320265788.382</v>
      </c>
      <c r="BV5" s="62">
        <f>BQ5*(1-$E5/$D5)</f>
        <v>14481963810.64</v>
      </c>
      <c r="BW5" s="67">
        <v>4633833787</v>
      </c>
      <c r="BX5" s="70">
        <f>BR5/$BW5</f>
        <v>18.121234245806</v>
      </c>
      <c r="BY5" s="70">
        <f>BS5/$BW5</f>
        <v>31.1977184382575</v>
      </c>
      <c r="BZ5" s="70">
        <f>BT5/$BW5</f>
        <v>37.8825076165586</v>
      </c>
      <c r="CA5" s="70">
        <f>BU5/$BW5</f>
        <v>44.7405486079387</v>
      </c>
      <c r="CB5" s="70">
        <f>BV5/$BW5</f>
        <v>3.1252661351964</v>
      </c>
    </row>
    <row r="6" spans="1:80">
      <c r="A6" s="41"/>
      <c r="B6" s="41"/>
      <c r="C6" s="42">
        <v>33337724549.58</v>
      </c>
      <c r="D6" s="42">
        <v>23499848566.38</v>
      </c>
      <c r="E6" s="42">
        <v>98331095.55</v>
      </c>
      <c r="F6" s="44"/>
      <c r="G6" s="44"/>
      <c r="H6" s="44"/>
      <c r="I6" s="44"/>
      <c r="J6" s="46"/>
      <c r="K6" s="44"/>
      <c r="L6" s="47"/>
      <c r="M6" s="47"/>
      <c r="N6" s="47"/>
      <c r="O6" s="47"/>
      <c r="P6" s="47"/>
      <c r="Q6" s="44"/>
      <c r="R6" s="44"/>
      <c r="S6" s="44"/>
      <c r="T6" s="44"/>
      <c r="U6" s="48"/>
      <c r="V6" s="49"/>
      <c r="W6" s="49"/>
      <c r="X6" s="49"/>
      <c r="Y6" s="49"/>
      <c r="Z6" s="49"/>
      <c r="AA6" s="48"/>
      <c r="AB6" s="48"/>
      <c r="AC6" s="48"/>
      <c r="AD6" s="48"/>
      <c r="AE6" s="46"/>
      <c r="AF6" s="46"/>
      <c r="AG6" s="46"/>
      <c r="AH6" s="51"/>
      <c r="AI6" s="51"/>
      <c r="AJ6" s="41"/>
      <c r="AK6" s="54"/>
      <c r="AL6" s="54"/>
      <c r="AM6" s="58">
        <v>5000000000</v>
      </c>
      <c r="AN6" s="57">
        <v>0.035</v>
      </c>
      <c r="AO6" s="53">
        <v>0.04</v>
      </c>
      <c r="AP6" s="53">
        <v>0.15</v>
      </c>
      <c r="AQ6" s="41"/>
      <c r="AR6" s="62">
        <v>19813767427.18</v>
      </c>
      <c r="AS6" s="41"/>
      <c r="AT6" s="41"/>
      <c r="AU6" s="62">
        <v>5377818664.42</v>
      </c>
      <c r="AV6" s="64">
        <v>16216013.8</v>
      </c>
      <c r="AW6" s="41"/>
      <c r="AX6" s="41"/>
      <c r="AY6" s="62">
        <v>4496708</v>
      </c>
      <c r="AZ6" s="62">
        <f>SUM(AR6:AY6)</f>
        <v>25212298813.4</v>
      </c>
      <c r="BA6" s="41"/>
      <c r="BB6" s="45">
        <f>AM6/AN6</f>
        <v>142857142857.143</v>
      </c>
      <c r="BC6" s="46">
        <f>AM6*(1+AO6)/(AN6-AO6)</f>
        <v>-1040000000000</v>
      </c>
      <c r="BD6" s="46">
        <f>AM6*(1+AP6)/(1+AN6)+AM6*(1+AP6)^2/(1+AN6)^2+AM6*(1+AP6)^3/(1+AN6)^3+AM6*(1+AP6)^3*(1+AO6)/(1+AN6)^4/(AN6-AO6)</f>
        <v>-1359781780348.97</v>
      </c>
      <c r="BE6" s="46">
        <f>AM6*(1+AP6)/(1+AN6)+AM6*(1+AP6)^2/(1+AN6)^2+AM6*(1+AP6)^3/(1+AN6)^3+AM6*(1+AP6)^4/(1+AN6)^4+AM6*(1+AP6)^5/(1+AN6)^5+AM6*(1+AP6)^5*(1+AO6)/(1+AN6)^6/(AN6-AO6)</f>
        <v>-1667014543640.7</v>
      </c>
      <c r="BF6" s="65"/>
      <c r="BG6" s="62">
        <f>$AZ6+$BA6+BB6</f>
        <v>168069441670.543</v>
      </c>
      <c r="BH6" s="62">
        <f>$AZ6+$BA6+BC6</f>
        <v>-1014787701186.6</v>
      </c>
      <c r="BI6" s="62">
        <f>$AZ6+$BA6+BD6</f>
        <v>-1334569481535.57</v>
      </c>
      <c r="BJ6" s="62">
        <f>$AZ6+$BA6+BE6</f>
        <v>-1641802244827.3</v>
      </c>
      <c r="BK6" s="62">
        <f>$AZ6+$BA6+BF6</f>
        <v>25212298813.4</v>
      </c>
      <c r="BL6" s="64">
        <f>C6-D6</f>
        <v>9837875983.2</v>
      </c>
      <c r="BM6" s="62">
        <f>BG6-$BL6</f>
        <v>158231565687.343</v>
      </c>
      <c r="BN6" s="62">
        <f>BH6-$BL6</f>
        <v>-1024625577169.8</v>
      </c>
      <c r="BO6" s="62">
        <f>BI6-$BL6</f>
        <v>-1344407357518.77</v>
      </c>
      <c r="BP6" s="62">
        <f>BJ6-$BL6</f>
        <v>-1651640120810.5</v>
      </c>
      <c r="BQ6" s="62">
        <f>BK6-$BL6</f>
        <v>15374422830.2</v>
      </c>
      <c r="BR6" s="62">
        <f>BM6*(1-$E6/$D6)</f>
        <v>157569472773.821</v>
      </c>
      <c r="BS6" s="62">
        <f>BN6*(1-$E6/$D6)</f>
        <v>-1020338206753.47</v>
      </c>
      <c r="BT6" s="62">
        <f>BO6*(1-$E6/$D6)</f>
        <v>-1338781914956.58</v>
      </c>
      <c r="BU6" s="62">
        <f>BP6*(1-$E6/$D6)</f>
        <v>-1644729115317.21</v>
      </c>
      <c r="BV6" s="62">
        <f>BQ6*(1-$E6/$D6)</f>
        <v>15310091188.3993</v>
      </c>
      <c r="BW6" s="59">
        <v>4212576169</v>
      </c>
      <c r="BX6" s="70">
        <f>BR6/$BW6</f>
        <v>37.4045397525063</v>
      </c>
      <c r="BY6" s="70">
        <f>BS6/$BW6</f>
        <v>-242.212405383209</v>
      </c>
      <c r="BZ6" s="70">
        <f>BT6/$BW6</f>
        <v>-317.805984093193</v>
      </c>
      <c r="CA6" s="70">
        <f>BU6/$BW6</f>
        <v>-390.433086390376</v>
      </c>
      <c r="CB6" s="70">
        <f>BV6/$BW6</f>
        <v>3.63437729650208</v>
      </c>
    </row>
    <row r="7" spans="1:80">
      <c r="A7" s="43">
        <v>2021</v>
      </c>
      <c r="B7" s="43" t="s">
        <v>58</v>
      </c>
      <c r="C7" s="42">
        <v>33337724549.58</v>
      </c>
      <c r="D7" s="42">
        <v>23499848566.38</v>
      </c>
      <c r="E7" s="42">
        <v>98331095.55</v>
      </c>
      <c r="F7" s="45">
        <v>4582073.3</v>
      </c>
      <c r="G7" s="45">
        <v>4082874.6</v>
      </c>
      <c r="H7" s="45">
        <v>5456405.46</v>
      </c>
      <c r="I7" s="45">
        <v>7145253.84</v>
      </c>
      <c r="J7" s="45">
        <f>F7+G7+H7+I7</f>
        <v>21266607.2</v>
      </c>
      <c r="K7" s="45">
        <v>92600000</v>
      </c>
      <c r="L7" s="45"/>
      <c r="M7" s="45"/>
      <c r="N7" s="45"/>
      <c r="O7" s="45">
        <v>1239133371.41</v>
      </c>
      <c r="P7" s="45"/>
      <c r="Q7" s="45"/>
      <c r="R7" s="42"/>
      <c r="S7" s="42"/>
      <c r="T7" s="42"/>
      <c r="U7" s="42">
        <v>104600000</v>
      </c>
      <c r="V7" s="42"/>
      <c r="W7" s="42"/>
      <c r="X7" s="42"/>
      <c r="Y7" s="42">
        <v>972021493.04</v>
      </c>
      <c r="Z7" s="42">
        <v>21395441.72</v>
      </c>
      <c r="AA7" s="43"/>
      <c r="AB7" s="43"/>
      <c r="AC7" s="43"/>
      <c r="AD7" s="42">
        <v>54070173.8</v>
      </c>
      <c r="AE7" s="42">
        <f>SUM(K7:T7)</f>
        <v>1331733371.41</v>
      </c>
      <c r="AF7" s="42">
        <f>SUM(U7:AD7)</f>
        <v>1152087108.56</v>
      </c>
      <c r="AG7" s="45">
        <f>(AE7+AF7)/2</f>
        <v>1241910239.985</v>
      </c>
      <c r="AH7" s="52">
        <f>F7/AG7</f>
        <v>0.00368953661261006</v>
      </c>
      <c r="AI7" s="52">
        <f>J7/AG7</f>
        <v>0.0171241097104223</v>
      </c>
      <c r="AJ7" s="53">
        <v>0.25</v>
      </c>
      <c r="AK7" s="53">
        <f>(C7-D7)/C7</f>
        <v>0.295097404400503</v>
      </c>
      <c r="AL7" s="53">
        <f>D7/C7</f>
        <v>0.704902595599497</v>
      </c>
      <c r="AM7" s="58">
        <v>4174523194.45556</v>
      </c>
      <c r="AN7" s="53">
        <v>0.07</v>
      </c>
      <c r="AO7" s="53">
        <v>0.04</v>
      </c>
      <c r="AP7" s="53">
        <v>0.15</v>
      </c>
      <c r="AQ7" s="63"/>
      <c r="AR7" s="62">
        <v>19813767427.18</v>
      </c>
      <c r="AS7" s="64"/>
      <c r="AT7" s="64"/>
      <c r="AU7" s="62">
        <v>5377818664.42</v>
      </c>
      <c r="AV7" s="64">
        <v>16216013.8</v>
      </c>
      <c r="AW7" s="64"/>
      <c r="AX7" s="64"/>
      <c r="AY7" s="62">
        <v>4496708</v>
      </c>
      <c r="AZ7" s="62">
        <f>SUM(AR7:AY7)</f>
        <v>25212298813.4</v>
      </c>
      <c r="BA7" s="63">
        <v>0</v>
      </c>
      <c r="BB7" s="45">
        <f>AM7/AN7</f>
        <v>59636045635.0794</v>
      </c>
      <c r="BC7" s="46">
        <f>AM7*(1+AO7)/(AN7-AO7)</f>
        <v>144716804074.459</v>
      </c>
      <c r="BD7" s="46">
        <f>AM7*(1+AP7)/(1+AN7)+AM7*(1+AP7)^2/(1+AN7)^2+AM7*(1+AP7)^3/(1+AN7)^3+AM7*(1+AP7)^3*(1+AO7)/(1+AN7)^4/(AN7-AO7)</f>
        <v>182401653897.283</v>
      </c>
      <c r="BE7" s="46">
        <f>AM7*(1+AP7)/(1+AN7)+AM7*(1+AP7)^2/(1+AN7)^2+AM7*(1+AP7)^3/(1+AN7)^3+AM7*(1+AP7)^4/(1+AN7)^4+AM7*(1+AP7)^5/(1+AN7)^5+AM7*(1+AP7)^5*(1+AO7)/(1+AN7)^6/(AN7-AO7)</f>
        <v>220005017900.779</v>
      </c>
      <c r="BF7" s="65"/>
      <c r="BG7" s="62">
        <f>$AZ7+$BA7+BB7</f>
        <v>84848344448.4794</v>
      </c>
      <c r="BH7" s="62">
        <f>$AZ7+$BA7+BC7</f>
        <v>169929102887.859</v>
      </c>
      <c r="BI7" s="62">
        <f>$AZ7+$BA7+BD7</f>
        <v>207613952710.683</v>
      </c>
      <c r="BJ7" s="62">
        <f>$AZ7+$BA7+BE7</f>
        <v>245217316714.179</v>
      </c>
      <c r="BK7" s="62">
        <f>$AZ7+$BA7+BF7</f>
        <v>25212298813.4</v>
      </c>
      <c r="BL7" s="64">
        <f>C7-D7</f>
        <v>9837875983.2</v>
      </c>
      <c r="BM7" s="62">
        <f>BG7-$BL7</f>
        <v>75010468465.2794</v>
      </c>
      <c r="BN7" s="62">
        <f>BH7-$BL7</f>
        <v>160091226904.659</v>
      </c>
      <c r="BO7" s="62">
        <f>BI7-$BL7</f>
        <v>197776076727.483</v>
      </c>
      <c r="BP7" s="62">
        <f>BJ7-$BL7</f>
        <v>235379440730.979</v>
      </c>
      <c r="BQ7" s="62">
        <f>BK7-$BL7</f>
        <v>15374422830.2</v>
      </c>
      <c r="BR7" s="62">
        <f>BM7*(1-$E7/$D7)</f>
        <v>74696599994.1242</v>
      </c>
      <c r="BS7" s="62">
        <f>BN7*(1-$E7/$D7)</f>
        <v>159421352556.958</v>
      </c>
      <c r="BT7" s="62">
        <f>BO7*(1-$E7/$D7)</f>
        <v>196948516573.499</v>
      </c>
      <c r="BU7" s="62">
        <f>BP7*(1-$E7/$D7)</f>
        <v>234394535734.181</v>
      </c>
      <c r="BV7" s="62">
        <f>BQ7*(1-$E7/$D7)</f>
        <v>15310091188.3993</v>
      </c>
      <c r="BW7" s="59">
        <v>4212576170</v>
      </c>
      <c r="BX7" s="70">
        <f>BR7/$BW7</f>
        <v>17.731809937605</v>
      </c>
      <c r="BY7" s="70">
        <f>BS7/$BW7</f>
        <v>37.8441471734761</v>
      </c>
      <c r="BZ7" s="70">
        <f>BT7/$BW7</f>
        <v>46.7525116758896</v>
      </c>
      <c r="CA7" s="70">
        <f>BU7/$BW7</f>
        <v>55.6416136528117</v>
      </c>
      <c r="CB7" s="70">
        <f>BV7/$BW7</f>
        <v>3.63437729563934</v>
      </c>
    </row>
    <row r="8" spans="1:80">
      <c r="A8" s="43">
        <v>2021</v>
      </c>
      <c r="B8" s="43" t="s">
        <v>58</v>
      </c>
      <c r="C8" s="42"/>
      <c r="D8" s="42"/>
      <c r="E8" s="42"/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2"/>
      <c r="S8" s="42"/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  <c r="AE8" s="42"/>
      <c r="AF8" s="42"/>
      <c r="AG8" s="45"/>
      <c r="AH8" s="52"/>
      <c r="AI8" s="52"/>
      <c r="AJ8" s="53"/>
      <c r="AK8" s="53"/>
      <c r="AL8" s="53"/>
      <c r="AM8" s="59"/>
      <c r="AN8" s="53"/>
      <c r="AO8" s="53"/>
      <c r="AP8" s="53"/>
      <c r="AQ8" s="63"/>
      <c r="AR8" s="62"/>
      <c r="AS8" s="63"/>
      <c r="AT8" s="63"/>
      <c r="AU8" s="62"/>
      <c r="AV8" s="64"/>
      <c r="AW8" s="64"/>
      <c r="AX8" s="63"/>
      <c r="AY8" s="62"/>
      <c r="AZ8" s="62"/>
      <c r="BA8" s="64"/>
      <c r="BB8" s="45"/>
      <c r="BC8" s="46"/>
      <c r="BD8" s="46"/>
      <c r="BE8" s="46"/>
      <c r="BF8" s="65"/>
      <c r="BG8" s="62"/>
      <c r="BH8" s="62"/>
      <c r="BI8" s="62"/>
      <c r="BJ8" s="62"/>
      <c r="BK8" s="62"/>
      <c r="BL8" s="64"/>
      <c r="BM8" s="62"/>
      <c r="BN8" s="62"/>
      <c r="BO8" s="62"/>
      <c r="BP8" s="62"/>
      <c r="BQ8" s="62"/>
      <c r="BR8" s="62"/>
      <c r="BS8" s="62"/>
      <c r="BT8" s="62"/>
      <c r="BU8" s="62"/>
      <c r="BV8" s="62"/>
      <c r="BW8" s="71"/>
      <c r="BX8" s="70"/>
      <c r="BY8" s="70"/>
      <c r="BZ8" s="70"/>
      <c r="CA8" s="70"/>
      <c r="CB8" s="70"/>
    </row>
    <row r="9" spans="1:80">
      <c r="A9" s="43">
        <v>2021</v>
      </c>
      <c r="B9" s="43" t="s">
        <v>59</v>
      </c>
      <c r="C9" s="42">
        <v>13899456422.16</v>
      </c>
      <c r="D9" s="42">
        <v>7658307846.92</v>
      </c>
      <c r="E9" s="42">
        <v>35668094.06</v>
      </c>
      <c r="F9" s="45">
        <v>77737.82</v>
      </c>
      <c r="G9" s="45">
        <v>9999166.62</v>
      </c>
      <c r="H9" s="45">
        <v>9569135.05</v>
      </c>
      <c r="I9" s="45">
        <v>6209153.06</v>
      </c>
      <c r="J9" s="45">
        <f>F9+G9+H9+I9</f>
        <v>25855192.55</v>
      </c>
      <c r="K9" s="45"/>
      <c r="L9" s="45"/>
      <c r="M9" s="45"/>
      <c r="N9" s="45"/>
      <c r="O9" s="45">
        <v>94521442.67</v>
      </c>
      <c r="P9" s="45"/>
      <c r="Q9" s="45"/>
      <c r="R9" s="42"/>
      <c r="S9" s="42"/>
      <c r="T9" s="42">
        <v>157420210.81</v>
      </c>
      <c r="U9" s="42"/>
      <c r="V9" s="42"/>
      <c r="W9" s="42"/>
      <c r="X9" s="42"/>
      <c r="Y9" s="42">
        <v>110605272.21</v>
      </c>
      <c r="Z9" s="42">
        <v>29191343.78</v>
      </c>
      <c r="AA9" s="42"/>
      <c r="AB9" s="42"/>
      <c r="AC9" s="42"/>
      <c r="AD9" s="42">
        <v>0</v>
      </c>
      <c r="AE9" s="42">
        <f t="shared" ref="AE9:AE14" si="0">SUM(K9:T9)</f>
        <v>251941653.48</v>
      </c>
      <c r="AF9" s="42">
        <f t="shared" ref="AF9:AF14" si="1">SUM(U9:AD9)</f>
        <v>139796615.99</v>
      </c>
      <c r="AG9" s="45">
        <f t="shared" ref="AG9:AG14" si="2">(AE9+AF9)/2</f>
        <v>195869134.735</v>
      </c>
      <c r="AH9" s="52">
        <f t="shared" ref="AH9:AH14" si="3">F9/AG9</f>
        <v>0.000396886523776066</v>
      </c>
      <c r="AI9" s="52">
        <f t="shared" ref="AI9:AI14" si="4">J9/AG9</f>
        <v>0.132002383045091</v>
      </c>
      <c r="AJ9" s="53">
        <v>0.25</v>
      </c>
      <c r="AK9" s="53">
        <f t="shared" ref="AK9:AK14" si="5">(C9-D9)/C9</f>
        <v>0.449021054182356</v>
      </c>
      <c r="AL9" s="53">
        <f t="shared" ref="AL9:AL14" si="6">D9/C9</f>
        <v>0.550978945817644</v>
      </c>
      <c r="AM9" s="58">
        <v>1312404990.24778</v>
      </c>
      <c r="AN9" s="53">
        <f t="shared" ref="AN9:AN14" si="7">AI9*(1-AJ9)*AK9+0.08*AL9</f>
        <v>0.0885322025575289</v>
      </c>
      <c r="AO9" s="53">
        <v>0.04</v>
      </c>
      <c r="AP9" s="53">
        <v>0.15</v>
      </c>
      <c r="AQ9" s="63"/>
      <c r="AR9" s="62">
        <v>2654052417.47</v>
      </c>
      <c r="AS9" s="63"/>
      <c r="AT9" s="63"/>
      <c r="AU9" s="62">
        <v>180312742.31</v>
      </c>
      <c r="AV9" s="64">
        <v>12159756.67</v>
      </c>
      <c r="AW9" s="64"/>
      <c r="AX9" s="63"/>
      <c r="AY9" s="62"/>
      <c r="AZ9" s="62">
        <f>SUM(AR9:AY9)</f>
        <v>2846524916.45</v>
      </c>
      <c r="BA9" s="64">
        <f>298191205.49+65600611.64</f>
        <v>363791817.13</v>
      </c>
      <c r="BB9" s="45">
        <f>AM9/AN9</f>
        <v>14824040883.8238</v>
      </c>
      <c r="BC9" s="46">
        <f>AM9*(1+AO9)/(AN9-AO9)</f>
        <v>28123619327.5953</v>
      </c>
      <c r="BD9" s="46">
        <f>AM9*(1+AP9)/(1+AN9)+AM9*(1+AP9)^2/(1+AN9)^2+AM9*(1+AP9)^3/(1+AN9)^3+AM9*(1+AP9)^3*(1+AO9)/(1+AN9)^4/(AN9-AO9)</f>
        <v>34863737484.9391</v>
      </c>
      <c r="BE9" s="46">
        <f>AM9*(1+AP9)/(1+AN9)+AM9*(1+AP9)^2/(1+AN9)^2+AM9*(1+AP9)^3/(1+AN9)^3+AM9*(1+AP9)^4/(1+AN9)^4+AM9*(1+AP9)^5/(1+AN9)^5+AM9*(1+AP9)^5*(1+AO9)/(1+AN9)^6/(AN9-AO9)</f>
        <v>41763637764.36</v>
      </c>
      <c r="BF9" s="65"/>
      <c r="BG9" s="62">
        <f>$AZ9+$BA9+BB9</f>
        <v>18034357617.4038</v>
      </c>
      <c r="BH9" s="62">
        <f>$AZ9+$BA9+BC9</f>
        <v>31333936061.1753</v>
      </c>
      <c r="BI9" s="62">
        <f>$AZ9+$BA9+BD9</f>
        <v>38074054218.5191</v>
      </c>
      <c r="BJ9" s="62">
        <f>$AZ9+$BA9+BE9</f>
        <v>44973954497.94</v>
      </c>
      <c r="BK9" s="62">
        <f>$AZ9+$BA9+BF9</f>
        <v>3210316733.58</v>
      </c>
      <c r="BL9" s="64">
        <f>C9-D9</f>
        <v>6241148575.24</v>
      </c>
      <c r="BM9" s="62">
        <f>BG9-$BL9</f>
        <v>11793209042.1638</v>
      </c>
      <c r="BN9" s="62">
        <f>BH9-$BL9</f>
        <v>25092787485.9353</v>
      </c>
      <c r="BO9" s="62">
        <f>BI9-$BL9</f>
        <v>31832905643.2791</v>
      </c>
      <c r="BP9" s="62">
        <f>BJ9-$BL9</f>
        <v>38732805922.7</v>
      </c>
      <c r="BQ9" s="62">
        <f>BK9-$BL9</f>
        <v>-3030831841.66</v>
      </c>
      <c r="BR9" s="62">
        <f>BM9*(1-$E9/$D9)</f>
        <v>11738282902.1087</v>
      </c>
      <c r="BS9" s="62">
        <f>BN9*(1-$E9/$D9)</f>
        <v>24975919383.7166</v>
      </c>
      <c r="BT9" s="62">
        <f>BO9*(1-$E9/$D9)</f>
        <v>31684645858.5612</v>
      </c>
      <c r="BU9" s="62">
        <f>BP9*(1-$E9/$D9)</f>
        <v>38552410280.1542</v>
      </c>
      <c r="BV9" s="62">
        <f>BQ9*(1-$E9/$D9)</f>
        <v>-3016715930.23815</v>
      </c>
      <c r="BW9" s="71">
        <v>808678476</v>
      </c>
      <c r="BX9" s="70">
        <f>BR9/$BW9</f>
        <v>14.5153893054879</v>
      </c>
      <c r="BY9" s="70">
        <f>BS9/$BW9</f>
        <v>30.8848573629115</v>
      </c>
      <c r="BZ9" s="70">
        <f>BT9/$BW9</f>
        <v>39.1807706015428</v>
      </c>
      <c r="CA9" s="70">
        <f>BU9/$BW9</f>
        <v>47.673347843815</v>
      </c>
      <c r="CB9" s="70">
        <f>BV9/$BW9</f>
        <v>-3.7304268875312</v>
      </c>
    </row>
    <row r="10" spans="1:80">
      <c r="A10" s="43">
        <v>2021</v>
      </c>
      <c r="B10" s="43" t="s">
        <v>60</v>
      </c>
      <c r="C10" s="43"/>
      <c r="D10" s="43"/>
      <c r="E10" s="43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3"/>
      <c r="S10" s="43"/>
      <c r="T10" s="43"/>
      <c r="U10" s="43"/>
      <c r="V10" s="43"/>
      <c r="W10" s="43"/>
      <c r="X10" s="43"/>
      <c r="Y10" s="43"/>
      <c r="Z10" s="43"/>
      <c r="AA10" s="43"/>
      <c r="AB10" s="43"/>
      <c r="AC10" s="43"/>
      <c r="AD10" s="43"/>
      <c r="AE10" s="42">
        <f t="shared" si="0"/>
        <v>0</v>
      </c>
      <c r="AF10" s="42">
        <f t="shared" si="1"/>
        <v>0</v>
      </c>
      <c r="AG10" s="45">
        <f t="shared" si="2"/>
        <v>0</v>
      </c>
      <c r="AH10" s="52" t="e">
        <f t="shared" si="3"/>
        <v>#DIV/0!</v>
      </c>
      <c r="AI10" s="52" t="e">
        <f t="shared" si="4"/>
        <v>#DIV/0!</v>
      </c>
      <c r="AJ10" s="53">
        <v>0.25</v>
      </c>
      <c r="AK10" s="53" t="e">
        <f t="shared" si="5"/>
        <v>#DIV/0!</v>
      </c>
      <c r="AL10" s="53" t="e">
        <f t="shared" si="6"/>
        <v>#DIV/0!</v>
      </c>
      <c r="AM10" s="59"/>
      <c r="AN10" s="53" t="e">
        <f t="shared" si="7"/>
        <v>#DIV/0!</v>
      </c>
      <c r="AO10" s="53">
        <v>0.04</v>
      </c>
      <c r="AP10" s="53">
        <v>0.16</v>
      </c>
      <c r="AQ10" s="63"/>
      <c r="AR10" s="62"/>
      <c r="AS10" s="63"/>
      <c r="AT10" s="63"/>
      <c r="AU10" s="62"/>
      <c r="AV10" s="63"/>
      <c r="AW10" s="63"/>
      <c r="AX10" s="63"/>
      <c r="AY10" s="62"/>
      <c r="AZ10" s="62"/>
      <c r="BA10" s="63"/>
      <c r="BB10" s="45" t="e">
        <f>AM10/AN10</f>
        <v>#DIV/0!</v>
      </c>
      <c r="BC10" s="46" t="e">
        <f>AM10*(1+AO10)/(AN10-AO10)</f>
        <v>#DIV/0!</v>
      </c>
      <c r="BD10" s="46" t="e">
        <f>AM10*(1+AP10)/(1+AN10)+AM10*(1+AP10)^2/(1+AN10)^2+AM10*(1+AP10)^3/(1+AN10)^3+AM10*(1+AP10)^3*(1+AO10)/(1+AN10)^4/(AN10-AO10)</f>
        <v>#DIV/0!</v>
      </c>
      <c r="BE10" s="46" t="e">
        <f>AM10*(1+AP10)/(1+AN10)+AM10*(1+AP10)^2/(1+AN10)^2+AM10*(1+AP10)^3/(1+AN10)^3+AM10*(1+AP10)^4/(1+AN10)^4+AM10*(1+AP10)^5/(1+AN10)^5+AM10*(1+AP10)^5*(1+AO10)/(1+AN10)^6/(AN10-AO10)</f>
        <v>#DIV/0!</v>
      </c>
      <c r="BF10" s="65"/>
      <c r="BG10" s="62" t="e">
        <f>$AZ10+$BA10+BB10</f>
        <v>#DIV/0!</v>
      </c>
      <c r="BH10" s="62" t="e">
        <f>$AZ10+$BA10+BC10</f>
        <v>#DIV/0!</v>
      </c>
      <c r="BI10" s="62" t="e">
        <f>$AZ10+$BA10+BD10</f>
        <v>#DIV/0!</v>
      </c>
      <c r="BJ10" s="62" t="e">
        <f>$AZ10+$BA10+BE10</f>
        <v>#DIV/0!</v>
      </c>
      <c r="BK10" s="62">
        <f>$AZ10+$BA10+BF10</f>
        <v>0</v>
      </c>
      <c r="BL10" s="64">
        <f>C10-D10</f>
        <v>0</v>
      </c>
      <c r="BM10" s="62" t="e">
        <f>BG10-$BL10</f>
        <v>#DIV/0!</v>
      </c>
      <c r="BN10" s="62" t="e">
        <f>BH10-$BL10</f>
        <v>#DIV/0!</v>
      </c>
      <c r="BO10" s="62" t="e">
        <f>BI10-$BL10</f>
        <v>#DIV/0!</v>
      </c>
      <c r="BP10" s="62" t="e">
        <f>BJ10-$BL10</f>
        <v>#DIV/0!</v>
      </c>
      <c r="BQ10" s="62">
        <f>BK10-$BL10</f>
        <v>0</v>
      </c>
      <c r="BR10" s="62" t="e">
        <f>BM10*(1-$E10/$D10)</f>
        <v>#DIV/0!</v>
      </c>
      <c r="BS10" s="62" t="e">
        <f>BN10*(1-$E10/$D10)</f>
        <v>#DIV/0!</v>
      </c>
      <c r="BT10" s="62" t="e">
        <f>BO10*(1-$E10/$D10)</f>
        <v>#DIV/0!</v>
      </c>
      <c r="BU10" s="62" t="e">
        <f>BP10*(1-$E10/$D10)</f>
        <v>#DIV/0!</v>
      </c>
      <c r="BV10" s="62" t="e">
        <f>BQ10*(1-$E10/$D10)</f>
        <v>#DIV/0!</v>
      </c>
      <c r="BW10" s="59"/>
      <c r="BX10" s="70" t="e">
        <f>BR10/$BW10</f>
        <v>#DIV/0!</v>
      </c>
      <c r="BY10" s="70" t="e">
        <f>BS10/$BW10</f>
        <v>#DIV/0!</v>
      </c>
      <c r="BZ10" s="70" t="e">
        <f>BT10/$BW10</f>
        <v>#DIV/0!</v>
      </c>
      <c r="CA10" s="70" t="e">
        <f>BU10/$BW10</f>
        <v>#DIV/0!</v>
      </c>
      <c r="CB10" s="70" t="e">
        <f>BV10/$BW10</f>
        <v>#DIV/0!</v>
      </c>
    </row>
    <row r="11" spans="1:80">
      <c r="A11" s="43">
        <v>2021</v>
      </c>
      <c r="B11" s="43" t="s">
        <v>61</v>
      </c>
      <c r="C11" s="42">
        <v>6369307875.78</v>
      </c>
      <c r="D11" s="42">
        <v>5117150498.28</v>
      </c>
      <c r="E11" s="42">
        <v>80966017.91</v>
      </c>
      <c r="F11" s="45">
        <v>8092057.32</v>
      </c>
      <c r="G11" s="45"/>
      <c r="H11" s="45">
        <v>2350868.48</v>
      </c>
      <c r="I11" s="45">
        <v>1248588.78</v>
      </c>
      <c r="J11" s="45">
        <f>F11+G11+H11+I11</f>
        <v>11691514.58</v>
      </c>
      <c r="K11" s="45"/>
      <c r="L11" s="45"/>
      <c r="M11" s="45"/>
      <c r="N11" s="45"/>
      <c r="O11" s="45">
        <v>64978916.01</v>
      </c>
      <c r="P11" s="45">
        <v>170845170.78</v>
      </c>
      <c r="Q11" s="45"/>
      <c r="R11" s="43"/>
      <c r="S11" s="43"/>
      <c r="T11" s="43"/>
      <c r="U11" s="43"/>
      <c r="V11" s="43"/>
      <c r="W11" s="43"/>
      <c r="X11" s="43"/>
      <c r="Y11" s="42">
        <v>61486444.69</v>
      </c>
      <c r="Z11" s="42">
        <v>2016748.68</v>
      </c>
      <c r="AA11" s="43"/>
      <c r="AB11" s="43"/>
      <c r="AC11" s="43"/>
      <c r="AD11" s="43"/>
      <c r="AE11" s="42">
        <f t="shared" si="0"/>
        <v>235824086.79</v>
      </c>
      <c r="AF11" s="42">
        <f t="shared" si="1"/>
        <v>63503193.37</v>
      </c>
      <c r="AG11" s="45">
        <f t="shared" si="2"/>
        <v>149663640.08</v>
      </c>
      <c r="AH11" s="52">
        <f t="shared" si="3"/>
        <v>0.0540682915080412</v>
      </c>
      <c r="AI11" s="52">
        <f t="shared" si="4"/>
        <v>0.0781186036484915</v>
      </c>
      <c r="AJ11" s="53">
        <v>0.25</v>
      </c>
      <c r="AK11" s="53">
        <f t="shared" si="5"/>
        <v>0.196592377369834</v>
      </c>
      <c r="AL11" s="53">
        <f t="shared" si="6"/>
        <v>0.803407622630166</v>
      </c>
      <c r="AM11" s="60">
        <v>278344963.561111</v>
      </c>
      <c r="AN11" s="53">
        <f t="shared" si="7"/>
        <v>0.0757907513164648</v>
      </c>
      <c r="AO11" s="53">
        <v>0.04</v>
      </c>
      <c r="AP11" s="53">
        <v>0.19</v>
      </c>
      <c r="AQ11" s="63"/>
      <c r="AR11" s="62">
        <v>1829782947.1</v>
      </c>
      <c r="AS11" s="63"/>
      <c r="AT11" s="63"/>
      <c r="AU11" s="62">
        <v>424541.21</v>
      </c>
      <c r="AV11" s="64">
        <v>3113131.56</v>
      </c>
      <c r="AW11" s="63"/>
      <c r="AX11" s="63"/>
      <c r="AY11" s="62">
        <v>8194517.48</v>
      </c>
      <c r="AZ11" s="62">
        <f>SUM(AR11:AY11)</f>
        <v>1841515137.35</v>
      </c>
      <c r="BA11" s="64">
        <v>272631920.44</v>
      </c>
      <c r="BB11" s="45">
        <f>AM11/AN11</f>
        <v>3672545247.62368</v>
      </c>
      <c r="BC11" s="46">
        <f>AM11*(1+AO11)/(AN11-AO11)</f>
        <v>8088088443.40708</v>
      </c>
      <c r="BD11" s="46">
        <f>AM11*(1+AP11)/(1+AN11)+AM11*(1+AP11)^2/(1+AN11)^2+AM11*(1+AP11)^3/(1+AN11)^3+AM11*(1+AP11)^3*(1+AO11)/(1+AN11)^4/(AN11-AO11)</f>
        <v>11201179864.2188</v>
      </c>
      <c r="BE11" s="46">
        <f>AM11*(1+AP11)/(1+AN11)+AM11*(1+AP11)^2/(1+AN11)^2+AM11*(1+AP11)^3/(1+AN11)^3+AM11*(1+AP11)^4/(1+AN11)^4+AM11*(1+AP11)^5/(1+AN11)^5+AM11*(1+AP11)^5*(1+AO11)/(1+AN11)^6/(AN11-AO11)</f>
        <v>14354204042.2797</v>
      </c>
      <c r="BF11" s="65"/>
      <c r="BG11" s="62">
        <f>$AZ11+$BA11+BB11</f>
        <v>5786692305.41368</v>
      </c>
      <c r="BH11" s="62">
        <f>$AZ11+$BA11+BC11</f>
        <v>10202235501.1971</v>
      </c>
      <c r="BI11" s="62">
        <f>$AZ11+$BA11+BD11</f>
        <v>13315326922.0088</v>
      </c>
      <c r="BJ11" s="62">
        <f>$AZ11+$BA11+BE11</f>
        <v>16468351100.0697</v>
      </c>
      <c r="BK11" s="62">
        <f>$AZ11+$BA11+BF11</f>
        <v>2114147057.79</v>
      </c>
      <c r="BL11" s="64">
        <f>C11-D11</f>
        <v>1252157377.5</v>
      </c>
      <c r="BM11" s="62">
        <f>BG11-$BL11</f>
        <v>4534534927.91368</v>
      </c>
      <c r="BN11" s="62">
        <f>BH11-$BL11</f>
        <v>8950078123.69708</v>
      </c>
      <c r="BO11" s="62">
        <f>BI11-$BL11</f>
        <v>12063169544.5088</v>
      </c>
      <c r="BP11" s="62">
        <f>BJ11-$BL11</f>
        <v>15216193722.5697</v>
      </c>
      <c r="BQ11" s="62">
        <f>BK11-$BL11</f>
        <v>861989680.29</v>
      </c>
      <c r="BR11" s="62">
        <f>BM11*(1-$E11/$D11)</f>
        <v>4462787333.95287</v>
      </c>
      <c r="BS11" s="62">
        <f>BN11*(1-$E11/$D11)</f>
        <v>8808465680.22825</v>
      </c>
      <c r="BT11" s="62">
        <f>BO11*(1-$E11/$D11)</f>
        <v>11872300270.3453</v>
      </c>
      <c r="BU11" s="62">
        <f>BP11*(1-$E11/$D11)</f>
        <v>14975435782.408</v>
      </c>
      <c r="BV11" s="62">
        <f>BQ11*(1-$E11/$D11)</f>
        <v>848350864.719488</v>
      </c>
      <c r="BW11" s="59">
        <v>405950150</v>
      </c>
      <c r="BX11" s="70">
        <f>BR11/$BW11</f>
        <v>10.9934368393579</v>
      </c>
      <c r="BY11" s="70">
        <f>BS11/$BW11</f>
        <v>21.6983924755989</v>
      </c>
      <c r="BZ11" s="70">
        <f>BT11/$BW11</f>
        <v>29.2457097758071</v>
      </c>
      <c r="CA11" s="70">
        <f>BU11/$BW11</f>
        <v>36.8898392632888</v>
      </c>
      <c r="CB11" s="70">
        <f>BV11/$BW11</f>
        <v>2.08979074085694</v>
      </c>
    </row>
    <row r="12" spans="1:80">
      <c r="A12" s="43">
        <v>2021</v>
      </c>
      <c r="B12" s="43" t="s">
        <v>62</v>
      </c>
      <c r="C12" s="42">
        <v>55127388384.03</v>
      </c>
      <c r="D12" s="42">
        <v>38757462615.81</v>
      </c>
      <c r="E12" s="42">
        <v>265952985.21</v>
      </c>
      <c r="F12" s="45">
        <v>68113113.6</v>
      </c>
      <c r="G12" s="45">
        <v>60219890.71</v>
      </c>
      <c r="H12" s="45">
        <v>139234655.8</v>
      </c>
      <c r="I12" s="45">
        <v>8207817.42</v>
      </c>
      <c r="J12" s="45">
        <f>F12+G12+H12+I12</f>
        <v>275775477.53</v>
      </c>
      <c r="K12" s="45">
        <v>1230010900</v>
      </c>
      <c r="L12" s="45">
        <v>16507997</v>
      </c>
      <c r="M12" s="45">
        <v>858612.35</v>
      </c>
      <c r="N12" s="45"/>
      <c r="O12" s="45">
        <v>2454568919.68</v>
      </c>
      <c r="P12" s="45">
        <v>177436405.49</v>
      </c>
      <c r="Q12" s="45"/>
      <c r="R12" s="42">
        <v>1819028586.29</v>
      </c>
      <c r="S12" s="43"/>
      <c r="T12" s="42">
        <v>1067102918.35</v>
      </c>
      <c r="U12" s="42">
        <v>2261479950</v>
      </c>
      <c r="V12" s="43"/>
      <c r="W12" s="42">
        <v>3651608.46</v>
      </c>
      <c r="X12" s="43"/>
      <c r="Y12" s="42">
        <v>3289192625.17</v>
      </c>
      <c r="Z12" s="42">
        <v>396423607.05</v>
      </c>
      <c r="AA12" s="43"/>
      <c r="AB12" s="42">
        <v>607140031.37</v>
      </c>
      <c r="AC12" s="43"/>
      <c r="AD12" s="42">
        <v>1018978731.37</v>
      </c>
      <c r="AE12" s="42">
        <f t="shared" si="0"/>
        <v>6765514339.16</v>
      </c>
      <c r="AF12" s="42">
        <f t="shared" si="1"/>
        <v>7576866553.42</v>
      </c>
      <c r="AG12" s="45">
        <f t="shared" si="2"/>
        <v>7171190446.29</v>
      </c>
      <c r="AH12" s="52">
        <f t="shared" si="3"/>
        <v>0.00949815990945243</v>
      </c>
      <c r="AI12" s="52">
        <f t="shared" si="4"/>
        <v>0.0384560247835381</v>
      </c>
      <c r="AJ12" s="53">
        <v>0.25</v>
      </c>
      <c r="AK12" s="53">
        <f t="shared" si="5"/>
        <v>0.296947238896633</v>
      </c>
      <c r="AL12" s="53">
        <f t="shared" si="6"/>
        <v>0.703052761103367</v>
      </c>
      <c r="AM12" s="59">
        <v>1402046451.92778</v>
      </c>
      <c r="AN12" s="53">
        <f t="shared" si="7"/>
        <v>0.0648087786720785</v>
      </c>
      <c r="AO12" s="53">
        <v>0.04</v>
      </c>
      <c r="AP12" s="53">
        <v>0.23</v>
      </c>
      <c r="AQ12" s="63"/>
      <c r="AR12" s="62">
        <v>8238772782.53</v>
      </c>
      <c r="AS12" s="63"/>
      <c r="AT12" s="64">
        <v>229142186.76</v>
      </c>
      <c r="AU12" s="62">
        <v>527288380.38</v>
      </c>
      <c r="AV12" s="64">
        <v>339579823.47</v>
      </c>
      <c r="AW12" s="63"/>
      <c r="AX12" s="63"/>
      <c r="AY12" s="62"/>
      <c r="AZ12" s="62">
        <f>SUM(AR12:AY12)+8714098195.97</f>
        <v>18048881369.11</v>
      </c>
      <c r="BA12" s="64">
        <v>678304556.75</v>
      </c>
      <c r="BB12" s="45">
        <f>AM12/AN12</f>
        <v>21633588545.4947</v>
      </c>
      <c r="BC12" s="46">
        <f>AM12*(1+AO12)/(AN12-AO12)</f>
        <v>58774691381.5619</v>
      </c>
      <c r="BD12" s="46">
        <f>AM12*(1+AP12)/(1+AN12)+AM12*(1+AP12)^2/(1+AN12)^2+AM12*(1+AP12)^3/(1+AN12)^3+AM12*(1+AP12)^3*(1+AO12)/(1+AN12)^4/(AN12-AO12)</f>
        <v>90729782373.1699</v>
      </c>
      <c r="BE12" s="46">
        <f>AM12*(1+AP12)/(1+AN12)+AM12*(1+AP12)^2/(1+AN12)^2+AM12*(1+AP12)^3/(1+AN12)^3+AM12*(1+AP12)^4/(1+AN12)^4+AM12*(1+AP12)^5/(1+AN12)^5+AM12*(1+AP12)^5*(1+AO12)/(1+AN12)^6/(AN12-AO12)</f>
        <v>124554873714.034</v>
      </c>
      <c r="BF12" s="65"/>
      <c r="BG12" s="62">
        <f>$AZ12+$BA12+BB12</f>
        <v>40360774471.3547</v>
      </c>
      <c r="BH12" s="62">
        <f>$AZ12+$BA12+BC12</f>
        <v>77501877307.4219</v>
      </c>
      <c r="BI12" s="62">
        <f>$AZ12+$BA12+BD12</f>
        <v>109456968299.03</v>
      </c>
      <c r="BJ12" s="62">
        <f>$AZ12+$BA12+BE12</f>
        <v>143282059639.894</v>
      </c>
      <c r="BK12" s="62">
        <f>$AZ12+$BA12+BF12</f>
        <v>18727185925.86</v>
      </c>
      <c r="BL12" s="64">
        <f>C12-D12</f>
        <v>16369925768.22</v>
      </c>
      <c r="BM12" s="62">
        <f>BG12-$BL12</f>
        <v>23990848703.1347</v>
      </c>
      <c r="BN12" s="62">
        <f>BH12-$BL12</f>
        <v>61131951539.2019</v>
      </c>
      <c r="BO12" s="62">
        <f>BI12-$BL12</f>
        <v>93087042530.8099</v>
      </c>
      <c r="BP12" s="62">
        <f>BJ12-$BL12</f>
        <v>126912133871.674</v>
      </c>
      <c r="BQ12" s="62">
        <f>BK12-$BL12</f>
        <v>2357260157.64</v>
      </c>
      <c r="BR12" s="62">
        <f>BM12*(1-$E12/$D12)</f>
        <v>23826223947.0311</v>
      </c>
      <c r="BS12" s="62">
        <f>BN12*(1-$E12/$D12)</f>
        <v>60712465228.5338</v>
      </c>
      <c r="BT12" s="62">
        <f>BO12*(1-$E12/$D12)</f>
        <v>92448280982.0769</v>
      </c>
      <c r="BU12" s="62">
        <f>BP12*(1-$E12/$D12)</f>
        <v>126041265177.376</v>
      </c>
      <c r="BV12" s="62">
        <f>BQ12*(1-$E12/$D12)</f>
        <v>2341084682.42751</v>
      </c>
      <c r="BW12" s="59">
        <v>2955826899</v>
      </c>
      <c r="BX12" s="70">
        <f>BR12/$BW12</f>
        <v>8.06076430087699</v>
      </c>
      <c r="BY12" s="70">
        <f>BS12/$BW12</f>
        <v>20.5399258153695</v>
      </c>
      <c r="BZ12" s="70">
        <f>BT12/$BW12</f>
        <v>31.2766221233569</v>
      </c>
      <c r="CA12" s="70">
        <f>BU12/$BW12</f>
        <v>42.6416260099728</v>
      </c>
      <c r="CB12" s="70">
        <f>BV12/$BW12</f>
        <v>0.792023607072368</v>
      </c>
    </row>
    <row r="13" spans="1:80">
      <c r="A13" s="43">
        <v>2021</v>
      </c>
      <c r="B13" s="43" t="s">
        <v>63</v>
      </c>
      <c r="C13" s="43"/>
      <c r="D13" s="43"/>
      <c r="E13" s="43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2">
        <f t="shared" si="0"/>
        <v>0</v>
      </c>
      <c r="AF13" s="42">
        <f t="shared" si="1"/>
        <v>0</v>
      </c>
      <c r="AG13" s="45">
        <f t="shared" si="2"/>
        <v>0</v>
      </c>
      <c r="AH13" s="52" t="e">
        <f t="shared" si="3"/>
        <v>#DIV/0!</v>
      </c>
      <c r="AI13" s="52" t="e">
        <f t="shared" si="4"/>
        <v>#DIV/0!</v>
      </c>
      <c r="AJ13" s="53">
        <v>0.25</v>
      </c>
      <c r="AK13" s="53" t="e">
        <f t="shared" si="5"/>
        <v>#DIV/0!</v>
      </c>
      <c r="AL13" s="53" t="e">
        <f t="shared" si="6"/>
        <v>#DIV/0!</v>
      </c>
      <c r="AM13" s="59"/>
      <c r="AN13" s="53" t="e">
        <f t="shared" si="7"/>
        <v>#DIV/0!</v>
      </c>
      <c r="AO13" s="53">
        <v>0.04</v>
      </c>
      <c r="AP13" s="53">
        <v>0.74</v>
      </c>
      <c r="AQ13" s="63"/>
      <c r="AR13" s="62"/>
      <c r="AS13" s="63"/>
      <c r="AT13" s="63"/>
      <c r="AU13" s="62"/>
      <c r="AV13" s="63"/>
      <c r="AW13" s="63"/>
      <c r="AX13" s="63"/>
      <c r="AY13" s="62"/>
      <c r="AZ13" s="62"/>
      <c r="BA13" s="63"/>
      <c r="BB13" s="45"/>
      <c r="BC13" s="46"/>
      <c r="BD13" s="46"/>
      <c r="BE13" s="46"/>
      <c r="BF13" s="65"/>
      <c r="BG13" s="62"/>
      <c r="BH13" s="62"/>
      <c r="BI13" s="62"/>
      <c r="BJ13" s="62"/>
      <c r="BK13" s="62"/>
      <c r="BL13" s="63"/>
      <c r="BM13" s="62"/>
      <c r="BN13" s="62"/>
      <c r="BO13" s="62"/>
      <c r="BP13" s="62"/>
      <c r="BQ13" s="62"/>
      <c r="BR13" s="62"/>
      <c r="BS13" s="62"/>
      <c r="BT13" s="62"/>
      <c r="BU13" s="62"/>
      <c r="BV13" s="62"/>
      <c r="BW13" s="59"/>
      <c r="BX13" s="70"/>
      <c r="BY13" s="70"/>
      <c r="BZ13" s="70"/>
      <c r="CA13" s="70"/>
      <c r="CB13" s="70"/>
    </row>
    <row r="14" spans="1:80">
      <c r="A14" s="43">
        <v>2021</v>
      </c>
      <c r="B14" s="43" t="s">
        <v>64</v>
      </c>
      <c r="C14" s="43"/>
      <c r="D14" s="43"/>
      <c r="E14" s="43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3"/>
      <c r="AC14" s="43"/>
      <c r="AD14" s="43"/>
      <c r="AE14" s="42">
        <f t="shared" si="0"/>
        <v>0</v>
      </c>
      <c r="AF14" s="42">
        <f t="shared" si="1"/>
        <v>0</v>
      </c>
      <c r="AG14" s="45">
        <f t="shared" si="2"/>
        <v>0</v>
      </c>
      <c r="AH14" s="52" t="e">
        <f t="shared" si="3"/>
        <v>#DIV/0!</v>
      </c>
      <c r="AI14" s="52" t="e">
        <f t="shared" si="4"/>
        <v>#DIV/0!</v>
      </c>
      <c r="AJ14" s="53">
        <v>0.25</v>
      </c>
      <c r="AK14" s="53" t="e">
        <f t="shared" si="5"/>
        <v>#DIV/0!</v>
      </c>
      <c r="AL14" s="53" t="e">
        <f t="shared" si="6"/>
        <v>#DIV/0!</v>
      </c>
      <c r="AM14" s="59"/>
      <c r="AN14" s="53" t="e">
        <f t="shared" si="7"/>
        <v>#DIV/0!</v>
      </c>
      <c r="AO14" s="53">
        <v>0.04</v>
      </c>
      <c r="AP14" s="53">
        <v>0.15</v>
      </c>
      <c r="AQ14" s="63"/>
      <c r="AR14" s="62"/>
      <c r="AS14" s="63"/>
      <c r="AT14" s="63"/>
      <c r="AU14" s="62"/>
      <c r="AV14" s="63"/>
      <c r="AW14" s="63"/>
      <c r="AX14" s="63"/>
      <c r="AY14" s="62"/>
      <c r="AZ14" s="62"/>
      <c r="BA14" s="63"/>
      <c r="BB14" s="45"/>
      <c r="BC14" s="46"/>
      <c r="BD14" s="46"/>
      <c r="BE14" s="46"/>
      <c r="BF14" s="65"/>
      <c r="BG14" s="62"/>
      <c r="BH14" s="62"/>
      <c r="BI14" s="62"/>
      <c r="BJ14" s="62"/>
      <c r="BK14" s="62"/>
      <c r="BL14" s="63"/>
      <c r="BM14" s="62"/>
      <c r="BN14" s="62"/>
      <c r="BO14" s="62"/>
      <c r="BP14" s="62"/>
      <c r="BQ14" s="62"/>
      <c r="BR14" s="62"/>
      <c r="BS14" s="62"/>
      <c r="BT14" s="62"/>
      <c r="BU14" s="62"/>
      <c r="BV14" s="62"/>
      <c r="BW14" s="59"/>
      <c r="BX14" s="70"/>
      <c r="BY14" s="70"/>
      <c r="BZ14" s="70"/>
      <c r="CA14" s="70"/>
      <c r="CB14" s="70"/>
    </row>
  </sheetData>
  <mergeCells count="39">
    <mergeCell ref="K1:T1"/>
    <mergeCell ref="U1:AD1"/>
    <mergeCell ref="AO1:AQ1"/>
    <mergeCell ref="BB1:BF1"/>
    <mergeCell ref="BG1:BK1"/>
    <mergeCell ref="BM1:BQ1"/>
    <mergeCell ref="BR1:BV1"/>
    <mergeCell ref="BX1:CB1"/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AE1:AE2"/>
    <mergeCell ref="AF1:AF2"/>
    <mergeCell ref="AG1:AG2"/>
    <mergeCell ref="AJ1:AJ2"/>
    <mergeCell ref="AK1:AK2"/>
    <mergeCell ref="AL1:AL2"/>
    <mergeCell ref="AM1:AM2"/>
    <mergeCell ref="AN1:AN2"/>
    <mergeCell ref="AR1:AR2"/>
    <mergeCell ref="AS1:AS2"/>
    <mergeCell ref="AT1:AT2"/>
    <mergeCell ref="AU1:AU2"/>
    <mergeCell ref="AV1:AV2"/>
    <mergeCell ref="AW1:AW2"/>
    <mergeCell ref="AX1:AX2"/>
    <mergeCell ref="AY1:AY2"/>
    <mergeCell ref="AZ1:AZ2"/>
    <mergeCell ref="BA1:BA2"/>
    <mergeCell ref="BL1:BL2"/>
    <mergeCell ref="BW1:BW2"/>
    <mergeCell ref="AH1:AI2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L164"/>
  <sheetViews>
    <sheetView workbookViewId="0">
      <pane xSplit="2" ySplit="1" topLeftCell="C151" activePane="bottomRight" state="frozen"/>
      <selection/>
      <selection pane="topRight"/>
      <selection pane="bottomLeft"/>
      <selection pane="bottomRight" activeCell="B165" sqref="B165"/>
    </sheetView>
  </sheetViews>
  <sheetFormatPr defaultColWidth="8.88461538461539" defaultRowHeight="16.8"/>
  <cols>
    <col min="1" max="1" width="18.2211538461538" style="1" customWidth="1"/>
    <col min="2" max="2" width="32.1153846153846" style="1" customWidth="1"/>
    <col min="3" max="3" width="19.7788461538462" style="1"/>
    <col min="4" max="4" width="24.2211538461538" style="10"/>
    <col min="5" max="5" width="17.1153846153846" style="4" customWidth="1"/>
    <col min="6" max="6" width="23.1153846153846" style="10" customWidth="1"/>
    <col min="7" max="7" width="19.7788461538462" style="10" customWidth="1"/>
    <col min="8" max="8" width="20.8846153846154" style="10" customWidth="1"/>
    <col min="9" max="9" width="22.1153846153846" style="1" customWidth="1"/>
    <col min="10" max="14" width="20.8846153846154" style="1" customWidth="1"/>
    <col min="15" max="15" width="20.8846153846154" style="10"/>
    <col min="16" max="17" width="12.8846153846154" style="4"/>
    <col min="18" max="20" width="20.8846153846154" style="10"/>
    <col min="21" max="23" width="23.1153846153846" style="10"/>
    <col min="24" max="24" width="32.1153846153846" style="10" customWidth="1"/>
    <col min="25" max="26" width="23.1153846153846" style="10"/>
    <col min="27" max="27" width="13" style="10"/>
    <col min="28" max="28" width="32.1153846153846" style="10" customWidth="1"/>
    <col min="29" max="29" width="24.2211538461538" style="10" customWidth="1"/>
    <col min="30" max="30" width="23.1153846153846" style="10" customWidth="1"/>
    <col min="31" max="31" width="20.8846153846154" style="4" customWidth="1"/>
    <col min="32" max="32" width="14.1153846153846" style="1" customWidth="1"/>
    <col min="33" max="33" width="16.4423076923077" style="11" customWidth="1"/>
    <col min="34" max="34" width="20.8846153846154" style="10" customWidth="1"/>
    <col min="35" max="35" width="16.4423076923077" style="1" customWidth="1"/>
    <col min="36" max="38" width="23.1153846153846" style="1" customWidth="1"/>
    <col min="39" max="39" width="20.8846153846154" style="1" customWidth="1"/>
    <col min="40" max="40" width="9.66346153846154" style="4" customWidth="1"/>
    <col min="41" max="41" width="11.8846153846154" style="4" customWidth="1"/>
    <col min="42" max="42" width="24.2211538461538" style="10" customWidth="1"/>
    <col min="43" max="43" width="27.6634615384615" style="10" customWidth="1"/>
    <col min="44" max="44" width="32.1153846153846" style="10" customWidth="1"/>
    <col min="45" max="45" width="34.4423076923077" style="10" customWidth="1"/>
    <col min="46" max="46" width="25.4423076923077" style="10" customWidth="1"/>
    <col min="47" max="47" width="20.8846153846154" style="10" customWidth="1"/>
    <col min="48" max="49" width="23.1153846153846" style="1" customWidth="1"/>
    <col min="50" max="50" width="24.2211538461538" style="10" customWidth="1"/>
    <col min="51" max="52" width="27.6634615384615" style="10" customWidth="1"/>
    <col min="53" max="53" width="28.7788461538462" style="10" customWidth="1"/>
    <col min="54" max="56" width="24.2211538461538" style="10"/>
    <col min="57" max="57" width="24.2211538461538" style="10" customWidth="1"/>
    <col min="58" max="59" width="27.6634615384615" style="10" customWidth="1"/>
    <col min="60" max="60" width="24.2211538461538" style="10" customWidth="1"/>
    <col min="61" max="61" width="18.6634615384615" style="12" customWidth="1"/>
    <col min="62" max="62" width="20.8846153846154" style="12" customWidth="1"/>
    <col min="63" max="63" width="25.4423076923077" style="12" customWidth="1"/>
    <col min="64" max="64" width="27.3076923076923" style="12" customWidth="1"/>
  </cols>
  <sheetData>
    <row r="1" spans="1:64">
      <c r="A1" s="1" t="s">
        <v>0</v>
      </c>
      <c r="B1" s="1" t="s">
        <v>1</v>
      </c>
      <c r="C1" s="1" t="s">
        <v>65</v>
      </c>
      <c r="D1" s="10" t="s">
        <v>2</v>
      </c>
      <c r="E1" s="4" t="s">
        <v>66</v>
      </c>
      <c r="F1" s="10" t="s">
        <v>67</v>
      </c>
      <c r="G1" s="10" t="s">
        <v>68</v>
      </c>
      <c r="H1" s="10" t="s">
        <v>69</v>
      </c>
      <c r="I1" s="1" t="s">
        <v>70</v>
      </c>
      <c r="J1" s="1" t="s">
        <v>71</v>
      </c>
      <c r="K1" s="1" t="s">
        <v>72</v>
      </c>
      <c r="L1" s="1" t="s">
        <v>73</v>
      </c>
      <c r="M1" s="1" t="s">
        <v>74</v>
      </c>
      <c r="N1" s="1" t="s">
        <v>75</v>
      </c>
      <c r="O1" s="10" t="s">
        <v>76</v>
      </c>
      <c r="P1" s="4" t="s">
        <v>16</v>
      </c>
      <c r="Q1" s="4" t="s">
        <v>17</v>
      </c>
      <c r="R1" s="10" t="s">
        <v>5</v>
      </c>
      <c r="S1" s="10" t="s">
        <v>7</v>
      </c>
      <c r="T1" s="10" t="s">
        <v>8</v>
      </c>
      <c r="U1" s="10" t="s">
        <v>77</v>
      </c>
      <c r="V1" s="10" t="s">
        <v>78</v>
      </c>
      <c r="W1" s="10" t="s">
        <v>79</v>
      </c>
      <c r="X1" s="10" t="s">
        <v>80</v>
      </c>
      <c r="Y1" s="10" t="s">
        <v>81</v>
      </c>
      <c r="Z1" s="10" t="s">
        <v>82</v>
      </c>
      <c r="AA1" s="10" t="s">
        <v>83</v>
      </c>
      <c r="AB1" s="10" t="s">
        <v>84</v>
      </c>
      <c r="AC1" s="10" t="s">
        <v>85</v>
      </c>
      <c r="AD1" s="10" t="s">
        <v>86</v>
      </c>
      <c r="AE1" s="4" t="s">
        <v>14</v>
      </c>
      <c r="AF1" s="1" t="s">
        <v>87</v>
      </c>
      <c r="AG1" s="11" t="s">
        <v>19</v>
      </c>
      <c r="AH1" s="10" t="s">
        <v>88</v>
      </c>
      <c r="AI1" s="1" t="s">
        <v>89</v>
      </c>
      <c r="AJ1" s="1" t="s">
        <v>90</v>
      </c>
      <c r="AK1" s="1" t="s">
        <v>91</v>
      </c>
      <c r="AL1" s="1" t="s">
        <v>92</v>
      </c>
      <c r="AM1" s="1" t="s">
        <v>93</v>
      </c>
      <c r="AN1" s="4" t="s">
        <v>94</v>
      </c>
      <c r="AO1" s="4" t="s">
        <v>95</v>
      </c>
      <c r="AP1" s="24" t="s">
        <v>96</v>
      </c>
      <c r="AQ1" s="25" t="s">
        <v>97</v>
      </c>
      <c r="AR1" s="26" t="s">
        <v>98</v>
      </c>
      <c r="AS1" s="27" t="s">
        <v>99</v>
      </c>
      <c r="AT1" s="10" t="s">
        <v>100</v>
      </c>
      <c r="AU1" s="10" t="s">
        <v>29</v>
      </c>
      <c r="AV1" s="1" t="s">
        <v>101</v>
      </c>
      <c r="AW1" s="1" t="s">
        <v>102</v>
      </c>
      <c r="AX1" s="10" t="s">
        <v>103</v>
      </c>
      <c r="AY1" s="10" t="s">
        <v>104</v>
      </c>
      <c r="AZ1" s="26" t="s">
        <v>105</v>
      </c>
      <c r="BA1" s="27" t="s">
        <v>106</v>
      </c>
      <c r="BB1" s="32" t="s">
        <v>4</v>
      </c>
      <c r="BC1" s="32" t="s">
        <v>107</v>
      </c>
      <c r="BD1" s="10" t="s">
        <v>108</v>
      </c>
      <c r="BE1" s="10" t="s">
        <v>109</v>
      </c>
      <c r="BF1" s="26" t="s">
        <v>110</v>
      </c>
      <c r="BG1" s="27" t="s">
        <v>111</v>
      </c>
      <c r="BI1" s="12" t="s">
        <v>112</v>
      </c>
      <c r="BJ1" s="12" t="s">
        <v>113</v>
      </c>
      <c r="BK1" s="33" t="s">
        <v>114</v>
      </c>
      <c r="BL1" s="34" t="s">
        <v>115</v>
      </c>
    </row>
    <row r="2" spans="1:39">
      <c r="A2" s="1">
        <v>2000</v>
      </c>
      <c r="B2" s="1" t="s">
        <v>116</v>
      </c>
      <c r="AJ2" s="2"/>
      <c r="AK2" s="2"/>
      <c r="AL2" s="2"/>
      <c r="AM2" s="2"/>
    </row>
    <row r="3" spans="1:3">
      <c r="A3" s="1">
        <v>2007</v>
      </c>
      <c r="B3" s="1" t="s">
        <v>117</v>
      </c>
      <c r="C3" s="2"/>
    </row>
    <row r="4" spans="1:3">
      <c r="A4" s="1">
        <v>2013</v>
      </c>
      <c r="B4" s="1" t="s">
        <v>117</v>
      </c>
      <c r="C4" s="2"/>
    </row>
    <row r="5" spans="1:3">
      <c r="A5" s="1">
        <v>2014</v>
      </c>
      <c r="B5" s="1" t="s">
        <v>117</v>
      </c>
      <c r="C5" s="2"/>
    </row>
    <row r="6" spans="1:39">
      <c r="A6" s="1">
        <v>2015</v>
      </c>
      <c r="B6" s="1" t="s">
        <v>117</v>
      </c>
      <c r="C6" s="2"/>
      <c r="K6" s="1">
        <v>0.69</v>
      </c>
      <c r="AJ6" s="2">
        <v>46358999.46</v>
      </c>
      <c r="AK6" s="2"/>
      <c r="AL6" s="2"/>
      <c r="AM6" s="2"/>
    </row>
    <row r="7" spans="1:39">
      <c r="A7" s="1">
        <v>2016</v>
      </c>
      <c r="B7" s="1" t="s">
        <v>117</v>
      </c>
      <c r="C7" s="2">
        <v>395710676.7</v>
      </c>
      <c r="D7" s="10">
        <v>3465137056.29</v>
      </c>
      <c r="E7" s="4">
        <f t="shared" ref="E7:E12" si="0">C7/D7</f>
        <v>0.114197698466702</v>
      </c>
      <c r="F7" s="10">
        <v>220748033.9</v>
      </c>
      <c r="H7" s="10">
        <f t="shared" ref="H7:H12" si="1">D7*E7</f>
        <v>395710676.700001</v>
      </c>
      <c r="I7" s="1">
        <v>7.43</v>
      </c>
      <c r="J7" s="1">
        <v>8.54</v>
      </c>
      <c r="K7" s="1">
        <v>0.7</v>
      </c>
      <c r="P7" s="4">
        <f>C7/D7</f>
        <v>0.114197698466702</v>
      </c>
      <c r="Q7" s="4">
        <f>1-P7</f>
        <v>0.885802301533298</v>
      </c>
      <c r="AE7" s="4" t="e">
        <f>R7/(AC7+AD7)/2</f>
        <v>#DIV/0!</v>
      </c>
      <c r="AF7" s="1">
        <v>0.25</v>
      </c>
      <c r="AG7" s="11" t="e">
        <f>AE7*P7*(1-AF7)+0.09*Q7</f>
        <v>#DIV/0!</v>
      </c>
      <c r="AJ7" s="2">
        <v>235292031.61</v>
      </c>
      <c r="AK7" s="2"/>
      <c r="AL7" s="2"/>
      <c r="AM7" s="2">
        <f t="shared" ref="AM7:AM12" si="2">(AJ7-AJ6)/AJ6</f>
        <v>4.07543377447172</v>
      </c>
    </row>
    <row r="8" spans="1:64">
      <c r="A8" s="1">
        <v>2017</v>
      </c>
      <c r="B8" s="1" t="s">
        <v>117</v>
      </c>
      <c r="C8" s="2">
        <v>588460089.51</v>
      </c>
      <c r="D8" s="10">
        <v>3961997765.46</v>
      </c>
      <c r="E8" s="4">
        <f t="shared" si="0"/>
        <v>0.148526103331024</v>
      </c>
      <c r="H8" s="10">
        <f t="shared" si="1"/>
        <v>588460089.509998</v>
      </c>
      <c r="I8" s="1">
        <v>9.83</v>
      </c>
      <c r="J8" s="1">
        <v>10.96</v>
      </c>
      <c r="K8" s="1">
        <v>0.98</v>
      </c>
      <c r="AG8" s="11">
        <f>AE8*P8*(1-0.25)+0.09*Q8</f>
        <v>0</v>
      </c>
      <c r="AJ8" s="2">
        <v>322464767.29</v>
      </c>
      <c r="AK8" s="2"/>
      <c r="AL8" s="2"/>
      <c r="AM8" s="2">
        <f t="shared" si="2"/>
        <v>0.370487411254496</v>
      </c>
      <c r="AN8" s="4">
        <v>0.01</v>
      </c>
      <c r="AO8" s="20">
        <v>0.05</v>
      </c>
      <c r="AP8" s="10" t="e">
        <f>AJ8/AG8</f>
        <v>#DIV/0!</v>
      </c>
      <c r="AQ8" s="10">
        <f>AJ8*(1+AN8)/(AG8-AN8)</f>
        <v>-32568941496.29</v>
      </c>
      <c r="AU8" s="10">
        <f>365630391.43+689864.95+964267182.05+81541383.68+12010734.87</f>
        <v>1424139556.98</v>
      </c>
      <c r="AV8" s="2">
        <v>442102317.87</v>
      </c>
      <c r="AW8" s="28">
        <v>360000000</v>
      </c>
      <c r="AX8" s="10" t="e">
        <f>AP8+AU8+AV8</f>
        <v>#DIV/0!</v>
      </c>
      <c r="AY8" s="10">
        <f>AQ8+AU8+AV8</f>
        <v>-30702699621.44</v>
      </c>
      <c r="BA8" s="10">
        <f>AS8+AU8+AV8</f>
        <v>1866241874.85</v>
      </c>
      <c r="BD8" s="10" t="e">
        <f>AX8*(1-E8)</f>
        <v>#DIV/0!</v>
      </c>
      <c r="BE8" s="10">
        <f>AY8*(1-E8)</f>
        <v>-26142547284.9246</v>
      </c>
      <c r="BG8" s="10">
        <f>BA8*(1-E8)</f>
        <v>1589056241.30534</v>
      </c>
      <c r="BI8" s="12" t="e">
        <f>BD8/AW8</f>
        <v>#DIV/0!</v>
      </c>
      <c r="BJ8" s="12">
        <f>BE8/AW8</f>
        <v>-72.6181869025684</v>
      </c>
      <c r="BL8" s="12">
        <f>BG8/AW8</f>
        <v>4.41404511473707</v>
      </c>
    </row>
    <row r="9" spans="1:64">
      <c r="A9" s="1">
        <v>2018</v>
      </c>
      <c r="B9" s="1" t="s">
        <v>117</v>
      </c>
      <c r="C9" s="2">
        <v>929680667.61</v>
      </c>
      <c r="D9" s="10">
        <v>4344057084.58</v>
      </c>
      <c r="E9" s="4">
        <f t="shared" si="0"/>
        <v>0.21401207431414</v>
      </c>
      <c r="F9" s="16">
        <v>387296112.91</v>
      </c>
      <c r="H9" s="10">
        <f t="shared" si="1"/>
        <v>929680667.610001</v>
      </c>
      <c r="I9" s="1">
        <v>9.13</v>
      </c>
      <c r="J9" s="1">
        <v>11.53</v>
      </c>
      <c r="K9" s="1">
        <v>1.08</v>
      </c>
      <c r="AG9" s="11">
        <v>0.0642</v>
      </c>
      <c r="AJ9" s="2">
        <v>506730134.35</v>
      </c>
      <c r="AK9" s="16">
        <v>387296112.91</v>
      </c>
      <c r="AL9" s="2"/>
      <c r="AM9" s="2">
        <f t="shared" si="2"/>
        <v>0.57142790701933</v>
      </c>
      <c r="AN9" s="20">
        <v>0.0894</v>
      </c>
      <c r="AO9" s="4">
        <v>0.05</v>
      </c>
      <c r="AP9" s="10">
        <f>AK9/AG9</f>
        <v>6032649733.80062</v>
      </c>
      <c r="AQ9" s="10">
        <f>AK9*(1+AO9)/(AG9-AO9)</f>
        <v>28638092856.0211</v>
      </c>
      <c r="AR9" s="10">
        <f>(AK9*(1+AN9))/(1+AG9)+(AK9*(1+AN9)^2)/(1+AG9)^2+(AK9*(1+AN9)^3)/(1+AG9)^3+AK9*(1+AN9)^3*(1+AO9)/(AG9-AO9)*(1+AG9)^3</f>
        <v>45842556446.2431</v>
      </c>
      <c r="AS9" s="10">
        <f>(AK9*(1+AN9))/(1+AG9)+(AK9*(1+AN9)^2)/(1+AG9)^2+(AK9*(1+AN9)^3)/(1+AG9)^3+(AK9*(1+AN9)^4)/(1+AG9)^4+(AK9*(1+AN9)^5)/(1+AG9)^5+AK9*(1+AN9)^5*(1+AO9)/(AG9-AO9)*(1+AG9)^5</f>
        <v>62057191759.6006</v>
      </c>
      <c r="AW9" s="2">
        <v>405950150</v>
      </c>
      <c r="AX9" s="10">
        <f>AP9+AU9+AV9</f>
        <v>6032649733.80062</v>
      </c>
      <c r="AY9" s="10">
        <f>AQ9+AU9+AV9</f>
        <v>28638092856.0211</v>
      </c>
      <c r="AZ9" s="10">
        <f>AR9+AU9+AV9</f>
        <v>45842556446.2431</v>
      </c>
      <c r="BA9" s="10">
        <f>AS9+AU9+AV9</f>
        <v>62057191759.6006</v>
      </c>
      <c r="BD9" s="10">
        <f>AX9*(1-BC9)</f>
        <v>6032649733.80062</v>
      </c>
      <c r="BE9" s="10">
        <f>AY9*(1-BC9)</f>
        <v>28638092856.0211</v>
      </c>
      <c r="BF9" s="10">
        <f>AZ9*(1-BC9)</f>
        <v>45842556446.2431</v>
      </c>
      <c r="BG9" s="10">
        <f>BA9*(1-BC9)</f>
        <v>62057191759.6006</v>
      </c>
      <c r="BI9" s="12">
        <f>BD9/AW9</f>
        <v>14.8605678155326</v>
      </c>
      <c r="BJ9" s="35">
        <f>BE9/AW9</f>
        <v>70.5458363693699</v>
      </c>
      <c r="BK9" s="35">
        <f>BF9/AW9</f>
        <v>112.926566097446</v>
      </c>
      <c r="BL9" s="12">
        <f>BG9/AW9</f>
        <v>152.868995761181</v>
      </c>
    </row>
    <row r="10" spans="1:39">
      <c r="A10" s="1">
        <v>2019</v>
      </c>
      <c r="B10" s="1" t="s">
        <v>118</v>
      </c>
      <c r="C10" s="2">
        <v>1085007826.8</v>
      </c>
      <c r="D10" s="10">
        <v>4542063538.36</v>
      </c>
      <c r="E10" s="4">
        <f t="shared" si="0"/>
        <v>0.238879931475323</v>
      </c>
      <c r="H10" s="10">
        <f t="shared" si="1"/>
        <v>1085007826.8</v>
      </c>
      <c r="I10" s="1">
        <v>4.79</v>
      </c>
      <c r="J10" s="1">
        <v>10.2</v>
      </c>
      <c r="K10" s="1">
        <v>0.95</v>
      </c>
      <c r="AJ10" s="2">
        <v>345222346.41</v>
      </c>
      <c r="AK10" s="2"/>
      <c r="AL10" s="2"/>
      <c r="AM10" s="2">
        <f t="shared" si="2"/>
        <v>-0.318725445738828</v>
      </c>
    </row>
    <row r="11" spans="1:49">
      <c r="A11" s="1">
        <v>2020</v>
      </c>
      <c r="B11" s="1" t="s">
        <v>118</v>
      </c>
      <c r="C11" s="2">
        <v>1267407527.03</v>
      </c>
      <c r="D11" s="10">
        <v>5361512338.96</v>
      </c>
      <c r="E11" s="4">
        <f t="shared" si="0"/>
        <v>0.236389930098687</v>
      </c>
      <c r="H11" s="10">
        <f t="shared" si="1"/>
        <v>1267407527.03</v>
      </c>
      <c r="I11" s="1">
        <v>5.2</v>
      </c>
      <c r="J11" s="1">
        <v>7.42</v>
      </c>
      <c r="K11" s="1">
        <v>0.72</v>
      </c>
      <c r="AH11" s="10">
        <f>128734252.79+1800416.49</f>
        <v>130534669.28</v>
      </c>
      <c r="AJ11" s="2">
        <v>549000414.88</v>
      </c>
      <c r="AK11" s="2">
        <f>AJ11-AH11-AI11</f>
        <v>418465745.6</v>
      </c>
      <c r="AL11" s="2"/>
      <c r="AM11" s="2">
        <f t="shared" si="2"/>
        <v>0.590280642574583</v>
      </c>
      <c r="AW11" s="29">
        <v>393738756</v>
      </c>
    </row>
    <row r="12" spans="1:64">
      <c r="A12" s="1">
        <v>2021</v>
      </c>
      <c r="B12" s="1" t="s">
        <v>118</v>
      </c>
      <c r="C12" s="2">
        <v>1252157377.5</v>
      </c>
      <c r="D12" s="10">
        <v>6369307875.78</v>
      </c>
      <c r="E12" s="4">
        <f t="shared" si="0"/>
        <v>0.196592377369834</v>
      </c>
      <c r="F12" s="10">
        <v>764407334.24</v>
      </c>
      <c r="H12" s="10">
        <f t="shared" si="1"/>
        <v>1252157377.5</v>
      </c>
      <c r="I12" s="1">
        <v>16.67</v>
      </c>
      <c r="J12" s="1">
        <v>19.34</v>
      </c>
      <c r="K12" s="1">
        <v>2.22</v>
      </c>
      <c r="N12" s="2"/>
      <c r="P12" s="4">
        <v>0.2</v>
      </c>
      <c r="Q12" s="4">
        <v>0.8</v>
      </c>
      <c r="R12" s="10">
        <v>80920.5732</v>
      </c>
      <c r="S12" s="10">
        <v>23508.6848</v>
      </c>
      <c r="T12" s="10">
        <v>12485.8878</v>
      </c>
      <c r="X12" s="10">
        <v>170845170.78</v>
      </c>
      <c r="Y12" s="10">
        <v>0</v>
      </c>
      <c r="Z12" s="10">
        <v>0</v>
      </c>
      <c r="AA12" s="10">
        <v>0</v>
      </c>
      <c r="AB12" s="10">
        <v>2016748.68</v>
      </c>
      <c r="AC12" s="10">
        <f>U12+V12+W12+X12</f>
        <v>170845170.78</v>
      </c>
      <c r="AD12" s="10">
        <f>Y12+Z12+AA12+AB12</f>
        <v>2016748.68</v>
      </c>
      <c r="AE12" s="4">
        <f>(R12)/((AC12+AD12)/2)</f>
        <v>0.000936245223387386</v>
      </c>
      <c r="AF12" s="1">
        <v>0.25</v>
      </c>
      <c r="AG12" s="11">
        <f>AE12*P12*(1-AF12)+0.08*Q12</f>
        <v>0.0641404367835081</v>
      </c>
      <c r="AH12" s="10">
        <v>155563386.44</v>
      </c>
      <c r="AJ12" s="2">
        <v>785652624.54</v>
      </c>
      <c r="AK12" s="2">
        <f>F12*0.7</f>
        <v>535085133.968</v>
      </c>
      <c r="AL12" s="2">
        <f>(AK12-AK11)/AK11</f>
        <v>0.278683236547331</v>
      </c>
      <c r="AM12" s="2">
        <f t="shared" si="2"/>
        <v>0.431060165431254</v>
      </c>
      <c r="AN12" s="21">
        <v>0.15</v>
      </c>
      <c r="AO12" s="4">
        <v>0.05</v>
      </c>
      <c r="AP12" s="10">
        <f>AK12/AG12</f>
        <v>8342399285.08847</v>
      </c>
      <c r="AQ12" s="10">
        <f>AK12*(1+AO12)/(AG12-AO12)</f>
        <v>39732817257.9273</v>
      </c>
      <c r="AR12" s="10">
        <f>(AK12*(1+AN12))/(1+AG12)+(AK12*(1+AN12)^2)/(1+AG12)^2+(AK12*(1+AN12)^3)/(1+AG12)^3+AK12*(1+AN12)^3*(1+AO12)/(AG12-AO12)*(1+AG12)^3</f>
        <v>74696671523.9032</v>
      </c>
      <c r="AS12" s="10">
        <f>(AK12*(1+AN12))/(1+AG12)+(AK12*(1+AN12)^2)/(1+AG12)^2+(AK12*(1+AN12)^3)/(1+AG12)^3+(AK12*(1+AN12)^4)/(1+AG12)^4+(AK12*(1+AN12)^5)/(1+AG12)^5+AK12*(1+AN12)^5*(1+AO12)/(AG12-AO12)*(1+AG12)^5</f>
        <v>112448957192.963</v>
      </c>
      <c r="AT12" s="10">
        <f>(AK12*(1+AN12))/(1+AG12)+(AK12*(1+AN12)^2)/(1+AG12)^2+(AK12*(1+AN12)^3)/(1+AG12)^3+AK12*(1+AO12)/(AG12-AO12)*(1+AG12)^3</f>
        <v>49757632620.2647</v>
      </c>
      <c r="AU12" s="10">
        <f>1829782947.1+424541.21+220933280.21+683863298.33+3113131.56</f>
        <v>2738117198.41</v>
      </c>
      <c r="AV12" s="2">
        <v>272631920.44</v>
      </c>
      <c r="AW12" s="2">
        <v>405950150</v>
      </c>
      <c r="AX12" s="10">
        <f>AP12+AU12+AV12</f>
        <v>11353148403.9385</v>
      </c>
      <c r="AY12" s="10">
        <f>AQ12+AU12+AV12</f>
        <v>42743566376.7773</v>
      </c>
      <c r="AZ12" s="10">
        <f>AR12+AU12+AV12</f>
        <v>77707420642.7532</v>
      </c>
      <c r="BA12" s="10">
        <f>AS12+AU12+AV12</f>
        <v>115459706311.813</v>
      </c>
      <c r="BD12" s="10">
        <f>AX12*(1-BC12)</f>
        <v>11353148403.9385</v>
      </c>
      <c r="BE12" s="10">
        <f>AY12*(1-E12)</f>
        <v>34340507045.5013</v>
      </c>
      <c r="BF12" s="10">
        <f>AZ12*(1-BC12)</f>
        <v>77707420642.7532</v>
      </c>
      <c r="BG12" s="10">
        <f>BA12*(1-BC12)</f>
        <v>115459706311.813</v>
      </c>
      <c r="BI12" s="12">
        <f>BD12/AW12</f>
        <v>27.9668535753429</v>
      </c>
      <c r="BJ12" s="35">
        <f>BE12/AW12</f>
        <v>84.5929162620123</v>
      </c>
      <c r="BK12" s="35">
        <f>BF12/AW12</f>
        <v>191.421091093951</v>
      </c>
      <c r="BL12" s="12">
        <f>BG12/AW12</f>
        <v>284.41843490343</v>
      </c>
    </row>
    <row r="13" s="9" customFormat="1" spans="1:64">
      <c r="A13" s="13" t="s">
        <v>119</v>
      </c>
      <c r="B13" s="13"/>
      <c r="C13" s="14"/>
      <c r="D13" s="15"/>
      <c r="E13" s="17"/>
      <c r="F13" s="15"/>
      <c r="G13" s="15"/>
      <c r="H13" s="15"/>
      <c r="I13" s="13"/>
      <c r="J13" s="13"/>
      <c r="K13" s="18">
        <f>AVERAGE(K6:K12)</f>
        <v>1.04857142857143</v>
      </c>
      <c r="L13" s="13"/>
      <c r="M13" s="13"/>
      <c r="N13" s="14"/>
      <c r="O13" s="15"/>
      <c r="P13" s="17"/>
      <c r="Q13" s="17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7"/>
      <c r="AF13" s="13"/>
      <c r="AG13" s="19"/>
      <c r="AH13" s="15"/>
      <c r="AI13" s="13"/>
      <c r="AJ13" s="14"/>
      <c r="AK13" s="14"/>
      <c r="AL13" s="14"/>
      <c r="AM13" s="14"/>
      <c r="AN13" s="17"/>
      <c r="AO13" s="17"/>
      <c r="AP13" s="15"/>
      <c r="AQ13" s="15"/>
      <c r="AR13" s="15"/>
      <c r="AS13" s="15"/>
      <c r="AT13" s="15"/>
      <c r="AU13" s="15"/>
      <c r="AV13" s="14"/>
      <c r="AW13" s="14"/>
      <c r="AX13" s="15"/>
      <c r="AY13" s="15"/>
      <c r="AZ13" s="15"/>
      <c r="BA13" s="15"/>
      <c r="BB13" s="15"/>
      <c r="BC13" s="15"/>
      <c r="BD13" s="15"/>
      <c r="BE13" s="15"/>
      <c r="BF13" s="15"/>
      <c r="BG13" s="15">
        <f>BA13*(1-BC13)</f>
        <v>0</v>
      </c>
      <c r="BH13" s="15"/>
      <c r="BI13" s="18"/>
      <c r="BJ13" s="36"/>
      <c r="BK13" s="36"/>
      <c r="BL13" s="18"/>
    </row>
    <row r="14" spans="1:63">
      <c r="A14" s="1">
        <v>2010</v>
      </c>
      <c r="B14" s="1" t="s">
        <v>120</v>
      </c>
      <c r="C14" s="2"/>
      <c r="E14" s="4">
        <v>0.4993</v>
      </c>
      <c r="K14" s="1">
        <v>0.64</v>
      </c>
      <c r="N14" s="2"/>
      <c r="AJ14" s="2"/>
      <c r="AK14" s="2"/>
      <c r="AL14" s="2"/>
      <c r="AM14" s="2"/>
      <c r="AV14" s="2"/>
      <c r="AW14" s="2"/>
      <c r="BJ14" s="35"/>
      <c r="BK14" s="35"/>
    </row>
    <row r="15" spans="1:63">
      <c r="A15" s="1">
        <v>2011</v>
      </c>
      <c r="B15" s="1" t="s">
        <v>120</v>
      </c>
      <c r="C15" s="2"/>
      <c r="E15" s="4">
        <v>0.5974</v>
      </c>
      <c r="J15" s="1">
        <v>18.03</v>
      </c>
      <c r="K15" s="1">
        <v>0.77</v>
      </c>
      <c r="N15" s="2"/>
      <c r="AJ15" s="2"/>
      <c r="AK15" s="2"/>
      <c r="AL15" s="2"/>
      <c r="AM15" s="2"/>
      <c r="AV15" s="2"/>
      <c r="AW15" s="2"/>
      <c r="BJ15" s="35"/>
      <c r="BK15" s="35"/>
    </row>
    <row r="16" spans="1:63">
      <c r="A16" s="1">
        <v>2012</v>
      </c>
      <c r="B16" s="1" t="s">
        <v>120</v>
      </c>
      <c r="C16" s="2"/>
      <c r="E16" s="4">
        <v>0.6201</v>
      </c>
      <c r="J16" s="1">
        <v>15.56</v>
      </c>
      <c r="K16" s="1">
        <v>0.79</v>
      </c>
      <c r="N16" s="2"/>
      <c r="AJ16" s="2"/>
      <c r="AK16" s="2"/>
      <c r="AL16" s="2"/>
      <c r="AM16" s="2"/>
      <c r="AV16" s="2"/>
      <c r="AW16" s="2"/>
      <c r="BJ16" s="35"/>
      <c r="BK16" s="35"/>
    </row>
    <row r="17" spans="1:63">
      <c r="A17" s="1">
        <v>2013</v>
      </c>
      <c r="B17" s="1" t="s">
        <v>120</v>
      </c>
      <c r="C17" s="2"/>
      <c r="E17" s="4">
        <v>0.5599</v>
      </c>
      <c r="J17" s="1">
        <v>11.29</v>
      </c>
      <c r="K17" s="1">
        <v>0.65</v>
      </c>
      <c r="N17" s="2"/>
      <c r="AJ17" s="2"/>
      <c r="AK17" s="2"/>
      <c r="AL17" s="2"/>
      <c r="AM17" s="2"/>
      <c r="AV17" s="2"/>
      <c r="AW17" s="2"/>
      <c r="BJ17" s="35"/>
      <c r="BK17" s="35"/>
    </row>
    <row r="18" spans="1:63">
      <c r="A18" s="1">
        <v>2014</v>
      </c>
      <c r="B18" s="1" t="s">
        <v>120</v>
      </c>
      <c r="C18" s="2"/>
      <c r="E18" s="4">
        <v>0.5059</v>
      </c>
      <c r="J18" s="1">
        <v>4.42</v>
      </c>
      <c r="K18" s="1">
        <v>0.28</v>
      </c>
      <c r="N18" s="2"/>
      <c r="AJ18" s="2"/>
      <c r="AK18" s="2"/>
      <c r="AL18" s="2"/>
      <c r="AM18" s="2"/>
      <c r="AV18" s="2"/>
      <c r="AW18" s="2"/>
      <c r="BJ18" s="35"/>
      <c r="BK18" s="35"/>
    </row>
    <row r="19" spans="1:63">
      <c r="A19" s="1">
        <v>2015</v>
      </c>
      <c r="B19" s="1" t="s">
        <v>120</v>
      </c>
      <c r="C19" s="2"/>
      <c r="E19" s="4">
        <v>0.3424</v>
      </c>
      <c r="J19" s="1">
        <v>3.71</v>
      </c>
      <c r="K19" s="1">
        <v>0.24</v>
      </c>
      <c r="L19" s="1">
        <v>-32.66</v>
      </c>
      <c r="M19" s="1">
        <v>3.73</v>
      </c>
      <c r="N19" s="2"/>
      <c r="AJ19" s="2"/>
      <c r="AK19" s="2"/>
      <c r="AL19" s="2"/>
      <c r="AM19" s="2"/>
      <c r="AV19" s="2"/>
      <c r="AW19" s="2"/>
      <c r="BJ19" s="35"/>
      <c r="BK19" s="35"/>
    </row>
    <row r="20" spans="1:63">
      <c r="A20" s="1">
        <v>2016</v>
      </c>
      <c r="B20" s="1" t="s">
        <v>120</v>
      </c>
      <c r="C20" s="2"/>
      <c r="E20" s="4">
        <v>0.2752</v>
      </c>
      <c r="J20" s="1">
        <v>11.86</v>
      </c>
      <c r="K20" s="1">
        <v>0.84</v>
      </c>
      <c r="L20" s="1">
        <v>286.46</v>
      </c>
      <c r="M20" s="1">
        <v>9.74</v>
      </c>
      <c r="N20" s="2"/>
      <c r="AJ20" s="2"/>
      <c r="AK20" s="2"/>
      <c r="AL20" s="2"/>
      <c r="AM20" s="2"/>
      <c r="AV20" s="2"/>
      <c r="AW20" s="2"/>
      <c r="BJ20" s="35"/>
      <c r="BK20" s="35"/>
    </row>
    <row r="21" spans="1:63">
      <c r="A21" s="1">
        <v>2017</v>
      </c>
      <c r="B21" s="1" t="s">
        <v>120</v>
      </c>
      <c r="C21" s="2"/>
      <c r="E21" s="4">
        <v>0.368</v>
      </c>
      <c r="J21" s="1">
        <v>12.04</v>
      </c>
      <c r="K21" s="1">
        <v>0.92</v>
      </c>
      <c r="L21" s="1">
        <v>9.34</v>
      </c>
      <c r="M21" s="1">
        <v>25.86</v>
      </c>
      <c r="N21" s="2"/>
      <c r="AJ21" s="2"/>
      <c r="AK21" s="2"/>
      <c r="AL21" s="2"/>
      <c r="AM21" s="2"/>
      <c r="AV21" s="2"/>
      <c r="AW21" s="2"/>
      <c r="BJ21" s="35"/>
      <c r="BK21" s="35"/>
    </row>
    <row r="22" spans="1:63">
      <c r="A22" s="1">
        <v>2018</v>
      </c>
      <c r="B22" s="1" t="s">
        <v>120</v>
      </c>
      <c r="C22" s="2"/>
      <c r="E22" s="4">
        <v>0.3847</v>
      </c>
      <c r="J22" s="1">
        <v>13.05</v>
      </c>
      <c r="K22" s="1">
        <v>1.01</v>
      </c>
      <c r="L22" s="1">
        <v>10.17</v>
      </c>
      <c r="M22" s="1">
        <v>11.74</v>
      </c>
      <c r="N22" s="2"/>
      <c r="AJ22" s="2"/>
      <c r="AK22" s="2"/>
      <c r="AL22" s="2"/>
      <c r="AM22" s="2"/>
      <c r="AV22" s="2"/>
      <c r="AW22" s="2"/>
      <c r="BJ22" s="35"/>
      <c r="BK22" s="35"/>
    </row>
    <row r="23" spans="1:63">
      <c r="A23" s="1">
        <v>2019</v>
      </c>
      <c r="B23" s="1" t="s">
        <v>120</v>
      </c>
      <c r="C23" s="2"/>
      <c r="E23" s="4">
        <v>0.3845</v>
      </c>
      <c r="J23" s="1">
        <v>18.23</v>
      </c>
      <c r="K23" s="1">
        <v>1.52</v>
      </c>
      <c r="L23" s="1">
        <v>50.18</v>
      </c>
      <c r="M23" s="1">
        <v>-12.9</v>
      </c>
      <c r="N23" s="2"/>
      <c r="AJ23" s="2"/>
      <c r="AK23" s="2"/>
      <c r="AL23" s="2"/>
      <c r="AM23" s="2"/>
      <c r="AV23" s="2"/>
      <c r="AW23" s="2"/>
      <c r="BJ23" s="35"/>
      <c r="BK23" s="35"/>
    </row>
    <row r="24" spans="1:63">
      <c r="A24" s="1">
        <v>2020</v>
      </c>
      <c r="B24" s="1" t="s">
        <v>120</v>
      </c>
      <c r="C24" s="2"/>
      <c r="E24" s="4">
        <v>0.3017</v>
      </c>
      <c r="J24" s="1">
        <v>13.43</v>
      </c>
      <c r="K24" s="1">
        <v>1.28</v>
      </c>
      <c r="L24" s="1">
        <v>-15.78</v>
      </c>
      <c r="M24" s="1">
        <v>-3.62</v>
      </c>
      <c r="N24" s="2"/>
      <c r="AJ24" s="2"/>
      <c r="AK24" s="2"/>
      <c r="AL24" s="2"/>
      <c r="AM24" s="2"/>
      <c r="AV24" s="2"/>
      <c r="AW24" s="2"/>
      <c r="BJ24" s="35"/>
      <c r="BK24" s="35"/>
    </row>
    <row r="25" spans="1:63">
      <c r="A25" s="1">
        <v>2021</v>
      </c>
      <c r="B25" s="1" t="s">
        <v>120</v>
      </c>
      <c r="C25" s="2"/>
      <c r="E25" s="4">
        <v>0.0581</v>
      </c>
      <c r="J25" s="1">
        <v>45.83</v>
      </c>
      <c r="K25" s="1">
        <v>5.81</v>
      </c>
      <c r="L25" s="1">
        <v>353.6</v>
      </c>
      <c r="M25" s="1">
        <v>57.67</v>
      </c>
      <c r="N25" s="2"/>
      <c r="AJ25" s="2"/>
      <c r="AK25" s="2"/>
      <c r="AL25" s="2"/>
      <c r="AM25" s="2"/>
      <c r="AV25" s="2"/>
      <c r="AW25" s="2"/>
      <c r="BJ25" s="35"/>
      <c r="BK25" s="35"/>
    </row>
    <row r="26" s="9" customFormat="1" spans="1:64">
      <c r="A26" s="13" t="s">
        <v>119</v>
      </c>
      <c r="B26" s="13"/>
      <c r="C26" s="14"/>
      <c r="D26" s="15"/>
      <c r="E26" s="17"/>
      <c r="F26" s="15"/>
      <c r="G26" s="15"/>
      <c r="H26" s="15"/>
      <c r="I26" s="13"/>
      <c r="J26" s="13"/>
      <c r="K26" s="13"/>
      <c r="L26" s="13"/>
      <c r="M26" s="13"/>
      <c r="N26" s="14"/>
      <c r="O26" s="15"/>
      <c r="P26" s="17"/>
      <c r="Q26" s="17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7"/>
      <c r="AF26" s="13"/>
      <c r="AG26" s="19"/>
      <c r="AH26" s="15"/>
      <c r="AI26" s="13"/>
      <c r="AJ26" s="14"/>
      <c r="AK26" s="14"/>
      <c r="AL26" s="14"/>
      <c r="AM26" s="14"/>
      <c r="AN26" s="17"/>
      <c r="AO26" s="17"/>
      <c r="AP26" s="15"/>
      <c r="AQ26" s="15"/>
      <c r="AR26" s="15"/>
      <c r="AS26" s="15"/>
      <c r="AT26" s="15"/>
      <c r="AU26" s="15"/>
      <c r="AV26" s="14"/>
      <c r="AW26" s="14"/>
      <c r="AX26" s="15"/>
      <c r="AY26" s="15"/>
      <c r="AZ26" s="15"/>
      <c r="BA26" s="15"/>
      <c r="BB26" s="15"/>
      <c r="BC26" s="15"/>
      <c r="BD26" s="15"/>
      <c r="BE26" s="15"/>
      <c r="BF26" s="15"/>
      <c r="BG26" s="15"/>
      <c r="BH26" s="15"/>
      <c r="BI26" s="18"/>
      <c r="BJ26" s="36"/>
      <c r="BK26" s="36"/>
      <c r="BL26" s="18"/>
    </row>
    <row r="27" spans="1:63">
      <c r="A27" s="1">
        <v>2014</v>
      </c>
      <c r="B27" s="1" t="s">
        <v>60</v>
      </c>
      <c r="C27" s="2"/>
      <c r="E27" s="4">
        <v>0.2704</v>
      </c>
      <c r="J27" s="1">
        <v>19.48</v>
      </c>
      <c r="K27" s="1">
        <v>0.97</v>
      </c>
      <c r="N27" s="2"/>
      <c r="AJ27" s="2"/>
      <c r="AK27" s="2"/>
      <c r="AL27" s="2"/>
      <c r="AM27" s="2"/>
      <c r="AV27" s="2"/>
      <c r="AW27" s="2"/>
      <c r="BJ27" s="35"/>
      <c r="BK27" s="35"/>
    </row>
    <row r="28" spans="1:63">
      <c r="A28" s="1">
        <v>2015</v>
      </c>
      <c r="B28" s="1" t="s">
        <v>60</v>
      </c>
      <c r="C28" s="2"/>
      <c r="E28" s="4">
        <v>0.2621</v>
      </c>
      <c r="J28" s="1">
        <v>14.38</v>
      </c>
      <c r="K28" s="1">
        <v>0.79</v>
      </c>
      <c r="L28" s="1">
        <v>-18.19</v>
      </c>
      <c r="M28" s="1">
        <v>3.65</v>
      </c>
      <c r="N28" s="2"/>
      <c r="AJ28" s="2"/>
      <c r="AK28" s="2"/>
      <c r="AL28" s="2"/>
      <c r="AM28" s="2"/>
      <c r="AV28" s="2"/>
      <c r="AW28" s="2"/>
      <c r="BJ28" s="35"/>
      <c r="BK28" s="35"/>
    </row>
    <row r="29" spans="1:63">
      <c r="A29" s="1">
        <v>2016</v>
      </c>
      <c r="B29" s="1" t="s">
        <v>60</v>
      </c>
      <c r="C29" s="2"/>
      <c r="E29" s="4">
        <v>0.3113</v>
      </c>
      <c r="J29" s="1">
        <v>22.74</v>
      </c>
      <c r="K29" s="1">
        <v>1.25</v>
      </c>
      <c r="L29" s="1">
        <v>58.03</v>
      </c>
      <c r="M29" s="1">
        <v>9.55</v>
      </c>
      <c r="N29" s="2"/>
      <c r="AJ29" s="2"/>
      <c r="AK29" s="2"/>
      <c r="AL29" s="2"/>
      <c r="AM29" s="2"/>
      <c r="AV29" s="2"/>
      <c r="AW29" s="2"/>
      <c r="BJ29" s="35"/>
      <c r="BK29" s="35"/>
    </row>
    <row r="30" spans="1:63">
      <c r="A30" s="1">
        <v>2017</v>
      </c>
      <c r="B30" s="1" t="s">
        <v>60</v>
      </c>
      <c r="C30" s="2"/>
      <c r="E30" s="4">
        <v>0.2069</v>
      </c>
      <c r="J30" s="1">
        <v>27.27</v>
      </c>
      <c r="K30" s="1">
        <v>1.69</v>
      </c>
      <c r="L30" s="1">
        <v>35.12</v>
      </c>
      <c r="M30" s="1">
        <v>22.08</v>
      </c>
      <c r="N30" s="2"/>
      <c r="AJ30" s="2"/>
      <c r="AK30" s="2"/>
      <c r="AL30" s="2"/>
      <c r="AM30" s="2"/>
      <c r="AV30" s="2"/>
      <c r="AW30" s="2"/>
      <c r="BJ30" s="35"/>
      <c r="BK30" s="35"/>
    </row>
    <row r="31" spans="1:63">
      <c r="A31" s="1">
        <v>2018</v>
      </c>
      <c r="B31" s="1" t="s">
        <v>60</v>
      </c>
      <c r="C31" s="2"/>
      <c r="E31" s="4">
        <v>0.1125</v>
      </c>
      <c r="J31" s="1">
        <v>19.99</v>
      </c>
      <c r="K31" s="1">
        <v>1.3</v>
      </c>
      <c r="L31" s="1">
        <v>14.19</v>
      </c>
      <c r="M31" s="1">
        <v>9.22</v>
      </c>
      <c r="N31" s="2"/>
      <c r="AJ31" s="2"/>
      <c r="AK31" s="2"/>
      <c r="AL31" s="2"/>
      <c r="AM31" s="2"/>
      <c r="AV31" s="2"/>
      <c r="AW31" s="2"/>
      <c r="BJ31" s="35"/>
      <c r="BK31" s="35"/>
    </row>
    <row r="32" spans="1:63">
      <c r="A32" s="1">
        <v>2019</v>
      </c>
      <c r="B32" s="1" t="s">
        <v>60</v>
      </c>
      <c r="C32" s="2"/>
      <c r="E32" s="4">
        <v>0.1084</v>
      </c>
      <c r="J32" s="1">
        <v>12.93</v>
      </c>
      <c r="K32" s="1">
        <v>1.27</v>
      </c>
      <c r="L32" s="1">
        <v>14.12</v>
      </c>
      <c r="M32" s="1">
        <v>2.09</v>
      </c>
      <c r="N32" s="2"/>
      <c r="AJ32" s="2"/>
      <c r="AK32" s="2"/>
      <c r="AL32" s="2"/>
      <c r="AM32" s="2"/>
      <c r="AV32" s="2"/>
      <c r="AW32" s="2"/>
      <c r="BJ32" s="35"/>
      <c r="BK32" s="35"/>
    </row>
    <row r="33" spans="1:63">
      <c r="A33" s="1">
        <v>2020</v>
      </c>
      <c r="B33" s="1" t="s">
        <v>60</v>
      </c>
      <c r="C33" s="2"/>
      <c r="E33" s="4">
        <v>0.139</v>
      </c>
      <c r="J33" s="1">
        <v>13.59</v>
      </c>
      <c r="K33" s="1">
        <v>1.48</v>
      </c>
      <c r="L33" s="1">
        <v>16.28</v>
      </c>
      <c r="M33" s="1">
        <v>0.59</v>
      </c>
      <c r="N33" s="2"/>
      <c r="AJ33" s="2"/>
      <c r="AK33" s="2"/>
      <c r="AL33" s="2"/>
      <c r="AM33" s="2"/>
      <c r="AV33" s="2"/>
      <c r="AW33" s="2"/>
      <c r="BJ33" s="35"/>
      <c r="BK33" s="35"/>
    </row>
    <row r="34" spans="1:63">
      <c r="A34" s="1">
        <v>2021</v>
      </c>
      <c r="B34" s="1" t="s">
        <v>60</v>
      </c>
      <c r="C34" s="2"/>
      <c r="E34" s="4">
        <v>0.1381</v>
      </c>
      <c r="I34" s="1">
        <v>11.7593</v>
      </c>
      <c r="J34" s="1">
        <v>19.19</v>
      </c>
      <c r="K34" s="1">
        <v>2.39</v>
      </c>
      <c r="L34" s="1">
        <v>61.72</v>
      </c>
      <c r="M34" s="1">
        <v>37.94</v>
      </c>
      <c r="N34" s="2"/>
      <c r="AJ34" s="2"/>
      <c r="AK34" s="2"/>
      <c r="AL34" s="2"/>
      <c r="AM34" s="2"/>
      <c r="AV34" s="2"/>
      <c r="AW34" s="2"/>
      <c r="BJ34" s="35"/>
      <c r="BK34" s="35"/>
    </row>
    <row r="35" s="9" customFormat="1" spans="1:64">
      <c r="A35" s="13" t="s">
        <v>119</v>
      </c>
      <c r="B35" s="13"/>
      <c r="C35" s="14"/>
      <c r="D35" s="15"/>
      <c r="E35" s="17"/>
      <c r="F35" s="15"/>
      <c r="G35" s="15"/>
      <c r="H35" s="15"/>
      <c r="I35" s="13"/>
      <c r="J35" s="13"/>
      <c r="K35" s="18">
        <f>AVERAGE(K27:K34)</f>
        <v>1.3925</v>
      </c>
      <c r="L35" s="13"/>
      <c r="M35" s="13"/>
      <c r="N35" s="14"/>
      <c r="O35" s="15"/>
      <c r="P35" s="17"/>
      <c r="Q35" s="17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7"/>
      <c r="AF35" s="13"/>
      <c r="AG35" s="19"/>
      <c r="AH35" s="15"/>
      <c r="AI35" s="13"/>
      <c r="AJ35" s="14"/>
      <c r="AK35" s="14"/>
      <c r="AL35" s="14"/>
      <c r="AM35" s="14"/>
      <c r="AN35" s="17"/>
      <c r="AO35" s="17"/>
      <c r="AP35" s="15"/>
      <c r="AQ35" s="15"/>
      <c r="AR35" s="15"/>
      <c r="AS35" s="15"/>
      <c r="AT35" s="15"/>
      <c r="AU35" s="15"/>
      <c r="AV35" s="14"/>
      <c r="AW35" s="14"/>
      <c r="AX35" s="15"/>
      <c r="AY35" s="15"/>
      <c r="AZ35" s="15"/>
      <c r="BA35" s="15"/>
      <c r="BB35" s="15"/>
      <c r="BC35" s="15"/>
      <c r="BD35" s="15"/>
      <c r="BE35" s="15"/>
      <c r="BF35" s="15"/>
      <c r="BG35" s="15"/>
      <c r="BH35" s="15"/>
      <c r="BI35" s="18"/>
      <c r="BJ35" s="36"/>
      <c r="BK35" s="36"/>
      <c r="BL35" s="18"/>
    </row>
    <row r="36" spans="1:63">
      <c r="A36" s="1">
        <v>2011</v>
      </c>
      <c r="C36" s="2"/>
      <c r="F36" s="10">
        <v>250000</v>
      </c>
      <c r="N36" s="2"/>
      <c r="AJ36" s="2"/>
      <c r="AK36" s="2"/>
      <c r="AL36" s="2"/>
      <c r="AM36" s="2"/>
      <c r="AV36" s="2"/>
      <c r="AW36" s="2"/>
      <c r="BJ36" s="35"/>
      <c r="BK36" s="35"/>
    </row>
    <row r="37" spans="1:63">
      <c r="A37" s="1">
        <v>2012</v>
      </c>
      <c r="C37" s="2"/>
      <c r="F37" s="10">
        <v>1400000</v>
      </c>
      <c r="N37" s="2"/>
      <c r="AJ37" s="2"/>
      <c r="AK37" s="2"/>
      <c r="AL37" s="2"/>
      <c r="AM37" s="2"/>
      <c r="AV37" s="2"/>
      <c r="AW37" s="2"/>
      <c r="BJ37" s="35"/>
      <c r="BK37" s="35"/>
    </row>
    <row r="38" spans="1:63">
      <c r="A38" s="1">
        <v>2013</v>
      </c>
      <c r="C38" s="2"/>
      <c r="F38" s="10">
        <v>7320000</v>
      </c>
      <c r="N38" s="2"/>
      <c r="AJ38" s="2"/>
      <c r="AK38" s="2"/>
      <c r="AL38" s="2"/>
      <c r="AM38" s="2"/>
      <c r="AV38" s="2"/>
      <c r="AW38" s="2"/>
      <c r="BJ38" s="35"/>
      <c r="BK38" s="35"/>
    </row>
    <row r="39" spans="1:63">
      <c r="A39" s="1">
        <v>2014</v>
      </c>
      <c r="C39" s="2"/>
      <c r="F39" s="10">
        <v>24880000</v>
      </c>
      <c r="N39" s="2"/>
      <c r="AJ39" s="2"/>
      <c r="AK39" s="2"/>
      <c r="AL39" s="2"/>
      <c r="AM39" s="2"/>
      <c r="AV39" s="2"/>
      <c r="AW39" s="2"/>
      <c r="BJ39" s="35"/>
      <c r="BK39" s="35"/>
    </row>
    <row r="40" spans="1:63">
      <c r="A40" s="1">
        <v>2015</v>
      </c>
      <c r="C40" s="2"/>
      <c r="F40" s="10">
        <v>35590000</v>
      </c>
      <c r="N40" s="2"/>
      <c r="AJ40" s="2"/>
      <c r="AK40" s="2"/>
      <c r="AL40" s="2"/>
      <c r="AM40" s="2"/>
      <c r="AV40" s="2"/>
      <c r="AW40" s="2"/>
      <c r="BJ40" s="35"/>
      <c r="BK40" s="35"/>
    </row>
    <row r="41" spans="1:63">
      <c r="A41" s="1">
        <v>2016</v>
      </c>
      <c r="B41" s="1" t="s">
        <v>121</v>
      </c>
      <c r="C41" s="2"/>
      <c r="F41" s="10">
        <v>59692000</v>
      </c>
      <c r="G41" s="10">
        <v>57524000</v>
      </c>
      <c r="N41" s="2"/>
      <c r="AJ41" s="2"/>
      <c r="AK41" s="2"/>
      <c r="AL41" s="2"/>
      <c r="AM41" s="2"/>
      <c r="AV41" s="2"/>
      <c r="AW41" s="2"/>
      <c r="BG41" s="10">
        <f t="shared" ref="BG41:BG46" si="3">BA41*(1-BC41)</f>
        <v>0</v>
      </c>
      <c r="BJ41" s="35"/>
      <c r="BK41" s="35"/>
    </row>
    <row r="42" spans="1:64">
      <c r="A42" s="1">
        <v>2017</v>
      </c>
      <c r="B42" s="1" t="s">
        <v>121</v>
      </c>
      <c r="C42" s="2">
        <v>13603365.31</v>
      </c>
      <c r="D42" s="10">
        <v>256538078.27</v>
      </c>
      <c r="E42" s="4">
        <f>C42/D42</f>
        <v>0.0530266906251741</v>
      </c>
      <c r="F42" s="10">
        <v>65553816.72</v>
      </c>
      <c r="G42" s="10">
        <v>59221900</v>
      </c>
      <c r="I42" s="11" t="e">
        <f>G42/((#REF!+#REF!)/2)</f>
        <v>#REF!</v>
      </c>
      <c r="J42" s="11" t="e">
        <f>F42/((#REF!+#REF!)/2)</f>
        <v>#REF!</v>
      </c>
      <c r="K42" s="11"/>
      <c r="L42" s="11"/>
      <c r="M42" s="11"/>
      <c r="AG42" s="11">
        <v>0.16</v>
      </c>
      <c r="AK42" s="10">
        <v>255037981.71</v>
      </c>
      <c r="AN42" s="4">
        <v>0.3</v>
      </c>
      <c r="AO42" s="4">
        <v>0.05</v>
      </c>
      <c r="AP42" s="10">
        <f>AK42/AG42</f>
        <v>1593987385.6875</v>
      </c>
      <c r="AQ42" s="10">
        <f>AK42*(1+AO42)/(AG42-AO42)</f>
        <v>2434453461.77727</v>
      </c>
      <c r="AR42" s="10">
        <f>(AK42*(1+AN42))/(1+AG42)+(AK42*(1+AN42)^2)/(1+AG42)^2+(AK42*(1+AN42)^3)/(1+AG42)^3+AK42*(1+AN42)^3*(1+AO42)/(AG42-AO42)*(1+AG42)^3</f>
        <v>9313547784.45817</v>
      </c>
      <c r="AS42" s="10">
        <f>(AK42*(1+AN42))/(1+AG42)+(AK42*(1+AN42)^2)/(1+AG42)^2+(AK42*(1+AN42)^3)/(1+AG42)^3+(AK42*(1+AN42)^4)/(1+AG42)^4+(AK42*(1+AN42)^5)/(1+AG42)^5+AK42*(1+AN42)^5*(1+AO42)/(AG42-AO42)*(1+AG42)^5</f>
        <v>20803144981.2619</v>
      </c>
      <c r="AU42" s="10">
        <v>0</v>
      </c>
      <c r="AV42" s="10">
        <v>0</v>
      </c>
      <c r="AW42" s="29">
        <v>393738756</v>
      </c>
      <c r="AX42" s="10">
        <f>AP42+AU42+AV42</f>
        <v>1593987385.6875</v>
      </c>
      <c r="AY42" s="10">
        <f>AQ42+AU42+AV42</f>
        <v>2434453461.77727</v>
      </c>
      <c r="AZ42" s="10">
        <f>AR42+AU42+AV42</f>
        <v>9313547784.45817</v>
      </c>
      <c r="BA42" s="10">
        <f>AS42+AU42+AV42</f>
        <v>20803144981.2619</v>
      </c>
      <c r="BB42" s="10">
        <v>2361169.47</v>
      </c>
      <c r="BC42" s="11">
        <f>BB42/(D42-C42)</f>
        <v>0.00971935809926338</v>
      </c>
      <c r="BD42" s="10">
        <f>AX42*(1-BC42)</f>
        <v>1578494851.48029</v>
      </c>
      <c r="BE42" s="10">
        <f>AY42*(1-BC42)</f>
        <v>2410792136.80627</v>
      </c>
      <c r="BF42" s="10">
        <f>AZ42*(1-BC42)</f>
        <v>9223026078.36642</v>
      </c>
      <c r="BG42" s="10">
        <f t="shared" si="3"/>
        <v>20600951765.5981</v>
      </c>
      <c r="BI42" s="12">
        <f>BD42/AW42</f>
        <v>4.00899029477376</v>
      </c>
      <c r="BJ42" s="35">
        <f>BE42/AW42</f>
        <v>6.12282154110902</v>
      </c>
      <c r="BK42" s="35">
        <f>BF42/AW42</f>
        <v>23.4242272009576</v>
      </c>
      <c r="BL42" s="12">
        <f>BG42/AW42</f>
        <v>52.3213715989851</v>
      </c>
    </row>
    <row r="43" spans="1:64">
      <c r="A43" s="1">
        <v>2018</v>
      </c>
      <c r="B43" s="1" t="s">
        <v>121</v>
      </c>
      <c r="C43" s="2">
        <v>24552241.13</v>
      </c>
      <c r="D43" s="10">
        <v>617146993.75</v>
      </c>
      <c r="E43" s="4">
        <f>C43/D43</f>
        <v>0.0397834573912643</v>
      </c>
      <c r="F43" s="10">
        <v>62467887.15</v>
      </c>
      <c r="G43" s="10">
        <v>49572100</v>
      </c>
      <c r="I43" s="4">
        <v>0.1255</v>
      </c>
      <c r="J43" s="4">
        <v>0.1555</v>
      </c>
      <c r="K43" s="4"/>
      <c r="L43" s="4"/>
      <c r="M43" s="4"/>
      <c r="N43" s="11" t="e">
        <f>G43/((#REF!+#REF!)/2)</f>
        <v>#REF!</v>
      </c>
      <c r="O43" s="11" t="e">
        <f>F43/((#REF!+#REF!)/2)</f>
        <v>#REF!</v>
      </c>
      <c r="AG43" s="11">
        <v>0.12</v>
      </c>
      <c r="AK43" s="10">
        <v>62467887.15</v>
      </c>
      <c r="AO43" s="4">
        <v>0.05</v>
      </c>
      <c r="AP43" s="10">
        <f>AK43/AG43</f>
        <v>520565726.25</v>
      </c>
      <c r="AQ43" s="10">
        <f>AK43*(1+AO43)/(AG43-AO43)</f>
        <v>937018307.25</v>
      </c>
      <c r="AR43" s="10">
        <f>(AK43*(1+AN43))/(1+AG43)+(AK43*(1+AN43)^2)/(1+AG43)^2+(AK43*(1+AN43)^3)/(1+AG43)^3+AK43*(1+AN43)^3*(1+AO43)/(AG43-AO43)*(1+AG43)^3</f>
        <v>1466480580.98474</v>
      </c>
      <c r="AS43" s="10">
        <f>(AK43*(1+AN43))/(1+AG43)+(AK43*(1+AN43)^2)/(1+AG43)^2+(AK43*(1+AN43)^3)/(1+AG43)^3+(AK43*(1+AN43)^4)/(1+AG43)^4+(AK43*(1+AN43)^5)/(1+AG43)^5+AK43*(1+AN43)^5*(1+AO43)/(AG43-AO43)*(1+AG43)^5</f>
        <v>1876529173.79727</v>
      </c>
      <c r="AV43" s="10"/>
      <c r="AW43" s="30">
        <v>69005147</v>
      </c>
      <c r="AX43" s="10">
        <f>AP43+AU43+AV43</f>
        <v>520565726.25</v>
      </c>
      <c r="AY43" s="10">
        <f>AQ43+AU43+AV43</f>
        <v>937018307.25</v>
      </c>
      <c r="AZ43" s="10">
        <f>AR43+AU43+AV43</f>
        <v>1466480580.98474</v>
      </c>
      <c r="BA43" s="10">
        <f>AS43+AU43+AV43</f>
        <v>1876529173.79727</v>
      </c>
      <c r="BB43" s="10">
        <v>61248954.84</v>
      </c>
      <c r="BC43" s="11">
        <f>BB43/(D43-C43)</f>
        <v>0.1033572345506</v>
      </c>
      <c r="BD43" s="10">
        <f>AX43*(1-BC43)</f>
        <v>466761492.382975</v>
      </c>
      <c r="BE43" s="10">
        <f>AY43*(1-BC43)</f>
        <v>840170686.289356</v>
      </c>
      <c r="BF43" s="10">
        <f>AZ43*(1-BC43)</f>
        <v>1314909203.612</v>
      </c>
      <c r="BG43" s="10">
        <f t="shared" si="3"/>
        <v>1682576307.84007</v>
      </c>
      <c r="BI43" s="12">
        <f>BD43/AW43</f>
        <v>6.76415474316685</v>
      </c>
      <c r="BJ43" s="35">
        <f>BE43/AW43</f>
        <v>12.1754785377003</v>
      </c>
      <c r="BK43" s="35">
        <f>BF43/AW43</f>
        <v>19.0552337148415</v>
      </c>
      <c r="BL43" s="12">
        <f>BG43/AW43</f>
        <v>24.3833450255539</v>
      </c>
    </row>
    <row r="44" spans="1:63">
      <c r="A44" s="1">
        <v>2019</v>
      </c>
      <c r="B44" s="1" t="s">
        <v>121</v>
      </c>
      <c r="C44" s="2">
        <v>22800207.39</v>
      </c>
      <c r="D44" s="10">
        <v>638422342.98</v>
      </c>
      <c r="E44" s="4">
        <f>C44/D44</f>
        <v>0.0357133606627459</v>
      </c>
      <c r="F44" s="10">
        <v>42506927.07</v>
      </c>
      <c r="I44" s="4">
        <v>0.05</v>
      </c>
      <c r="J44" s="4">
        <v>0.0695</v>
      </c>
      <c r="K44" s="4"/>
      <c r="L44" s="4"/>
      <c r="M44" s="4"/>
      <c r="AK44" s="10"/>
      <c r="AV44" s="10"/>
      <c r="AW44" s="29"/>
      <c r="BB44" s="10">
        <v>5913312.15</v>
      </c>
      <c r="BC44" s="11">
        <f>BB44/(D44-C44)</f>
        <v>0.00960542483472073</v>
      </c>
      <c r="BD44" s="10">
        <f>AX44*(1-BC44)</f>
        <v>0</v>
      </c>
      <c r="BE44" s="10">
        <f>AY44*(1-BC44)</f>
        <v>0</v>
      </c>
      <c r="BF44" s="10">
        <f>AZ44*(1-BC44)</f>
        <v>0</v>
      </c>
      <c r="BG44" s="10">
        <f t="shared" si="3"/>
        <v>0</v>
      </c>
      <c r="BJ44" s="35"/>
      <c r="BK44" s="35"/>
    </row>
    <row r="45" spans="1:64">
      <c r="A45" s="1">
        <v>2020</v>
      </c>
      <c r="B45" s="1" t="s">
        <v>121</v>
      </c>
      <c r="C45" s="2">
        <v>311766694.47</v>
      </c>
      <c r="D45" s="10">
        <v>1426645523.77</v>
      </c>
      <c r="E45" s="4">
        <f>C45/D45</f>
        <v>0.218531295458831</v>
      </c>
      <c r="F45" s="10">
        <v>475628017.16</v>
      </c>
      <c r="I45" s="4">
        <v>0.5416</v>
      </c>
      <c r="J45" s="4">
        <v>0.5581</v>
      </c>
      <c r="K45" s="4"/>
      <c r="L45" s="4"/>
      <c r="M45" s="4"/>
      <c r="AG45" s="11">
        <v>0.12</v>
      </c>
      <c r="AK45" s="22">
        <v>206967659</v>
      </c>
      <c r="AL45" s="23"/>
      <c r="AN45" s="4">
        <v>0.12</v>
      </c>
      <c r="AO45" s="4">
        <v>0.05</v>
      </c>
      <c r="AP45" s="10">
        <f>AK45/AG45</f>
        <v>1724730491.66667</v>
      </c>
      <c r="AQ45" s="10">
        <f>AK45*(1+AO45)/(AG45-AO45)</f>
        <v>3104514885</v>
      </c>
      <c r="AR45" s="10">
        <f>(AK45*(1+AN45))/(1+AG45)+(AK45*(1+AN45)^2)/(1+AG45)^2+(AK45*(1+AN45)^3)/(1+AG45)^3+AK45*(1+AN45)^3*(1+AO45)/(AG45-AO45)*(1+AG45)^3</f>
        <v>6748664883.5044</v>
      </c>
      <c r="AS45" s="10">
        <f>(AK45*(1+AN45))/(1+AG45)+(AK45*(1+AN45)^2)/(1+AG45)^2+(AK45*(1+AN45)^3)/(1+AG45)^3+(AK45*(1+AN45)^4)/(1+AG45)^4+(AK45*(1+AN45)^5)/(1+AG45)^5+AK45*(1+AN45)^5*(1+AO45)/(AG45-AO45)*(1+AG45)^5</f>
        <v>10676990288.3552</v>
      </c>
      <c r="AU45" s="10">
        <v>0</v>
      </c>
      <c r="AV45" s="10">
        <v>0</v>
      </c>
      <c r="AW45" s="31">
        <v>66585147</v>
      </c>
      <c r="AX45" s="10">
        <f>AP45+AU45+AV45</f>
        <v>1724730491.66667</v>
      </c>
      <c r="AY45" s="10">
        <f>AQ45+AU45+AV45</f>
        <v>3104514885</v>
      </c>
      <c r="AZ45" s="10">
        <f>AR45+AU45+AV45</f>
        <v>6748664883.5044</v>
      </c>
      <c r="BA45" s="10">
        <f>AS45+AU45+AV45</f>
        <v>10676990288.3552</v>
      </c>
      <c r="BB45" s="10">
        <v>13085535.1</v>
      </c>
      <c r="BC45" s="11">
        <f>BB45/(D45-C45)</f>
        <v>0.0117371814372115</v>
      </c>
      <c r="BD45" s="10">
        <f>AX45*(1-BC45)</f>
        <v>1704487016.95568</v>
      </c>
      <c r="BE45" s="10">
        <f>AY45*(1-BC45)</f>
        <v>3068076630.52023</v>
      </c>
      <c r="BF45" s="10">
        <f>AZ45*(1-BC45)</f>
        <v>6669454579.30777</v>
      </c>
      <c r="BG45" s="10">
        <f t="shared" si="3"/>
        <v>10551672516.1374</v>
      </c>
      <c r="BI45" s="12">
        <f>BD45/AW45</f>
        <v>25.5986071031079</v>
      </c>
      <c r="BJ45" s="35">
        <f>BE45/AW45</f>
        <v>46.0774927855942</v>
      </c>
      <c r="BK45" s="35">
        <f>BF45/AW45</f>
        <v>100.164299093727</v>
      </c>
      <c r="BL45" s="12">
        <f>BG45/AW45</f>
        <v>158.468862674996</v>
      </c>
    </row>
    <row r="46" spans="1:64">
      <c r="A46" s="1">
        <v>2021</v>
      </c>
      <c r="B46" s="1" t="s">
        <v>121</v>
      </c>
      <c r="C46" s="2">
        <v>567016220.34</v>
      </c>
      <c r="D46" s="10">
        <v>3417089810.18</v>
      </c>
      <c r="E46" s="4">
        <f>C46/D46</f>
        <v>0.165935416344861</v>
      </c>
      <c r="F46" s="10">
        <v>1446687853.77</v>
      </c>
      <c r="I46" s="4">
        <v>0.765</v>
      </c>
      <c r="J46" s="4">
        <v>0.7704</v>
      </c>
      <c r="K46" s="4"/>
      <c r="L46" s="4"/>
      <c r="M46" s="4"/>
      <c r="AG46" s="11">
        <v>0.12</v>
      </c>
      <c r="AK46" s="22">
        <v>1008801360.47</v>
      </c>
      <c r="AN46" s="4">
        <v>0.15</v>
      </c>
      <c r="AO46" s="4">
        <v>0.05</v>
      </c>
      <c r="AP46" s="10">
        <f>AK46/AG46</f>
        <v>8406678003.91667</v>
      </c>
      <c r="AQ46" s="10">
        <f>AK46*(1+AO46)/(AG46-AO46)</f>
        <v>15132020407.05</v>
      </c>
      <c r="AR46" s="10">
        <f>(AK46*(1+AN46))/(1+AG46)+(AK46*(1+AN46)^2)/(1+AG46)^2+(AK46*(1+AN46)^3)/(1+AG46)^3+AK46*(1+AN46)^3*(1+AO46)/(AG46-AO46)*(1+AG46)^3</f>
        <v>35524336122.9163</v>
      </c>
      <c r="AS46" s="10">
        <f>(AK46*(1+AN46))/(1+AG46)+(AK46*(1+AN46)^2)/(1+AG46)^2+(AK46*(1+AN46)^3)/(1+AG46)^3+(AK46*(1+AN46)^4)/(1+AG46)^4+(AK46*(1+AN46)^5)/(1+AG46)^5+AK46*(1+AN46)^5*(1+AO46)/(AG46-AO46)*(1+AG46)^5</f>
        <v>59102550223.8217</v>
      </c>
      <c r="AU46" s="10">
        <v>0</v>
      </c>
      <c r="AV46" s="10">
        <v>0</v>
      </c>
      <c r="AW46" s="31">
        <v>104877931</v>
      </c>
      <c r="AX46" s="10">
        <f>AP46+AU46+AV46</f>
        <v>8406678003.91667</v>
      </c>
      <c r="AY46" s="10">
        <f>AQ46+AU46+AV46</f>
        <v>15132020407.05</v>
      </c>
      <c r="AZ46" s="10">
        <f>AR46+AU46+AV46</f>
        <v>35524336122.9163</v>
      </c>
      <c r="BA46" s="10">
        <f>AS46+AU46+AV46</f>
        <v>59102550223.8217</v>
      </c>
      <c r="BB46" s="10">
        <v>61248954.84</v>
      </c>
      <c r="BC46" s="11">
        <f>BB46/(D46-C46)</f>
        <v>0.0214903064462411</v>
      </c>
      <c r="BD46" s="10">
        <f>AX46*(1-BC46)</f>
        <v>8226015917.41762</v>
      </c>
      <c r="BE46" s="10">
        <f>AY46*(1-BC46)</f>
        <v>14806828651.3517</v>
      </c>
      <c r="BF46" s="10">
        <f>AZ46*(1-BC46)</f>
        <v>34760907253.3355</v>
      </c>
      <c r="BG46" s="10">
        <f t="shared" si="3"/>
        <v>57832418307.7574</v>
      </c>
      <c r="BI46" s="12">
        <f>BD46/AW46</f>
        <v>78.4341933425214</v>
      </c>
      <c r="BJ46" s="35">
        <f>BE46/AW46</f>
        <v>141.181548016539</v>
      </c>
      <c r="BK46" s="35">
        <f>BF46/AW46</f>
        <v>331.441580911198</v>
      </c>
      <c r="BL46" s="12">
        <f>BG46/AW46</f>
        <v>551.426003128889</v>
      </c>
    </row>
    <row r="47" spans="1:64">
      <c r="A47" s="1" t="s">
        <v>119</v>
      </c>
      <c r="AG47" s="11">
        <v>0.12</v>
      </c>
      <c r="AK47" s="22">
        <v>1008801360.47</v>
      </c>
      <c r="AN47" s="4">
        <v>0.15</v>
      </c>
      <c r="AO47" s="4">
        <v>0.05</v>
      </c>
      <c r="AP47" s="10">
        <f>AK47/AG47</f>
        <v>8406678003.91667</v>
      </c>
      <c r="AQ47" s="10">
        <f>AK47*(1+AO47)/(AG47-AO47)</f>
        <v>15132020407.05</v>
      </c>
      <c r="AR47" s="10">
        <f>(AK47*(1+AN47))/(1+AG47)+(AK47*(1+AN47)^2)/(1+AG47)^2+(AK47*(1+AN47)^3)/(1+AG47)^3+AK47*(1+AN47)^3*(1+AO47)/(AG47-AO47)*(1+AG47)^3</f>
        <v>35524336122.9163</v>
      </c>
      <c r="AS47" s="10">
        <f>(AK47*(1+AN47))/(1+AG47)+(AK47*(1+AN47)^2)/(1+AG47)^2+(AK47*(1+AN47)^3)/(1+AG47)^3+(AK47*(1+AN47)^4)/(1+AG47)^4+(AK47*(1+AN47)^5)/(1+AG47)^5+AK47*(1+AN47)^5*(1+AO47)/(AG47-AO47)*(1+AG47)^5</f>
        <v>59102550223.8217</v>
      </c>
      <c r="AU47" s="10">
        <v>0</v>
      </c>
      <c r="AV47" s="10">
        <v>0</v>
      </c>
      <c r="AW47" s="30">
        <v>69005147</v>
      </c>
      <c r="AX47" s="10">
        <f>AP47+AU47+AV47</f>
        <v>8406678003.91667</v>
      </c>
      <c r="AY47" s="10">
        <f>AQ47+AU47+AV47</f>
        <v>15132020407.05</v>
      </c>
      <c r="AZ47" s="10">
        <f>AR47+AU47+AV47</f>
        <v>35524336122.9163</v>
      </c>
      <c r="BA47" s="10">
        <f>AS47+AU47+AV47</f>
        <v>59102550223.8217</v>
      </c>
      <c r="BD47" s="10">
        <f>AX47*(1-E47)</f>
        <v>8406678003.91667</v>
      </c>
      <c r="BE47" s="10">
        <f>AY47*(1-E47)</f>
        <v>15132020407.05</v>
      </c>
      <c r="BF47" s="10">
        <f>AZ47*(1-E47)</f>
        <v>35524336122.9163</v>
      </c>
      <c r="BG47" s="10">
        <f>BA47*(1-E47)</f>
        <v>59102550223.8217</v>
      </c>
      <c r="BI47" s="12">
        <f>BD47/AW47</f>
        <v>121.8268255253</v>
      </c>
      <c r="BJ47" s="35">
        <f>BE47/AW47</f>
        <v>219.28828594554</v>
      </c>
      <c r="BK47" s="35">
        <f>BF47/AW47</f>
        <v>514.807049435258</v>
      </c>
      <c r="BL47" s="12">
        <f>BG47/AW47</f>
        <v>856.494809348376</v>
      </c>
    </row>
    <row r="48" spans="4:40">
      <c r="D48" s="10">
        <f>D46-D42</f>
        <v>3160551731.91</v>
      </c>
      <c r="F48" s="10">
        <f>F46-F42</f>
        <v>1381134037.05</v>
      </c>
      <c r="AK48" s="10">
        <v>42506927.07</v>
      </c>
      <c r="AN48" s="4">
        <f>POWER(F46/F36,1/10)-1</f>
        <v>1.37817321084295</v>
      </c>
    </row>
    <row r="49" spans="4:40">
      <c r="D49" s="10">
        <f>D46-D44</f>
        <v>2778667467.2</v>
      </c>
      <c r="F49" s="10">
        <f>F46-17</f>
        <v>1446687836.77</v>
      </c>
      <c r="AN49" s="4">
        <f>POWER(15.22/0.74,1/9)-1</f>
        <v>0.399294782331245</v>
      </c>
    </row>
    <row r="50" spans="4:6">
      <c r="D50" s="10">
        <f>D44-D42</f>
        <v>381884264.71</v>
      </c>
      <c r="F50" s="10">
        <f>F44-F42</f>
        <v>-23046889.65</v>
      </c>
    </row>
    <row r="51" spans="1:11">
      <c r="A51" s="1">
        <v>2011</v>
      </c>
      <c r="B51" s="1" t="s">
        <v>122</v>
      </c>
      <c r="E51" s="4">
        <v>0.5286</v>
      </c>
      <c r="J51" s="1">
        <v>21.44</v>
      </c>
      <c r="K51" s="1">
        <v>0.73</v>
      </c>
    </row>
    <row r="52" spans="1:11">
      <c r="A52" s="1">
        <v>2012</v>
      </c>
      <c r="B52" s="1" t="s">
        <v>122</v>
      </c>
      <c r="E52" s="4">
        <v>0.3825</v>
      </c>
      <c r="J52" s="1">
        <v>-2.13</v>
      </c>
      <c r="K52" s="1">
        <v>-0.11</v>
      </c>
    </row>
    <row r="53" spans="1:11">
      <c r="A53" s="1">
        <v>2013</v>
      </c>
      <c r="B53" s="1" t="s">
        <v>122</v>
      </c>
      <c r="E53" s="4">
        <v>0.3616</v>
      </c>
      <c r="J53" s="1">
        <v>2.42</v>
      </c>
      <c r="K53" s="1">
        <v>0.13</v>
      </c>
    </row>
    <row r="54" spans="1:11">
      <c r="A54" s="1">
        <v>2014</v>
      </c>
      <c r="B54" s="1" t="s">
        <v>122</v>
      </c>
      <c r="E54" s="4">
        <v>0.4941</v>
      </c>
      <c r="J54" s="1">
        <v>9.48</v>
      </c>
      <c r="K54" s="1">
        <v>0.54</v>
      </c>
    </row>
    <row r="55" spans="1:13">
      <c r="A55" s="1">
        <v>2015</v>
      </c>
      <c r="B55" s="1" t="s">
        <v>122</v>
      </c>
      <c r="E55" s="4">
        <v>0.4462</v>
      </c>
      <c r="J55" s="1">
        <v>11.81</v>
      </c>
      <c r="K55" s="1">
        <v>0.31</v>
      </c>
      <c r="L55" s="1">
        <v>77.25</v>
      </c>
      <c r="M55" s="1">
        <v>61.6</v>
      </c>
    </row>
    <row r="56" spans="1:13">
      <c r="A56" s="1">
        <v>2016</v>
      </c>
      <c r="B56" s="1" t="s">
        <v>122</v>
      </c>
      <c r="E56" s="4">
        <v>0.4735</v>
      </c>
      <c r="J56" s="1">
        <v>21.77</v>
      </c>
      <c r="K56" s="1">
        <v>0.86</v>
      </c>
      <c r="L56" s="1">
        <v>197.36</v>
      </c>
      <c r="M56" s="1">
        <v>93.89</v>
      </c>
    </row>
    <row r="57" spans="1:13">
      <c r="A57" s="1">
        <v>2017</v>
      </c>
      <c r="B57" s="1" t="s">
        <v>122</v>
      </c>
      <c r="E57" s="4">
        <v>0.5668</v>
      </c>
      <c r="J57" s="1">
        <v>30.14</v>
      </c>
      <c r="K57" s="1">
        <v>1.29</v>
      </c>
      <c r="L57" s="1">
        <v>130.38</v>
      </c>
      <c r="M57" s="1">
        <v>41.9</v>
      </c>
    </row>
    <row r="58" spans="1:13">
      <c r="A58" s="1">
        <v>2018</v>
      </c>
      <c r="B58" s="1" t="s">
        <v>122</v>
      </c>
      <c r="C58" s="2">
        <v>22834483901.03</v>
      </c>
      <c r="D58" s="10">
        <v>39659244130.93</v>
      </c>
      <c r="E58" s="4">
        <f>C58/D58</f>
        <v>0.575766997112825</v>
      </c>
      <c r="F58" s="10">
        <v>2566624070.8</v>
      </c>
      <c r="I58" s="1">
        <v>15.31</v>
      </c>
      <c r="J58" s="1">
        <v>16.71</v>
      </c>
      <c r="K58" s="1">
        <v>0.75</v>
      </c>
      <c r="L58" s="1">
        <v>-28.24</v>
      </c>
      <c r="M58" s="1">
        <v>34.38</v>
      </c>
    </row>
    <row r="59" spans="1:13">
      <c r="A59" s="1">
        <v>2019</v>
      </c>
      <c r="B59" s="1" t="s">
        <v>122</v>
      </c>
      <c r="C59" s="2">
        <v>31009156432.98</v>
      </c>
      <c r="D59" s="10">
        <v>59303973110.53</v>
      </c>
      <c r="E59" s="4">
        <f>C59/D59</f>
        <v>0.522884973915416</v>
      </c>
      <c r="F59" s="10">
        <v>5557163763.15</v>
      </c>
      <c r="I59" s="1">
        <v>23.09</v>
      </c>
      <c r="J59" s="1">
        <v>23.93</v>
      </c>
      <c r="K59" s="1">
        <v>1.47</v>
      </c>
      <c r="L59" s="1">
        <v>106.4</v>
      </c>
      <c r="M59" s="1">
        <v>49.62</v>
      </c>
    </row>
    <row r="60" spans="1:13">
      <c r="A60" s="1">
        <v>2020</v>
      </c>
      <c r="B60" s="1" t="s">
        <v>122</v>
      </c>
      <c r="C60" s="2">
        <v>52036767690.64</v>
      </c>
      <c r="D60" s="10">
        <v>87634828684.09</v>
      </c>
      <c r="E60" s="4">
        <f>C60/D60</f>
        <v>0.593790944445438</v>
      </c>
      <c r="F60" s="10">
        <v>8699695922.45</v>
      </c>
      <c r="I60" s="1">
        <v>25.93</v>
      </c>
      <c r="J60" s="1">
        <v>27.23</v>
      </c>
      <c r="K60" s="1">
        <v>1.62</v>
      </c>
      <c r="L60" s="1">
        <v>61.99</v>
      </c>
      <c r="M60" s="1">
        <v>65.92</v>
      </c>
    </row>
    <row r="61" spans="1:64">
      <c r="A61" s="1">
        <v>2021</v>
      </c>
      <c r="B61" s="1" t="s">
        <v>122</v>
      </c>
      <c r="C61" s="2">
        <v>50148006257.57</v>
      </c>
      <c r="D61" s="10">
        <v>97734879281.67</v>
      </c>
      <c r="E61" s="4">
        <f>C61/D61</f>
        <v>0.513102452534314</v>
      </c>
      <c r="F61" s="10">
        <v>9073810918.74</v>
      </c>
      <c r="I61" s="1">
        <v>20.84</v>
      </c>
      <c r="J61" s="1">
        <v>21.45</v>
      </c>
      <c r="K61" s="1">
        <v>1.69</v>
      </c>
      <c r="L61" s="1">
        <v>6.24</v>
      </c>
      <c r="M61" s="1">
        <v>48.27</v>
      </c>
      <c r="P61" s="4">
        <v>0.6</v>
      </c>
      <c r="Q61" s="4">
        <v>0.4</v>
      </c>
      <c r="R61" s="10">
        <v>355384356.77</v>
      </c>
      <c r="S61" s="10">
        <v>831942196.7</v>
      </c>
      <c r="T61" s="10">
        <v>-18220056.88</v>
      </c>
      <c r="U61" s="10">
        <v>2415965626.06</v>
      </c>
      <c r="V61" s="10">
        <v>1125286240.29</v>
      </c>
      <c r="W61" s="10">
        <v>4351411265.99</v>
      </c>
      <c r="X61" s="10">
        <v>2786474497.52</v>
      </c>
      <c r="Y61" s="10">
        <v>3231724964.7</v>
      </c>
      <c r="Z61" s="10">
        <v>1661345365.66</v>
      </c>
      <c r="AB61" s="10">
        <v>1095952339.11</v>
      </c>
      <c r="AC61" s="10">
        <f>U61+V61+W61+X61</f>
        <v>10679137629.86</v>
      </c>
      <c r="AD61" s="10">
        <f>Y61+Z61+AA61+AB61</f>
        <v>5989022669.47</v>
      </c>
      <c r="AE61" s="4">
        <f>(R61)/((AC61+AD61)/2)</f>
        <v>0.0426423012963566</v>
      </c>
      <c r="AF61" s="1">
        <v>0.25</v>
      </c>
      <c r="AG61" s="11">
        <f>AE61*P61*(1-AF61)+0.08*Q61</f>
        <v>0.0511890355833605</v>
      </c>
      <c r="AK61" s="10">
        <v>1173271527.53</v>
      </c>
      <c r="AN61" s="4">
        <v>0.5</v>
      </c>
      <c r="AO61" s="4">
        <v>0.05</v>
      </c>
      <c r="AP61" s="10">
        <f>AK61/AG61</f>
        <v>22920367890.4899</v>
      </c>
      <c r="AQ61" s="10">
        <f>AK61*(1+AO61)/(AG61-AO61)</f>
        <v>1036079257127.67</v>
      </c>
      <c r="AR61" s="10">
        <f>(AK61*(1+AN61))/(1+AG61)+(AK61*(1+AN61)^2)/(1+AG61)^2+(AK61*(1+AN61)^3)/(1+AG61)^3+AK61*(1+AN61)^3*(1+AO61)/(AG61-AO61)*(1+AG61)^3</f>
        <v>4069185154614.75</v>
      </c>
      <c r="AS61" s="10">
        <f>(AK61*(1+AN61))/(1+AG61)+(AK61*(1+AN61)^2)/(1+AG61)^2+(AK61*(1+AN61)^3)/(1+AG61)^3+(AK61*(1+AN61)^4)/(1+AG61)^4+(AK61*(1+AN61)^5)/(1+AG61)^5+AK61*(1+AN61)^5*(1+AO61)/(AG61-AO61)*(1+AG61)^5</f>
        <v>10117697218764.8</v>
      </c>
      <c r="AW61" s="10">
        <v>5412952708</v>
      </c>
      <c r="AX61" s="10">
        <f>AP61+AU61+AV61</f>
        <v>22920367890.4899</v>
      </c>
      <c r="AY61" s="10">
        <f>AQ61+AU61+AV61</f>
        <v>1036079257127.67</v>
      </c>
      <c r="AZ61" s="10">
        <f>AR61+AU61+AV61</f>
        <v>4069185154614.75</v>
      </c>
      <c r="BA61" s="10">
        <f>AS61+AU61+AV61</f>
        <v>10117697218764.8</v>
      </c>
      <c r="BB61" s="10">
        <v>139125704.41</v>
      </c>
      <c r="BD61" s="10">
        <f>AX61*(1-E61)</f>
        <v>11159870912.8908</v>
      </c>
      <c r="BE61" s="10">
        <f>AY61*(1-E61)</f>
        <v>504464449275.532</v>
      </c>
      <c r="BF61" s="10">
        <f>AZ61*(1-E61)</f>
        <v>1981276271965.7</v>
      </c>
      <c r="BG61" s="10">
        <f>BA61*(1-E61)</f>
        <v>4926281961816.99</v>
      </c>
      <c r="BI61" s="12">
        <f>BD61/AW61</f>
        <v>2.06169747176937</v>
      </c>
      <c r="BJ61" s="35">
        <f>BE61/AW61</f>
        <v>93.1957983911378</v>
      </c>
      <c r="BK61" s="35">
        <f>BF61/AW61</f>
        <v>366.025047482403</v>
      </c>
      <c r="BL61" s="12">
        <f>BG61/AW61</f>
        <v>910.091446861572</v>
      </c>
    </row>
    <row r="62" s="9" customFormat="1" spans="1:64">
      <c r="A62" s="13" t="s">
        <v>119</v>
      </c>
      <c r="B62" s="13"/>
      <c r="C62" s="13"/>
      <c r="D62" s="15"/>
      <c r="E62" s="17"/>
      <c r="F62" s="15"/>
      <c r="G62" s="15"/>
      <c r="H62" s="15"/>
      <c r="I62" s="13"/>
      <c r="J62" s="13"/>
      <c r="K62" s="18">
        <f>AVERAGE(K51:K61)</f>
        <v>0.843636363636364</v>
      </c>
      <c r="L62" s="13"/>
      <c r="M62" s="13"/>
      <c r="N62" s="13"/>
      <c r="O62" s="15"/>
      <c r="P62" s="17"/>
      <c r="Q62" s="17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7"/>
      <c r="AF62" s="13"/>
      <c r="AG62" s="19"/>
      <c r="AH62" s="15"/>
      <c r="AI62" s="13"/>
      <c r="AJ62" s="13"/>
      <c r="AK62" s="13"/>
      <c r="AL62" s="13"/>
      <c r="AM62" s="13"/>
      <c r="AN62" s="17"/>
      <c r="AO62" s="17"/>
      <c r="AP62" s="15"/>
      <c r="AQ62" s="15"/>
      <c r="AR62" s="15"/>
      <c r="AS62" s="15"/>
      <c r="AT62" s="15"/>
      <c r="AU62" s="15"/>
      <c r="AV62" s="13"/>
      <c r="AW62" s="13"/>
      <c r="AX62" s="15"/>
      <c r="AY62" s="15"/>
      <c r="AZ62" s="15"/>
      <c r="BA62" s="15"/>
      <c r="BB62" s="15"/>
      <c r="BC62" s="15"/>
      <c r="BD62" s="15"/>
      <c r="BE62" s="15"/>
      <c r="BF62" s="15"/>
      <c r="BG62" s="15"/>
      <c r="BH62" s="15"/>
      <c r="BI62" s="18"/>
      <c r="BJ62" s="18"/>
      <c r="BK62" s="18"/>
      <c r="BL62" s="18"/>
    </row>
    <row r="63" spans="1:2">
      <c r="A63" s="1">
        <v>2008</v>
      </c>
      <c r="B63" s="1" t="s">
        <v>123</v>
      </c>
    </row>
    <row r="64" spans="1:11">
      <c r="A64" s="1">
        <v>2009</v>
      </c>
      <c r="B64" s="1" t="s">
        <v>123</v>
      </c>
      <c r="E64" s="4">
        <v>0.4689</v>
      </c>
      <c r="J64" s="1">
        <v>103.62</v>
      </c>
      <c r="K64" s="1">
        <v>0.36</v>
      </c>
    </row>
    <row r="65" spans="1:11">
      <c r="A65" s="1">
        <v>2010</v>
      </c>
      <c r="B65" s="1" t="s">
        <v>123</v>
      </c>
      <c r="E65" s="4">
        <v>0.2002</v>
      </c>
      <c r="J65" s="1">
        <v>120.7</v>
      </c>
      <c r="K65" s="1">
        <v>1.61</v>
      </c>
    </row>
    <row r="66" spans="1:11">
      <c r="A66" s="1">
        <v>2011</v>
      </c>
      <c r="B66" s="1" t="s">
        <v>123</v>
      </c>
      <c r="E66" s="4">
        <v>0.1289</v>
      </c>
      <c r="J66" s="1">
        <v>60.39</v>
      </c>
      <c r="K66" s="1">
        <v>1.79</v>
      </c>
    </row>
    <row r="67" spans="1:11">
      <c r="A67" s="1">
        <v>2012</v>
      </c>
      <c r="B67" s="1" t="s">
        <v>123</v>
      </c>
      <c r="E67" s="4">
        <v>0.1432</v>
      </c>
      <c r="J67" s="1">
        <v>32.41</v>
      </c>
      <c r="K67" s="1">
        <v>1.47</v>
      </c>
    </row>
    <row r="68" spans="1:13">
      <c r="A68" s="1">
        <v>2013</v>
      </c>
      <c r="B68" s="1" t="s">
        <v>123</v>
      </c>
      <c r="E68" s="4">
        <v>0.1901</v>
      </c>
      <c r="J68" s="1">
        <v>33.32</v>
      </c>
      <c r="K68" s="1">
        <v>1.74</v>
      </c>
      <c r="L68" s="1">
        <v>18.52</v>
      </c>
      <c r="M68" s="1">
        <v>-10.78</v>
      </c>
    </row>
    <row r="69" spans="1:13">
      <c r="A69" s="1">
        <v>2014</v>
      </c>
      <c r="B69" s="1" t="s">
        <v>123</v>
      </c>
      <c r="E69" s="4">
        <v>0.1075</v>
      </c>
      <c r="J69" s="1">
        <v>17.7</v>
      </c>
      <c r="K69" s="1">
        <v>1.21</v>
      </c>
      <c r="L69" s="1">
        <v>-27.45</v>
      </c>
      <c r="M69" s="1">
        <v>21.89</v>
      </c>
    </row>
    <row r="70" spans="1:13">
      <c r="A70" s="1">
        <v>2015</v>
      </c>
      <c r="B70" s="1" t="s">
        <v>123</v>
      </c>
      <c r="E70" s="4">
        <v>0.1172</v>
      </c>
      <c r="J70" s="1">
        <v>16.1</v>
      </c>
      <c r="K70" s="1">
        <v>1.61</v>
      </c>
      <c r="L70" s="1">
        <v>49.8</v>
      </c>
      <c r="M70" s="1">
        <v>39.69</v>
      </c>
    </row>
    <row r="71" spans="1:13">
      <c r="A71" s="1">
        <v>2016</v>
      </c>
      <c r="B71" s="1" t="s">
        <v>123</v>
      </c>
      <c r="E71" s="4">
        <v>0.1192</v>
      </c>
      <c r="J71" s="1">
        <v>18.81</v>
      </c>
      <c r="K71" s="1">
        <v>2.11</v>
      </c>
      <c r="L71" s="1">
        <v>30.97</v>
      </c>
      <c r="M71" s="1">
        <v>18.57</v>
      </c>
    </row>
    <row r="72" spans="1:13">
      <c r="A72" s="1">
        <v>2017</v>
      </c>
      <c r="B72" s="1" t="s">
        <v>123</v>
      </c>
      <c r="E72" s="4">
        <v>0.1183</v>
      </c>
      <c r="J72" s="1">
        <v>12.03</v>
      </c>
      <c r="K72" s="1">
        <v>1.12</v>
      </c>
      <c r="L72" s="1">
        <v>-30.97</v>
      </c>
      <c r="M72" s="1">
        <v>16.03</v>
      </c>
    </row>
    <row r="73" spans="1:13">
      <c r="A73" s="1">
        <v>2018</v>
      </c>
      <c r="B73" s="1" t="s">
        <v>123</v>
      </c>
      <c r="E73" s="4">
        <v>0.1394</v>
      </c>
      <c r="J73" s="1">
        <v>14.31</v>
      </c>
      <c r="K73" s="1">
        <v>1.44</v>
      </c>
      <c r="L73" s="1">
        <v>28.38</v>
      </c>
      <c r="M73" s="1">
        <v>4.9</v>
      </c>
    </row>
    <row r="74" spans="1:13">
      <c r="A74" s="1">
        <v>2019</v>
      </c>
      <c r="B74" s="1" t="s">
        <v>123</v>
      </c>
      <c r="E74" s="4">
        <v>0.2138</v>
      </c>
      <c r="J74" s="1">
        <v>16.24</v>
      </c>
      <c r="K74" s="1">
        <v>1.31</v>
      </c>
      <c r="L74" s="1">
        <v>27.39</v>
      </c>
      <c r="M74" s="1">
        <v>32.61</v>
      </c>
    </row>
    <row r="75" spans="1:13">
      <c r="A75" s="1">
        <v>2020</v>
      </c>
      <c r="B75" s="1" t="s">
        <v>123</v>
      </c>
      <c r="E75" s="4">
        <v>0.2179</v>
      </c>
      <c r="J75" s="1">
        <v>20.92</v>
      </c>
      <c r="K75" s="1">
        <v>1.74</v>
      </c>
      <c r="L75" s="1">
        <v>63.52</v>
      </c>
      <c r="M75" s="1">
        <v>31.59</v>
      </c>
    </row>
    <row r="76" spans="1:13">
      <c r="A76" s="1">
        <v>2021</v>
      </c>
      <c r="B76" s="1" t="s">
        <v>123</v>
      </c>
      <c r="E76" s="4">
        <v>0.1094</v>
      </c>
      <c r="J76" s="1">
        <v>21.06</v>
      </c>
      <c r="K76" s="1">
        <v>2.35</v>
      </c>
      <c r="L76" s="1">
        <v>40.35</v>
      </c>
      <c r="M76" s="1">
        <v>53.2</v>
      </c>
    </row>
    <row r="77" s="9" customFormat="1" spans="1:64">
      <c r="A77" s="13" t="s">
        <v>119</v>
      </c>
      <c r="B77" s="13"/>
      <c r="C77" s="13"/>
      <c r="D77" s="15"/>
      <c r="E77" s="17"/>
      <c r="F77" s="15"/>
      <c r="G77" s="15"/>
      <c r="H77" s="15"/>
      <c r="I77" s="13"/>
      <c r="J77" s="13"/>
      <c r="K77" s="18">
        <f>AVERAGE(K64:K76)</f>
        <v>1.52769230769231</v>
      </c>
      <c r="L77" s="13"/>
      <c r="M77" s="13"/>
      <c r="N77" s="13"/>
      <c r="O77" s="15"/>
      <c r="P77" s="17"/>
      <c r="Q77" s="17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7"/>
      <c r="AF77" s="13"/>
      <c r="AG77" s="19"/>
      <c r="AH77" s="15"/>
      <c r="AI77" s="13"/>
      <c r="AJ77" s="13"/>
      <c r="AK77" s="13"/>
      <c r="AL77" s="13"/>
      <c r="AM77" s="13"/>
      <c r="AN77" s="17"/>
      <c r="AO77" s="17"/>
      <c r="AP77" s="15"/>
      <c r="AQ77" s="15"/>
      <c r="AR77" s="15"/>
      <c r="AS77" s="15"/>
      <c r="AT77" s="15"/>
      <c r="AU77" s="15"/>
      <c r="AV77" s="13"/>
      <c r="AW77" s="13"/>
      <c r="AX77" s="15"/>
      <c r="AY77" s="15"/>
      <c r="AZ77" s="15"/>
      <c r="BA77" s="15"/>
      <c r="BB77" s="15"/>
      <c r="BC77" s="15"/>
      <c r="BD77" s="15"/>
      <c r="BE77" s="15"/>
      <c r="BF77" s="15"/>
      <c r="BG77" s="15"/>
      <c r="BH77" s="15"/>
      <c r="BI77" s="18"/>
      <c r="BJ77" s="18"/>
      <c r="BK77" s="18"/>
      <c r="BL77" s="18"/>
    </row>
    <row r="78" spans="1:11">
      <c r="A78" s="1">
        <v>2014</v>
      </c>
      <c r="B78" s="1" t="s">
        <v>124</v>
      </c>
      <c r="J78" s="1">
        <v>14.29</v>
      </c>
      <c r="K78" s="1">
        <v>0.4</v>
      </c>
    </row>
    <row r="79" spans="1:11">
      <c r="A79" s="1">
        <v>2015</v>
      </c>
      <c r="B79" s="1" t="s">
        <v>124</v>
      </c>
      <c r="J79" s="1">
        <v>13.8</v>
      </c>
      <c r="K79" s="1">
        <v>0.27</v>
      </c>
    </row>
    <row r="80" spans="1:11">
      <c r="A80" s="1">
        <v>2016</v>
      </c>
      <c r="B80" s="1" t="s">
        <v>124</v>
      </c>
      <c r="J80" s="1">
        <v>14.38</v>
      </c>
      <c r="K80" s="1">
        <v>0.32</v>
      </c>
    </row>
    <row r="81" spans="1:11">
      <c r="A81" s="1">
        <v>2017</v>
      </c>
      <c r="B81" s="1" t="s">
        <v>124</v>
      </c>
      <c r="J81" s="1">
        <v>16.07</v>
      </c>
      <c r="K81" s="1">
        <v>0.52</v>
      </c>
    </row>
    <row r="82" spans="1:11">
      <c r="A82" s="1">
        <v>2018</v>
      </c>
      <c r="B82" s="1" t="s">
        <v>124</v>
      </c>
      <c r="J82" s="1">
        <v>14.43</v>
      </c>
      <c r="K82" s="1">
        <v>0.52</v>
      </c>
    </row>
    <row r="83" spans="1:11">
      <c r="A83" s="1">
        <v>2019</v>
      </c>
      <c r="B83" s="1" t="s">
        <v>124</v>
      </c>
      <c r="J83" s="1">
        <v>16.14</v>
      </c>
      <c r="K83" s="1">
        <v>0.68</v>
      </c>
    </row>
    <row r="84" spans="1:11">
      <c r="A84" s="1">
        <v>2020</v>
      </c>
      <c r="B84" s="1" t="s">
        <v>124</v>
      </c>
      <c r="J84" s="1">
        <v>16.13</v>
      </c>
      <c r="K84" s="1">
        <v>0.86</v>
      </c>
    </row>
    <row r="85" spans="1:11">
      <c r="A85" s="1">
        <v>2021</v>
      </c>
      <c r="B85" s="1" t="s">
        <v>124</v>
      </c>
      <c r="J85" s="1">
        <v>24.24</v>
      </c>
      <c r="K85" s="1">
        <v>1.82</v>
      </c>
    </row>
    <row r="86" s="9" customFormat="1" spans="1:64">
      <c r="A86" s="13" t="s">
        <v>119</v>
      </c>
      <c r="B86" s="13"/>
      <c r="C86" s="13"/>
      <c r="D86" s="15"/>
      <c r="E86" s="17"/>
      <c r="F86" s="15"/>
      <c r="G86" s="15"/>
      <c r="H86" s="15"/>
      <c r="I86" s="13"/>
      <c r="J86" s="13"/>
      <c r="K86" s="18">
        <f>AVERAGE(K78:K85)</f>
        <v>0.67375</v>
      </c>
      <c r="L86" s="13"/>
      <c r="M86" s="13"/>
      <c r="N86" s="13"/>
      <c r="O86" s="15"/>
      <c r="P86" s="17"/>
      <c r="Q86" s="17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7"/>
      <c r="AF86" s="13"/>
      <c r="AG86" s="19"/>
      <c r="AH86" s="15"/>
      <c r="AI86" s="13"/>
      <c r="AJ86" s="13"/>
      <c r="AK86" s="13"/>
      <c r="AL86" s="13"/>
      <c r="AM86" s="13"/>
      <c r="AN86" s="17"/>
      <c r="AO86" s="17"/>
      <c r="AP86" s="15"/>
      <c r="AQ86" s="15"/>
      <c r="AR86" s="15"/>
      <c r="AS86" s="15"/>
      <c r="AT86" s="15"/>
      <c r="AU86" s="15"/>
      <c r="AV86" s="13"/>
      <c r="AW86" s="13"/>
      <c r="AX86" s="15"/>
      <c r="AY86" s="15"/>
      <c r="AZ86" s="15"/>
      <c r="BA86" s="15"/>
      <c r="BB86" s="15"/>
      <c r="BC86" s="15"/>
      <c r="BD86" s="15"/>
      <c r="BE86" s="15"/>
      <c r="BF86" s="15"/>
      <c r="BG86" s="15"/>
      <c r="BH86" s="15"/>
      <c r="BI86" s="18"/>
      <c r="BJ86" s="18"/>
      <c r="BK86" s="18"/>
      <c r="BL86" s="18"/>
    </row>
    <row r="87" spans="1:11">
      <c r="A87" s="1">
        <v>2011</v>
      </c>
      <c r="B87" s="1" t="s">
        <v>125</v>
      </c>
      <c r="E87" s="4">
        <v>0.3549</v>
      </c>
      <c r="J87" s="1">
        <v>16.09</v>
      </c>
      <c r="K87" s="1">
        <v>0.29</v>
      </c>
    </row>
    <row r="88" spans="1:11">
      <c r="A88" s="1">
        <v>2012</v>
      </c>
      <c r="B88" s="1" t="s">
        <v>125</v>
      </c>
      <c r="E88" s="4">
        <v>0.3566</v>
      </c>
      <c r="J88" s="1">
        <v>29.28</v>
      </c>
      <c r="K88" s="1">
        <v>0.86</v>
      </c>
    </row>
    <row r="89" spans="1:11">
      <c r="A89" s="1">
        <v>2013</v>
      </c>
      <c r="B89" s="1" t="s">
        <v>125</v>
      </c>
      <c r="E89" s="4">
        <v>0.3016</v>
      </c>
      <c r="J89" s="1">
        <v>22.51</v>
      </c>
      <c r="K89" s="1">
        <v>0.9</v>
      </c>
    </row>
    <row r="90" spans="1:11">
      <c r="A90" s="1">
        <v>2014</v>
      </c>
      <c r="B90" s="1" t="s">
        <v>125</v>
      </c>
      <c r="E90" s="4">
        <v>0.3401</v>
      </c>
      <c r="J90" s="1">
        <v>25.78</v>
      </c>
      <c r="K90" s="1">
        <v>1.31</v>
      </c>
    </row>
    <row r="91" spans="1:13">
      <c r="A91" s="1">
        <v>2015</v>
      </c>
      <c r="B91" s="1" t="s">
        <v>125</v>
      </c>
      <c r="E91" s="4">
        <v>0.3658</v>
      </c>
      <c r="J91" s="1">
        <v>31.92</v>
      </c>
      <c r="K91" s="1">
        <v>2.1</v>
      </c>
      <c r="L91" s="1">
        <v>60.8</v>
      </c>
      <c r="M91" s="1">
        <v>25.57</v>
      </c>
    </row>
    <row r="92" spans="1:13">
      <c r="A92" s="1">
        <v>2016</v>
      </c>
      <c r="B92" s="1" t="s">
        <v>125</v>
      </c>
      <c r="E92" s="4">
        <v>0.2339</v>
      </c>
      <c r="J92" s="1">
        <v>21.18</v>
      </c>
      <c r="K92" s="1">
        <v>1.06</v>
      </c>
      <c r="L92" s="1">
        <v>11.82</v>
      </c>
      <c r="M92" s="1">
        <v>25.25</v>
      </c>
    </row>
    <row r="93" spans="1:13">
      <c r="A93" s="1">
        <v>2017</v>
      </c>
      <c r="B93" s="1" t="s">
        <v>125</v>
      </c>
      <c r="E93" s="4">
        <v>0.3174</v>
      </c>
      <c r="J93" s="1">
        <v>26.27</v>
      </c>
      <c r="K93" s="1">
        <v>1.42</v>
      </c>
      <c r="L93" s="1">
        <v>125.26</v>
      </c>
      <c r="M93" s="1">
        <v>36.32</v>
      </c>
    </row>
    <row r="94" spans="1:13">
      <c r="A94" s="1">
        <v>2018</v>
      </c>
      <c r="B94" s="1" t="s">
        <v>125</v>
      </c>
      <c r="E94" s="4">
        <v>0.3368</v>
      </c>
      <c r="J94" s="1">
        <v>22.25</v>
      </c>
      <c r="K94" s="1">
        <v>1.44</v>
      </c>
      <c r="L94" s="1">
        <v>1.91</v>
      </c>
      <c r="M94" s="1">
        <v>10.65</v>
      </c>
    </row>
    <row r="95" spans="1:13">
      <c r="A95" s="1">
        <v>2019</v>
      </c>
      <c r="B95" s="1" t="s">
        <v>125</v>
      </c>
      <c r="E95" s="4">
        <v>0.1535</v>
      </c>
      <c r="J95" s="1">
        <v>16.96</v>
      </c>
      <c r="K95" s="1">
        <v>1.44</v>
      </c>
      <c r="L95" s="1">
        <v>49.85</v>
      </c>
      <c r="M95" s="1">
        <v>42.62</v>
      </c>
    </row>
    <row r="96" spans="1:13">
      <c r="A96" s="1">
        <v>2020</v>
      </c>
      <c r="B96" s="1" t="s">
        <v>125</v>
      </c>
      <c r="E96" s="4">
        <v>0.0868</v>
      </c>
      <c r="J96" s="1">
        <v>10.64</v>
      </c>
      <c r="K96" s="1">
        <v>1.36</v>
      </c>
      <c r="L96" s="1">
        <v>45.11</v>
      </c>
      <c r="M96" s="1">
        <v>40.4</v>
      </c>
    </row>
    <row r="97" spans="1:13">
      <c r="A97" s="1">
        <v>2021</v>
      </c>
      <c r="B97" s="1" t="s">
        <v>125</v>
      </c>
      <c r="E97" s="4">
        <v>0.1255</v>
      </c>
      <c r="I97" s="1">
        <v>18.4014</v>
      </c>
      <c r="J97" s="1">
        <v>19.44</v>
      </c>
      <c r="K97" s="1">
        <v>3.54</v>
      </c>
      <c r="L97" s="1">
        <v>165.33</v>
      </c>
      <c r="M97" s="1">
        <v>89.25</v>
      </c>
    </row>
    <row r="98" s="9" customFormat="1" spans="1:64">
      <c r="A98" s="13" t="s">
        <v>119</v>
      </c>
      <c r="B98" s="13"/>
      <c r="C98" s="13"/>
      <c r="D98" s="15"/>
      <c r="E98" s="17"/>
      <c r="F98" s="15"/>
      <c r="G98" s="15"/>
      <c r="H98" s="15"/>
      <c r="I98" s="13"/>
      <c r="J98" s="13"/>
      <c r="K98" s="18">
        <f>AVERAGE(K87:K97)</f>
        <v>1.42909090909091</v>
      </c>
      <c r="L98" s="13"/>
      <c r="M98" s="13"/>
      <c r="N98" s="13"/>
      <c r="O98" s="15"/>
      <c r="P98" s="17"/>
      <c r="Q98" s="17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7"/>
      <c r="AF98" s="13"/>
      <c r="AG98" s="19"/>
      <c r="AH98" s="15"/>
      <c r="AI98" s="13"/>
      <c r="AJ98" s="13"/>
      <c r="AK98" s="13"/>
      <c r="AL98" s="13"/>
      <c r="AM98" s="13"/>
      <c r="AN98" s="17"/>
      <c r="AO98" s="17"/>
      <c r="AP98" s="15"/>
      <c r="AQ98" s="15"/>
      <c r="AR98" s="15"/>
      <c r="AS98" s="15"/>
      <c r="AT98" s="15"/>
      <c r="AU98" s="15"/>
      <c r="AV98" s="13"/>
      <c r="AW98" s="13"/>
      <c r="AX98" s="15"/>
      <c r="AY98" s="15"/>
      <c r="AZ98" s="15"/>
      <c r="BA98" s="15"/>
      <c r="BB98" s="15"/>
      <c r="BC98" s="15"/>
      <c r="BD98" s="15"/>
      <c r="BE98" s="15"/>
      <c r="BF98" s="15"/>
      <c r="BG98" s="15"/>
      <c r="BH98" s="15"/>
      <c r="BI98" s="18"/>
      <c r="BJ98" s="18"/>
      <c r="BK98" s="18"/>
      <c r="BL98" s="18"/>
    </row>
    <row r="99" spans="1:11">
      <c r="A99" s="1">
        <v>2018</v>
      </c>
      <c r="B99" s="1" t="s">
        <v>126</v>
      </c>
      <c r="E99" s="4">
        <v>0.2592</v>
      </c>
      <c r="J99" s="1">
        <v>50.07</v>
      </c>
      <c r="K99" s="1">
        <v>0.88</v>
      </c>
    </row>
    <row r="100" spans="1:13">
      <c r="A100" s="1">
        <v>2019</v>
      </c>
      <c r="B100" s="1" t="s">
        <v>126</v>
      </c>
      <c r="E100" s="4">
        <v>0.1939</v>
      </c>
      <c r="J100" s="1">
        <v>37.46</v>
      </c>
      <c r="K100" s="1">
        <v>1.01</v>
      </c>
      <c r="L100" s="1">
        <v>15.11</v>
      </c>
      <c r="M100" s="1">
        <v>32.74</v>
      </c>
    </row>
    <row r="101" spans="1:13">
      <c r="A101" s="1">
        <v>2020</v>
      </c>
      <c r="B101" s="1" t="s">
        <v>126</v>
      </c>
      <c r="E101" s="4">
        <v>0.0871</v>
      </c>
      <c r="J101" s="1">
        <v>17.05</v>
      </c>
      <c r="K101" s="1">
        <v>0.62</v>
      </c>
      <c r="L101" s="1">
        <v>-31.74</v>
      </c>
      <c r="M101" s="1">
        <v>31.97</v>
      </c>
    </row>
    <row r="102" spans="1:13">
      <c r="A102" s="1">
        <v>2021</v>
      </c>
      <c r="B102" s="1" t="s">
        <v>126</v>
      </c>
      <c r="E102" s="4">
        <v>0.0707</v>
      </c>
      <c r="J102" s="1">
        <v>25.92</v>
      </c>
      <c r="K102" s="1">
        <v>1.91</v>
      </c>
      <c r="L102" s="1">
        <v>251.71</v>
      </c>
      <c r="M102" s="1">
        <v>20.6</v>
      </c>
    </row>
    <row r="103" s="9" customFormat="1" spans="1:64">
      <c r="A103" s="13" t="s">
        <v>119</v>
      </c>
      <c r="B103" s="13"/>
      <c r="C103" s="13"/>
      <c r="D103" s="15"/>
      <c r="E103" s="17"/>
      <c r="F103" s="15"/>
      <c r="G103" s="15"/>
      <c r="H103" s="15"/>
      <c r="I103" s="13"/>
      <c r="J103" s="13"/>
      <c r="K103" s="13"/>
      <c r="L103" s="13"/>
      <c r="M103" s="13"/>
      <c r="N103" s="13"/>
      <c r="O103" s="15"/>
      <c r="P103" s="17"/>
      <c r="Q103" s="17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  <c r="AC103" s="15"/>
      <c r="AD103" s="15"/>
      <c r="AE103" s="17"/>
      <c r="AF103" s="13"/>
      <c r="AG103" s="19"/>
      <c r="AH103" s="15"/>
      <c r="AI103" s="13"/>
      <c r="AJ103" s="13"/>
      <c r="AK103" s="13"/>
      <c r="AL103" s="13"/>
      <c r="AM103" s="13"/>
      <c r="AN103" s="17"/>
      <c r="AO103" s="17"/>
      <c r="AP103" s="15"/>
      <c r="AQ103" s="15"/>
      <c r="AR103" s="15"/>
      <c r="AS103" s="15"/>
      <c r="AT103" s="15"/>
      <c r="AU103" s="15"/>
      <c r="AV103" s="13"/>
      <c r="AW103" s="13"/>
      <c r="AX103" s="15"/>
      <c r="AY103" s="15"/>
      <c r="AZ103" s="15"/>
      <c r="BA103" s="15"/>
      <c r="BB103" s="15"/>
      <c r="BC103" s="15"/>
      <c r="BD103" s="15"/>
      <c r="BE103" s="15"/>
      <c r="BF103" s="15"/>
      <c r="BG103" s="15"/>
      <c r="BH103" s="15"/>
      <c r="BI103" s="18"/>
      <c r="BJ103" s="18"/>
      <c r="BK103" s="18"/>
      <c r="BL103" s="18"/>
    </row>
    <row r="104" spans="1:11">
      <c r="A104" s="1">
        <v>2012</v>
      </c>
      <c r="B104" s="1" t="s">
        <v>127</v>
      </c>
      <c r="E104" s="4">
        <v>0.5841</v>
      </c>
      <c r="J104" s="1">
        <v>39.11</v>
      </c>
      <c r="K104" s="1">
        <v>1.96</v>
      </c>
    </row>
    <row r="105" spans="1:11">
      <c r="A105" s="1">
        <v>2013</v>
      </c>
      <c r="B105" s="1" t="s">
        <v>127</v>
      </c>
      <c r="E105" s="4">
        <v>0.5518</v>
      </c>
      <c r="J105" s="1">
        <v>46.27</v>
      </c>
      <c r="K105" s="1">
        <v>1.9</v>
      </c>
    </row>
    <row r="106" spans="1:11">
      <c r="A106" s="1">
        <v>2014</v>
      </c>
      <c r="B106" s="1" t="s">
        <v>127</v>
      </c>
      <c r="E106" s="4">
        <v>0.5474</v>
      </c>
      <c r="J106" s="1">
        <v>24.52</v>
      </c>
      <c r="K106" s="1">
        <v>0.28</v>
      </c>
    </row>
    <row r="107" spans="1:11">
      <c r="A107" s="1">
        <v>2015</v>
      </c>
      <c r="B107" s="1" t="s">
        <v>127</v>
      </c>
      <c r="E107" s="4">
        <v>0.5558</v>
      </c>
      <c r="J107" s="1">
        <v>19.86</v>
      </c>
      <c r="K107" s="1">
        <v>0.31</v>
      </c>
    </row>
    <row r="108" spans="1:11">
      <c r="A108" s="1">
        <v>2016</v>
      </c>
      <c r="B108" s="1" t="s">
        <v>127</v>
      </c>
      <c r="E108" s="4">
        <v>0.5085</v>
      </c>
      <c r="J108" s="1">
        <v>19.53</v>
      </c>
      <c r="K108" s="1">
        <v>0.38</v>
      </c>
    </row>
    <row r="109" spans="1:11">
      <c r="A109" s="1">
        <v>2017</v>
      </c>
      <c r="B109" s="1" t="s">
        <v>127</v>
      </c>
      <c r="E109" s="4">
        <v>0.5785</v>
      </c>
      <c r="J109" s="1">
        <v>13.39</v>
      </c>
      <c r="K109" s="1">
        <v>0.34</v>
      </c>
    </row>
    <row r="110" spans="1:11">
      <c r="A110" s="1">
        <v>2018</v>
      </c>
      <c r="B110" s="1" t="s">
        <v>127</v>
      </c>
      <c r="E110" s="4">
        <v>0.6425</v>
      </c>
      <c r="J110" s="1">
        <v>10.08</v>
      </c>
      <c r="K110" s="1">
        <v>0.29</v>
      </c>
    </row>
    <row r="111" spans="1:11">
      <c r="A111" s="1">
        <v>2019</v>
      </c>
      <c r="B111" s="1" t="s">
        <v>127</v>
      </c>
      <c r="E111" s="4">
        <v>0.5448</v>
      </c>
      <c r="J111" s="1">
        <v>10.17</v>
      </c>
      <c r="K111" s="1">
        <v>0.76</v>
      </c>
    </row>
    <row r="112" spans="1:11">
      <c r="A112" s="1">
        <v>2020</v>
      </c>
      <c r="B112" s="1" t="s">
        <v>127</v>
      </c>
      <c r="E112" s="4">
        <v>0.4911</v>
      </c>
      <c r="J112" s="1">
        <v>29.06</v>
      </c>
      <c r="K112" s="1">
        <v>3.21</v>
      </c>
    </row>
    <row r="113" spans="1:11">
      <c r="A113" s="1">
        <v>2021</v>
      </c>
      <c r="B113" s="1" t="s">
        <v>127</v>
      </c>
      <c r="E113" s="4">
        <v>0.4918</v>
      </c>
      <c r="J113" s="1">
        <v>33.06</v>
      </c>
      <c r="K113" s="1">
        <v>5.16</v>
      </c>
    </row>
    <row r="114" spans="1:1">
      <c r="A114" s="1" t="s">
        <v>119</v>
      </c>
    </row>
    <row r="115" spans="1:11">
      <c r="A115" s="1">
        <v>2013</v>
      </c>
      <c r="B115" s="1" t="s">
        <v>128</v>
      </c>
      <c r="E115" s="4">
        <v>0.2359</v>
      </c>
      <c r="J115" s="1">
        <v>12.36</v>
      </c>
      <c r="K115" s="1">
        <v>0.45</v>
      </c>
    </row>
    <row r="116" spans="1:11">
      <c r="A116" s="1">
        <v>2014</v>
      </c>
      <c r="B116" s="1" t="s">
        <v>128</v>
      </c>
      <c r="E116" s="4">
        <v>0.2479</v>
      </c>
      <c r="J116" s="1">
        <v>12.25</v>
      </c>
      <c r="K116" s="1">
        <v>0.5</v>
      </c>
    </row>
    <row r="117" spans="1:11">
      <c r="A117" s="1">
        <v>2015</v>
      </c>
      <c r="B117" s="1" t="s">
        <v>128</v>
      </c>
      <c r="E117" s="4">
        <v>0.2894</v>
      </c>
      <c r="J117" s="1">
        <v>12.24</v>
      </c>
      <c r="K117" s="1">
        <v>0.55</v>
      </c>
    </row>
    <row r="118" spans="1:11">
      <c r="A118" s="1">
        <v>2016</v>
      </c>
      <c r="B118" s="1" t="s">
        <v>128</v>
      </c>
      <c r="E118" s="4">
        <v>0.2666</v>
      </c>
      <c r="J118" s="1">
        <v>11.09</v>
      </c>
      <c r="K118" s="1">
        <v>0.55</v>
      </c>
    </row>
    <row r="119" spans="1:11">
      <c r="A119" s="1">
        <v>2017</v>
      </c>
      <c r="B119" s="1" t="s">
        <v>128</v>
      </c>
      <c r="E119" s="4">
        <v>0.3212</v>
      </c>
      <c r="J119" s="1">
        <v>8.39</v>
      </c>
      <c r="K119" s="1">
        <v>0.46</v>
      </c>
    </row>
    <row r="120" spans="1:11">
      <c r="A120" s="1">
        <v>2018</v>
      </c>
      <c r="B120" s="1" t="s">
        <v>128</v>
      </c>
      <c r="E120" s="4">
        <v>0.3362</v>
      </c>
      <c r="J120" s="1">
        <v>9.56</v>
      </c>
      <c r="K120" s="1">
        <v>0.57</v>
      </c>
    </row>
    <row r="121" spans="1:11">
      <c r="A121" s="1">
        <v>2019</v>
      </c>
      <c r="B121" s="1" t="s">
        <v>128</v>
      </c>
      <c r="E121" s="4">
        <v>0.3822</v>
      </c>
      <c r="J121" s="1">
        <v>10.15</v>
      </c>
      <c r="K121" s="1">
        <v>0.67</v>
      </c>
    </row>
    <row r="122" spans="1:11">
      <c r="A122" s="1">
        <v>2020</v>
      </c>
      <c r="B122" s="1" t="s">
        <v>128</v>
      </c>
      <c r="E122" s="4">
        <v>0.3487</v>
      </c>
      <c r="J122" s="1">
        <v>17.71</v>
      </c>
      <c r="K122" s="1">
        <v>1.33</v>
      </c>
    </row>
    <row r="123" spans="1:11">
      <c r="A123" s="1">
        <v>2021</v>
      </c>
      <c r="B123" s="1" t="s">
        <v>128</v>
      </c>
      <c r="E123" s="4">
        <v>0.371</v>
      </c>
      <c r="J123" s="1">
        <v>31.94</v>
      </c>
      <c r="K123" s="1">
        <v>3.22</v>
      </c>
    </row>
    <row r="124" spans="1:1">
      <c r="A124" s="1" t="s">
        <v>119</v>
      </c>
    </row>
    <row r="125" spans="1:11">
      <c r="A125" s="1">
        <v>2013</v>
      </c>
      <c r="B125" s="1" t="s">
        <v>129</v>
      </c>
      <c r="E125" s="4">
        <v>0.6007</v>
      </c>
      <c r="J125" s="1">
        <v>31.75</v>
      </c>
      <c r="K125" s="1">
        <v>4.82</v>
      </c>
    </row>
    <row r="126" spans="1:11">
      <c r="A126" s="1">
        <v>2014</v>
      </c>
      <c r="B126" s="1" t="s">
        <v>129</v>
      </c>
      <c r="E126" s="4">
        <v>0.4994</v>
      </c>
      <c r="J126" s="1">
        <v>22.98</v>
      </c>
      <c r="K126" s="1">
        <v>1.08</v>
      </c>
    </row>
    <row r="127" spans="1:11">
      <c r="A127" s="1">
        <v>2015</v>
      </c>
      <c r="B127" s="1" t="s">
        <v>129</v>
      </c>
      <c r="E127" s="4">
        <v>0.6519</v>
      </c>
      <c r="J127" s="1">
        <v>26.63</v>
      </c>
      <c r="K127" s="1">
        <v>1.15</v>
      </c>
    </row>
    <row r="128" spans="1:11">
      <c r="A128" s="1">
        <v>2016</v>
      </c>
      <c r="B128" s="1" t="s">
        <v>129</v>
      </c>
      <c r="E128" s="4">
        <v>0.5842</v>
      </c>
      <c r="J128" s="1">
        <v>7.54</v>
      </c>
      <c r="K128" s="1">
        <v>0.21</v>
      </c>
    </row>
    <row r="129" spans="1:11">
      <c r="A129" s="1">
        <v>2017</v>
      </c>
      <c r="B129" s="1" t="s">
        <v>129</v>
      </c>
      <c r="E129" s="4">
        <v>0.5322</v>
      </c>
      <c r="J129" s="1">
        <v>35.2</v>
      </c>
      <c r="K129" s="1">
        <v>1.04</v>
      </c>
    </row>
    <row r="130" spans="1:11">
      <c r="A130" s="1">
        <v>2018</v>
      </c>
      <c r="B130" s="1" t="s">
        <v>129</v>
      </c>
      <c r="E130" s="4">
        <v>0.4066</v>
      </c>
      <c r="J130" s="1">
        <v>25.05</v>
      </c>
      <c r="K130" s="1">
        <v>0.9</v>
      </c>
    </row>
    <row r="131" spans="1:11">
      <c r="A131" s="1">
        <v>2019</v>
      </c>
      <c r="B131" s="1" t="s">
        <v>129</v>
      </c>
      <c r="E131" s="4">
        <v>0.4263</v>
      </c>
      <c r="J131" s="1">
        <v>4.92</v>
      </c>
      <c r="K131" s="1">
        <v>0.22</v>
      </c>
    </row>
    <row r="132" spans="1:11">
      <c r="A132" s="1">
        <v>2020</v>
      </c>
      <c r="B132" s="1" t="s">
        <v>129</v>
      </c>
      <c r="E132" s="4">
        <v>0.4948</v>
      </c>
      <c r="J132" s="1">
        <v>22.93</v>
      </c>
      <c r="K132" s="1">
        <v>1.14</v>
      </c>
    </row>
    <row r="133" spans="1:11">
      <c r="A133" s="1">
        <v>2021</v>
      </c>
      <c r="B133" s="1" t="s">
        <v>129</v>
      </c>
      <c r="E133" s="4">
        <v>0.5236</v>
      </c>
      <c r="J133" s="1">
        <v>50.9</v>
      </c>
      <c r="K133" s="1">
        <v>3.59</v>
      </c>
    </row>
    <row r="134" spans="1:1">
      <c r="A134" s="1" t="s">
        <v>119</v>
      </c>
    </row>
    <row r="135" spans="1:2">
      <c r="A135" s="1">
        <v>2009</v>
      </c>
      <c r="B135" s="1" t="s">
        <v>62</v>
      </c>
    </row>
    <row r="136" spans="1:2">
      <c r="A136" s="1">
        <v>2010</v>
      </c>
      <c r="B136" s="1" t="s">
        <v>62</v>
      </c>
    </row>
    <row r="137" spans="1:2">
      <c r="A137" s="1">
        <v>2011</v>
      </c>
      <c r="B137" s="1" t="s">
        <v>62</v>
      </c>
    </row>
    <row r="138" spans="1:2">
      <c r="A138" s="1">
        <v>2012</v>
      </c>
      <c r="B138" s="1" t="s">
        <v>62</v>
      </c>
    </row>
    <row r="139" spans="1:2">
      <c r="A139" s="1">
        <v>2013</v>
      </c>
      <c r="B139" s="1" t="s">
        <v>62</v>
      </c>
    </row>
    <row r="140" spans="1:2">
      <c r="A140" s="1">
        <v>2014</v>
      </c>
      <c r="B140" s="1" t="s">
        <v>62</v>
      </c>
    </row>
    <row r="141" spans="1:2">
      <c r="A141" s="1">
        <v>2015</v>
      </c>
      <c r="B141" s="1" t="s">
        <v>62</v>
      </c>
    </row>
    <row r="142" spans="1:2">
      <c r="A142" s="1">
        <v>2016</v>
      </c>
      <c r="B142" s="1" t="s">
        <v>62</v>
      </c>
    </row>
    <row r="143" spans="1:2">
      <c r="A143" s="1">
        <v>2017</v>
      </c>
      <c r="B143" s="1" t="s">
        <v>62</v>
      </c>
    </row>
    <row r="144" spans="1:2">
      <c r="A144" s="1">
        <v>2018</v>
      </c>
      <c r="B144" s="1" t="s">
        <v>62</v>
      </c>
    </row>
    <row r="145" spans="1:2">
      <c r="A145" s="1">
        <v>2019</v>
      </c>
      <c r="B145" s="1" t="s">
        <v>62</v>
      </c>
    </row>
    <row r="146" spans="1:2">
      <c r="A146" s="1">
        <v>2020</v>
      </c>
      <c r="B146" s="1" t="s">
        <v>62</v>
      </c>
    </row>
    <row r="147" spans="1:2">
      <c r="A147" s="1">
        <v>2021</v>
      </c>
      <c r="B147" s="1" t="s">
        <v>62</v>
      </c>
    </row>
    <row r="148" s="9" customFormat="1" spans="1:64">
      <c r="A148" s="13" t="s">
        <v>119</v>
      </c>
      <c r="B148" s="13"/>
      <c r="C148" s="13"/>
      <c r="D148" s="15"/>
      <c r="E148" s="17"/>
      <c r="F148" s="15"/>
      <c r="G148" s="15"/>
      <c r="H148" s="15"/>
      <c r="I148" s="13"/>
      <c r="J148" s="13"/>
      <c r="K148" s="13"/>
      <c r="L148" s="13"/>
      <c r="M148" s="13"/>
      <c r="N148" s="13"/>
      <c r="O148" s="15"/>
      <c r="P148" s="17"/>
      <c r="Q148" s="17"/>
      <c r="R148" s="15"/>
      <c r="S148" s="15"/>
      <c r="T148" s="15"/>
      <c r="U148" s="15"/>
      <c r="V148" s="15"/>
      <c r="W148" s="15"/>
      <c r="X148" s="15"/>
      <c r="Y148" s="15"/>
      <c r="Z148" s="15"/>
      <c r="AA148" s="15"/>
      <c r="AB148" s="15"/>
      <c r="AC148" s="15"/>
      <c r="AD148" s="15"/>
      <c r="AE148" s="17"/>
      <c r="AF148" s="13"/>
      <c r="AG148" s="19"/>
      <c r="AH148" s="15"/>
      <c r="AI148" s="13"/>
      <c r="AJ148" s="13"/>
      <c r="AK148" s="13"/>
      <c r="AL148" s="13"/>
      <c r="AM148" s="13"/>
      <c r="AN148" s="17"/>
      <c r="AO148" s="17"/>
      <c r="AP148" s="15"/>
      <c r="AQ148" s="15"/>
      <c r="AR148" s="15"/>
      <c r="AS148" s="15"/>
      <c r="AT148" s="15"/>
      <c r="AU148" s="15"/>
      <c r="AV148" s="13"/>
      <c r="AW148" s="13"/>
      <c r="AX148" s="15"/>
      <c r="AY148" s="15"/>
      <c r="AZ148" s="15"/>
      <c r="BA148" s="15"/>
      <c r="BB148" s="15"/>
      <c r="BC148" s="15"/>
      <c r="BD148" s="15"/>
      <c r="BE148" s="15"/>
      <c r="BF148" s="15"/>
      <c r="BG148" s="15"/>
      <c r="BH148" s="15"/>
      <c r="BI148" s="18"/>
      <c r="BJ148" s="18"/>
      <c r="BK148" s="18"/>
      <c r="BL148" s="18"/>
    </row>
    <row r="149" spans="1:2">
      <c r="A149" s="1">
        <v>2010</v>
      </c>
      <c r="B149" s="1" t="s">
        <v>130</v>
      </c>
    </row>
    <row r="150" spans="1:2">
      <c r="A150" s="1">
        <v>2011</v>
      </c>
      <c r="B150" s="1" t="s">
        <v>130</v>
      </c>
    </row>
    <row r="151" spans="1:2">
      <c r="A151" s="1">
        <v>2012</v>
      </c>
      <c r="B151" s="1" t="s">
        <v>130</v>
      </c>
    </row>
    <row r="152" spans="1:2">
      <c r="A152" s="1">
        <v>2013</v>
      </c>
      <c r="B152" s="1" t="s">
        <v>130</v>
      </c>
    </row>
    <row r="153" spans="1:2">
      <c r="A153" s="1">
        <v>2014</v>
      </c>
      <c r="B153" s="1" t="s">
        <v>130</v>
      </c>
    </row>
    <row r="154" spans="1:2">
      <c r="A154" s="1">
        <v>2015</v>
      </c>
      <c r="B154" s="1" t="s">
        <v>130</v>
      </c>
    </row>
    <row r="155" spans="1:2">
      <c r="A155" s="1">
        <v>2016</v>
      </c>
      <c r="B155" s="1" t="s">
        <v>130</v>
      </c>
    </row>
    <row r="156" spans="1:2">
      <c r="A156" s="1">
        <v>2017</v>
      </c>
      <c r="B156" s="1" t="s">
        <v>130</v>
      </c>
    </row>
    <row r="157" spans="1:2">
      <c r="A157" s="1">
        <v>2018</v>
      </c>
      <c r="B157" s="1" t="s">
        <v>130</v>
      </c>
    </row>
    <row r="158" spans="1:2">
      <c r="A158" s="1">
        <v>2019</v>
      </c>
      <c r="B158" s="1" t="s">
        <v>130</v>
      </c>
    </row>
    <row r="159" spans="1:2">
      <c r="A159" s="1">
        <v>2020</v>
      </c>
      <c r="B159" s="1" t="s">
        <v>130</v>
      </c>
    </row>
    <row r="160" spans="1:2">
      <c r="A160" s="1">
        <v>2021</v>
      </c>
      <c r="B160" s="1" t="s">
        <v>130</v>
      </c>
    </row>
    <row r="161" spans="1:1">
      <c r="A161" s="1" t="s">
        <v>119</v>
      </c>
    </row>
    <row r="162" spans="1:2">
      <c r="A162" s="37"/>
      <c r="B162" s="37"/>
    </row>
    <row r="163" spans="2:2">
      <c r="B163" s="1" t="s">
        <v>59</v>
      </c>
    </row>
    <row r="164" spans="2:2">
      <c r="B164" s="1" t="s">
        <v>58</v>
      </c>
    </row>
  </sheetData>
  <mergeCells count="1">
    <mergeCell ref="A47:A50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"/>
  <sheetViews>
    <sheetView workbookViewId="0">
      <selection activeCell="G5" sqref="G5"/>
    </sheetView>
  </sheetViews>
  <sheetFormatPr defaultColWidth="8.88461538461539" defaultRowHeight="16.8"/>
  <cols>
    <col min="1" max="1" width="8.88461538461539" style="5"/>
    <col min="2" max="2" width="9.66346153846154" style="5" customWidth="1"/>
    <col min="3" max="3" width="20.8846153846154" customWidth="1"/>
    <col min="4" max="4" width="5.66346153846154" customWidth="1"/>
    <col min="5" max="5" width="23.1153846153846" customWidth="1"/>
    <col min="6" max="6" width="18.6634615384615" customWidth="1"/>
    <col min="7" max="7" width="25.4423076923077" customWidth="1"/>
    <col min="8" max="8" width="86.1153846153846" customWidth="1"/>
    <col min="9" max="10" width="54.6634615384615" customWidth="1"/>
    <col min="11" max="11" width="9.66346153846154" customWidth="1"/>
  </cols>
  <sheetData>
    <row r="1" spans="1:11">
      <c r="A1" s="5" t="s">
        <v>0</v>
      </c>
      <c r="B1" s="5" t="s">
        <v>1</v>
      </c>
      <c r="C1" s="1" t="s">
        <v>131</v>
      </c>
      <c r="D1" s="1" t="s">
        <v>132</v>
      </c>
      <c r="E1" s="1" t="s">
        <v>133</v>
      </c>
      <c r="F1" s="1" t="s">
        <v>134</v>
      </c>
      <c r="G1" s="1" t="s">
        <v>135</v>
      </c>
      <c r="H1" s="1" t="s">
        <v>136</v>
      </c>
      <c r="I1" s="1" t="s">
        <v>137</v>
      </c>
      <c r="J1" s="1" t="s">
        <v>138</v>
      </c>
      <c r="K1" s="1" t="s">
        <v>139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74"/>
  <sheetViews>
    <sheetView workbookViewId="0">
      <selection activeCell="D12" sqref="D12"/>
    </sheetView>
  </sheetViews>
  <sheetFormatPr defaultColWidth="8.88461538461539" defaultRowHeight="16.8"/>
  <cols>
    <col min="1" max="2" width="8.88461538461539" style="1"/>
    <col min="3" max="3" width="11.8846153846154" style="1" customWidth="1"/>
    <col min="4" max="4" width="9.66346153846154" style="1" customWidth="1"/>
    <col min="5" max="5" width="11.8846153846154" style="1" customWidth="1"/>
    <col min="6" max="6" width="8.88461538461539" style="1"/>
    <col min="7" max="7" width="23.1153846153846" style="4" customWidth="1"/>
    <col min="8" max="9" width="8.88461538461539" style="1"/>
  </cols>
  <sheetData>
    <row r="1" spans="1:9">
      <c r="A1" s="5" t="s">
        <v>0</v>
      </c>
      <c r="B1" s="5" t="s">
        <v>1</v>
      </c>
      <c r="C1" s="1" t="s">
        <v>140</v>
      </c>
      <c r="D1" s="1" t="s">
        <v>72</v>
      </c>
      <c r="E1" s="1" t="s">
        <v>141</v>
      </c>
      <c r="F1" s="1" t="s">
        <v>142</v>
      </c>
      <c r="G1" s="4" t="s">
        <v>143</v>
      </c>
      <c r="H1" s="1" t="s">
        <v>144</v>
      </c>
      <c r="I1" s="1" t="s">
        <v>145</v>
      </c>
    </row>
    <row r="2" spans="1:4">
      <c r="A2" s="1">
        <v>2012</v>
      </c>
      <c r="B2" s="1" t="s">
        <v>58</v>
      </c>
      <c r="C2" s="1">
        <v>5.15</v>
      </c>
      <c r="D2" s="1">
        <v>1.7</v>
      </c>
    </row>
    <row r="3" spans="1:4">
      <c r="A3" s="1">
        <v>2013</v>
      </c>
      <c r="B3" s="1" t="s">
        <v>58</v>
      </c>
      <c r="C3" s="1">
        <v>5.51</v>
      </c>
      <c r="D3" s="1">
        <v>1.13</v>
      </c>
    </row>
    <row r="4" spans="1:4">
      <c r="A4" s="1">
        <v>2014</v>
      </c>
      <c r="B4" s="1" t="s">
        <v>58</v>
      </c>
      <c r="C4" s="1">
        <v>4.98</v>
      </c>
      <c r="D4" s="1">
        <v>0.78</v>
      </c>
    </row>
    <row r="5" spans="1:4">
      <c r="A5" s="1">
        <v>2015</v>
      </c>
      <c r="B5" s="1" t="s">
        <v>58</v>
      </c>
      <c r="C5" s="1">
        <v>3.23</v>
      </c>
      <c r="D5" s="1">
        <v>0.93</v>
      </c>
    </row>
    <row r="6" spans="1:4">
      <c r="A6" s="1">
        <v>2016</v>
      </c>
      <c r="B6" s="1" t="s">
        <v>58</v>
      </c>
      <c r="C6" s="1">
        <v>3.7</v>
      </c>
      <c r="D6" s="1">
        <v>1.05</v>
      </c>
    </row>
    <row r="7" spans="1:4">
      <c r="A7" s="1">
        <v>2017</v>
      </c>
      <c r="B7" s="1" t="s">
        <v>58</v>
      </c>
      <c r="C7" s="1">
        <v>4.35</v>
      </c>
      <c r="D7" s="1">
        <v>1.31</v>
      </c>
    </row>
    <row r="8" spans="1:4">
      <c r="A8" s="1">
        <v>2018</v>
      </c>
      <c r="B8" s="1" t="s">
        <v>58</v>
      </c>
      <c r="C8" s="1">
        <v>5.14</v>
      </c>
      <c r="D8" s="1">
        <v>1.62</v>
      </c>
    </row>
    <row r="9" spans="1:4">
      <c r="A9" s="1">
        <v>2019</v>
      </c>
      <c r="B9" s="1" t="s">
        <v>58</v>
      </c>
      <c r="C9" s="1">
        <v>6.14</v>
      </c>
      <c r="D9" s="1">
        <v>1.65</v>
      </c>
    </row>
    <row r="10" spans="1:4">
      <c r="A10" s="1">
        <v>2020</v>
      </c>
      <c r="B10" s="1" t="s">
        <v>58</v>
      </c>
      <c r="C10" s="1">
        <v>6.19</v>
      </c>
      <c r="D10" s="1">
        <v>1.52</v>
      </c>
    </row>
    <row r="11" spans="1:4">
      <c r="A11" s="1">
        <v>2021</v>
      </c>
      <c r="B11" s="1" t="s">
        <v>58</v>
      </c>
      <c r="C11" s="1">
        <v>5.56</v>
      </c>
      <c r="D11" s="1">
        <v>1.58</v>
      </c>
    </row>
    <row r="12" s="3" customFormat="1" spans="1:9">
      <c r="A12" s="6" t="s">
        <v>146</v>
      </c>
      <c r="B12" s="6"/>
      <c r="C12" s="6">
        <f>AVERAGE(C2:C11)</f>
        <v>4.995</v>
      </c>
      <c r="D12" s="6">
        <f>AVERAGE(D2:D11)</f>
        <v>1.327</v>
      </c>
      <c r="E12" s="7"/>
      <c r="F12" s="7">
        <v>74.55</v>
      </c>
      <c r="G12" s="8">
        <f>D12/F12</f>
        <v>0.0178001341381623</v>
      </c>
      <c r="H12" s="7"/>
      <c r="I12" s="7"/>
    </row>
    <row r="13" spans="1:4">
      <c r="A13" s="1">
        <v>2012</v>
      </c>
      <c r="B13" s="1" t="s">
        <v>59</v>
      </c>
      <c r="C13" s="1">
        <v>4.78</v>
      </c>
      <c r="D13" s="1">
        <v>0.74</v>
      </c>
    </row>
    <row r="14" spans="1:4">
      <c r="A14" s="1">
        <v>2013</v>
      </c>
      <c r="B14" s="1" t="s">
        <v>59</v>
      </c>
      <c r="C14" s="1">
        <v>5.23</v>
      </c>
      <c r="D14" s="1">
        <v>0.93</v>
      </c>
    </row>
    <row r="15" spans="1:4">
      <c r="A15" s="1">
        <v>2014</v>
      </c>
      <c r="B15" s="1" t="s">
        <v>59</v>
      </c>
      <c r="C15" s="1">
        <v>5.98</v>
      </c>
      <c r="D15" s="1">
        <v>1.1</v>
      </c>
    </row>
    <row r="16" spans="1:4">
      <c r="A16" s="1">
        <v>2015</v>
      </c>
      <c r="B16" s="1" t="s">
        <v>59</v>
      </c>
      <c r="C16" s="1">
        <v>6.99</v>
      </c>
      <c r="D16" s="1">
        <v>1.41</v>
      </c>
    </row>
    <row r="17" spans="1:4">
      <c r="A17" s="1">
        <v>2016</v>
      </c>
      <c r="B17" s="1" t="s">
        <v>59</v>
      </c>
      <c r="C17" s="1">
        <v>7.19</v>
      </c>
      <c r="D17" s="1">
        <v>1.32</v>
      </c>
    </row>
    <row r="18" spans="1:4">
      <c r="A18" s="1">
        <v>2017</v>
      </c>
      <c r="B18" s="1" t="s">
        <v>59</v>
      </c>
      <c r="C18" s="1">
        <v>6.33</v>
      </c>
      <c r="D18" s="1">
        <v>1.62</v>
      </c>
    </row>
    <row r="19" spans="1:4">
      <c r="A19" s="1">
        <v>2018</v>
      </c>
      <c r="B19" s="1" t="s">
        <v>59</v>
      </c>
      <c r="C19" s="1">
        <v>7.19</v>
      </c>
      <c r="D19" s="1">
        <v>2.04</v>
      </c>
    </row>
    <row r="20" spans="1:4">
      <c r="A20" s="1">
        <v>2019</v>
      </c>
      <c r="B20" s="1" t="s">
        <v>59</v>
      </c>
      <c r="C20" s="1">
        <v>8.33</v>
      </c>
      <c r="D20" s="1">
        <v>2.34</v>
      </c>
    </row>
    <row r="21" spans="1:4">
      <c r="A21" s="1">
        <v>2020</v>
      </c>
      <c r="B21" s="1" t="s">
        <v>59</v>
      </c>
      <c r="C21" s="1">
        <v>8.77</v>
      </c>
      <c r="D21" s="1">
        <v>2.26</v>
      </c>
    </row>
    <row r="22" spans="1:4">
      <c r="A22" s="1">
        <v>2021</v>
      </c>
      <c r="B22" s="1" t="s">
        <v>59</v>
      </c>
      <c r="C22" s="1">
        <v>9.43</v>
      </c>
      <c r="D22" s="1">
        <v>2.4</v>
      </c>
    </row>
    <row r="23" s="3" customFormat="1" spans="1:9">
      <c r="A23" s="6" t="s">
        <v>146</v>
      </c>
      <c r="B23" s="6"/>
      <c r="C23" s="6">
        <f>AVERAGE(C13:C22)</f>
        <v>7.022</v>
      </c>
      <c r="D23" s="6">
        <f>AVERAGE(D13:D22)</f>
        <v>1.616</v>
      </c>
      <c r="E23" s="7"/>
      <c r="F23" s="7">
        <v>53.85</v>
      </c>
      <c r="G23" s="8">
        <f>D23/F23</f>
        <v>0.0300092850510678</v>
      </c>
      <c r="H23" s="7"/>
      <c r="I23" s="7"/>
    </row>
    <row r="24" spans="1:4">
      <c r="A24" s="1">
        <v>2014</v>
      </c>
      <c r="B24" s="1" t="s">
        <v>60</v>
      </c>
      <c r="C24" s="1" t="s">
        <v>147</v>
      </c>
      <c r="D24" s="1">
        <v>0.97</v>
      </c>
    </row>
    <row r="25" spans="1:4">
      <c r="A25" s="1">
        <v>2015</v>
      </c>
      <c r="B25" s="1" t="s">
        <v>60</v>
      </c>
      <c r="C25" s="1">
        <v>5.34</v>
      </c>
      <c r="D25" s="1">
        <v>0.79</v>
      </c>
    </row>
    <row r="26" spans="1:4">
      <c r="A26" s="1">
        <v>2016</v>
      </c>
      <c r="B26" s="1" t="s">
        <v>60</v>
      </c>
      <c r="C26" s="1">
        <v>5.59</v>
      </c>
      <c r="D26" s="1">
        <v>1.25</v>
      </c>
    </row>
    <row r="27" spans="1:4">
      <c r="A27" s="1">
        <v>2017</v>
      </c>
      <c r="B27" s="1" t="s">
        <v>60</v>
      </c>
      <c r="C27" s="1">
        <v>6.99</v>
      </c>
      <c r="D27" s="1">
        <v>1.69</v>
      </c>
    </row>
    <row r="28" spans="1:4">
      <c r="A28" s="1">
        <v>2018</v>
      </c>
      <c r="B28" s="1" t="s">
        <v>60</v>
      </c>
      <c r="C28" s="1">
        <v>12.26</v>
      </c>
      <c r="D28" s="1">
        <v>1.3</v>
      </c>
    </row>
    <row r="29" spans="1:4">
      <c r="A29" s="1">
        <v>2019</v>
      </c>
      <c r="B29" s="1" t="s">
        <v>60</v>
      </c>
      <c r="C29" s="1">
        <v>10.34</v>
      </c>
      <c r="D29" s="1">
        <v>1.27</v>
      </c>
    </row>
    <row r="30" spans="1:4">
      <c r="A30" s="1">
        <v>2020</v>
      </c>
      <c r="B30" s="1" t="s">
        <v>60</v>
      </c>
      <c r="C30" s="1">
        <v>11.38</v>
      </c>
      <c r="D30" s="1">
        <v>1.48</v>
      </c>
    </row>
    <row r="31" spans="1:4">
      <c r="A31" s="1">
        <v>2021</v>
      </c>
      <c r="B31" s="1" t="s">
        <v>60</v>
      </c>
      <c r="C31" s="1">
        <v>13.36</v>
      </c>
      <c r="D31" s="1">
        <v>2.39</v>
      </c>
    </row>
    <row r="32" spans="1:7">
      <c r="A32" s="6" t="s">
        <v>146</v>
      </c>
      <c r="B32" s="6"/>
      <c r="C32" s="6">
        <f>AVERAGE(C25:C31)</f>
        <v>9.32285714285714</v>
      </c>
      <c r="D32" s="6">
        <f>AVERAGE(D25:D31)</f>
        <v>1.45285714285714</v>
      </c>
      <c r="F32" s="1">
        <v>89.73</v>
      </c>
      <c r="G32" s="8">
        <f>D32/F32</f>
        <v>0.0161914314371687</v>
      </c>
    </row>
    <row r="33" spans="1:4">
      <c r="A33" s="1">
        <v>2012</v>
      </c>
      <c r="B33" s="1" t="s">
        <v>61</v>
      </c>
      <c r="C33" s="1">
        <v>8.49</v>
      </c>
      <c r="D33" s="1">
        <v>1.51</v>
      </c>
    </row>
    <row r="34" spans="1:4">
      <c r="A34" s="1">
        <v>2013</v>
      </c>
      <c r="B34" s="1" t="s">
        <v>61</v>
      </c>
      <c r="C34" s="1">
        <v>9.84</v>
      </c>
      <c r="D34" s="1">
        <v>1.54</v>
      </c>
    </row>
    <row r="35" spans="1:4">
      <c r="A35" s="1">
        <v>2014</v>
      </c>
      <c r="B35" s="1" t="s">
        <v>61</v>
      </c>
      <c r="C35" s="1">
        <v>11.36</v>
      </c>
      <c r="D35" s="1">
        <v>1.76</v>
      </c>
    </row>
    <row r="36" spans="1:4">
      <c r="A36" s="1">
        <v>2015</v>
      </c>
      <c r="B36" s="1" t="s">
        <v>61</v>
      </c>
      <c r="C36" s="1">
        <v>14.39</v>
      </c>
      <c r="D36" s="1">
        <v>0.69</v>
      </c>
    </row>
    <row r="37" spans="1:4">
      <c r="A37" s="1">
        <v>2016</v>
      </c>
      <c r="B37" s="1" t="s">
        <v>61</v>
      </c>
      <c r="C37" s="1">
        <v>8.53</v>
      </c>
      <c r="D37" s="1">
        <v>0.7</v>
      </c>
    </row>
    <row r="38" spans="1:4">
      <c r="A38" s="1">
        <v>2017</v>
      </c>
      <c r="B38" s="1" t="s">
        <v>61</v>
      </c>
      <c r="C38" s="1">
        <v>9.37</v>
      </c>
      <c r="D38" s="1">
        <v>0.98</v>
      </c>
    </row>
    <row r="39" spans="1:4">
      <c r="A39" s="1">
        <v>2018</v>
      </c>
      <c r="B39" s="1" t="s">
        <v>61</v>
      </c>
      <c r="C39" s="1">
        <v>9.46</v>
      </c>
      <c r="D39" s="1">
        <v>1.08</v>
      </c>
    </row>
    <row r="40" spans="1:4">
      <c r="A40" s="1">
        <v>2019</v>
      </c>
      <c r="B40" s="1" t="s">
        <v>61</v>
      </c>
      <c r="C40" s="1">
        <v>9.42</v>
      </c>
      <c r="D40" s="1">
        <v>0.95</v>
      </c>
    </row>
    <row r="41" spans="1:4">
      <c r="A41" s="1">
        <v>2020</v>
      </c>
      <c r="B41" s="1" t="s">
        <v>61</v>
      </c>
      <c r="C41" s="1">
        <v>10.13</v>
      </c>
      <c r="D41" s="1">
        <v>0.72</v>
      </c>
    </row>
    <row r="42" spans="1:4">
      <c r="A42" s="1">
        <v>2021</v>
      </c>
      <c r="B42" s="1" t="s">
        <v>61</v>
      </c>
      <c r="C42" s="1">
        <v>12.41</v>
      </c>
      <c r="D42" s="1">
        <v>2.22</v>
      </c>
    </row>
    <row r="43" spans="1:7">
      <c r="A43" s="6" t="s">
        <v>146</v>
      </c>
      <c r="B43" s="6"/>
      <c r="C43" s="6">
        <f>AVERAGE(C33:C42)</f>
        <v>10.34</v>
      </c>
      <c r="D43" s="6">
        <f>AVERAGE(D33:D42)</f>
        <v>1.215</v>
      </c>
      <c r="F43" s="1">
        <v>84.13</v>
      </c>
      <c r="G43" s="8">
        <f>D43/F43</f>
        <v>0.0144419351004398</v>
      </c>
    </row>
    <row r="44" spans="1:4">
      <c r="A44" s="1">
        <v>2014</v>
      </c>
      <c r="B44" s="1" t="s">
        <v>62</v>
      </c>
      <c r="C44" s="1">
        <v>16.79</v>
      </c>
      <c r="D44" s="1">
        <v>0.51</v>
      </c>
    </row>
    <row r="45" spans="1:4">
      <c r="A45" s="1">
        <v>2015</v>
      </c>
      <c r="B45" s="1" t="s">
        <v>62</v>
      </c>
      <c r="C45" s="1">
        <v>21.72</v>
      </c>
      <c r="D45" s="1">
        <v>0.39</v>
      </c>
    </row>
    <row r="46" spans="1:4">
      <c r="A46" s="1">
        <v>2016</v>
      </c>
      <c r="B46" s="1" t="s">
        <v>62</v>
      </c>
      <c r="C46" s="1">
        <v>5.94</v>
      </c>
      <c r="D46" s="1">
        <v>1.08</v>
      </c>
    </row>
    <row r="47" spans="1:4">
      <c r="A47" s="1">
        <v>2017</v>
      </c>
      <c r="B47" s="1" t="s">
        <v>62</v>
      </c>
      <c r="C47" s="1">
        <v>6.76</v>
      </c>
      <c r="D47" s="1">
        <v>1.31</v>
      </c>
    </row>
    <row r="48" spans="1:4">
      <c r="A48" s="1">
        <v>2018</v>
      </c>
      <c r="B48" s="1" t="s">
        <v>62</v>
      </c>
      <c r="C48" s="1">
        <v>17.45</v>
      </c>
      <c r="D48" s="1">
        <v>1.59</v>
      </c>
    </row>
    <row r="49" spans="1:4">
      <c r="A49" s="1">
        <v>2019</v>
      </c>
      <c r="B49" s="1" t="s">
        <v>62</v>
      </c>
      <c r="C49" s="1">
        <v>10.49</v>
      </c>
      <c r="D49" s="1">
        <v>0.81</v>
      </c>
    </row>
    <row r="50" spans="1:4">
      <c r="A50" s="1">
        <v>2020</v>
      </c>
      <c r="B50" s="1" t="s">
        <v>62</v>
      </c>
      <c r="C50" s="1">
        <v>13.31</v>
      </c>
      <c r="D50" s="1">
        <v>1.06</v>
      </c>
    </row>
    <row r="51" spans="1:4">
      <c r="A51" s="1">
        <v>2021</v>
      </c>
      <c r="B51" s="1" t="s">
        <v>62</v>
      </c>
      <c r="C51" s="1">
        <v>13.02</v>
      </c>
      <c r="D51" s="1">
        <v>1.75</v>
      </c>
    </row>
    <row r="52" spans="1:7">
      <c r="A52" s="6" t="s">
        <v>146</v>
      </c>
      <c r="B52" s="6"/>
      <c r="C52" s="6">
        <f>AVERAGE(C42:C51)</f>
        <v>12.823</v>
      </c>
      <c r="D52" s="6">
        <f>AVERAGE(D42:D51)</f>
        <v>1.1935</v>
      </c>
      <c r="F52" s="1">
        <v>74.09</v>
      </c>
      <c r="G52" s="8">
        <f>D52/F52</f>
        <v>0.0161087866108787</v>
      </c>
    </row>
    <row r="53" spans="1:4">
      <c r="A53" s="1">
        <v>2012</v>
      </c>
      <c r="B53" s="1" t="s">
        <v>63</v>
      </c>
      <c r="C53" s="1">
        <v>0.87</v>
      </c>
      <c r="D53" s="1">
        <v>-0.12</v>
      </c>
    </row>
    <row r="54" spans="1:4">
      <c r="A54" s="1">
        <v>2013</v>
      </c>
      <c r="B54" s="1" t="s">
        <v>63</v>
      </c>
      <c r="C54" s="1">
        <v>0.88</v>
      </c>
      <c r="D54" s="1">
        <v>0.01</v>
      </c>
    </row>
    <row r="55" spans="1:4">
      <c r="A55" s="1">
        <v>2014</v>
      </c>
      <c r="B55" s="1" t="s">
        <v>63</v>
      </c>
      <c r="C55" s="1">
        <v>1.35</v>
      </c>
      <c r="D55" s="1">
        <v>0.2</v>
      </c>
    </row>
    <row r="56" spans="1:4">
      <c r="A56" s="1">
        <v>2015</v>
      </c>
      <c r="B56" s="1" t="s">
        <v>63</v>
      </c>
      <c r="C56" s="1">
        <v>1.36</v>
      </c>
      <c r="D56" s="1">
        <v>0.07</v>
      </c>
    </row>
    <row r="57" spans="1:4">
      <c r="A57" s="1">
        <v>2016</v>
      </c>
      <c r="B57" s="1" t="s">
        <v>63</v>
      </c>
      <c r="C57" s="1">
        <v>2.52</v>
      </c>
      <c r="D57" s="1">
        <v>0.47</v>
      </c>
    </row>
    <row r="58" spans="1:4">
      <c r="A58" s="1">
        <v>2017</v>
      </c>
      <c r="B58" s="1" t="s">
        <v>63</v>
      </c>
      <c r="C58" s="1">
        <v>2.97</v>
      </c>
      <c r="D58" s="1">
        <v>0.65</v>
      </c>
    </row>
    <row r="59" spans="1:4">
      <c r="A59" s="1">
        <v>2018</v>
      </c>
      <c r="B59" s="1" t="s">
        <v>63</v>
      </c>
      <c r="C59" s="1">
        <v>3.86</v>
      </c>
      <c r="D59" s="1">
        <v>0.89</v>
      </c>
    </row>
    <row r="60" spans="1:4">
      <c r="A60" s="1">
        <v>2019</v>
      </c>
      <c r="B60" s="1" t="s">
        <v>63</v>
      </c>
      <c r="C60" s="1">
        <v>4.75</v>
      </c>
      <c r="D60" s="1">
        <v>0.89</v>
      </c>
    </row>
    <row r="61" spans="1:4">
      <c r="A61" s="1">
        <v>2020</v>
      </c>
      <c r="B61" s="1" t="s">
        <v>63</v>
      </c>
      <c r="C61" s="1">
        <v>7.49</v>
      </c>
      <c r="D61" s="1">
        <v>1.16</v>
      </c>
    </row>
    <row r="62" spans="1:4">
      <c r="A62" s="1">
        <v>2021</v>
      </c>
      <c r="B62" s="1" t="s">
        <v>63</v>
      </c>
      <c r="C62" s="1">
        <v>7.81</v>
      </c>
      <c r="D62" s="1">
        <v>1.32</v>
      </c>
    </row>
    <row r="63" spans="1:7">
      <c r="A63" s="6" t="s">
        <v>146</v>
      </c>
      <c r="B63" s="6"/>
      <c r="C63" s="6">
        <f>AVERAGE(C53:C62)</f>
        <v>3.386</v>
      </c>
      <c r="D63" s="6">
        <f>AVERAGE(D53:D62)</f>
        <v>0.554</v>
      </c>
      <c r="F63" s="1">
        <v>52.18</v>
      </c>
      <c r="G63" s="8">
        <f>D63/F63</f>
        <v>0.0106170946722882</v>
      </c>
    </row>
    <row r="64" spans="1:4">
      <c r="A64" s="1">
        <v>2012</v>
      </c>
      <c r="B64" s="1" t="s">
        <v>64</v>
      </c>
      <c r="C64" s="1">
        <v>4.22</v>
      </c>
      <c r="D64" s="1">
        <v>0.79</v>
      </c>
    </row>
    <row r="65" spans="1:4">
      <c r="A65" s="1">
        <v>2013</v>
      </c>
      <c r="B65" s="1" t="s">
        <v>64</v>
      </c>
      <c r="C65" s="1">
        <v>4.67</v>
      </c>
      <c r="D65" s="1">
        <v>0.83</v>
      </c>
    </row>
    <row r="66" spans="1:4">
      <c r="A66" s="1">
        <v>2014</v>
      </c>
      <c r="B66" s="1" t="s">
        <v>64</v>
      </c>
      <c r="C66" s="1">
        <v>5.27</v>
      </c>
      <c r="D66" s="1">
        <v>0.78</v>
      </c>
    </row>
    <row r="67" spans="1:4">
      <c r="A67" s="1">
        <v>2015</v>
      </c>
      <c r="B67" s="1" t="s">
        <v>64</v>
      </c>
      <c r="C67" s="1">
        <v>5.08</v>
      </c>
      <c r="D67" s="1">
        <v>0.92</v>
      </c>
    </row>
    <row r="68" spans="1:4">
      <c r="A68" s="1">
        <v>2016</v>
      </c>
      <c r="B68" s="1" t="s">
        <v>64</v>
      </c>
      <c r="C68" s="1">
        <v>5.28</v>
      </c>
      <c r="D68" s="1">
        <v>0.92</v>
      </c>
    </row>
    <row r="69" spans="1:4">
      <c r="A69" s="1">
        <v>2017</v>
      </c>
      <c r="B69" s="1" t="s">
        <v>64</v>
      </c>
      <c r="C69" s="1">
        <v>5.43</v>
      </c>
      <c r="D69" s="1">
        <v>0.87</v>
      </c>
    </row>
    <row r="70" spans="1:4">
      <c r="A70" s="1">
        <v>2018</v>
      </c>
      <c r="B70" s="1" t="s">
        <v>64</v>
      </c>
      <c r="C70" s="1">
        <v>5.35</v>
      </c>
      <c r="D70" s="1">
        <v>0.92</v>
      </c>
    </row>
    <row r="71" spans="1:4">
      <c r="A71" s="1">
        <v>2019</v>
      </c>
      <c r="B71" s="1" t="s">
        <v>64</v>
      </c>
      <c r="C71" s="1">
        <v>5.6</v>
      </c>
      <c r="D71" s="1">
        <v>1</v>
      </c>
    </row>
    <row r="72" spans="1:4">
      <c r="A72" s="1">
        <v>2020</v>
      </c>
      <c r="B72" s="1" t="s">
        <v>64</v>
      </c>
      <c r="C72" s="1">
        <v>5.72</v>
      </c>
      <c r="D72" s="1">
        <v>0.99</v>
      </c>
    </row>
    <row r="73" spans="1:4">
      <c r="A73" s="1">
        <v>2021</v>
      </c>
      <c r="B73" s="1" t="s">
        <v>64</v>
      </c>
      <c r="C73" s="1">
        <v>5.47</v>
      </c>
      <c r="D73" s="1">
        <v>0.71</v>
      </c>
    </row>
    <row r="74" spans="1:7">
      <c r="A74" s="6" t="s">
        <v>146</v>
      </c>
      <c r="B74" s="6"/>
      <c r="C74" s="6">
        <f>AVERAGE(C64:C73)</f>
        <v>5.209</v>
      </c>
      <c r="D74" s="6">
        <f>AVERAGE(D64:D73)</f>
        <v>0.873</v>
      </c>
      <c r="F74" s="1">
        <v>40.39</v>
      </c>
      <c r="G74" s="8">
        <f>D74/F74</f>
        <v>0.0216142609556821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"/>
  <sheetViews>
    <sheetView workbookViewId="0">
      <selection activeCell="F1" sqref="F1"/>
    </sheetView>
  </sheetViews>
  <sheetFormatPr defaultColWidth="8.88461538461539" defaultRowHeight="16.8" outlineLevelRow="1" outlineLevelCol="7"/>
  <cols>
    <col min="1" max="2" width="8.88461538461539" style="1"/>
    <col min="3" max="3" width="18.6634615384615" style="1"/>
    <col min="4" max="7" width="16.4423076923077" style="1"/>
    <col min="8" max="8" width="14.1153846153846" style="1" customWidth="1"/>
  </cols>
  <sheetData>
    <row r="1" spans="1:8">
      <c r="A1" s="1" t="s">
        <v>0</v>
      </c>
      <c r="B1" s="1" t="s">
        <v>148</v>
      </c>
      <c r="C1" s="1" t="s">
        <v>67</v>
      </c>
      <c r="D1" s="1" t="s">
        <v>149</v>
      </c>
      <c r="E1" s="1" t="s">
        <v>150</v>
      </c>
      <c r="F1" s="1" t="s">
        <v>151</v>
      </c>
      <c r="G1" s="1" t="s">
        <v>152</v>
      </c>
      <c r="H1" s="1" t="s">
        <v>153</v>
      </c>
    </row>
    <row r="2" spans="1:7">
      <c r="A2" s="1">
        <v>2021</v>
      </c>
      <c r="B2" s="1" t="s">
        <v>59</v>
      </c>
      <c r="C2" s="2">
        <v>1941371527.89</v>
      </c>
      <c r="D2" s="2">
        <v>128827418</v>
      </c>
      <c r="E2" s="2">
        <v>95281491.25</v>
      </c>
      <c r="F2" s="2">
        <v>21778005.36</v>
      </c>
      <c r="G2" s="2">
        <v>192425.94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估值</vt:lpstr>
      <vt:lpstr>Sheet1</vt:lpstr>
      <vt:lpstr>Sheet2</vt:lpstr>
      <vt:lpstr>Sheet3</vt:lpstr>
      <vt:lpstr>Sheet5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冬阳</cp:lastModifiedBy>
  <dcterms:created xsi:type="dcterms:W3CDTF">2023-01-21T10:18:00Z</dcterms:created>
  <dcterms:modified xsi:type="dcterms:W3CDTF">2024-03-15T09:05:56Z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4DDD8E2E742B40B1B1A46D23A5A751F6</vt:lpwstr>
  </property>
  <property fmtid="{D5CDD505-2E9C-101B-9397-08002B2CF9AE}" pid="3" name="KSOProductBuildVer">
    <vt:lpwstr>2052-5.1.1.7662</vt:lpwstr>
  </property>
</Properties>
</file>