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240" windowHeight="13080" activeTab="1"/>
  </bookViews>
  <sheets>
    <sheet name="资产表分析" sheetId="1" r:id="rId1"/>
    <sheet name="利润表分析" sheetId="4" r:id="rId2"/>
    <sheet name="利润分配情况" sheetId="5" r:id="rId3"/>
    <sheet name="经营政策和竞争优势分析" sheetId="3" r:id="rId4"/>
    <sheet name="Sheet2" sheetId="2" r:id="rId5"/>
  </sheets>
  <calcPr calcId="144525"/>
</workbook>
</file>

<file path=xl/sharedStrings.xml><?xml version="1.0" encoding="utf-8"?>
<sst xmlns="http://schemas.openxmlformats.org/spreadsheetml/2006/main" count="287" uniqueCount="163">
  <si>
    <t>名称</t>
  </si>
  <si>
    <t>时间</t>
  </si>
  <si>
    <t>总市值</t>
  </si>
  <si>
    <t>市值日期</t>
  </si>
  <si>
    <t>股份数</t>
  </si>
  <si>
    <t>股份数日期</t>
  </si>
  <si>
    <t>总资产</t>
  </si>
  <si>
    <t>所有者权益</t>
  </si>
  <si>
    <t>归母所有者权益</t>
  </si>
  <si>
    <t>归母占比</t>
  </si>
  <si>
    <t>有息债务</t>
  </si>
  <si>
    <t>有息债务总计</t>
  </si>
  <si>
    <t>非经营性资产</t>
  </si>
  <si>
    <t>非经营性资产总计</t>
  </si>
  <si>
    <t>投资性资产</t>
  </si>
  <si>
    <t>总现金</t>
  </si>
  <si>
    <t>经营性资产</t>
  </si>
  <si>
    <t>固定资产</t>
  </si>
  <si>
    <t>在建工程合计</t>
  </si>
  <si>
    <t>无形资产</t>
  </si>
  <si>
    <t>长期资产占经营资产比重</t>
  </si>
  <si>
    <t>应收票据</t>
  </si>
  <si>
    <t>应收账款</t>
  </si>
  <si>
    <t>预付款项</t>
  </si>
  <si>
    <t>应收利息</t>
  </si>
  <si>
    <t>应收股利</t>
  </si>
  <si>
    <t>其他应收款</t>
  </si>
  <si>
    <t>存货</t>
  </si>
  <si>
    <t>其他流动资产</t>
  </si>
  <si>
    <t>其他权益工具</t>
  </si>
  <si>
    <t>资本公积</t>
  </si>
  <si>
    <t>库存股</t>
  </si>
  <si>
    <t>其他综合收益</t>
  </si>
  <si>
    <t>专项储备</t>
  </si>
  <si>
    <t>盈余公积</t>
  </si>
  <si>
    <t>一般风险准备</t>
  </si>
  <si>
    <t>未分配利润</t>
  </si>
  <si>
    <t>投入资本</t>
  </si>
  <si>
    <t>营业利润</t>
  </si>
  <si>
    <t>利润总额</t>
  </si>
  <si>
    <t>财务费用</t>
  </si>
  <si>
    <t>息税前利润</t>
  </si>
  <si>
    <t>经营性息税前利润</t>
  </si>
  <si>
    <t>投入资本回报率</t>
  </si>
  <si>
    <t>扣非投入资本回报率</t>
  </si>
  <si>
    <t>现象</t>
  </si>
  <si>
    <t>保险合同准备金</t>
  </si>
  <si>
    <t>长期借款</t>
  </si>
  <si>
    <t>应付债券</t>
  </si>
  <si>
    <t>租赁负债</t>
  </si>
  <si>
    <t>长期应付款合计</t>
  </si>
  <si>
    <t>短期借款</t>
  </si>
  <si>
    <t>以公允价值计量且变动计入当期损益的金融负债</t>
  </si>
  <si>
    <t>衍生金融负债</t>
  </si>
  <si>
    <t>可供出售金融资产</t>
  </si>
  <si>
    <t>持有至到期投资</t>
  </si>
  <si>
    <t>长期股权投资</t>
  </si>
  <si>
    <t>其他权益工具投资</t>
  </si>
  <si>
    <t>其他非流动金融资产</t>
  </si>
  <si>
    <t>投资性房地产</t>
  </si>
  <si>
    <t>货币资金</t>
  </si>
  <si>
    <t>拆出资金</t>
  </si>
  <si>
    <t>交易性金融资产</t>
  </si>
  <si>
    <t>海天味业</t>
  </si>
  <si>
    <t xml:space="preserve"> 2022.12.30 </t>
  </si>
  <si>
    <t xml:space="preserve">0.市值从2019年的最高点6500亿跌到目前的2710亿，跌去了42%左右。
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8.2018年货币资金大量增加：增加多达40亿。
9.年初价值4千万的库存股消失、其他综合收益减少4千多万、未分配利润增加近20亿。
</t>
  </si>
  <si>
    <t xml:space="preserve"> 2021.12.31 </t>
  </si>
  <si>
    <t xml:space="preserve"> 2020.12.31 </t>
  </si>
  <si>
    <t xml:space="preserve"> 2019.12.31 </t>
  </si>
  <si>
    <t xml:space="preserve"> 2018.12.28 </t>
  </si>
  <si>
    <t xml:space="preserve"> 2017.12.29 </t>
  </si>
  <si>
    <t xml:space="preserve"> 2016.12.30 </t>
  </si>
  <si>
    <t xml:space="preserve"> 2015.12.31 </t>
  </si>
  <si>
    <t xml:space="preserve"> 2014.12.31 </t>
  </si>
  <si>
    <t>中炬高新</t>
  </si>
  <si>
    <t xml:space="preserve"> 2013.12.31 </t>
  </si>
  <si>
    <t>千禾味业</t>
  </si>
  <si>
    <t>天味食品</t>
  </si>
  <si>
    <t>恒顺醋业</t>
  </si>
  <si>
    <t>加加食品</t>
  </si>
  <si>
    <t>李锦记</t>
  </si>
  <si>
    <t>龟万甲</t>
  </si>
  <si>
    <t>雀巢</t>
  </si>
  <si>
    <t>营业收入</t>
  </si>
  <si>
    <t>营业成本总额</t>
  </si>
  <si>
    <t>酱油</t>
  </si>
  <si>
    <t>蚝油</t>
  </si>
  <si>
    <t>调味酱</t>
  </si>
  <si>
    <t>销售费用</t>
  </si>
  <si>
    <t>销售费用在总营收中的占比</t>
  </si>
  <si>
    <t>营业收入占总收入比</t>
  </si>
  <si>
    <t>营业成本</t>
  </si>
  <si>
    <t>营业成本占总成本比</t>
  </si>
  <si>
    <t>营业成本占营业收入本比</t>
  </si>
  <si>
    <t>销量(吨)</t>
  </si>
  <si>
    <t>生产量(吨)</t>
  </si>
  <si>
    <t>单位价格</t>
  </si>
  <si>
    <t>价格同比增长</t>
  </si>
  <si>
    <t>销量同比增长</t>
  </si>
  <si>
    <t>库存</t>
  </si>
  <si>
    <t>库存占销量的比值</t>
  </si>
  <si>
    <t>销量</t>
  </si>
  <si>
    <t>销量同比</t>
  </si>
  <si>
    <t>所处行业情况</t>
  </si>
  <si>
    <t>竞争优势</t>
  </si>
  <si>
    <t>业务模式</t>
  </si>
  <si>
    <t>关键词</t>
  </si>
  <si>
    <t>详情</t>
  </si>
  <si>
    <t>1.管理：业务多元化、人才战略
2.渠道：
3.技术：
4.品牌：
5.规模：南宁布局生产基地、数字智能建设、绿色低碳。
6.企业文化：</t>
  </si>
  <si>
    <t>（一）卓越的企业管理能力。 
提质、降本、增效，是公司不变的运营管理方针，这也需要公司具备卓越的管理能力。海天
打造智能工厂，用信息化、数字化、智能化贯穿产品的整个生产过程，并打造全面质量管理体系，
确保全程可追溯；同时，智能制造的链条进一步向产业链上下游延伸，通过不断总结产、供、销
一体化协同的管理经验，持续优化订单计划模式，公司建成了良好的柔性生产及敏捷响应体系。
数智化建设长期驱动着企业内部的管理变革，也持续为公司带来产品品质的提升，生产效率的提
高，成本占用的降低，以及客户体验的提质。
近年来，公司持续推进经营模式创新及配套机制建设，深化自主经营机制落地做实，激发组
织活力，推进业务大步向前；不断总结复盘新业务发展，建立新业务赋能机制，集中资源加速战
略性新业务的发展，降低发展风险。同时，公司继续系统化推进人才强基工作，通过人才赋能、
人才激励、职业发展等多角度，强化人才建设，为业务发展提供人才蓄能。
（二）销售渠道多元发展。 
坚持提高网络密实度、坚持打造有质量的终端。经过多年积累，公司的销售网络基本实现省
市县三级全覆盖，并在此基础上进一步下沉镇村网络建设，渠道优势进一步显现。发达的渠道网
络显著提高了海天产品在终端的能见度，让消费者在批发农贸、超市卖场、便利零售小店等各类
消费场景中可见、可选、可买。同时，公司积极顺应消费习惯及消费场景的变化，加快电商平台
建设，加速探索营销新模式，通过线上线下业务的融合发展，将产品资源优势进一步放大，迅速
拉近与消费者的距离。近年来，公司亦着眼于食品工业、头部餐饮等新兴渠道的机会挖掘，加快
营销体系布局，推进销售渠道的多元发展。
（三）技术优势加大领先。 
海天坚持“技术领先、产品领先”的战略定位，以打造各细分品类产品的前瞻性核心技术为
建设锚点，设立多学科、专业化研发体系。在更高定位的科技研发战略引领下，公司建立了以菌
种选育技术、酿造技术、发酵技术为核心的科研体系，保证了产品的独有风味，推进品质的持续
升级，加快产品的推陈出新，始终领跑于行业。目前，公司产品种类多样，为消费者提供一站式
厨房用料的全方位服务，并获评酱油、蚝油、酱料的多品类行业第一品牌，深受消费者的喜爱。
（四）品牌形象深入人心。 
海天产品凭借过硬的品质和多样的选择，在消费者心中建立了良好的品牌形象，成为调味品
行业名副其实的国民品牌。报告期内，公司持续推进品牌发展战略，品牌影响力进一步提升。在
凯度消费者指数《2022 年品牌足迹》中国市场报告中，海天位列中国消费者十大首选品牌榜单第
4 位。在中国品牌力指数 2022C-BPI 榜单中，海天蝉联酱油（连续 12 年）、酱料（连续 3 年）、
蚝油（连续 3 年）行业第一品牌。
（五）企业可持续发展的战略布局。 
公司坚持稳健发展，坚持实现企业的高质量发展。近年来，公司在佛山、宿迁、南宁等地加 快基地建设，基本完成了对全国生产基地的布局，并以数智化工厂的建设方针，持续提升产业化水平，以产业化促进效率提升和规模的再扩大。适度超前的产能布局，以及科学先进的智能化水平，将海天领先于其他企业发展而挣得先机，也是海天提升企业竞争力的核心优势之一。同时，公司在经营过程中深化上下游产业链布局，着眼于未来发展中可能存在的风险，自主解决企业发展中的卡脖子问题，为海天走远路、走稳路打好基础。公司历来注重绿色低碳经济，从产品定位到包装改良，从原材料到生产设备，绿色低碳经济将在海天内部运营中作为核心要素，确保企业的可持续发展。
（六）有竞争力的企业文化让企业基业长青。 
海天的企业文化是促进公司稳健发展的软实力。公司坚持“以人为本”管理理念，着力打造
公平公正的考核机制、简单高效的工作氛围、温暖有爱的福利体系，多管齐下激发能打仗、打胜
仗的海天奋斗精神，提升团队张力与战斗力。同时，公司倡导“三心”文化，重视员工的思想教
育及引导，每一位员工都要有“良心、爱心、责任心”，提高员工自我驱动力，追求更高层次的
价值产出。通过打造符合公司价值主张的文化体系，协调互促着企业与员工的同频发展，提高组
织的活力及凝聚力，支持企业发展</t>
  </si>
  <si>
    <t>根据销售预测情况，集中采购大豆、小麦、白糖等原料，进行加工，产出酱油，然后利用营销网络进行销售。</t>
  </si>
  <si>
    <t>1.管理：多元化。
2.渠道：
3.技术：
4.品牌：
5.规模：高明酱油、酱增加30万；宿迁蚝油和醋增加20万。产能利用率95%。</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</si>
  <si>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同时，对调味品公司管理中最难的供应链管理环节，公司通过多年的管理经验累积，打通了订单、
库存、计划、交付、生产、品质、物流等全供应链环节，实现数据互联互通与协同，落实“产线
自动化、生产数字化、运营智能化”，进而实现调味品行业上下游产业链协作高效性与可靠性。
近年来，公司创新经营模式，持续推进各经营体的自主经营，打开业务发展新局面，通过改革组
织架构，改革薪酬体系，加快业务快速裂变，推动从单一业务向多元业务的转变，降低业务发展
风险；推动业务板块从服务企业内部部门到参与社会竞争的转变，加快推动团队市场化竞争意识。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多个国家和地区。报告期还深化与 O2O 平台合作，加强了对
社区团购、时达到家平台、各大平台电商的管理、服务、合作。在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工艺，坚持天然阳光晒制，将传统工艺技术与现代科技相结合，用科技来保障产品的食品安全、
口感美味、质量稳定。公司积极利用技术革新保质降本，通过向上向下双向的技术延展，提高原
材料的利用率，进一步提升生产工艺水平所带来的经济价值，在产品研发方面，不仅坚持核心产
品品质不断升级，因此，在海天产品体系中即不乏金标生抽、草菇老抽这样畅销 60 多年的产品，
经久不衰，依然保持着增长活力。蚝油、味极鲜、黄豆酱也都成为了家喻户晓的口碑产品，同时
在新产品研发方面，每年都会有新的增长点，招牌拌饭酱、香菇酱、料酒也都成长迅速。满足了
消费者对新口味的追求，保持了企业发展的后劲。
（四）高美誉度的品牌优势。
公司凭借自身强大的品牌、产品、渠道、科研实力，树立了健康、安全、诚信、专业的品
牌形象，并获得了市场和消费者的广泛认可，报告期内，公司持续推进品牌发展战略，品牌影响
力进一步提升，凯度消费者指数《2021 年亚洲品牌足迹报告》发布，海天味业以 6.2 亿消费者触
及数、79.4%的渗透率，入选中国消费者十大首选品牌榜单。市场占有率持续提升，公司在 2021
中国品牌力指数（C-BPI）榜单中再次斩获众多高质量荣誉，勇夺酱油、蚝油、酱料、食醋“四冠”。
在中国调味品快消市场持续保持领头羊位置。
（五）企业可持续发展的战略布局。
报告期内，公司继续做好企业持续发展的战略布局，产品结构、产能规划、组织架构、人
力资源等多方面进行改革创新，全方位的提升企业的竞争优势，推动公司业务的稳步发展。报告
期内酱油、蚝油、发酵酱、料酒等多个品类的市场规模处于领先甚至绝对领先的领导位置，为保
障公司“三五”及未来生产销售的发展，公司进入全国化产能布局新阶段，高明，宿迁等原有生
产基地，继续稳定增产，高明基地酱油，酱等产品年产能增加 30 万吨；宿迁基地蚝油，醋等产品
年产能增加 20 万吨，公司多基地产能布局速度加快，全国多个生产基地已启动设计、施工，新生
产基地产能将在 2022 年开始逐步释放，为了市场的稳定发展提供保障，公司整体产能利用率依然
保持在 95%以上水平。始终领先一步的产能配套，为市场的稳定发展提供了产能保障。
（六）公平公正，正气廉洁的企业文化。
企业文化是公司的软实力，公司非常重视企业文化建设，倡导“三心”文化，每一位员工都
要有“良心、爱心、责任心”，以至善之心，酿造调味精品，公司努力建设公平公正的工作氛围，
给每个员工提供施展才华的平台，公司主张正气、廉洁的企业文化，因此高度重视团队的廉洁自
律，要求各级管理人员要以身作则、廉洁自律，对舞弊问题保持“零容忍”的高压态势。把企业
文化建设纳入党建工作的规划中，用党的先进思想抓实员工队伍思想建设，发挥党组织的政治核
心、政治引领作用，一直以来都是海天的文化特色，独有企业文化，已成为促进公司发展的软实
力。报告期内，公司面临了一定经营压力，越是在企业面临困难的时候，越是要杜绝团队心安理
得的思想，因此公司通过各种措施提高员工的紧迫感，不放松要求，敬畏目标，比意志、比毅力，
努力缩小差距，强化从严治军，树团队正气</t>
  </si>
  <si>
    <t>1.管理：
2.渠道：31个省、320多个地级市、2000多个县。出口到80多个国家。
3.技术：
4.品牌：
5.企业文化：</t>
  </si>
  <si>
    <t>（一）卓越的企业管理能力
多年来公司对管理精益求精的追求，使精细化的管理水平成为了公司的核心竞争力之一，海
天利用大数据、互联网和内部的企业管理系统，做到从一颗黄豆进入厂到产品出厂，使每一瓶海
天产品后面都有一个大数据，全程利用设备和信息化技术进行跟进和分析，确保产品全程可追溯。
同时，对调味品公司管理中最难的供应链管理环节，公司通过多年的管理经验累积，不断地通过
优化订单计划模式和挖潜产能等措施，全面推进实现生产和销售均衡，提高内部资源和外部资源
充分整合产生的效率竞争力，实现供应端、生产端、销售端的良性互动发展。近年来，公司创新
经营模式，持续推进各经营体的自主经营，打开业务发展新局面，通过改革组织架构，改革薪酬
体系，加快业务快速裂变，推动从单一业务向多元业务的转变，降低业务发展风险；推动业务板
块从服务企业内部部门到参与社会竞争的转变，加快推动团队市场化竞争意识。
（二）持续精耕的销售渠道
公司通过多年的精耕，以建立了全方位、立体式的销售网络覆盖。网络覆盖全国 31 个省级行
政区域，320 多个地级市，2000 多个县份市场，产品遍布全国各大连锁超市、各级批发农贸市场、
城乡便利店、零售店，并出口全球 80 多个国家和地区。线上，在 B2C、B2B、新零售等各个版块
都建立了良好的合作关系，海天也在持续、积极探索营销新模式，加快电商平台建设，以不断满
足新技术时代下不断变革的消费习惯及消费趋势，持续巩固海天在网络和用户上的竞争优势。公
司持续推动营销在网络、产品、团队方面加快转型，通过加大营销人力改革、释放营销团队活力、
稳定了经销商的经营、完善了经销商的产品结构等落实渠道管理措施，实现市场高质量发展，为
进一步的市场拓展和品类的发展奠定了坚实的基础。
（三）“全面、全程、全员”的质量保障体系和领先的技术优势
公司致力于为消费者提供安全、健康、美味、放心的优质产品，本公司建立了“全面、全程、
全员”的质量保障体系，率先实现了从原料进厂到终端销售的涉及食品安全和质量监控的关键点
的监测、分析、控制和预防，保障了产品安全、品质稳定，公司每一条生产线都有一套先进的在
线检测系统，对每道生产工序都制定了详细的生产操作规程，同时对每个过程产品建立了严格的
质量控制标准，在生产过程中大量地通过智能化、数据化、自动化、信息化等大数据方法控制整
个生产过程，确保产品品质。
公司的酱油、酱等多个品类的产品都是通过传统的天然发酵技术酿造生产的，海天所掌握的
核心酿造技术成为了公司核心竞争优势，为了保持产品的独有的风味，公司始终坚持传统的生产
工艺，坚持天然阳光晒制，将传统工艺技术与现代科技相结合，确保春夏秋冬，每个批次的产品
风味一致，用科技来保障产品的食品安全、口感美味、质量稳定。因此，在海天产品体系中即不
乏金标生抽、草菇老抽这样畅销 60 多年的产品，经久不衰，依然保持着增长活力。也不乏味极鲜、
黄豆酱等后起之秀，来满足消费者对新口味的追求，保持了发展的后劲。通过多年的深耕和研发，
海天蚝油以其独特的技术优势和风味，深受消费者的喜爱，逐步成为了消费者厨房中的必备调味
品。使蚝油品类保持了稳定的增长态势。
（四）高美誉度的品牌优势。
公司凭借自身强大的品牌、产品、渠道、科研实力，树立了健康、安全、诚信、专业的品牌
形象，并获得了市场和消费者的广泛认可，报告期内，公司持续推进品牌发展战略，品牌影响力
进一步提升，2018 年，Kantar 发布的《2018 年全球品牌足迹报告》中国榜单，海天味业以 5.2
亿消费者，73.3%的渗透率，位列中国快速消费品品牌第 4 位，是榜单前 10 名中唯一的调味品企
业，在中国调味品快消市场持续保持领头羊位置。2019 年，海天品牌荣登中国品牌强国盛典榜样
100 品牌榜单，品牌价值 212.94 亿元。在凯度消费者指数 2019 亚洲品牌足迹报告中，海天味业
荣登中国快速消费品品牌第 4 位。2020 年，品牌评级权威机构 Chnbrand 发布的第十届中国品牌
力指数（C-BPI）品牌排名和分析报告中，海天在调味品行业领域勇夺“四冠”，分别获得
2020C-BPI 酱油、蚝油、酱料、食醋行业第一品牌。
（五）企业可持续发展的战略布局。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
（六）公平公正，正气廉洁的企业文化。
公司倡导“三心”文化，每一位员工都要有“良心、爱心、责任心”，以至善之心，酿造调
味精品，公司努力建设公平公正的工作氛围，给每个员工提供施展才华的平台，公司主张正气、
廉洁的企业文化，因此高度重视团队的廉洁自律，要求各级管理人员要以身作则、廉洁自律，对
舞弊问题保持“零容忍”的高压态势。把企业文化建设纳入党建工作的规划中，用党的先进思想
抓实员工队伍思想建设，发挥党组织的政治核心、政治引领作用，一直以来都是海天的文化特色，
独有企业文化，已成为促进公司发展的软实力</t>
  </si>
  <si>
    <t>1.管理：供应链
2.渠道：
3.技术：
4.品牌：
5.规模：</t>
  </si>
  <si>
    <t>（一） 卓越的企业管理能力
多年来公司对管理精益求精的追求，使精细化的管理水平成为了公司的核心竞争力之一，因
为作为专业的调味品公司，做好管理是一项较大的挑战，需要多年的经验累积和不断创新的管理
方式，因此需要在生产技术上不断突破，在生产管理上不断完善，也需要不断加强工匠团队建设，
用心才能做出精品。海天利用大数据、互联网和内部的企业管理系统，做到从一颗黄豆进入厂到
产品出厂，使每一瓶海天产品后面都有一个大数据，全程利用设备和信息化技术进行跟进和分析，
确保产品全程可追溯。同时，针对调味品公司管理中最难的供应链管理环节，公司通过多年的管
理经验累积，不断的通过优化订单计划模式、挖潜产能等措施，全面推进实现生产和销售均衡，
提高内部资源和外部资源充分整合产生的效率竞争力，实现供应端、生产端、销售端的良性互动
发展。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多年的产品，经久不衰，依然保持着增长活力。也不
乏味极鲜、黄豆酱等后起之秀，来满足消费者对新口味的追求，保持了发展的后劲。
通过多年的深耕和研发，海天蚝油以其独特的技术优势和风味，深受消费者的喜爱，逐步成
为了消费者厨房中的必备调味品。使蚝油品类保持了稳定的增长态势。
（四） 高美誉度的品牌优势。
公司凭借自身强大的品牌、产品、渠道、科研实力，树立了健康、安全、诚信、专业的品牌
形象，并获得了市场和消费者的广泛认可，报告期内，公司持续推进品牌发展战略，品牌影响力
进一步提升，在中国品牌力指数 C-BPI 榜单中，海天酱油连续 9 年行业第一，被列入 2019C-BPI
黄金品牌榜。在凯度消费者指数 2019 亚洲品牌足迹报告中，海天味业荣登中国快速消费品品牌第
4 位。此外，海天公司被凯度授予 2019 中国全品类食品类极具成长力品牌 、2019 中国消费者首
选前十品牌荣誉。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五”计划中多地生产基地将陆续开工，可依据销售实际情况，再次释放超过 100 万吨以上调味品
生产能力，江苏工厂运行产能持续加大，始终领先一步的产能配套，为市场的稳定发展提供了产
能保障</t>
  </si>
  <si>
    <t>1.管理：供应链
2.渠道：已100%覆盖中国的所有地级市以上城市，线上渠道亦在增长。
3.技术：
4.品牌：
5.规模：已扩建的生产能力在稳步提升，规划再扩建100万吨生产能力。</t>
  </si>
  <si>
    <t>（一） 卓越的企业管理能力
多年来对管理精益求精的追求，使精细化的管理水平成为了公司的核心竞争力之一，因为作
为专业的调味品公司，做好管理是一项较大的挑战，需要多年的经验累积和不断创新的管理方式，
因此需要在生产技术上不断突破，在生产管理上不断完善，也需要不断加强工匠团队建设，用心
才能做出精品。海天利用大数据、互联网和内部的企业管理系统，做到从一颗黄豆进入厂到产品
出厂，使每一瓶海天产品后面都有一个大数据，全程利用设备和信息化技术进行跟进和分析，确
保产品全程可追溯。同时，针对调味品公司管理中最难的供应链管理环节，公司通过多年的管理
经验累积，不断的通过优化订单计划模式、挖潜产能等措施，全面推进实现生产和销售均衡，提
高内部资源和外部资源充分整合产生的效率竞争力，实现供应端、生产端、销售端的良性互动发
展。
（二） 持续精耕的销售渠道
公司拥有全国的销售网络，目前海天的网络已 100%覆盖了中国地级及以上城市，在中国内陆
省份中，90%的省份销售过亿，通过多年的精耕，覆盖率逐年提升，覆盖范围与销值增长基本同步，
报告期内，公司通过进一步落实了渠道管理的多项措施，稳定了经销商的经营，完善了经销商的
产品结构，使整个销售渠道的发展更加健康，渠道的健康发展也为未来的市场拓展和品类的发展
奠定了坚实的基础，与此同时，公司线上业务也快速发展，从而使电商平台和传统渠道有效的结
合，巩固了公司在渠道和终端上的竞争优势。
（三） 持续领先的产品技术
公司的酱油，酱等多个品类的产品都是通过传统的天然发酵技术酿造生产的，海天所掌握的
核心酿造技术成为了公司的另一个核心竞争优势，为了保持产品的独有的风味，公司始终坚持传
统的生产工艺，坚持天然阳光晒制，将传统工艺技术与现代科技相结合，确保春夏秋冬，每个批
次的产品风味一致，用科技来保障产品的食品安全、口感美味、质量稳定。因此，在海天产品体
系中即不乏，金标生抽、草菇老抽这样畅销 60 多年的产品，经久不衰，依然保持着增长活力。也
不乏味极鲜、黄豆酱等后起之秀，来满足消费者对新口味的追求，保持了发展的后劲。
（四） 高美誉度的品牌优势。
公司凭借自身强大的品牌、产品、渠道、科研实力，树立了健康、安全、诚信、专业的品牌
形象，并获得了市场和消费者的广泛认可，报告期内，公司持续推进品牌发展战略，品牌影响力
进一步提升，中国品牌日，中国品牌价值评价信息发布，2018 年中国品牌价值百强榜，海天品牌
价值超过 200 亿，成为调味品行业唯一上榜企业。2018 年凯度消费指数发布了《2018 年全球品牌
足迹报告》海天再入“中国消费者首选十大品牌”并排名第 4。公司在持续加快企业发展速度的
同时，夯实企业发展的实力，建立了较强的品牌领先优势。
（五） 企业可持续发展的战略布局。
报告期内，公司继续做好企业持续发展的战略布局，产品结构、产能规划、组织架构、人力
资源等多方面进行改革创新，全方位的提升企业的竞争优势，推动公司业务的稳步发展。报告期
内酱油、蚝油、发酵酱等多个品类的市场规模处于领先甚至绝对领先的领导位置，有效提供了企
业后继发展的基础和降低了发展风险；同时公司继续加大生产基地的产能改造，在未来公司“三 五”计划中可再次释放超过 100 万吨以上调味品生产能力，江苏工厂顺利投产且运行产能持续加
大，始终领先一步的产能配套，为市场的稳定发展提供了产能保障</t>
  </si>
  <si>
    <t>1.渠道：覆盖了全国，90%的省份销售过亿，加快电商平台建设。
2.管理:ERP(企业资源计划)、WMS（仓储管理系统）、LDS(生产数据记录系统)、LMS（生产线管理系统）.
3.技术:
4.品牌：高性价比。
5.规模：继续对原厂区进行改造，以便再增加100万吨产能。</t>
  </si>
  <si>
    <t>（一）覆盖全国的销售渠道
公司拥有中国调味品行业最为强大的营销网络，是业内少有的销售渠道覆盖全国的公司，报
告期内，在中国内陆省份中，90%的省份销售过亿，销售网络已经渗透到全国绝大部分县市，覆
盖范围比去年增长了 10%以上，并每年不断优化，报告期内，公司进一步制定了渠道管理的多项
措施，稳定了经销商的经营，完善了经销商的产品结构，使整个销售渠道的发展更加健康，渠道
的健康发展也为未来的市场拓展和品类的发展奠定了坚实的基础，同时，公司没有忽略新营销模
式的探索，加快了符合海天实际情况的电商平台建设，从而使电商平台和传统渠道有效的结合，
巩固了公司在渠道和终端上的竞争优势。
（二）精益求精的管理水平
 多年来对管理精益求精的追求，使精细化的管理水平成为了公司的核心竞争力之一，因为作
为调味品公司，做好管理是一项较大的挑战，需要多年的经验累积和不断创新的管理方式，因此
需要在生产技术上不断突破，在生产管理上不断完善，海天利用 ERP（企业资源计划），WMS(仓
储管理系统）、LDS(生产数据记录系统）、LMS（生产线管理系统）等管理系统，从一颗黄豆进入厂
到产品出厂，使每一瓶海天产品后面都有一个大数据，全程利用设备和信息化技术进行跟进和分
析，确保产品生产每个环节的管理。同时，针对调味品公司管理中最难的供应链管理环节，公司
通过多年的管理经验累积，不断的通过优化订单计划模式、挖潜产能等措施，全面推进实现生产
和销售均衡，提高内部资源和外部资源充分整合产生的效率竞争力，实现供应端、生产端、销售
端的良性互动发展。
（三）实力领先的技术能力
公司的酱油，酱等多个品类的产品都是通过传统的发酵技术酿造生产的，对于已经拥有 300
年历史的老字号企业来说，海天所掌握的核心酿造技术成为了公司的另一个核心竞争优势，为了
保持产品的独有的风味，公司依然坚持传统的生产工艺，坚持天然阳光晒制，将传统工艺技术与
现代科技相结合，确保春夏秋冬，每个批次的产品风味一致，用科技来保障产品的食品安全、口
感美味、质量稳定。因此，在海天产品体系中不乏，金标生抽、草菇老抽这样畅销 60 多年的产品，
经久不衰，依然保持着增长活力。公司拥有博士后工作站等专门攻克技术难题的科研机构，每年
都有技术创新成果应用到生产中，公司对技术的不断突破，使公司在食品酿造方面拥有领先的技
术实力。
（四）高美誉度的品牌优势。
海天品牌一直以来以高信赖度，高性价比品牌形象获得消费者的认可，通过卓越的产品品质
作为品牌传播的最佳载体，一直以来知名度和美誉度并行，公司非常重视品牌的形象的维护和传
播，将品牌建设作为公司的战略之一，尽管公司非常重视品牌宣传，但是却一直坚持理性传播，
坚持高性价比的传播方式，报告期内，公司持续推进品牌发展战略，品牌影响力进一步提升，配
合公司的营销策略，通过聚焦核心品类，与优势媒体资源结合，使品牌传播更加有效，与销售产
生互为良性促进作用，市场端的核心竞争力进一步显著提升。
（五）全方位提升的竞争优势。
报告期内，公司持续从产品结构，产能规划，人力资源各方面保持发展态势，全方位的提升
企业的竞争优势，报告期内酱油、蚝油、发酵酱等多个品类的市场规模处于领先甚至绝对领先的
领导位置，有效提供了企业后继发展的基础和降低了发展风险；同时公司在完成了募投项目后，
继续加大了原厂区产能改造，可再次释放了 100 万吨以上调味品生产能力，江苏工厂顺利投产且
运行产能持续加大，始终领先一步的产能配套，为市场的稳定发展提供了产能保障。通过培育和
打造“海天工匠”队伍，来提升员工整体的素质，将产品质量、工作质量和服务质量的竞争力进
一步拔高，使海天的综合优势一步步提升。</t>
  </si>
  <si>
    <t>1.规模：调味品总产能超过200万吨。
2.管理：生产与销售的平衡。
3.渠道：原有渠道已经铺设到了全国绝大部分县市，开始加快探索电商渠道的建设。
4.品牌：做广告宣传。
5.技术：多品类、大单品。</t>
  </si>
  <si>
    <t>1、始终领先一步的产能保障。
报告期内，公司募投项目基本完成全部达产，完成对原厂区酱油一期和小调味品区的产能改
造，江苏工厂一期工程也已经投产运行，至此，公司的整体调味品生产能力超过 200 万吨，始终
领先一步的产能配套，为市场的稳定发展提供了产能保障。
2、较高的精细管理优势。
报告期内，公司不断强化精细管理的竞争优势和效益：通过优化订单计划模式、去库存、挖
潜产能等措施，全面推进实现生产和销售均衡，提高内部资源和外部资源充分整合产生的效率竞
争力，实现供应端、生产端、销售端的良性互动发展；调动全体员工用工匠精神打造海天精品，
并优化工艺流程、加大技改投入，完成了一个个产品的升级，进一步拉高的竞争门槛。
3、强大的渠道能力。 
报告期内，公司继续强化渠道建设，销售网络已经渗透到全国绝大部分县市，目前拥有中国
调味品行业最为强大的营销网络，并每年不断优化，为未来的市场拓展和品类的发展奠定了坚实
的基础，同时，公司也在积极探索营销新模式，加快电商平台建设，进一步巩固在渠道和终端上
的竞争优势。
4、显著的品牌优势。 
报告期内，持续推进品牌发展战略，品牌影响力进一步提升，通过聚焦核心品类，与优势媒
体资源结合，使品牌传播更加有效，与销售产生互为良性促进作用，市场端的核心竞争力进一步
显著。
5、形成多品类、大单品的竞争优势。 
公司酱油、蚝油、发酵酱等多个品类的市场规模处于领先甚至绝对领先的领导位置，有效提
供了企业后继发展的基础和降低了发展风险；同时公司拥有一批大单品，这为进一步拓展网络和
终端提供了有力保障。</t>
  </si>
  <si>
    <t>1.规模：酱油一期部分完成、江苏进入设备调试。
2.技术：装备、工艺不断升级。
3.渠道：经销商2600家；分销商16000家；地级市320多个；1400多个县。
4.品牌：整合利用了业内供应商、品牌服务商 、经销商、科研机构在内的优秀资源以及社会资源；推动企业和行业进行改造升级。</t>
  </si>
  <si>
    <t xml:space="preserve">1、生产规模进一步提升，规模壁垒增强
报告期内，公司的生产能力持续增强，募投项目产能进一步释放、原厂区酱油一期产能改造
部分项目完工，江苏新工厂建设进入设备调试阶段。较为充足的产能能够保证市场的良性发展。
2、技术和装备不断更新和转化，形成了较强生产水平壁垒
核心工艺不断升级、核心技术不断增加、设备装备水平超前——是公司一直坚持的核心工作
要求。这些对于提升生产效率，稳定产品质量，减少耗能，降低生产成本，提高土地集约利用等
方方面面的正面作用越来越明显。也进一步保障食品安全，并加大了竞争壁垒。
3、网络的覆盖面和覆盖深度加强，优势明显 
报告期内海天已经建立了 2600 多家经销商、16000 多家的联盟商，网络覆盖了 320 多个地级
市、1400 多个县份，网络遍布全国各大批发农贸市场、连锁超市、便利店、乡镇村，全面支撑了
公司的持续发展。
4、资源聚集优势凸显 
在供应商、品牌服务商、经销商、科研机构等不同领域与国际国内一流的企业都建立了良好
的合作，同时企业有效利用了更多更好的社会资源，提高了海天的产品质量、盈利能力和管理能
力。
5、充分发挥行业示范作用，推动调味品行业健康积极的发展
公司行业地位不仅体现在产销量第一的规模地位上，更体现在不断创新、推动企业及行业改
造升级。公司部分率先使用的生产设备，已在行业内推广；进入资本市场后，调味品行业成为资
本市场研究和投资的热门行业；公司承担了酱油国家标准，蚝油国家标准、发酵酱国家标准等多
项国标的制定工作，承担了大批的国家科研项目，为整个行业的规范发展积极献策；公司所拥有
博士工作站、国家认可实验室等科研实力机构，使科技成果得以转化为生产力，促进整个行业的
发展。
</t>
  </si>
  <si>
    <t>1、规模壁垒：募投项目(酱油一期改造、江苏异地开工建厂)投产后，调味品生产能力将达到200万吨。
2、技术：
3、渠道：
4、品牌：制定标准、利用行业资源</t>
  </si>
  <si>
    <t>1、规模壁垒
随着募投项目产能逐步释放、酱油一期改造、江苏异地厂的开工建设，海天将构建出超过 200
万吨的调味品生产能力，生产能力是市场拓展的坚强后盾，海天酱油、海天蚝油等产销量已经连
续多年稳居全国第一，调味酱的规模也是遥遥领先。
2、领先的技术和装备壁垒
海天募投项目采用了国际顶尖的装备水平，包括每小时 48000 瓶极速灌装生产线、全自动立
体仓库等，海天的生产装备很好的表现了技术工艺与设备生产的结合，也拥有了很多核心技术和
专利，并且令很多核心技术通过装备设施产生了生产力，进一步保障食品安全，并形成了较强的
竞争壁垒。
3、网络优势 
经过二十多年构建，海天已经建立了 2000 多家经销商、10000 多家的联盟商，网络覆盖了 300
多个地级市、1000 多个县份，网络遍布全国各大批发农贸市场、连锁超市、便利店，网络不断的
细化和下沉，带动了更多产品的上规模发展。
4、资源聚集优势 
规模和信誉使海天聚集资源的优势十分明显，海天一直注重品牌合作、规模合作，海天很多
的大项目、大科研、大采购，都是与国际国内一流的品牌企业合作，通过与这些知名品牌合作，
企业有效利用了更多更好的社会资源，实现与合作商的共赢，也进一步提高了海天的产品质量和
盈利能力。
 5、行业地位 
 海天行业地位不仅体现在产销量第一的规模地位上，通过积累和快速发展，海天充分的企业
实力和科研水平，更能显示行业位置。海天除了承担制定酱油国家标准外，陆续承担了蚝油国家
标准、发酵酱国家标准等多项国标制定工作，另外海天已经建成博士工作站、拥有国家认可实验
室，一些国家科研项目由海天主要承担，多年积累的技术和经验不但转化成为了海天的生产力，
也推动了整个行业的发展。</t>
  </si>
  <si>
    <t xml:space="preserve">1.品牌: 增加销售、利用行业资源
2.渠道：经销商2100家；分销商12000家；直控终端50多万个。31个省；超300个地级市；近1000个县。
3.规模：产量和销量高。
4.技术：总调味品100余种；酱油40余种。
</t>
  </si>
  <si>
    <t>1、领先的品牌力
公司产品有深厚的历史积淀，先后获得国家工商行政管理局"驰名商标"、中国商务部"中华
老字号"和"最具市场竞争力品牌"、国家质检总局"中国名牌产品"等荣誉称号，在消费者中有极
高的知名度、有众多的忠诚消费者。公司启动品牌升级行动以来，以"生活多美味"为新的品牌
主张，持续与消费者进行沟通，积累了较为明显的品牌优势。
2、龙头企业的产品力
公司是调味品龙头，已发展出生抽、老抽、特色酱油等系列共 40 多个品种，蚝油、黄豆酱、
招牌拌饭酱等产品则进一步扩大了公司产品品类，所有海天调味产品已达 100 余种，其中金标
生抽、草菇老抽、蚝油和黄豆酱等产品已成功销售数十年，体现了公司强大的研发实力和龙头
企业的产品力。
3、强大的渠道销售力
公司已搭建并在不断完善业内最强渠道平台，现已拥有 2100 多家经销商，12000 多家分销
商/联盟商，覆盖 50 多万个直控终端销售网点。产品全面覆盖全国 31 个省级行政区域，超 300
个地级市和近 1000 个县份市场，遍布全国各大知名连锁超市、各级农贸市场、城乡便利店。2013
年以来，随着募投项目产能的进一步释放，公司的渠道得以进一步加快下沉至县乡镇市场和拓
展城市细分终端；凭借强大的渠道优势，公司产品组团推广优势将更明显。
4、 领先的科研实力
公司拥有一流的国家认可实验室，建成了调味品行业博士后流动站，与众多科研院所及高
等院校建立了合作关系，还承担了国家和省市的一批科技计划项目。目前，公司的仪器装备、
人才队伍、科研实力均已接近或达到国际领先水平，独有的科研力量领先的关键核心技术和强
大的创新力，对食品安全提供了更强的保障，公司成为业内技术升级的典范，引领着调味品技
术升级的发展方向。
5、领先的规模优势
公司规模优势明显，连续 10 余年酱油、蚝油、黄豆酱等产品的产销量均遥遥领先。通过在
全国范围持续的产销量扩张。公司彻底颠覆了长期以来调味企业规模偏小、品种单一、影响力
区域化的局面。同时，领先的规模优势降低了边际成本、提高了公司议价和溢价能力。
6、逐步突出的整合力
一方面公司在原材料、生产、管理、营销、物流甚至科研开发等方面都已实现与相关行业、
主流企业的开放合作，借此逐步形成一个竞争优势几何增长的企业生态链另一方面，利用积累
的调味品管理、研发、渠道等优势，加快行业的整合和升级优化。</t>
  </si>
  <si>
    <t>酱油、食醋等调味品是日常生活必需品，市场规模大、消费频次高、基本不受宏观经济影响
和进出口影响，基本不存在周期性差异。近年来，随着消费者饮食口味要求的提升、餐饮业的快
速发展、外卖产业的兴起、电子商务的蓬勃发展等因素，行业面临新的发展格局，主要如下：
（一）行业集中度不断提高，企业优胜劣汰速度加快。大企业基于研发、生产、品牌、渠道
等综合竞争优势，持续扩建产能、全渠道扩大市场份额。部分小企业被迫转向细分领域或驻足于
区域市场。
（二）经济水平、城乡结构、年龄结构的变化使消费呈现出分级与分众的趋势。分级方面，
注重品质、体验的升级与注重价廉、方便的降级同步进行。分众方面，中老年、新生代、单身及
小家庭群体的消费结构各有不同。伴随消费分级、分众，涌现出一些新品牌、新品类、新企业以
及新的商业模式。
（三）渠道多样化，KA 渠道客流量逐渐下滑、加速向线上和社区门店转换；消费者减少到店
频次，集中采购、网上采购渐成常态。
（四）伴随国内稳经济一揽子政策措施有效落地，餐饮消费回暖明显，餐饮复苏也将带来调
味品发展的新机遇。</t>
  </si>
  <si>
    <t>（一）不断壮大并优化的人才队伍
公司坚定不移的把人才作为企业的核心竞争力，坚持人才队伍年轻化、专业化、知识化战
略，持续优化现代企业人力资源管理体系，推行卓越绩效管理，充分授权、有效监督，形成科学
有序的人才进入和退出机制，为优秀人才创造发展机会，炼成了一支志同道合、励精图治、朝气
蓬勃的优秀团队，推动企业健康高速发展。
（二）卓越并不断提升的产品品质
当前人们对饮食健康的关注到了前所未有的高度, “健康饮食”成为食品行业发展的新契
机。公司产品以“高品质、健康美味”著称，持续在酱油、食醋、料酒等高品质健康调味品的工
艺、技术、设备、产品品质、检测检验方法进行研究，不断提高产品品质、安全性和稳定性。公
司陆续通过了 BRC 食品安全全球标准认证、IFS 国际食品标准认证、欧盟有机认证、有机产品认
证、犹太洁食认证、清真食品认证、FSSC22000 食品安全管理体系认证等，并在食品安全保障方
面多次获得各级政府表彰。报告期内，公司继续加强原生态自然发酵、零添加、健康好吃、高质
量产品的开发和推广，优化现有的产品结构，满足、创造并引领消费者需求。
（三）持续强化的品牌力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康调味品，紧紧把握消费升级时代趋势，引领消费需求，形成独具特色的差异化品牌竞争优势。
公司聚焦“高品质、健康、美味”等品牌定位，全方位整合媒体、渠道和终端资源，集中爆发突
破，形成点线面相结合、品牌推广与消费者体验相融合的品牌传播模式,凸显品牌张力。
（四）持续创新提升的公司治理水平
良好的公司治理是公司行稳致远的保障，公司高度重视公司治理，建立了完善的现代企业管
理体系。架构上，不断完善以股东大会、董事会、监事会和经营管理层为主体的治理架构，按照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</si>
  <si>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酱油、食醋等调味品是日常生活必需品，市场规模大、消费频次高、基本不受宏观经济影响
和进出口影响，基本不存在周期性差异。近年来， 随着消费者饮食口味要求的提升、餐饮业的
快速发展、外卖产业的兴起、电子商务的蓬勃发展等因素，行业竞争格局复杂多样，企业经营面
临更大挑战，主要如下：
1、主要企业纷纷扩产，产能趋于饱和，随着大量新增产能投产，产业供需矛盾将更加突
出，市场竞争更加激烈。
2、行业集中度不断提高，企业优胜劣汰速度加快。大企业以成本和品牌优势扩大市场份
额，小企业被迫转型细分领域或退出市场竞争。
3、经济水平、城乡结构、年龄结构的变化使消费呈现出分级与分众的趋势。分级方面，注
重品质、体验的升级与注重价廉、方便的降级同步进行。分众方面，中老年、新生代、单身及小
家庭群体的消费结构各有不同。
4、伴随消费分级、分化，商业模式的变化以及运营渠道多样化，调味品企业渠道运营方式
不断多样化，在疫情的催化下更加速向线上和社区门店转换；消费者减少到店频次，集中采购、
网上采购渐成常态。
5、复合调味品发展迅速，其中川调又因其麻辣鲜香的复合味型迎来相对更好的发展机遇，
在大众餐饮和家庭厨房中备受欢迎，产品创新和迭代迅速，企业品牌众多，市场繁荣且竞争激
烈。</t>
  </si>
  <si>
    <t>1、不断壮大并优化的人才队伍
公司坚定不移的把人才作为企业的核心竞争力，坚持人才队伍年轻化、专业化、知识化战略，持
续优化现代企业人力资源管理体系，推行卓越绩效管理，充分授权、有效监督，形成科学有序的
人才进入和退出机制，为优秀人才创造发展机会，炼成了一支志同道合、励精图治、朝气蓬勃的
优秀团队，推动企业健康高速发展。
2、卓越并不断提升的产品品质
疫情使人们对健康的关注到了前所未有的高度,后疫情时代，对于突发卫生事件的防控将进入常
态化，消费者对于膳食和营养补充的态度以及消费习惯随之改变，“健康饮食”成为食品行业发
展的新契机。公司产品以“高品质、健康美味”著称，持续在酱油、食醋、料酒等高品质健康调
味品的工艺、技术、设备、产品品质、检测检验方法进行研究，不断提高产品品质、安全性和稳
定性。公司陆续通过了 BRC 食品安全全球标准认证、IFS 国际食品标准认证、欧盟有机认证、有
机产品认证、犹太洁食认证、清真食品认证、FSSC22000 食品安全管理体系认证等，并在食品安
全保障方面多次获得各级政府表彰。报告期内，公司继续加强原生态自然发酵、零添加、健康好
吃、高质量产品的开发和推广，优化现有的产品结构，满足、创造并引领消费者需求。
3、持续强化的品牌力
公司以“匠心酿造中国味道”为企业使命，致力于打造高品质健康调味品第一品牌。公司坚持
“做放心食品，酿更好味道”的品牌理念，专注聚焦零添加酿造酱油、食醋、料酒等高品质健康
调味品，紧紧把握消费升级时代趋势，引领消费需求，形成独具特色的差异化品牌竞争优势。公
司聚焦“高品质、健康、美味”等品牌定位，全方位整合媒体、渠道和终端资源，集中爆发突
破，形成点线面相结合、品牌推广与消费者体验相融合的品牌传播模式,凸显品牌张力。
4、持续创新提升的公司治理水平
良好的公司治理是公司行稳致远的保障，公司高度重视公司治理，建立了完善的现代企业管理体
系。架构上，不断完善以股东大会、董事会、监事会和高级管理层为主体的治理架构，按照权责
分明、各司其职、相互协调、有效制衡的原则，研究制定和修订完善公司章程、分级授权方案等
公司治理基本制度，明晰治理主体各自不同的职权，建立了决策科学、监督有效、运行高效的公
司治理运作机制。经营决策上，公司坚持扁平式的管理模式，强调“纪律、速度、细节”的执行
力文化，助推公司高效应对市场变化。内部控制上，公司坚持强化监督机制，形成内外部举报投
诉机制，落实内外部审计、巡视制度、事件查处制度，坚持“有案必接、有案必查、查必有果”
的原则，全面推动阳光合作机制，廉正建设教育与警示教育常态化</t>
  </si>
  <si>
    <t>作为日常生活必需品，调味品刚性需求极强，受宏观经济影响不明显，周期性特征不突出，
行业盈利水平良好。伴随城镇化率的持续提升以及中高阶层消费群体的日益庞大，调味品消费量
和品质需求均有显著提升，行业发展空间大、发展层次清晰，主要如下：
1、行业加快整合，行业集中度不断提高。基于资本、食品安全、品牌、环保、新消费模式等
因素影响，企业优胜劣汰速度加快，品牌集中度逐步提高，大多数实力差、规模小、创新及品牌
力弱的企业很难生存与发展。
2、中高端产品量价齐升，空间巨大。随着居民消费结构升级及健康意识的提高，消费者追求
更健康、更美味的调味品，具有天然、健康特色的产品得以快速发展；品质升级带动价格进一步
提升，中高端调味品获得了前所未有的巨大市场空间，盈利能力明显提升。
3、新零售趋势向好，运营渠道多样化。信息时代，社会生活、消费方式不断发生变化，促使
调味品企业渠道运营方式不断多样化。</t>
  </si>
  <si>
    <t xml:space="preserve">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10 / 181
2020 年年度报告
11 / 181
疫情使国人对健康的关注到了前所未有的高度,后疫情时代，对于突发卫生事件的防控将进入
常态化，消费者对于膳食和营养补充的态度以及消费习惯随之改变，“健康饮食”成为食品行业
发展的新契机。公司产品以“高品质、健康美味”著称，持续在酱油、食醋、料酒等高品质健康
调味品的工艺、技术、设备、产品品质、检测检验方法进行研究，不断提高产品品质、安全性和
稳定性。公司陆续通过了 BRC 食品安全全球标准认证、IFS 国际食品标准认证、欧盟有机认证、
有机产品认证、犹太洁食认证、清真食品认证、FSSC22000 食品安全管理体系认证等，并在食品
安全保障方面多次获得各级政府表彰。报告期内，公司继续加强原生态自然发酵、零添加、健康
好吃、高质量产品的开发和推广，优化现有的产品结构，满足、创造并引领消费者需求。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的公司治理运作机制。经营决策上，公司坚持扁平式的管理模式，强调“纪律、速度、细节”的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
5、得天独厚的环境优势
酱油、食醋酿造受水源、气候等自然条件的影响，特别是优质酱油和食醋产品的酿造对自然
环境有较高要求。公司眉山工厂位于联合国粮农与教科文组织认定的最佳酿造带——北纬 30°，
天府之国、成都平原西南部，岷江中游和青衣江下游的扇形地带，气候温和湿润，冬无严寒，夏
无酷暑，无霜期长，少霜雪，微生物种群富集，非常适宜酱油、食醋的酿造发酵。优良的自然环
境、温和湿润的气候、优质甘冽的水源、富含微量元素的地下井盐都是公司调味品酿造的绝佳优
势。
</t>
  </si>
  <si>
    <t>1、不断壮大并优化的人才队伍
公司坚定不移的把人才作为企业的核心竞争力，坚持人才队伍年轻化、专业化、知识化战略，
持续优化现代企业人力资源管理体系，推行卓越绩效管理，充分授权、有效监督，形成科学有序
的人才进入和退出机制，为优秀人才创造发展机会，炼成了一支志同道合、励精图治、朝气蓬勃
的优秀团队，推动企业健康高速发展。
2、卓越并不断提升的产品品质
公司积极响应国家关于食品安全的号召，严格遵守食品安全法律法规，将食品安全作为企业
管理第一要务，从原料采购、产品生产到产品销售层层把关，全面保障产品品质。公司选用非转
基因粮食作为调味品生产原料，在生产环节采用先进的工艺，配备先进的设备，并建立了行业领
先的检测体系，确保产品安全、卫生、稳定。公司强化研发创新，持续引进食品发酵专业高级人
才，加强产学研合作，持续提升产品质量。公司先后通过了 ISO 9001 质量管理体系认证、ISO22000 
食品安全管理体系认证、ISO14001 环境管理体系认证、欧盟有机认证、有机产品认证、犹太洁食
认证、清真食品认证、FSSC22000 食品安全管理体系认证，并在食品安全保障方面多次获得各级
政府表彰。
3、持续强化的品牌力
公司以“匠心酿造中国味道”为企业使命，致力于打造高品质健康调味品第一品牌。公司坚
持“做放心食品，酿更好味道”的品牌理念，专注聚焦零添加酿造酱油、食醋、料酒等高品质健
康调味品，紧紧把握消费升级时代趋势，引领中高端市场消费需求，形成独具特色的差异化品牌
竞争优势。公司聚焦“高品质、健康、美味”等品牌定位，全方位整合媒体、渠道和终端资源，
集中爆发突破，形成点线面相结合、品牌推广与消费者体验相融合的品牌传播模式,凸显品牌张力。
4、持续创新提升的公司治理水平
良好的公司治理是公司行稳致远的保障，公司高度重视公司治理，建立了完善的现代企业管
理体系。架构上，不断完善以股东大会、董事会、监事会和高级管理层为主体的治理架构，按照
权责分明、各司其职、相互协调、有效制衡的原则，研究制定和修订完善公司章程、分级授权方
案等公司治理基本制度，明晰治理主体各自不同的职权，建立了决策科学、监督有效、运行高效
的公司治理运作机制。经营决策上，公司坚持扁平化的管理模式，强调“纪律、速度、细节”的
执行力文化，助推公司高效应对市场变化。内部控制上，公司坚持强化监督机制，形成内外部举
报投诉机制，落实内外部审计、巡视制度、事件查处制度，坚持“有案必接、有案必查、查必有
果”的原则，全面推动阳光合作机制，廉正建设教育与警示教育常态化。</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</si>
  <si>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环境管理体系认证、有机产品认证、犹太洁食认证和清真食品认证，并
在食品安全保障方面多次获得各级政府表彰。
3、研发优势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4、品牌优势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
面相结合、品牌推广与消费者体验相融合的品牌务实传播模式,凸显品牌张力。
5、企业文化优势 
公司确立了 “忠孝廉节，说到做到”的核心价值观，以“匠心酿造、中国味道”为企业使命，
致力打造中国高品质健康调味品第一品牌。在人才队伍锻造上，公司全面深入贯彻企业核心价值
观，企业使命内化于员工内心；在人才队伍的组织上，公司力求经验管理与创新管理相结合，既
有从事食品行业多年具有丰富行业经验的管理人才，又不断补充年轻人才队伍，为公司创新注入
新鲜血液。在经营决策上，公司坚持扁平式的管理模式，强调“纪律、速度、细节”的执行力文
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</si>
  <si>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从行业动态来看，调味品行业依然呈现稳步发展的态势，行业内企业在面对市场变化时，积
极提高应变能力，通过供给侧结构性改革，调结构、促转型、谋发展,并在产品创新、产业链延伸、
体制创新和商业模式转换方面取得了新的突破，推动调味品行业的转型升级和创新发展。高端化
消费趋势明显；民营企业发展迅速；资本活跃度攀升；营销与宣传方式更加丰富；主流产品价格
上扬。</t>
  </si>
  <si>
    <t>⑴人才队伍优势
公司坚定不移的把人才作为企业的核心竞争力，建立并完善了现代企业人力资源管理体系，
坚持人才队伍年轻化、专业化，推行正向激励为主的卓越绩效管理，充分授权、有效监督，形成
2017 年年度报告
10 / 153
科学有序的人才进入和退出机制，为想干事、能干事、干成事的优秀人才创造发展机会，炼成了
一支志同道合、励精图治、朝气蓬勃的优秀团队，推动企业健康高速发展。
⑵产品品质优势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⑶研发优势
公司充分认识到科学技术是第一生产力，高度重视科学技术对企业的积极推动作用。依托公
司省级企业技术中心，公司持续在酱油、食醋、料酒等调味品和焦糖色的工艺、技术、设备、产
品品质、检测检验方法进行研究，不断提高产品品质、提升产品安全性、降低生产成本。迄今，
公司已获得多项核心技术专利，公司率先研发推出的零添加调味产品，在保证不加味精、防腐剂、
添加剂的同时致力于提升零添加产品的美味体验，真正做到了零添加又美味。
⑷品牌优势
在品牌云集、竞争激烈的调味品市场，公司坚持“做放心食品，酿更好味道“的品牌理念，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抢占中高端市场引领并创造消费需求，形成独具特色的差异化品牌竞争优势。同时，公司聚焦“高
品质、健康、美味等品牌定位，全方位整合媒体、渠道和终端资源，集中爆发突破，形成点线面
相结合、品牌推广与消费者体验相融合的品牌务实传播模式,凸显品牌张力。
⑸企业文化优势
公司确立了 “忠孝廉节，说到做到”的核心价值观，以“振兴民族食品工业，提升人类生活
品质”为企业使命，致力打造中国高品质健康调味品第一品牌。在人才队伍锻造上，公司全面深
入贯彻企业核心价值观，企业使命内化于员工内心；在人才队伍的组织上，公司力求经验管理与
创新管理相结合，既有从事食品行业多年具有丰富行业经验的管理人才，又不断补充年轻人才队
伍，为公司创新注入新鲜血液。在经营决策上，公司坚持扁平式的管理模式，强调“纪律、速度、
细节”的执行力文化，助推公司高效应对市场变化。
⑹环境优势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</si>
  <si>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作为居民日常生活必需品，调味品行业整体上受宏观经济影响不明显，周期性特征不突出，
行业发展空间较大，发展趋势明朗，主要如下：行业整合加剧，企业规模效应持续显现，优胜劣
汰趋势明显，规模化和专业化并购重组渐次展开，行业集中度不断提高；行业层次更加清晰，随
着居民消费结构升级及健康意识的提高，高端、次高端增量明显，具有天然、健康特色的产品得
以快速发展，盈利能力明显提升；运营渠道多样化，规模企业市场投入力度的加大，渠道运营方
式不断多元化，更加适应新时代发展需要。</t>
  </si>
  <si>
    <t>1、人才队伍优势 
公司坚定不移的把人才作为企业的核心竞争力，建立并完善了现代企业人力资源管理体系，
坚持人才队伍年轻化、专业化，推行正向激励为主的卓越绩效管理，充分授权、有效监督，形成
科学有序的人才进入和退出机制，为想干事、能干事、干成事的优秀人才创造发展机会，炼成了
一支志同道合、励精图治、朝气蓬勃的优秀团队，推动企业健康高速发展。
2、产品品质优势 
“十三五”规划将食品安全问题提到国家战略高度，提出要实施食品安全战略，形成严密高
效、社会共治的食品安全治理体系，让人民群众吃得放心。公司积极响应国家关于食品安全的号
召，将食品安全作为企业管理第一要务，从原料采购、产品生产到产品销售层层把关。公司选用
非转基因粮食作为调味品生产原料，在生产环节配备先进的设备，并建立了行业领先的检测体系，
确保产品安全、卫生、稳定。公司先后通过了 ISO 9001 质量管理体系认证、ISO22000 食品安全
管理体系认证、ISO14001 环境管理体系认证、ISO10012 计量检测体系认证、有机产品认证、犹
太洁食认证和清真食品认证，并在食品安全保障方面多次获得各级政府表彰。
3、研发优势 9 / 131
2016 年年度报告
10 / 131
公司充分认识到科学技术是第一生产力，高度重视科学技术对企业的积极推动作用。依托于
公司省级企业技术中心，公司持续在酱油、食醋等调味品和焦糖色的工艺、技术、设备、产品品
质、检测检验方法进行研究，不断提高产品品质、提升产品安全性、降低生产成本。迄今，公司
已获得多项核心技术专利，公司率先研发推出的零添加调味产品，在保证不加味精、防腐剂、添
加剂的同时致力于提升零添加产品的美味体验，真正做到了零添加又美味。
4、品牌优势 
在品牌云集、竞争激励的调味品市场，公司坚持“做放心食品，酿更好味道“的品牌理念，
专注聚焦零添加酿造酱油、食醋、料酒等高品质健康调味品，紧紧把握消费升级时代趋势，快速
抢占中高端市场引领并创造消费需求，形成独具特色的差异化品牌竞争优势。同时，公司聚焦“零
添加、健康、高品质“等品牌定位，全方位整合媒体、渠道和终端资源，集中爆发突破，形成点
线面相结合、品牌推广与消费者体验相融合的品牌务实传播模式,凸显品牌张力。
5、企业文化优势 
公司确立了 “忠孝廉节，说到做到”的核心价值观，以“振兴民族食品工业，提升人类生活
品质”为企业使命，致力打造中国高品质健康调味品第一品牌。在人才队伍上，公司力求经验管
理与创新管理相结合，既有从事食品行业多年具有丰富行业经验的管理人才，又不断补充年轻人
才队伍，为公司创新注入新鲜血液。在经营决策上，公司坚持扁平式的管理模式，强调“纪律、
速度、细节”的执行力文化，助推公司高效应对市场变化。
6、环境优势 
酱油、食醋酿造受到水源、气候等方面的影响，特别是优质酱油和食醋产品的酿造对自然环
境有较高要求。公司调味品生产厂区位于北纬 30°，成都平原西南部，岷江中游和青衣江下游的
扇形地带，气候温和，雨量丰沛，冬无严寒，夏无酷暑，无霜期长，少霜雪，非常适宜酱油、食
醋的酿造发酵。优良的自然环境、湿润的气候、优质的水源成为公司调味品酿造的绝佳优势</t>
  </si>
  <si>
    <t>1、 中国调味品市场概况
就市场规模而言，中国是世界上最大的调味品市场。2021 年，中国的调味品市场为 6826 亿
元，远高于美国市场的 4153 亿元及日本市场的 1601 亿元。中国的调味品每年人均支出由 2017 年 的 349.5 元增至 2021 年的 483.2 元，此期间的复合年增长率为 8.4%。在城市化持续推进、中国消
费者购买力不断提升及调味品消费增加的驱动下，预计于可预见未来，调味品人均支出将继续保
持增长趋势。
调味品是指添加到食品中以赋予特定风味或在各地的某些文化中用于佐菜的酱料或调味料。
调味品市场分为单味调味品和复合调味品，单味调味品的市场规模远大于复合调味品的市场规模。
于 2021 年，单味调味品的市场规模为 5403 亿元，而复合调味品的市场规模为 1423 亿元。由于中
国连锁餐饮市场的强劲发展、规范化及可扩展性，以及居民对即煮即食食品的需求不断增长，复
合调味品的市场规模于 2017 年至 2021 年的复合年增长率达到 11.3%，较单味调味品的复合年增
长率更快。然而，就复合调味品消费而言，中国与主要发达经济体之间仍有很大差距。2021 年，
复合调味品仅占调味品总价值的 20.8%，而美国和日本则分别占到 53.0%及 52.2%。同样，2021
年，中国的复合调味品人均支出为 100.7 元，仅为美国和日本复合调味品人均支出的约 10%。
展望未来，随着城市化的持续推进、对各类调味品的需求不断增长、复合调味品的使用范围
更广泛及便于烹饪，预期复合调味品将较其他类型的调味品有更高的增长，预计 2021 年至 2026
年的复合年增长率为 11.4%，而同期单味调味品为 8.7%。复合调味品的市场规模预计于 2026 年
将达到 2437 亿元。
2、 中国复合调味品行业
复合调味品在中国的历史相对较短，但其市场增速比调味品更快。2017 年至 2021 年，中国
复合调味品每年人均支出由 66.6 元增至 100.7 元，复合年增长率为 10.9%。预计于不久的将来，
复合调味品的市场表现将持续优于整个调味品市场，这归因于中国连锁餐饮的持续标准化、年轻
消费者的快节奏生活方式等多个因素。于疫情期间，火锅底料受负面影响较大，主要系线下用餐
要求保持社交距离，且受限于大规模聚集。2017 年至 2021 年，中式复合调味品是复合调味品市
场中增长第二快的板块，主要受城市零售消费者消费增长所推动。城市居民有较强的购买力，但
通常不太擅长烹饪，因此，中式复合调味品是城市居民的不二选择。随着城市化的快速推进及可
支配收入的增加，预计该板块在未来几年将实现强劲增长。未来，火锅底料预计借助 B2B 和 B2C
渠道而于 2021 年至 2026 年迎来最快增长率。就 B2B 渠道而言，火锅餐饮行业预计将成为所有中
餐领域增速最快者之一。火锅店的标准化将驱动对火锅底料产品的需求。就 B2C 渠道而言，当前
消费者更喜欢在家里方便地烹饪，因此对预包装火锅底料产品的需求也会增加。通过 B2B 渠道销
售的复合调味品的市场规模已由 2017 年的 578 亿元增至 2021 年的 828 亿元。由于餐饮市场受疫
情影响，中国复合调味品行业市场规模于 2020 年略有缩小，但随后回升，预计于 2026 年将达到
1423 亿元，2021 年至 2026 年的复合年增长率为 11.4%。随着越来越多的居民追求快速、简单、
方便的烹饪原料，通过 B2C 渠道销售的复合调味品的市场规模由 2017 年的 349 亿元增加至 2021
年的 595 亿元，复合年增长率为 14.3%。随着城市化推进及收入水平提高，该板块预计将以 11.5%
的复合年增长率持续增长，并于 2026 年达到 1024 亿元。</t>
  </si>
  <si>
    <t>1、 品牌优势
公司非常重视品牌建设，目前拥有“好人家”、“大红袍”、“天车”、“天味食品餐饮高端定制”四
大品牌，在家庭用户、餐饮客户心中树立了广泛的品牌认知和良好的口碑形象。公司已成长为中
国复合调味品行业的龙头企业，亦多次入选胡润中国食品行业百强榜。
1) “好人家”：品牌聚焦家庭消费市场，现已成长为中式菜品调料&amp;高端火锅底料的头部品牌，
高端火锅底料连续五年全国销量领先注，产品矩阵覆盖手工牛油火锅底料、酸菜鱼调料、小龙虾调
料、香肠调料等上百个 sku，产品畅销全球近 40 个国家及地区。
2) “大红袍”：品牌聚焦流通餐饮消费市场，现已经成长为川味火锅底料&amp;餐调的头部品牌，
川味火锅底料连续五年全国销量领先注，产品线覆盖火锅、烤鱼、串串、中餐、粉/面、小吃等多个
品类，产品畅销全国。
3) “天车”：品牌聚焦酱料类产品，拥有百年酱园，商标获得了商务部颁发的“中华老字号”
商标认证。
4) “天味食品餐饮高端定制”：品牌聚焦连锁餐饮消费市场，为大型连锁餐饮类、团餐类、餐
饮新零售类、食品工业类等客户提供专属个性化的整体解决方案，研发实力全国领先，服务全国
超 5 万家线下餐饮门店。
13/205
2022 年年度报告
（注：数据来源于中国调味品协会） 2、 营销优势
1) 布局广泛且深度下沉的营销网络
经过多年的建设和发展，公司建立了线上、线下覆盖全国的市场营销体系和强大的营销网络,
形成了以经销商为主，定制餐调、电商、直营商超为辅的营销架构。公司拥有一批长期合作、信
誉良好、销售能力强的经销商客户，公司市场网络已经覆盖全国 32 个省级地区、290 个地级行政
区，使我们的产品可以在全国超过 40 万个零售终端网点进行销售。我们亦积极拓展海外市场，产
品已远销美国、澳大利亚、西班牙、日本、新加坡、秘鲁等近 40 个国家和地区，销量在川味复合
调味品行业中处于领先地位。完善的市场营销网络为公司巩固和提高市场占有率、迅速切入潜在
市场，推出新产品发挥着重要作用。我们致力于为终端用户提供健康、便捷、美味的产品。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 质量管理体系认证、ISO22000 食品安全管理体系认
证、ISO14001 环境管理体系认证、ISO45001 职业健康安全管理体系认证和 HACCP 体系认证，构
建了完善的质量控制体系，制定并实施了系统严密的质量控制措施和环境作业规范。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全检测能力。得益于我们全链条的食品安全风险控制以及智慧生产体系，我们通过了国际 SQF 认 证并获得了中国合格评定国家认可委员会(CNAS)颁发的认可证书。
4、 研发和技术优势
1) 技术优势
公司不仅组建了专业齐备、年龄结构合理、具有开拓精神的科研队伍，目前整个核心研发人
员 80 余人，由高学历的研发工程师、应用工程师和基础技术研究工程师组成，本科及以上学历占
比 80%以上，研究生学历占比 40%以上，中高级职称人员占比 50%以上，同时，公司非常注重自
主科研能力的提升，配备了先进的研发和分析检测设备，并依托自身的研发力量，在产品开发、
设备引进、工艺技术改良等领域取得了较好的成果。2021 年，公司作为依托单位，与四川大学、
西华大学、成都大学三家高校联合申报，通过“四川省工程技术研究中心”认定。①知识产权方
面，在技术开发过程中，申请 45 项发明专利（授权 12 项），34 项实用新型专利，保护产品具备
独特的知识产权；②标准方面，公司凭借先进技术水平，作为火锅调料、辣椒酱、炒制辣椒酱标
准起草单位，积极参与到川式调味品标准的制定与修改，现共参与 3 项国家标准和 8 项地方标准，
并作为牵头单位制定 4 项团体标准包括《牛油火锅底料》《减盐火锅底料》《老坛酸菜鱼调料》
《川式火锅底料》。此外，公司也参与了食品安全地方标准火锅底料、酸菜类调料等地方标准的
起草。③产学研方面，公司以成果转化为纽带，强化产学研结合，整合企业技术、高校、科研院
校、资金、人才，积极与西华大学、成都大学、北京工商大学、四川大学、江南大学等高等学府
14/205
2022 年年度报告
15/205
展开产学研平台合作，共同致力于新产品的研发、新技术的引进和新工艺的改良等创新工作，保
障公司的技术水平始终处于行业领先地位。
2) 生产工艺优势
公司长期致力于高品质复合调味品的研发和生产，在生产装备的自动化、智能化方面引领国
内复合调味品的技术发展。2022 年投入使用的智慧工厂新车间制造技术进一步升级，采用生产任
务中控平台一键下发、自动化设备精准配料炒制、机器人多料包投放包装、自动化立体仓储、产
品信息追溯系统等技术，其代表着当前复合调味品行业自动化、信息化、智能化的最高水平。公
司自主研发的火锅调料冷却成型生产系统、牛油火锅调料全自动包装生产线等均已获得国家专利；
火锅调料灌装工序自动化技术及装备获得中国调味品协会“新工艺”奖；2019 年 12 月好人家-手
工老火锅调料就荣获四川省食品工业科学技术奖。目前，公司获得设备技术类实用新型专利 23 项，
“火锅系列产品的研发及产业化”项目获得四川省食品工业科学技术奖“优秀成果奖一等奖”。 5、 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t>
  </si>
  <si>
    <t>复合调味品具备便捷性、标准化、口味稳定性三大特征，近年来成为调味品行业中增速最快
的品类，主要原因为：一方面，调味品的复合化可以符合更多的年轻家庭的做饭需求，解决其不
会做饭和没时间做饭的痛点；另一方面，餐饮的连锁化发展和规范化经营推动标准复合调味料的
需求快速增长，尤其在我国，受益于火锅、快餐、方便食品的快速普及，火锅底料、复合调味料
包的消费需求在快速释放，复合调味品具有广阔的发展前景。
 虽然长期来看，复合调味品行业发展空间较大，但是2021年调味品行业的发展仍面临了不小
挑战。（1）行业需求同比增速放缓：2020 年短期需求爆发，基数较大，2021 年行业需求同比增
速明显放缓；（2）行业竞争加剧：行业的快速发展，吸引了不少资本的涌入，导致短期内供给
大增，竞争显著加剧。同时，大量跨赛道竞品入局，形成头部挤压式竞争加剧的格局；（3）利
润端承压：竞争加剧，头部企业均加大品牌及渠道建设投入以抢占市场份额，但竞品增加同时也
2021 年年度报告
10 / 188
带来获客成本增加的趋势，使得销售费用率进一步上行，利润端承压。面对上游成本大幅周期性
上行的压力，挤占了企业的利润空间。
 在行业多重压力下，头部企业不断通过优化产品结构，提高生产效率和产品附加值、加强创
新发展、寻求差异化方向、产业链协同、加强渠道运营及品牌建设等方式强化竞争优势，继续保
持稳定而健康的发展。</t>
  </si>
  <si>
    <t>1、 品牌优势
公司非常重视品牌建设，目前拥有“好人家”、“大红袍”和“天车”三大核心品牌及“天味食品
餐饮高端定制”，并在消费者心中树立了广泛的知名度和美誉度。
1) “好人家”商标被认定为“中国驰名商标”，品牌聚焦家庭消费市场，产品线覆盖火锅调料、
中式菜品调料 2 大核心品类，拥有丰富的产品矩阵，包括手工牛油火锅底料、酸菜鱼调料、小龙
虾调料、香肠调料等上百种单品，产品畅销全球 20 多个国家及地区。
2) “大红袍”商标被认定为“中国驰名商标”，品牌聚焦非连锁餐饮消费市场，产品线覆盖火锅、
烤鱼、串串、中餐、粉/面、小吃等多个品类，产品畅销全国。
3) “天车”品牌聚焦中华传统美味，拥有百年酱园，商标获得了商务部颁发的“中华老字号”商
标认证。
4) “天味食品餐饮高端定制”品牌聚焦连锁餐饮消费市场，为大型连锁餐饮类、团餐类、餐饮
新零售类、食品工业类等客户提供专属个性化整体解决方案，研发实力全国领先，服务全国超 5
万家线下门店。
2、 营销优势
1) 覆盖全国的营销网络优势
经过多年的建设和发展，公司建立了线上、线下覆盖全国的市场营销体系和强大的营销网络,
形成了以经销商为主，定制餐调、电商、直营商超为辅的营销架构。公司拥有一批长期合作、信
誉良好、销售能力强的经销商客户，截至 2021 年 12 月 31 日，公司合作的经销商 3409 家。公司
市场网络已经覆盖全国 31 个省、自治区及直辖市，形成了四川、河南、东北三省、江苏、陕西、
甘肃、新疆、天津、北京、上海等多个优势省市以及由浙江、江西、云南等组成的快速增长区域。
随着销售网络全球化战略的实施，产品已远销美国、澳大利亚、西班牙、日本、新加坡、秘鲁等
2021 年年度报告
三十多个国家，销量在川味复合调味品行业中处于领先地位。完善的市场营销网络为公司巩固和
提高市场占有率、迅速切入潜在市场，推出新产品发挥着重要作用。我们致力于为终端用户提供
健康、便捷、美味的产品。
2) 公司推出优商和扶商的经销商分级运营模式
公司在大商策略方面采取了精细化运营的优商模式，通过销售动作标准化的业务流程保障基
本盘的增长，赋能经销商生意发展，建立利益共同体。在成长型客户的策略方面采取了扶商模式，
通过资源和关键动作聚焦的方式进行扶持成长，精准施策有效投入。销售组织设计也相应匹配客
户分级运营，保障优商和扶商模式的顺利推进。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公司一直秉持“食品安全是企业的生命线”的基本理念，把食品安全作为企业的“一把手工程”， “生命线工程”。公司先后通过了 ISO9001质量管理体系认证、ISO22000食品安全管理体系认证、
ISO14001 环境管理体系认证、ISO45001 职业健康安全管理体系认证和 HACCP 体系认证，构建
了完善的质量控制体系，制定并实施了系统严密的质量控制措施和环境作业规范。2021 年，公
司顺利入选国家级消费品标准化试点项目并获得“全国质量检验稳定合格产品”、“全国调味品行
业质量领先企业”、“全国百佳质量检验诚信标杆企业”荣誉。
公司通过对原料采购、生产过程、储存及销售的全过程进行监控，以保证各环节间可相互追
查为原则，建立健全食品企业原辅料和食品添加剂管理制度，实现源头可追溯、流向可跟踪、信
息可查询、过程可控制、产品可召回。公司质量控制以实现“三化”管理为目标，即流程程序化、
作业标准化、管理规范化的全面质量管理体系。为确保公司产品质量安全可靠，公司为实验室配
置了高效液相色谱仪（HPLC）、高效气相色谱仪、气相色谱-质谱联用仪、原子吸收分光光度仪、
万级洁净级别的微生物检验室及致病菌检验室等一批先进的检化验设备设施，具备溶剂残留、农
药残留、重金属、塑化剂、防腐剂、苏丹红、罗丹明 B、二氧化硫、黄曲霉毒素等全面的食品安
全检测能力。公司实验室获得了中国合格评定国家认可委员会（CNAS）颁发的实验室认可证书，
检测设备及检测技术在行业内处于领先水平，有力保障了公司产品的食品质量安全。
4、 研发和技术优势
1) 技术优势
公司不仅组建了专业齐备、年龄结构合理、具有开拓精神的科研队伍，目前整个核心研发人 员 80 余人，由高学历的研发工程师、应用工程师和基础技术研究工程师组成，本科及以上学历
占比 80%以上，博士、研究生学历占比 40%以上，中高级职称人员占比 50%以上，同时配备了先
进的研发和分析检测设备，还非常注重自主科研能力的提升。公司依托自身的研发力量，在产品
开发、设备引进、工艺技术改良等领域取得了良好业绩。公司中心实验室于 2019 年通过国家
CNAS 认证。2021 年，公司作为依托单位，与四川大学、西华大学、成都大学三家高校联合申报，
通过“四川省工程技术研究中心”认定。此外，在技术开发过程中，申请 37 项发明专利（授权 12
项），12 项实用新型专利，保护产品具备独特的知识产权。公司也凭借先进技术水平，作为火
锅调料、辣椒酱、炒制辣椒酱标准起草单位，积极参与到川式调味品的标准的制定与修改中，现
共参与 3 项国家标准、8 项地方标准和 4 项团体标准。此外，公司以成果转化为纽带，强化产学
研结合，整合企业技术、高校、科研院校、资金、人才，积极与西华大学、成都大学、北京工商
大学、四川大学、江南大学等高等学府展开产学研平台合作，共同致力于新产品的研发、新技术
的引进和新工艺的改良等创新工作，保障公司的技术水平始终处于行业领先地位。也参与了食品
安全地方标准火锅底料、酸菜类调料等地方标准的起草和火锅底料、炒制辣椒酱和辣椒酱国家标
准的起草和制订。同时，正在牵头四个团体标准《牛油火锅底料》《减盐火锅底料》《老坛酸菜
鱼调料》《川式火锅底料》的制订工作。
2) 生产工艺优势
公司长期致力于高品质复合调味品的研发和生产，在生产装备的自动化、智能化方面引领国
内复合调味品的技术发展。2021 年筹建的新车间制造技术进一步升级，采用了生产任务中控平
13 / 188
2021 年年度报告
14 / 188
台一键下发、自动化设备精准配料炒制、机器人多料包投放包装、自动化立体仓储、产品信息追
溯系统等技术，其代表着当前复合调味品行业自动化、信息化、智能化的最高水平。公司自主研
发的火锅调料冷却成型生产系统、牛油火锅调料全自动包装生产线等均已获得国家专利；火锅调
料灌装工序自动化技术及装备获得中国调味品协会“新工艺”奖；2019 年 12 月好人家-手工老火
锅调料就荣获四川省食品工业科学技术奖；2021 年获得设备技术类实用新型专利 23 项，“火锅
系列产品的研发及产业化”项目获得四川省食品工业科学技术奖“优秀成果奖一等奖”。
5、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豆瓣等原料品质攻关项目，不断提升公司原料品质和技术优势，为消费者提供品质更优的调味产
品。
6、 战略管理优势
战略管理是在复杂的市场竞争环境下，为企业明确发展方向的重要指引，公司非常重视发展
战略，着力培养管理层及核心骨干的战略管理能力。公司管理层和核心骨干具有长期从事中式复
合调味料研发、生产和销售的经历，具有丰富的企业管理经验及战略管理意识。
2021 年，在往年战略研讨基础上，公司通过外聘专家和顾问辅导，中高层全员参与，更加
深度分析了市场环境，洞察市场机会，梳理各品牌定位与业务设计，以找到自身增长飞轮为核心
方向，刷新 5 年战略指引，坚定稳健增长目标不动摇。在战略规划和制定的过程中，公司建立了
一整套能匹配和承接战略目标的管理制度和流程机制，核心管理团队重点关注能聚焦打胜仗的关
键任务和关键动作，确保战略落地执行</t>
  </si>
  <si>
    <t>1、 品牌优势
为适应川味复合调味料的快速消费品属性，公司非常重视品牌建设，品牌中心负责品牌策
划、推广和维护。通过多年的品牌建设，公司在行业内确立了稳固的品牌优势，公司“大红袍”、
11 / 168
2020 年年度报告
“好人家”商标被认定为“中国驰名商标”；“大红袍”、“好人家”牌川味复合调味料被认定为“四川名
牌产品”；“天车”商标获得了商务部颁发“中华老字号”商标认证，公司的品牌和产品已经在消费
者中树立了广泛的知名度和美誉度。
2、 营销优势
1) 覆盖全国的营销网络优势
经过多年的建设和发展，公司建立了线上、线下覆盖全国的市场营销体系和强大的营销网
络,形成了以经销商为主，定制餐调、电商、直营商超为辅的营销架构。公司拥有一批长期合
作、信誉良好、销售能力强的经销商客户，截止到 2020 年 12 月，公司合作的经销商 3001 家。
公司市场网络已经覆盖全国 31 个省、自治区及直辖市，形成了四川、河南、东北三省、江苏、
陕西、甘肃、新疆、天津、北京、上海等多个优势省市以及由浙江、江西、云南等组成的快速增
长区域。随着销售网络全球化战略的实施，产品已远销美国、澳大利亚、西班牙、日本、新加
坡、秘鲁等十多个国家，销量在川味复合调味品行业中处于领先地位。完善的市场营销网络为公
司巩固和提高市场占有率、迅速切入潜在市场，推出新产品发挥着重要作用。我们致力于为终端
用户提供健康、便捷、美味的产品。
2) 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SAP 系统等现代电子管理体系及平台，充分运用现代电
子信息技术收集市场信息和经销商反馈，通过对铺市率、库存数、上架数等指标的分析制定适合
各个经销商的个性化销售策略和考核指标，并派驻业务代表对经销商进行指导、督促。
3) 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 食品质量安全优势
公司一直秉持“食品安全是企业的生命线”的基本理念，把食品安全作为企业的“一把手工
程”，“生命线工程”。公司先后通过了 ISO9001 质量管理体系认证、ISO22000 食品安全管理体系
认证、ISO14001 环境管理体系认证、OHSAS18001 职业健康安全管理体系认证和 HACCP 体系
认证，构建了完善的质量控制体系，制定并实施了系统严密的质量控制措施和环境作业规范。公
司被四川省质量协会评定为“四川省 2016 年度实施卓越绩效模式先进企业”，被中国质量协会评
定为“2017 年全国实施卓越绩效模式先进企业”，并在 2017 年中国食品安全年会中被授予“2017
年度中国食品安全年会百家诚信示范单位”。
公司通过对原料采购、生产过程、储存及销售的全过程进行监控，以保证各环节间可相互追
查为原则，建立健全食品企业原辅料和食品添加剂登记备案监控体系，实现源头可追溯、流向可
跟踪、信息可查询、过程可控制、产品可召回。公司质量控制以实现“三化”管理为目标，即流程
程序化、作业标准化、管理规范化的全面质量管理体系。
为确保公司产品质量安全可靠，公司为实验室配置了高效液相色谱仪（HPLC）、高效气相
色谱仪、气相色谱-质谱联用仪、原子吸收分光光度仪、万级洁净级别的微生物检验室及致病菌
检验室等一批先进的检化验设备设施，具备溶剂残留、农药残留、重金属、塑化剂、防腐剂、苏
丹红、罗丹明 B、二氧化硫、黄曲霉素等全面的食品安全检测能力。公司实验室获得了中国合格
评定国家认可委员会（CNAS）颁发的实验室认可证书，检测设备及检测技术在行业内处于领先
水平，有力保障了公司产品的食品质量安全。
12 / 168
2020 年年度报告
4、 研发和技术优势
1) 技术优势
公司不仅组建了专业齐备、年龄结构合理、具有开拓精神的科研队伍，配备了先进的研发和
分析检测设备，还非常注重自主科研能力的提升，依托自身的研发力量，在产品开发、设备引
进、工艺技术改良等领域取得了良好业绩。公司创新与研究中心于 2010 年 10 月被评为四川省企
业技术中心，取得了“火锅底料灌装自动化技术及装备”等科技成果。公司中心实验室于 2019 年
通过国家 CNAS 认证。此外，在技术开发过程中，申请 31 项发明专利（授权 12 项），9 项实用
新型专利，保护产品具备独特的知识产权。公司也凭借先进技术水平，作为火锅底料、辣椒酱、
炒制辣椒酱标准起草单位，积极参与到川式调味品的标准的制定与修改中，现共参与 3 项国家标
准、10 项地方标准。此外，公司以成果转化为纽带，强化产学研结合，整合企业技术、高校、
科研院校、资金、人才，积极与西华大学、成都大学、北京工商大学、四川大学、江南大学等高
等学府展开产学研平台合作，共同致力于新产品的研发、新技术的引进和新工艺的改良等创新工
作，保障公司的技术水平始终处于行业领先地位。也参与了食品安全地方标准火锅底料、食品安
全地方标准半固态复合调味料、酸菜类调料等地方标准的起草。目前正在牵头四个团体标准《牛
油火锅底料》《减盐火锅底料》《酸菜鱼调料》《川式火锅底料》的制定工作。
2) 生产工艺优势
公司长期致力于研发和生产高品质复合调味品，其生产装备自动化、智能化技术的不断升级
运用，长期引领我国复合调味品技术发展方向。正在筹建的新车间将在设备和生产工艺上进行全
面升级革新，从而让我们的制造水平再次引领整个复合调味品行业，也是当前行业自动化、智能
化程度最高水准，将再次引领复合调味品行业的生产技术上升到一个新的高度。公司研发的火锅
底料冷却成型生产系统、牛油火锅底料全自动包装生产线等已获得国家专利。火锅底料灌装工序
自动化技术及装备获得了中国调味品协会“新工艺”奖。2019 年 12 月好人家-手工老火锅底料获得
四川省食品工业科学技术奖。
5、 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
验，对经市场和消费者认可的产品进行细致的感官品评和理化分析，对优点和特点进行提炼和转
化，最终形成公司的独特配方。我们所开发的产品贴近于餐饮和家庭，健康美味。近年来公司陆
续开发出手工火锅底料、酸萝卜老鸭汤调料、老坛酸菜鱼调料、青花椒鱼调料、新疆大盘鸡调
料、靓汤酸菜鱼调料，粉蒸肉调料等新配方和新产品，获得了消费者的喜爱和市场的认可。
6、 原料优势
公司始终秉持“苛刻坚守好原料”的价值理念，真正的好产品都源自于优质的好原料。复合调
味品所使用的原料大部分为农产品，其特点是标准化程度低、风险高。为保证原料品质稳定，公
司对原料种类进行分类管理，对核心原料（酸菜、牛油等）、重点原料（豆瓣、辣椒、花椒、泡
椒等）采用“农户+合作社+原料加工基地+公司”的产业链管控模式，确保原料从源头收购、到过
程加工管理全程可追溯和可控。同时公司积极与四川省农科院、西华大学等科研高校开展酸菜、
豆瓣、牛油等原料品质攻关项目，不断提升公司原料品质和技术优势，为消费者提供品质更优的
调味产品。
7、 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13 / 168
2020 年年度报告
14 / 168
时，在消化吸收众多先进企业管理经验的基础上，公司建立了一整套适应企业和行业发展的管理
制度和严密的内部控制制度，培养出一支经验丰富、善于应用现代经营管理方法的高水平管理人
才队伍。</t>
  </si>
  <si>
    <t>1、品牌优势
为适应川味复合调味料的快速消费品属性，公司非常重视品牌建设，营销中心下设品牌部负
责品牌策划、推广和维护。通过多年的品牌建设，本公司在行业内确立了稳固的品牌优势，公司“大
红袍”、“好人家”商标被认定为“中国驰名商标”；“大红袍”、“好人家”牌川味复合调味料被认定为“四
川名牌产品称号”；“天车”商标获得了商务部颁发“中华老字号”商标认证，公司的品牌和产品已经
在消费者中树立了广泛的知名度和美誉度。
2、营销优势
（1）覆盖全国的营销网络优势
经过多年的建设和发展，公司建立了覆盖全国的市场营销体系，形成了以经销商为主，定制
餐调、电商、直营商超为辅的营销架构。公司拥有一批长期合作、信誉良好、销售能力强的经销
商客户，截止到 2019 年 12 月，公司合作的经销商 1221 家，销售网络覆盖约 36 万个零售终端、
5.96 万个商超卖场和 4.8 万家餐饮连锁单店，公司市场网络已经覆盖全国 31 个省、自治区及直辖
市，形成了四川、河南、东北三省、江苏、陕西、甘肃、新疆、天津、北京、上海等多个优势省
2019 年年度报告
市以及由浙江、江西、云南等组成的快速增长区域。完善的市场营销网络为公司巩固和提高市场
占有率、迅速切入潜在市场、推出新产品发挥着重要作用。
（2）业内领先的顾问式营销模式
公司建立了一整套符合市场特点的营销管理体系，拥有一支经验丰富、执行力强、忠诚度高
的专业化营销队伍。公司的营销管理模式以顾问式为核心，营销团队同时也是经销商的管理咨询
顾问团队，通过组织培训课程，对业务人员、经销商开展系统培训，持续提升销售人员和经销商
的营销技巧。同时，公司建立并使用了 ERP（企业资源计划系统）等现代电子管理体系及平台，
充分运用现代电子信息技术收集市场信息和经销商反馈，通过对铺市率、库存数、上架数等指标
的分析制定适合各个经销商的个性化销售策略和考核指标，并派驻业务代表对经销商进行指导、
督促。
（3）差异化、多层次的销售策略
公司针对不同地区饮食习惯、不同市场竞争状况，结合新产品研发和不同渠道特点，实行差
异化销售策略，同时推行涵盖服务营销、品牌营销、产品营销、市场推广以及终端促销的综合多
层次销售策略。上述策略有利于公司争取市场主动权，调动业务人员和经销商的积极性，使市场
反应机制更加灵活，从而增强了公司的市场营销综合竞争力。
3、食品质量安全优势
公司一直秉持“食品安全是企业的生命线”的基本理念,把食品安全作为企业的“一把手工程”，
“生命线工程”。公司先后通过了 ISO9001 质量管理体系认证、ISO22000 食品安全管理体系认证、
ISO14001 环境管理体系认证、OHSAS18001 职业健康安全管理体系认证和 HACCP 体系认证，构
建了完善的质量控制体系，制定并实施了系统严密的质量控制措施和环境作业规范。公司被四川
省质量协会评定为“四川省 2016 年度实施卓越绩效模式先进企业”，被中国质量协会评定为“2017
年全国实施卓越绩效模式先进企业”，并在 2017 年中国食品安全年会中被授予“2017 年度中国食
品安全年会百家诚信示范单位”。
公司通过对原料采购、生产过程、储存及销售的全过程进行监控，公司以保证各环节间可相
互追查为原则，建立健全食品企业原辅料和食品添加剂登记备案监控体系，实现源头可追溯、流
向可跟踪、信息可查询、过程可控制、产品可召回。公司质量控制以实现“三化”管理为目标，即
流程程序化、作业标准化、管理规范化的全面质量管理体系。
为确保公司产品质量安全可靠，公司为实验室配置了高效液相色谱仪（HPLC）、高效气相色
谱仪、气相色谱-质谱联用仪、原子吸收分光光度仪、万级洁净级别的微生物检验室及致病菌检验
室等一批先进的检化验设备设施，具备溶剂残留、农药残留、重金属、塑化剂、防腐剂、苏丹红、
罗丹明 B、二氧化硫、黄曲霉素等全面的食品安全检测能力。公司实验室获得了中国合格评定国
家认可委员会（CNAS）颁发的实验室认可证书，检测设备及检测技术在行业内处于领先水平，
有力保障了公司产品的食品质量安全。
4、研发和技术优势
（1）技术优势
公司组建了专业齐备、年龄结构合理、具有开拓精神的科研队伍，配备了先进的研发和分析
检测设备。主要核心技术人员长期从事调味品的生产和研发工作，能够综合运用食品工程、食品
安全与营养、食品分析与检验等技术进行研发。公司创新与研究中心于 2010 年 10 月被评为四川
省企业技术中心，取得了“火锅底料灌装自动化技术及装备”等科技成果。公司中心实验室于 2019
年通过国家 CNAS 认证。此外，公司还是火锅底料、辣椒酱、炒制辣椒酱国家标准的起草单位之
一，也参与了食品安全地方标准火锅底料、食品安全地方标准半固态复合调味料、酸菜类调料等
地方标准的起草。公司目前拥有发明专利 12 项。每年新申请发明专利 8 项以上，每年在国家核心
期刊发表专业论文 2-3 篇。
（2）生产工艺优势
川味复合调味料的生产技术日新月异，全自动炒制技术、全自动输送灌装技术、火锅底料称
量和冷却成型技术、全自动外包装技术等已在复合调料企业广泛使用。公司一直致力于生产技术
的创新与研发。正在筹建的新车间注重最新的自动化和智能化技术的应用，真正将调味品的生产
技术引领到一个新的台阶。公司研发的火锅底料冷却成型生产系统、牛油火锅底料全自动包装生
产线等已获得国家专利。火锅底料灌装工序自动化技术及装备获得了中国调味品协会“新工艺”
奖。2019 年 12 月好人家-手工老火锅底料获得四川省食品工业科学技术奖。
5、产品配方优势
一个好的调味品最重要的评判标准就是品质。只有好的质量和风味才能被消费者认可，而这
些重要的基础就是产品配方。在质量上，我们严格按照法律法规要求设计配方，同时为了保证保
质期内产品的稳定，特别对中试样品进行 3-4 个月的破坏性验证实验，以满足产品货架期内安全
性和稳定性的要求。在对消费者需求进行调研和论证的基础上，我们借助市场采风和餐饮的经验，
对经市场和消费者认可的产品进行细致的感官品评和理化分析，对优点和特点进行提炼和转化，
最终形成公司的独特配方。我们所开发的产品贴近于餐饮和家庭，健康美味。近年来公司陆续开
发出手工火锅底料、酸萝卜老鸭汤调料、老坛酸菜鱼调料、青花椒鱼调料、新疆大盘鸡调料、靓
汤酸菜鱼调料，粉蒸肉调料等新配方和新产品，获得了消费者的喜爱和市场的认可。
6、原料优势
公司始终秉持“苛刻坚守好原料”的价值理念，真正的好产品都源自于优质的好原料。复合
调味品所使用的原料大部分为农产品，其特点是标准化程度低、风险高。为保证原料品质稳定，
公司对原料种类进行分类管理，对核心原料（酸菜、牛油等）、重点原料（豆瓣、辣椒、花椒、
泡椒等）采用“农户+合作社+原料加工基地+公司”的产业链管控模式，确保原料从源头收购、
到过程加工管理全程可追溯和可控。同时公司积极与四川省农科院、西华大学等科研高校开展酸
菜、豆瓣、牛油等原料品质攻关项目，不断提升公司原料品质和技术优势，为消费者提供品质更
优的调味产品。
7、管理优势
公司管理层和业务骨干具有长期从事川味复合调味料研发、生产和销售的经历，具有丰富的
企业管理经验。公司管理团队经验丰富、整体素质较高，对我国川味复合调味料市场具有深刻的
认识，对行业发展趋势具有敏锐的洞察力和把握能力，并具有较强的战略规划能力和执行力。同
时，在消化吸收众多先进企业管理经验的基础上，公司建立了一整套适应企业和行业发展的管理
14 / 226
2019 年年度报告
制度和严密的内部控制制度，培养出一支经验丰富、善于应用现代经营管理方法的高水平管理人
才队伍。</t>
  </si>
  <si>
    <t>营业利润总额</t>
  </si>
  <si>
    <t>非经常损益</t>
  </si>
  <si>
    <t>非经常损益总计</t>
  </si>
  <si>
    <t>非流动资产处置损益</t>
  </si>
  <si>
    <t>计入当期损益的政府补助，但与公司正常经营
业务密切相关，符合国家政策规定、按照一定
标准定额或定量持续享受的政府补助除外</t>
  </si>
  <si>
    <t>除同公司正常经营业务相关的有效套期保值
业务外，持有交易性金融资产、衍生金融资产、
交易性金融负债、衍生金融负债产生的公允价
值变动损益，以及处置交易性金融资产、衍生
金融资产、交易性金融负债、衍生金融负债和
其他债权投资取得的投资收益</t>
  </si>
  <si>
    <t>除上述各项之外的其他营业外收入和支出</t>
  </si>
  <si>
    <t xml:space="preserve">1.货币资金增长放缓；
2.2020年起债务大量增加，其中主要为短期债务（短期借款和租赁负债），短期借款占100%到60%;2022年开始出现大量长期债务，主要为长期借款。
3.2020年起股份大量增加；
4.2021年盈余公积大量增加；
5.2020年资本公积大量减少;
6.2019年开始交易性金融资产和其他非流动性金融资产大量增加;
7.2021年在建工程大量增加;
</t>
  </si>
  <si>
    <t>双汇发展</t>
  </si>
  <si>
    <t>苏泊尔</t>
  </si>
  <si>
    <t>浙江美大</t>
  </si>
  <si>
    <t>格力电器</t>
  </si>
  <si>
    <t>海康威视</t>
  </si>
  <si>
    <t>三人行</t>
  </si>
  <si>
    <t>中谷物流</t>
  </si>
  <si>
    <t>伟星新材</t>
  </si>
</sst>
</file>

<file path=xl/styles.xml><?xml version="1.0" encoding="utf-8"?>
<styleSheet xmlns="http://schemas.openxmlformats.org/spreadsheetml/2006/main">
  <numFmts count="5">
    <numFmt numFmtId="176" formatCode="#,##0.00_ "/>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24">
    <font>
      <sz val="11"/>
      <color theme="1"/>
      <name val="宋体"/>
      <charset val="134"/>
      <scheme val="minor"/>
    </font>
    <font>
      <sz val="11"/>
      <color rgb="FF000000"/>
      <name val="宋体"/>
      <charset val="134"/>
    </font>
    <font>
      <sz val="11"/>
      <name val="宋体"/>
      <charset val="134"/>
      <scheme val="minor"/>
    </font>
    <font>
      <sz val="11"/>
      <color rgb="FF202124"/>
      <name val="宋体"/>
      <charset val="134"/>
      <scheme val="minor"/>
    </font>
    <font>
      <sz val="10.55"/>
      <color rgb="FF000000"/>
      <name val="宋体"/>
      <charset val="134"/>
      <scheme val="minor"/>
    </font>
    <font>
      <sz val="11"/>
      <color rgb="FFFA7D00"/>
      <name val="宋体"/>
      <charset val="0"/>
      <scheme val="minor"/>
    </font>
    <font>
      <sz val="11"/>
      <color theme="1"/>
      <name val="宋体"/>
      <charset val="0"/>
      <scheme val="minor"/>
    </font>
    <font>
      <b/>
      <sz val="11"/>
      <color theme="3"/>
      <name val="宋体"/>
      <charset val="134"/>
      <scheme val="minor"/>
    </font>
    <font>
      <sz val="11"/>
      <color theme="0"/>
      <name val="宋体"/>
      <charset val="0"/>
      <scheme val="minor"/>
    </font>
    <font>
      <b/>
      <sz val="13"/>
      <color theme="3"/>
      <name val="宋体"/>
      <charset val="134"/>
      <scheme val="minor"/>
    </font>
    <font>
      <sz val="11"/>
      <color rgb="FFFF0000"/>
      <name val="宋体"/>
      <charset val="0"/>
      <scheme val="minor"/>
    </font>
    <font>
      <u/>
      <sz val="11"/>
      <color rgb="FF800080"/>
      <name val="宋体"/>
      <charset val="0"/>
      <scheme val="minor"/>
    </font>
    <font>
      <i/>
      <sz val="11"/>
      <color rgb="FF7F7F7F"/>
      <name val="宋体"/>
      <charset val="0"/>
      <scheme val="minor"/>
    </font>
    <font>
      <b/>
      <sz val="11"/>
      <color rgb="FF3F3F3F"/>
      <name val="宋体"/>
      <charset val="0"/>
      <scheme val="minor"/>
    </font>
    <font>
      <b/>
      <sz val="11"/>
      <color rgb="FFFFFFFF"/>
      <name val="宋体"/>
      <charset val="0"/>
      <scheme val="minor"/>
    </font>
    <font>
      <sz val="11"/>
      <color rgb="FF9C0006"/>
      <name val="宋体"/>
      <charset val="0"/>
      <scheme val="minor"/>
    </font>
    <font>
      <sz val="11"/>
      <color rgb="FF006100"/>
      <name val="宋体"/>
      <charset val="0"/>
      <scheme val="minor"/>
    </font>
    <font>
      <b/>
      <sz val="18"/>
      <color theme="3"/>
      <name val="宋体"/>
      <charset val="134"/>
      <scheme val="minor"/>
    </font>
    <font>
      <sz val="11"/>
      <color rgb="FF9C6500"/>
      <name val="宋体"/>
      <charset val="0"/>
      <scheme val="minor"/>
    </font>
    <font>
      <b/>
      <sz val="11"/>
      <color rgb="FFFA7D00"/>
      <name val="宋体"/>
      <charset val="0"/>
      <scheme val="minor"/>
    </font>
    <font>
      <u/>
      <sz val="11"/>
      <color rgb="FF0000FF"/>
      <name val="宋体"/>
      <charset val="0"/>
      <scheme val="minor"/>
    </font>
    <font>
      <b/>
      <sz val="15"/>
      <color theme="3"/>
      <name val="宋体"/>
      <charset val="134"/>
      <scheme val="minor"/>
    </font>
    <font>
      <sz val="11"/>
      <color rgb="FF3F3F76"/>
      <name val="宋体"/>
      <charset val="0"/>
      <scheme val="minor"/>
    </font>
    <font>
      <b/>
      <sz val="11"/>
      <color theme="1"/>
      <name val="宋体"/>
      <charset val="0"/>
      <scheme val="minor"/>
    </font>
  </fonts>
  <fills count="49">
    <fill>
      <patternFill patternType="none"/>
    </fill>
    <fill>
      <patternFill patternType="gray125"/>
    </fill>
    <fill>
      <patternFill patternType="solid">
        <fgColor rgb="FF92D050"/>
        <bgColor indexed="64"/>
      </patternFill>
    </fill>
    <fill>
      <patternFill patternType="solid">
        <fgColor rgb="FFC0000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rgb="FF0070C0"/>
        <bgColor indexed="64"/>
      </patternFill>
    </fill>
    <fill>
      <patternFill patternType="solid">
        <fgColor theme="7" tint="0.6"/>
        <bgColor indexed="64"/>
      </patternFill>
    </fill>
    <fill>
      <patternFill patternType="solid">
        <fgColor theme="8" tint="0.6"/>
        <bgColor indexed="64"/>
      </patternFill>
    </fill>
    <fill>
      <patternFill patternType="solid">
        <fgColor theme="7"/>
        <bgColor indexed="64"/>
      </patternFill>
    </fill>
    <fill>
      <patternFill patternType="solid">
        <fgColor theme="5" tint="0.4"/>
        <bgColor indexed="64"/>
      </patternFill>
    </fill>
    <fill>
      <patternFill patternType="solid">
        <fgColor theme="7" tint="0.4"/>
        <bgColor indexed="64"/>
      </patternFill>
    </fill>
    <fill>
      <patternFill patternType="solid">
        <fgColor theme="5" tint="-0.25"/>
        <bgColor indexed="64"/>
      </patternFill>
    </fill>
    <fill>
      <patternFill patternType="solid">
        <fgColor theme="4" tint="0.8"/>
        <bgColor indexed="64"/>
      </patternFill>
    </fill>
    <fill>
      <patternFill patternType="solid">
        <fgColor rgb="FF00B050"/>
        <bgColor indexed="64"/>
      </patternFill>
    </fill>
    <fill>
      <patternFill patternType="solid">
        <fgColor theme="5" tint="0.6"/>
        <bgColor indexed="64"/>
      </patternFill>
    </fill>
    <fill>
      <patternFill patternType="solid">
        <fgColor theme="5" tint="0.8"/>
        <bgColor indexed="64"/>
      </patternFill>
    </fill>
    <fill>
      <patternFill patternType="solid">
        <fgColor theme="5"/>
        <bgColor indexed="64"/>
      </patternFill>
    </fill>
    <fill>
      <patternFill patternType="solid">
        <fgColor theme="4" tint="0.4"/>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7" tint="0.599993896298105"/>
        <bgColor indexed="64"/>
      </patternFill>
    </fill>
    <fill>
      <patternFill patternType="solid">
        <fgColor theme="9" tint="0.799981688894314"/>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theme="4"/>
        <bgColor indexed="64"/>
      </patternFill>
    </fill>
    <fill>
      <patternFill patternType="solid">
        <fgColor rgb="FFF2F2F2"/>
        <bgColor indexed="64"/>
      </patternFill>
    </fill>
    <fill>
      <patternFill patternType="solid">
        <fgColor theme="9"/>
        <bgColor indexed="64"/>
      </patternFill>
    </fill>
    <fill>
      <patternFill patternType="solid">
        <fgColor rgb="FFA5A5A5"/>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theme="4" tint="0.799981688894314"/>
        <bgColor indexed="64"/>
      </patternFill>
    </fill>
    <fill>
      <patternFill patternType="solid">
        <fgColor theme="5" tint="0.399975585192419"/>
        <bgColor indexed="64"/>
      </patternFill>
    </fill>
    <fill>
      <patternFill patternType="solid">
        <fgColor rgb="FFFFFFCC"/>
        <bgColor indexed="64"/>
      </patternFill>
    </fill>
    <fill>
      <patternFill patternType="solid">
        <fgColor theme="7"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s>
  <borders count="18">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right/>
      <top/>
      <bottom style="double">
        <color rgb="FFFF8001"/>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9">
    <xf numFmtId="0" fontId="0" fillId="0" borderId="0">
      <alignment vertical="center"/>
    </xf>
    <xf numFmtId="0" fontId="8" fillId="45" borderId="0" applyNumberFormat="0" applyBorder="0" applyAlignment="0" applyProtection="0">
      <alignment vertical="center"/>
    </xf>
    <xf numFmtId="0" fontId="6" fillId="40" borderId="0" applyNumberFormat="0" applyBorder="0" applyAlignment="0" applyProtection="0">
      <alignment vertical="center"/>
    </xf>
    <xf numFmtId="0" fontId="8" fillId="10" borderId="0" applyNumberFormat="0" applyBorder="0" applyAlignment="0" applyProtection="0">
      <alignment vertical="center"/>
    </xf>
    <xf numFmtId="0" fontId="22" fillId="43" borderId="15" applyNumberFormat="0" applyAlignment="0" applyProtection="0">
      <alignment vertical="center"/>
    </xf>
    <xf numFmtId="0" fontId="6" fillId="47" borderId="0" applyNumberFormat="0" applyBorder="0" applyAlignment="0" applyProtection="0">
      <alignment vertical="center"/>
    </xf>
    <xf numFmtId="0" fontId="6" fillId="21" borderId="0" applyNumberFormat="0" applyBorder="0" applyAlignment="0" applyProtection="0">
      <alignment vertical="center"/>
    </xf>
    <xf numFmtId="44" fontId="0" fillId="0" borderId="0" applyFont="0" applyFill="0" applyBorder="0" applyAlignment="0" applyProtection="0">
      <alignment vertical="center"/>
    </xf>
    <xf numFmtId="0" fontId="8" fillId="28" borderId="0" applyNumberFormat="0" applyBorder="0" applyAlignment="0" applyProtection="0">
      <alignment vertical="center"/>
    </xf>
    <xf numFmtId="9" fontId="0" fillId="0" borderId="0" applyFont="0" applyFill="0" applyBorder="0" applyAlignment="0" applyProtection="0">
      <alignment vertical="center"/>
    </xf>
    <xf numFmtId="0" fontId="8" fillId="38" borderId="0" applyNumberFormat="0" applyBorder="0" applyAlignment="0" applyProtection="0">
      <alignment vertical="center"/>
    </xf>
    <xf numFmtId="0" fontId="8" fillId="41" borderId="0" applyNumberFormat="0" applyBorder="0" applyAlignment="0" applyProtection="0">
      <alignment vertical="center"/>
    </xf>
    <xf numFmtId="0" fontId="8" fillId="18" borderId="0" applyNumberFormat="0" applyBorder="0" applyAlignment="0" applyProtection="0">
      <alignment vertical="center"/>
    </xf>
    <xf numFmtId="0" fontId="8" fillId="42" borderId="0" applyNumberFormat="0" applyBorder="0" applyAlignment="0" applyProtection="0">
      <alignment vertical="center"/>
    </xf>
    <xf numFmtId="0" fontId="8" fillId="48" borderId="0" applyNumberFormat="0" applyBorder="0" applyAlignment="0" applyProtection="0">
      <alignment vertical="center"/>
    </xf>
    <xf numFmtId="0" fontId="19" fillId="31" borderId="15" applyNumberFormat="0" applyAlignment="0" applyProtection="0">
      <alignment vertical="center"/>
    </xf>
    <xf numFmtId="0" fontId="8" fillId="30" borderId="0" applyNumberFormat="0" applyBorder="0" applyAlignment="0" applyProtection="0">
      <alignment vertical="center"/>
    </xf>
    <xf numFmtId="0" fontId="18" fillId="36" borderId="0" applyNumberFormat="0" applyBorder="0" applyAlignment="0" applyProtection="0">
      <alignment vertical="center"/>
    </xf>
    <xf numFmtId="0" fontId="6" fillId="44" borderId="0" applyNumberFormat="0" applyBorder="0" applyAlignment="0" applyProtection="0">
      <alignment vertical="center"/>
    </xf>
    <xf numFmtId="0" fontId="16" fillId="35" borderId="0" applyNumberFormat="0" applyBorder="0" applyAlignment="0" applyProtection="0">
      <alignment vertical="center"/>
    </xf>
    <xf numFmtId="0" fontId="6" fillId="37" borderId="0" applyNumberFormat="0" applyBorder="0" applyAlignment="0" applyProtection="0">
      <alignment vertical="center"/>
    </xf>
    <xf numFmtId="0" fontId="23" fillId="0" borderId="17" applyNumberFormat="0" applyFill="0" applyAlignment="0" applyProtection="0">
      <alignment vertical="center"/>
    </xf>
    <xf numFmtId="0" fontId="15" fillId="34" borderId="0" applyNumberFormat="0" applyBorder="0" applyAlignment="0" applyProtection="0">
      <alignment vertical="center"/>
    </xf>
    <xf numFmtId="0" fontId="14" fillId="33" borderId="14" applyNumberFormat="0" applyAlignment="0" applyProtection="0">
      <alignment vertical="center"/>
    </xf>
    <xf numFmtId="0" fontId="13" fillId="31" borderId="13" applyNumberFormat="0" applyAlignment="0" applyProtection="0">
      <alignment vertical="center"/>
    </xf>
    <xf numFmtId="0" fontId="21" fillId="0" borderId="12" applyNumberFormat="0" applyFill="0" applyAlignment="0" applyProtection="0">
      <alignment vertical="center"/>
    </xf>
    <xf numFmtId="0" fontId="12" fillId="0" borderId="0" applyNumberFormat="0" applyFill="0" applyBorder="0" applyAlignment="0" applyProtection="0">
      <alignment vertical="center"/>
    </xf>
    <xf numFmtId="0" fontId="6" fillId="29" borderId="0" applyNumberFormat="0" applyBorder="0" applyAlignment="0" applyProtection="0">
      <alignment vertical="center"/>
    </xf>
    <xf numFmtId="0" fontId="7" fillId="0" borderId="0" applyNumberFormat="0" applyFill="0" applyBorder="0" applyAlignment="0" applyProtection="0">
      <alignment vertical="center"/>
    </xf>
    <xf numFmtId="42" fontId="0" fillId="0" borderId="0" applyFont="0" applyFill="0" applyBorder="0" applyAlignment="0" applyProtection="0">
      <alignment vertical="center"/>
    </xf>
    <xf numFmtId="0" fontId="6" fillId="24" borderId="0" applyNumberFormat="0" applyBorder="0" applyAlignment="0" applyProtection="0">
      <alignment vertical="center"/>
    </xf>
    <xf numFmtId="43"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6" fillId="26" borderId="0" applyNumberFormat="0" applyBorder="0" applyAlignment="0" applyProtection="0">
      <alignment vertical="center"/>
    </xf>
    <xf numFmtId="0" fontId="10" fillId="0" borderId="0" applyNumberFormat="0" applyFill="0" applyBorder="0" applyAlignment="0" applyProtection="0">
      <alignment vertical="center"/>
    </xf>
    <xf numFmtId="0" fontId="8" fillId="46" borderId="0" applyNumberFormat="0" applyBorder="0" applyAlignment="0" applyProtection="0">
      <alignment vertical="center"/>
    </xf>
    <xf numFmtId="0" fontId="0" fillId="39" borderId="16" applyNumberFormat="0" applyFont="0" applyAlignment="0" applyProtection="0">
      <alignment vertical="center"/>
    </xf>
    <xf numFmtId="0" fontId="6" fillId="25" borderId="0" applyNumberFormat="0" applyBorder="0" applyAlignment="0" applyProtection="0">
      <alignment vertical="center"/>
    </xf>
    <xf numFmtId="0" fontId="8" fillId="23" borderId="0" applyNumberFormat="0" applyBorder="0" applyAlignment="0" applyProtection="0">
      <alignment vertical="center"/>
    </xf>
    <xf numFmtId="0" fontId="6" fillId="22" borderId="0" applyNumberFormat="0" applyBorder="0" applyAlignment="0" applyProtection="0">
      <alignment vertical="center"/>
    </xf>
    <xf numFmtId="0" fontId="20"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12" applyNumberFormat="0" applyFill="0" applyAlignment="0" applyProtection="0">
      <alignment vertical="center"/>
    </xf>
    <xf numFmtId="0" fontId="6" fillId="27" borderId="0" applyNumberFormat="0" applyBorder="0" applyAlignment="0" applyProtection="0">
      <alignment vertical="center"/>
    </xf>
    <xf numFmtId="0" fontId="7" fillId="0" borderId="11" applyNumberFormat="0" applyFill="0" applyAlignment="0" applyProtection="0">
      <alignment vertical="center"/>
    </xf>
    <xf numFmtId="0" fontId="8" fillId="32" borderId="0" applyNumberFormat="0" applyBorder="0" applyAlignment="0" applyProtection="0">
      <alignment vertical="center"/>
    </xf>
    <xf numFmtId="0" fontId="6" fillId="20" borderId="0" applyNumberFormat="0" applyBorder="0" applyAlignment="0" applyProtection="0">
      <alignment vertical="center"/>
    </xf>
    <xf numFmtId="0" fontId="5" fillId="0" borderId="10" applyNumberFormat="0" applyFill="0" applyAlignment="0" applyProtection="0">
      <alignment vertical="center"/>
    </xf>
  </cellStyleXfs>
  <cellXfs count="125">
    <xf numFmtId="0" fontId="0" fillId="0" borderId="0" xfId="0">
      <alignment vertical="center"/>
    </xf>
    <xf numFmtId="0" fontId="0" fillId="0" borderId="1" xfId="0" applyBorder="1" applyAlignment="1">
      <alignment horizontal="center" vertical="center"/>
    </xf>
    <xf numFmtId="0" fontId="0" fillId="2" borderId="2" xfId="0" applyFill="1" applyBorder="1" applyAlignment="1">
      <alignment horizontal="center" vertical="center"/>
    </xf>
    <xf numFmtId="0" fontId="0" fillId="0" borderId="2" xfId="0" applyFill="1" applyBorder="1" applyAlignment="1">
      <alignment horizontal="center" vertical="center"/>
    </xf>
    <xf numFmtId="0" fontId="0" fillId="2" borderId="3" xfId="0" applyFill="1" applyBorder="1" applyAlignment="1">
      <alignment horizontal="center" vertical="center"/>
    </xf>
    <xf numFmtId="0" fontId="0" fillId="0" borderId="3" xfId="0" applyFill="1" applyBorder="1" applyAlignment="1">
      <alignment horizontal="center" vertical="center"/>
    </xf>
    <xf numFmtId="0" fontId="0" fillId="3" borderId="1" xfId="0" applyFill="1" applyBorder="1" applyAlignment="1">
      <alignment horizontal="center" vertical="center"/>
    </xf>
    <xf numFmtId="44" fontId="0" fillId="2" borderId="1" xfId="0" applyNumberFormat="1" applyFill="1" applyBorder="1" applyAlignment="1">
      <alignment horizontal="center" vertical="center"/>
    </xf>
    <xf numFmtId="44"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3" borderId="2" xfId="0" applyFill="1" applyBorder="1" applyAlignment="1">
      <alignment horizontal="center" vertical="center"/>
    </xf>
    <xf numFmtId="0" fontId="0" fillId="3" borderId="4" xfId="0" applyFill="1" applyBorder="1" applyAlignment="1">
      <alignment horizontal="center" vertical="center"/>
    </xf>
    <xf numFmtId="0" fontId="0" fillId="3" borderId="3" xfId="0" applyFill="1" applyBorder="1" applyAlignment="1">
      <alignment horizontal="center" vertical="center"/>
    </xf>
    <xf numFmtId="44" fontId="0" fillId="4" borderId="1" xfId="0" applyNumberFormat="1" applyFill="1" applyBorder="1" applyAlignment="1">
      <alignment horizontal="center" vertical="center"/>
    </xf>
    <xf numFmtId="44" fontId="0" fillId="5" borderId="5" xfId="0" applyNumberFormat="1" applyFill="1" applyBorder="1" applyAlignment="1">
      <alignment horizontal="center" vertical="center"/>
    </xf>
    <xf numFmtId="44" fontId="0" fillId="5" borderId="6" xfId="0" applyNumberFormat="1" applyFill="1" applyBorder="1" applyAlignment="1">
      <alignment horizontal="center" vertical="center"/>
    </xf>
    <xf numFmtId="44" fontId="0" fillId="5" borderId="1" xfId="0" applyNumberFormat="1" applyFill="1" applyBorder="1" applyAlignment="1">
      <alignment horizontal="center" vertical="center"/>
    </xf>
    <xf numFmtId="4" fontId="0" fillId="0" borderId="1" xfId="0" applyNumberFormat="1" applyBorder="1" applyAlignment="1">
      <alignment horizontal="center" vertical="center"/>
    </xf>
    <xf numFmtId="4" fontId="0" fillId="0" borderId="1" xfId="0" applyNumberFormat="1" applyFill="1" applyBorder="1" applyAlignment="1">
      <alignment horizontal="center" vertical="center"/>
    </xf>
    <xf numFmtId="44" fontId="0" fillId="5" borderId="7" xfId="0" applyNumberFormat="1" applyFill="1" applyBorder="1" applyAlignment="1">
      <alignment horizontal="center" vertical="center"/>
    </xf>
    <xf numFmtId="44" fontId="0" fillId="6" borderId="1" xfId="0" applyNumberFormat="1" applyFill="1" applyBorder="1" applyAlignment="1">
      <alignment horizontal="center" vertical="center"/>
    </xf>
    <xf numFmtId="44" fontId="0" fillId="7" borderId="1" xfId="0" applyNumberFormat="1" applyFill="1" applyBorder="1" applyAlignment="1">
      <alignment horizontal="center" vertical="center"/>
    </xf>
    <xf numFmtId="44" fontId="0" fillId="7" borderId="1" xfId="0" applyNumberFormat="1" applyFill="1" applyBorder="1">
      <alignment vertical="center"/>
    </xf>
    <xf numFmtId="44" fontId="0" fillId="0" borderId="1" xfId="0" applyNumberFormat="1" applyBorder="1">
      <alignment vertical="center"/>
    </xf>
    <xf numFmtId="44" fontId="0" fillId="8" borderId="2" xfId="0" applyNumberFormat="1" applyFill="1" applyBorder="1" applyAlignment="1">
      <alignment horizontal="center" vertical="center"/>
    </xf>
    <xf numFmtId="44" fontId="0" fillId="9" borderId="2" xfId="0" applyNumberFormat="1" applyFill="1" applyBorder="1" applyAlignment="1">
      <alignment horizontal="center" vertical="center"/>
    </xf>
    <xf numFmtId="44" fontId="0" fillId="10" borderId="2" xfId="0" applyNumberFormat="1" applyFill="1" applyBorder="1" applyAlignment="1">
      <alignment horizontal="center" vertical="center"/>
    </xf>
    <xf numFmtId="44" fontId="0" fillId="8" borderId="3" xfId="0" applyNumberFormat="1" applyFill="1" applyBorder="1" applyAlignment="1">
      <alignment horizontal="center" vertical="center"/>
    </xf>
    <xf numFmtId="44" fontId="0" fillId="9" borderId="3" xfId="0" applyNumberFormat="1" applyFill="1" applyBorder="1" applyAlignment="1">
      <alignment horizontal="center" vertical="center"/>
    </xf>
    <xf numFmtId="44" fontId="0" fillId="10" borderId="3" xfId="0" applyNumberFormat="1" applyFill="1" applyBorder="1" applyAlignment="1">
      <alignment horizontal="center" vertical="center"/>
    </xf>
    <xf numFmtId="44" fontId="0" fillId="11" borderId="2" xfId="0" applyNumberFormat="1" applyFill="1" applyBorder="1" applyAlignment="1">
      <alignment horizontal="center" vertical="center"/>
    </xf>
    <xf numFmtId="44" fontId="0" fillId="12" borderId="1" xfId="0" applyNumberFormat="1" applyFill="1" applyBorder="1" applyAlignment="1">
      <alignment horizontal="center" vertical="center"/>
    </xf>
    <xf numFmtId="44" fontId="0" fillId="13" borderId="1" xfId="0" applyNumberFormat="1" applyFill="1" applyBorder="1" applyAlignment="1">
      <alignment horizontal="center" vertical="center"/>
    </xf>
    <xf numFmtId="10" fontId="0" fillId="14" borderId="2" xfId="9" applyNumberFormat="1" applyFill="1" applyBorder="1" applyAlignment="1">
      <alignment horizontal="center" vertical="center"/>
    </xf>
    <xf numFmtId="44" fontId="0" fillId="11" borderId="3" xfId="0" applyNumberFormat="1" applyFill="1" applyBorder="1" applyAlignment="1">
      <alignment horizontal="center" vertical="center"/>
    </xf>
    <xf numFmtId="10" fontId="0" fillId="14" borderId="3" xfId="9" applyNumberFormat="1" applyFill="1" applyBorder="1" applyAlignment="1">
      <alignment horizontal="center" vertical="center"/>
    </xf>
    <xf numFmtId="10" fontId="0" fillId="0" borderId="1" xfId="9" applyNumberFormat="1" applyBorder="1" applyAlignment="1">
      <alignment horizontal="center" vertical="center"/>
    </xf>
    <xf numFmtId="44" fontId="1" fillId="0" borderId="0" xfId="0" applyNumberFormat="1" applyFont="1">
      <alignment vertical="center"/>
    </xf>
    <xf numFmtId="10" fontId="0" fillId="0" borderId="1" xfId="9" applyNumberFormat="1" applyBorder="1">
      <alignment vertical="center"/>
    </xf>
    <xf numFmtId="44" fontId="0" fillId="15" borderId="1" xfId="0" applyNumberFormat="1" applyFill="1" applyBorder="1" applyAlignment="1">
      <alignment horizontal="center" vertical="center"/>
    </xf>
    <xf numFmtId="44" fontId="0" fillId="16" borderId="1" xfId="0" applyNumberFormat="1" applyFill="1" applyBorder="1" applyAlignment="1">
      <alignment horizontal="center" vertical="center"/>
    </xf>
    <xf numFmtId="44" fontId="2" fillId="17" borderId="1" xfId="0" applyNumberFormat="1" applyFont="1" applyFill="1" applyBorder="1" applyAlignment="1">
      <alignment horizontal="center" vertical="center"/>
    </xf>
    <xf numFmtId="44" fontId="0" fillId="11" borderId="1" xfId="0" applyNumberFormat="1" applyFill="1" applyBorder="1" applyAlignment="1">
      <alignment horizontal="center" vertical="center"/>
    </xf>
    <xf numFmtId="44" fontId="0" fillId="11" borderId="1" xfId="0" applyNumberFormat="1" applyFill="1" applyBorder="1" applyAlignment="1">
      <alignment horizontal="center" vertical="center" wrapText="1"/>
    </xf>
    <xf numFmtId="44" fontId="0" fillId="18" borderId="1" xfId="0" applyNumberFormat="1" applyFill="1" applyBorder="1" applyAlignment="1">
      <alignment horizontal="center" vertical="center"/>
    </xf>
    <xf numFmtId="44" fontId="0" fillId="2" borderId="2" xfId="0" applyNumberFormat="1" applyFill="1" applyBorder="1" applyAlignment="1">
      <alignment horizontal="center" vertical="center"/>
    </xf>
    <xf numFmtId="10" fontId="0" fillId="6" borderId="1" xfId="0" applyNumberFormat="1" applyFill="1" applyBorder="1" applyAlignment="1">
      <alignment horizontal="center" vertical="center"/>
    </xf>
    <xf numFmtId="44" fontId="0" fillId="2" borderId="3" xfId="0" applyNumberFormat="1" applyFill="1" applyBorder="1" applyAlignment="1">
      <alignment horizontal="center" vertical="center"/>
    </xf>
    <xf numFmtId="10" fontId="0" fillId="0" borderId="1" xfId="0" applyNumberFormat="1" applyBorder="1" applyAlignment="1">
      <alignment horizontal="center" vertical="center"/>
    </xf>
    <xf numFmtId="0" fontId="0" fillId="0" borderId="1" xfId="0" applyBorder="1">
      <alignment vertical="center"/>
    </xf>
    <xf numFmtId="4" fontId="0" fillId="0" borderId="1" xfId="0" applyNumberFormat="1" applyBorder="1">
      <alignment vertical="center"/>
    </xf>
    <xf numFmtId="0" fontId="0" fillId="3" borderId="0" xfId="0" applyFill="1" applyAlignment="1">
      <alignment horizontal="center" vertical="center"/>
    </xf>
    <xf numFmtId="0" fontId="0" fillId="0" borderId="1" xfId="0" applyBorder="1" applyAlignment="1">
      <alignment horizontal="left" vertical="center" wrapText="1"/>
    </xf>
    <xf numFmtId="10" fontId="0" fillId="4" borderId="1" xfId="0" applyNumberFormat="1" applyFill="1" applyBorder="1" applyAlignment="1">
      <alignment horizontal="center" vertical="center"/>
    </xf>
    <xf numFmtId="0" fontId="0" fillId="0" borderId="0" xfId="0" applyFill="1" applyAlignment="1">
      <alignment horizontal="center" vertical="center"/>
    </xf>
    <xf numFmtId="0" fontId="0" fillId="0" borderId="0" xfId="0" applyFill="1" applyAlignment="1">
      <alignment horizontal="left" vertical="center"/>
    </xf>
    <xf numFmtId="0" fontId="0" fillId="0" borderId="1" xfId="0" applyFill="1" applyBorder="1" applyAlignment="1">
      <alignment horizontal="left" vertical="center"/>
    </xf>
    <xf numFmtId="0" fontId="0" fillId="0" borderId="5" xfId="0" applyFill="1" applyBorder="1" applyAlignment="1">
      <alignment horizontal="center" vertical="center"/>
    </xf>
    <xf numFmtId="0" fontId="0" fillId="0" borderId="6" xfId="0" applyFill="1" applyBorder="1" applyAlignment="1">
      <alignment horizontal="left" vertical="center"/>
    </xf>
    <xf numFmtId="0" fontId="0" fillId="0" borderId="5" xfId="0" applyFill="1" applyBorder="1" applyAlignment="1">
      <alignment horizontal="left" vertical="center"/>
    </xf>
    <xf numFmtId="0" fontId="0" fillId="0" borderId="5" xfId="0" applyFill="1" applyBorder="1" applyAlignment="1">
      <alignment horizontal="left" vertical="center" wrapText="1"/>
    </xf>
    <xf numFmtId="0" fontId="0" fillId="0" borderId="4" xfId="0" applyFill="1" applyBorder="1" applyAlignment="1">
      <alignment horizontal="center" vertical="center"/>
    </xf>
    <xf numFmtId="0" fontId="0" fillId="0" borderId="0" xfId="0" applyAlignment="1">
      <alignment horizontal="center" vertical="center"/>
    </xf>
    <xf numFmtId="0" fontId="0" fillId="0" borderId="1" xfId="0" applyFill="1" applyBorder="1" applyAlignment="1">
      <alignment horizontal="left" vertical="center" wrapText="1"/>
    </xf>
    <xf numFmtId="0" fontId="0" fillId="0" borderId="1" xfId="0" applyBorder="1" applyAlignment="1">
      <alignment vertical="center" wrapText="1"/>
    </xf>
    <xf numFmtId="0" fontId="0" fillId="0" borderId="3" xfId="0" applyFill="1" applyBorder="1" applyAlignment="1">
      <alignment horizontal="left" vertical="center"/>
    </xf>
    <xf numFmtId="44" fontId="0" fillId="0" borderId="0" xfId="0" applyNumberFormat="1">
      <alignment vertical="center"/>
    </xf>
    <xf numFmtId="44" fontId="0" fillId="0" borderId="0" xfId="0" applyNumberFormat="1" applyAlignment="1">
      <alignment horizontal="center" vertical="center"/>
    </xf>
    <xf numFmtId="10" fontId="0" fillId="0" borderId="0" xfId="9" applyNumberFormat="1" applyAlignment="1">
      <alignment horizontal="center" vertical="center"/>
    </xf>
    <xf numFmtId="176" fontId="0" fillId="0" borderId="0" xfId="0" applyNumberFormat="1" applyAlignment="1">
      <alignment horizontal="center" vertical="center"/>
    </xf>
    <xf numFmtId="176" fontId="0" fillId="0" borderId="0" xfId="0" applyNumberFormat="1">
      <alignment vertical="center"/>
    </xf>
    <xf numFmtId="10" fontId="0" fillId="0" borderId="0" xfId="9" applyNumberFormat="1" applyAlignment="1">
      <alignment horizontal="center" vertical="center"/>
    </xf>
    <xf numFmtId="44" fontId="0" fillId="0" borderId="2" xfId="0" applyNumberFormat="1" applyBorder="1" applyAlignment="1">
      <alignment horizontal="center" vertical="center"/>
    </xf>
    <xf numFmtId="44" fontId="0" fillId="0" borderId="3" xfId="0" applyNumberFormat="1" applyBorder="1" applyAlignment="1">
      <alignment horizontal="center" vertical="center"/>
    </xf>
    <xf numFmtId="44" fontId="0" fillId="0" borderId="6" xfId="0" applyNumberFormat="1" applyBorder="1" applyAlignment="1">
      <alignment horizontal="center" vertical="center"/>
    </xf>
    <xf numFmtId="10" fontId="0" fillId="0" borderId="6" xfId="9" applyNumberFormat="1" applyBorder="1" applyAlignment="1">
      <alignment horizontal="center" vertical="center"/>
    </xf>
    <xf numFmtId="44" fontId="0" fillId="0" borderId="7" xfId="0" applyNumberFormat="1" applyBorder="1" applyAlignment="1">
      <alignment horizontal="center" vertical="center"/>
    </xf>
    <xf numFmtId="4" fontId="0" fillId="0" borderId="0" xfId="0" applyNumberFormat="1">
      <alignment vertical="center"/>
    </xf>
    <xf numFmtId="176" fontId="0" fillId="0" borderId="6" xfId="0" applyNumberFormat="1" applyBorder="1" applyAlignment="1">
      <alignment horizontal="center" vertical="center"/>
    </xf>
    <xf numFmtId="176" fontId="0" fillId="0" borderId="1" xfId="0" applyNumberFormat="1" applyBorder="1" applyAlignment="1">
      <alignment horizontal="center" vertical="center"/>
    </xf>
    <xf numFmtId="10" fontId="0" fillId="0" borderId="6" xfId="9" applyNumberFormat="1" applyBorder="1" applyAlignment="1">
      <alignment horizontal="center" vertical="center"/>
    </xf>
    <xf numFmtId="3" fontId="0" fillId="0" borderId="1" xfId="0" applyNumberFormat="1" applyBorder="1" applyAlignment="1">
      <alignment horizontal="center" vertical="center"/>
    </xf>
    <xf numFmtId="44" fontId="0" fillId="0" borderId="5" xfId="0" applyNumberFormat="1" applyBorder="1" applyAlignment="1">
      <alignment horizontal="center" vertical="center"/>
    </xf>
    <xf numFmtId="176" fontId="0" fillId="0" borderId="1" xfId="0" applyNumberFormat="1" applyBorder="1">
      <alignment vertical="center"/>
    </xf>
    <xf numFmtId="44" fontId="0" fillId="0" borderId="6" xfId="0" applyNumberFormat="1" applyBorder="1" applyAlignment="1">
      <alignment horizontal="center" vertical="center"/>
    </xf>
    <xf numFmtId="10" fontId="0" fillId="0" borderId="1" xfId="9" applyNumberFormat="1" applyBorder="1" applyAlignment="1">
      <alignment horizontal="center" vertical="center"/>
    </xf>
    <xf numFmtId="44" fontId="0" fillId="0" borderId="0" xfId="0" applyNumberFormat="1" applyFill="1" applyAlignment="1">
      <alignment horizontal="center" vertical="center"/>
    </xf>
    <xf numFmtId="10" fontId="0" fillId="0" borderId="0" xfId="9" applyNumberFormat="1">
      <alignment vertical="center"/>
    </xf>
    <xf numFmtId="44" fontId="0" fillId="0" borderId="0" xfId="9" applyNumberFormat="1">
      <alignment vertical="center"/>
    </xf>
    <xf numFmtId="10" fontId="0" fillId="0" borderId="0" xfId="0" applyNumberFormat="1" applyAlignment="1">
      <alignment horizontal="center" vertical="center"/>
    </xf>
    <xf numFmtId="44" fontId="0" fillId="0" borderId="1" xfId="0" applyNumberFormat="1" applyFill="1" applyBorder="1" applyAlignment="1">
      <alignment horizontal="center" vertical="center"/>
    </xf>
    <xf numFmtId="44" fontId="3" fillId="0" borderId="0" xfId="0" applyNumberFormat="1" applyFont="1" applyAlignment="1">
      <alignment horizontal="center" vertical="center"/>
    </xf>
    <xf numFmtId="44" fontId="0" fillId="0" borderId="1" xfId="0" applyNumberFormat="1" applyFont="1" applyFill="1" applyBorder="1" applyAlignment="1">
      <alignment horizontal="center" vertical="center"/>
    </xf>
    <xf numFmtId="0" fontId="0" fillId="0" borderId="2" xfId="0" applyFill="1" applyBorder="1" applyAlignment="1">
      <alignment horizontal="center" vertical="center"/>
    </xf>
    <xf numFmtId="0" fontId="0" fillId="0" borderId="4" xfId="0" applyFill="1" applyBorder="1" applyAlignment="1">
      <alignment horizontal="center" vertical="center"/>
    </xf>
    <xf numFmtId="44" fontId="0" fillId="0" borderId="2" xfId="0" applyNumberFormat="1" applyFill="1" applyBorder="1" applyAlignment="1">
      <alignment horizontal="center" vertical="center"/>
    </xf>
    <xf numFmtId="44" fontId="0" fillId="0" borderId="3" xfId="0" applyNumberFormat="1" applyFill="1" applyBorder="1" applyAlignment="1">
      <alignment horizontal="center" vertical="center"/>
    </xf>
    <xf numFmtId="44" fontId="0" fillId="6" borderId="8" xfId="0" applyNumberFormat="1" applyFill="1" applyBorder="1" applyAlignment="1">
      <alignment horizontal="center" vertical="center"/>
    </xf>
    <xf numFmtId="10" fontId="0" fillId="6" borderId="1" xfId="9" applyNumberFormat="1" applyFill="1" applyBorder="1" applyAlignment="1">
      <alignment horizontal="center" vertical="center"/>
    </xf>
    <xf numFmtId="44" fontId="0" fillId="6" borderId="9" xfId="0" applyNumberFormat="1" applyFill="1" applyBorder="1" applyAlignment="1">
      <alignment horizontal="center" vertical="center"/>
    </xf>
    <xf numFmtId="44" fontId="0" fillId="14" borderId="2" xfId="9" applyNumberFormat="1" applyFill="1" applyBorder="1" applyAlignment="1">
      <alignment horizontal="center" vertical="center"/>
    </xf>
    <xf numFmtId="44" fontId="0" fillId="0" borderId="2"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14" borderId="3" xfId="9" applyNumberFormat="1" applyFill="1" applyBorder="1" applyAlignment="1">
      <alignment horizontal="center" vertical="center"/>
    </xf>
    <xf numFmtId="44" fontId="0" fillId="0" borderId="3" xfId="9" applyNumberFormat="1" applyFill="1" applyBorder="1" applyAlignment="1">
      <alignment horizontal="center" vertical="center"/>
    </xf>
    <xf numFmtId="44" fontId="0" fillId="0" borderId="1" xfId="9" applyNumberFormat="1" applyBorder="1" applyAlignment="1">
      <alignment horizontal="center" vertical="center"/>
    </xf>
    <xf numFmtId="44" fontId="0" fillId="4" borderId="1" xfId="9" applyNumberFormat="1" applyFill="1" applyBorder="1" applyAlignment="1">
      <alignment horizontal="center" vertical="center"/>
    </xf>
    <xf numFmtId="44" fontId="0" fillId="0" borderId="1" xfId="9" applyNumberFormat="1" applyBorder="1">
      <alignment vertical="center"/>
    </xf>
    <xf numFmtId="0" fontId="0" fillId="14" borderId="2" xfId="0" applyFill="1" applyBorder="1" applyAlignment="1">
      <alignment horizontal="center" vertical="center"/>
    </xf>
    <xf numFmtId="44" fontId="0" fillId="0" borderId="3" xfId="9" applyNumberFormat="1" applyFill="1" applyBorder="1" applyAlignment="1">
      <alignment horizontal="center" vertical="center"/>
    </xf>
    <xf numFmtId="0" fontId="0" fillId="14" borderId="3" xfId="0" applyFill="1" applyBorder="1" applyAlignment="1">
      <alignment horizontal="center" vertical="center"/>
    </xf>
    <xf numFmtId="44" fontId="0" fillId="19" borderId="2" xfId="0" applyNumberFormat="1" applyFill="1" applyBorder="1" applyAlignment="1">
      <alignment horizontal="center" vertical="center"/>
    </xf>
    <xf numFmtId="44" fontId="0" fillId="19" borderId="3" xfId="0" applyNumberFormat="1" applyFill="1" applyBorder="1" applyAlignment="1">
      <alignment horizontal="center" vertical="center"/>
    </xf>
    <xf numFmtId="4" fontId="4" fillId="0" borderId="0" xfId="0" applyNumberFormat="1" applyFont="1">
      <alignment vertical="center"/>
    </xf>
    <xf numFmtId="10" fontId="0" fillId="6" borderId="2" xfId="9" applyNumberFormat="1" applyFill="1" applyBorder="1" applyAlignment="1">
      <alignment horizontal="center" vertical="center"/>
    </xf>
    <xf numFmtId="10" fontId="0" fillId="6" borderId="3" xfId="9" applyNumberFormat="1" applyFill="1" applyBorder="1"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3" xfId="0" applyFill="1" applyBorder="1" applyAlignment="1">
      <alignment horizontal="center" vertical="center"/>
    </xf>
    <xf numFmtId="10" fontId="0" fillId="0" borderId="1" xfId="0" applyNumberFormat="1" applyFill="1" applyBorder="1" applyAlignment="1">
      <alignment horizontal="center" vertical="center"/>
    </xf>
    <xf numFmtId="10" fontId="0" fillId="0" borderId="0" xfId="0" applyNumberFormat="1" applyFill="1" applyAlignment="1">
      <alignment horizontal="center"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I102"/>
  <sheetViews>
    <sheetView workbookViewId="0">
      <pane xSplit="2" ySplit="2" topLeftCell="AM3" activePane="bottomRight" state="frozen"/>
      <selection/>
      <selection pane="topRight"/>
      <selection pane="bottomLeft"/>
      <selection pane="bottomRight" activeCell="AR13" sqref="AR13"/>
    </sheetView>
  </sheetViews>
  <sheetFormatPr defaultColWidth="9" defaultRowHeight="16.8"/>
  <cols>
    <col min="1" max="1" width="10.3076923076923" style="65" customWidth="1"/>
    <col min="2" max="2" width="9" style="65"/>
    <col min="3" max="3" width="22.0769230769231" style="89" customWidth="1"/>
    <col min="4" max="5" width="22.0769230769231" style="57" customWidth="1"/>
    <col min="6" max="6" width="17.3076923076923" style="57" customWidth="1"/>
    <col min="7" max="7" width="19.8461538461538" style="89" customWidth="1"/>
    <col min="8" max="9" width="23.625" style="70" customWidth="1"/>
    <col min="10" max="10" width="23.625" style="71" customWidth="1"/>
    <col min="11" max="11" width="23.625" style="70" customWidth="1"/>
    <col min="12" max="12" width="19.125" style="70" customWidth="1"/>
    <col min="13" max="13" width="18.1538461538462" style="70" customWidth="1"/>
    <col min="14" max="14" width="19.125" style="70" customWidth="1"/>
    <col min="15" max="16" width="20.25" style="70" customWidth="1"/>
    <col min="17" max="17" width="46.375" style="70" customWidth="1"/>
    <col min="18" max="18" width="15.125" style="70" customWidth="1"/>
    <col min="19" max="20" width="19.375" style="70" customWidth="1"/>
    <col min="21" max="21" width="17.25" style="70" customWidth="1"/>
    <col min="22" max="22" width="18.1538461538462" style="70" customWidth="1"/>
    <col min="23" max="23" width="19.375" style="70" customWidth="1"/>
    <col min="24" max="24" width="21.375" style="69" customWidth="1"/>
    <col min="25" max="25" width="18.125" style="69" customWidth="1"/>
    <col min="26" max="26" width="23.625" style="69" customWidth="1"/>
    <col min="27" max="27" width="11" style="69" customWidth="1"/>
    <col min="28" max="28" width="22.5" style="69" customWidth="1"/>
    <col min="29" max="35" width="23.625" style="69" customWidth="1"/>
    <col min="36" max="36" width="28.4615384615385" style="90" customWidth="1"/>
    <col min="37" max="43" width="28.4615384615385" style="91" customWidth="1"/>
    <col min="44" max="44" width="15.1538461538462" customWidth="1"/>
    <col min="45" max="45" width="15.1538461538462" customWidth="1"/>
    <col min="46" max="46" width="16.2307692307692" customWidth="1"/>
    <col min="47" max="47" width="13.4615384615385" customWidth="1"/>
    <col min="48" max="48" width="15.1538461538462" customWidth="1"/>
    <col min="49" max="49" width="10.3076923076923" customWidth="1"/>
    <col min="50" max="50" width="16.2307692307692" customWidth="1"/>
    <col min="51" max="51" width="15.1538461538462" customWidth="1"/>
    <col min="52" max="52" width="17.3076923076923" customWidth="1"/>
    <col min="53" max="54" width="23.625" style="69" customWidth="1"/>
    <col min="55" max="55" width="22.5" style="69" customWidth="1"/>
    <col min="56" max="56" width="21.375" style="69" customWidth="1"/>
    <col min="57" max="58" width="22.5" style="70" customWidth="1"/>
    <col min="59" max="59" width="22.5" style="71" customWidth="1"/>
    <col min="60" max="60" width="20.375" style="92" customWidth="1"/>
    <col min="61" max="61" width="98.5576923076923" customWidth="1"/>
  </cols>
  <sheetData>
    <row r="1" spans="1:61">
      <c r="A1" s="1" t="s">
        <v>0</v>
      </c>
      <c r="B1" s="1" t="s">
        <v>1</v>
      </c>
      <c r="C1" s="48" t="s">
        <v>2</v>
      </c>
      <c r="D1" s="2" t="s">
        <v>3</v>
      </c>
      <c r="E1" s="3" t="s">
        <v>4</v>
      </c>
      <c r="F1" s="3" t="s">
        <v>5</v>
      </c>
      <c r="G1" s="98" t="s">
        <v>6</v>
      </c>
      <c r="H1" s="16" t="s">
        <v>7</v>
      </c>
      <c r="I1" s="100" t="s">
        <v>8</v>
      </c>
      <c r="J1" s="101" t="s">
        <v>9</v>
      </c>
      <c r="K1" s="18" t="s">
        <v>10</v>
      </c>
      <c r="L1" s="18"/>
      <c r="M1" s="18"/>
      <c r="N1" s="18"/>
      <c r="O1" s="18"/>
      <c r="P1" s="18"/>
      <c r="Q1" s="18"/>
      <c r="R1" s="22"/>
      <c r="S1" s="23" t="s">
        <v>11</v>
      </c>
      <c r="T1" s="24" t="s">
        <v>12</v>
      </c>
      <c r="U1" s="24"/>
      <c r="V1" s="24"/>
      <c r="W1" s="24"/>
      <c r="X1" s="24"/>
      <c r="Y1" s="24"/>
      <c r="Z1" s="24"/>
      <c r="AA1" s="24"/>
      <c r="AB1" s="24"/>
      <c r="AC1" s="23" t="s">
        <v>13</v>
      </c>
      <c r="AD1" s="27" t="s">
        <v>14</v>
      </c>
      <c r="AE1" s="28" t="s">
        <v>15</v>
      </c>
      <c r="AF1" s="29" t="s">
        <v>16</v>
      </c>
      <c r="AG1" s="33" t="s">
        <v>17</v>
      </c>
      <c r="AH1" s="34" t="s">
        <v>18</v>
      </c>
      <c r="AI1" s="35" t="s">
        <v>19</v>
      </c>
      <c r="AJ1" s="36" t="s">
        <v>20</v>
      </c>
      <c r="AK1" s="103" t="s">
        <v>21</v>
      </c>
      <c r="AL1" s="103" t="s">
        <v>22</v>
      </c>
      <c r="AM1" s="103" t="s">
        <v>23</v>
      </c>
      <c r="AN1" s="104" t="s">
        <v>24</v>
      </c>
      <c r="AO1" s="104" t="s">
        <v>25</v>
      </c>
      <c r="AP1" s="103" t="s">
        <v>26</v>
      </c>
      <c r="AQ1" s="103" t="s">
        <v>27</v>
      </c>
      <c r="AR1" s="111" t="s">
        <v>28</v>
      </c>
      <c r="AS1" s="9" t="s">
        <v>29</v>
      </c>
      <c r="AT1" s="9" t="s">
        <v>30</v>
      </c>
      <c r="AU1" s="9" t="s">
        <v>31</v>
      </c>
      <c r="AV1" s="9" t="s">
        <v>32</v>
      </c>
      <c r="AW1" s="9" t="s">
        <v>33</v>
      </c>
      <c r="AX1" s="9" t="s">
        <v>34</v>
      </c>
      <c r="AY1" s="9" t="s">
        <v>35</v>
      </c>
      <c r="AZ1" s="9" t="s">
        <v>36</v>
      </c>
      <c r="BA1" s="42" t="s">
        <v>37</v>
      </c>
      <c r="BB1" s="114" t="s">
        <v>38</v>
      </c>
      <c r="BC1" s="43" t="s">
        <v>39</v>
      </c>
      <c r="BD1" s="44" t="s">
        <v>40</v>
      </c>
      <c r="BE1" s="7" t="s">
        <v>41</v>
      </c>
      <c r="BF1" s="48" t="s">
        <v>42</v>
      </c>
      <c r="BG1" s="117" t="s">
        <v>43</v>
      </c>
      <c r="BH1" s="49" t="s">
        <v>44</v>
      </c>
      <c r="BI1" s="6" t="s">
        <v>45</v>
      </c>
    </row>
    <row r="2" ht="41" customHeight="1" spans="1:61">
      <c r="A2" s="1"/>
      <c r="B2" s="1"/>
      <c r="C2" s="50"/>
      <c r="D2" s="4"/>
      <c r="E2" s="5"/>
      <c r="F2" s="5"/>
      <c r="G2" s="99"/>
      <c r="H2" s="16"/>
      <c r="I2" s="102"/>
      <c r="J2" s="101"/>
      <c r="K2" s="22" t="s">
        <v>46</v>
      </c>
      <c r="L2" s="19" t="s">
        <v>47</v>
      </c>
      <c r="M2" s="19" t="s">
        <v>48</v>
      </c>
      <c r="N2" s="19" t="s">
        <v>49</v>
      </c>
      <c r="O2" s="19" t="s">
        <v>50</v>
      </c>
      <c r="P2" s="19" t="s">
        <v>51</v>
      </c>
      <c r="Q2" s="19" t="s">
        <v>52</v>
      </c>
      <c r="R2" s="19" t="s">
        <v>53</v>
      </c>
      <c r="S2" s="23"/>
      <c r="T2" s="24" t="s">
        <v>54</v>
      </c>
      <c r="U2" s="24" t="s">
        <v>55</v>
      </c>
      <c r="V2" s="24" t="s">
        <v>56</v>
      </c>
      <c r="W2" s="24" t="s">
        <v>57</v>
      </c>
      <c r="X2" s="25" t="s">
        <v>58</v>
      </c>
      <c r="Y2" s="25" t="s">
        <v>59</v>
      </c>
      <c r="Z2" s="25" t="s">
        <v>60</v>
      </c>
      <c r="AA2" s="25" t="s">
        <v>61</v>
      </c>
      <c r="AB2" s="25" t="s">
        <v>62</v>
      </c>
      <c r="AC2" s="23"/>
      <c r="AD2" s="30"/>
      <c r="AE2" s="31"/>
      <c r="AF2" s="32"/>
      <c r="AG2" s="37"/>
      <c r="AH2" s="34"/>
      <c r="AI2" s="35"/>
      <c r="AJ2" s="38"/>
      <c r="AK2" s="105"/>
      <c r="AL2" s="106"/>
      <c r="AM2" s="106"/>
      <c r="AN2" s="107"/>
      <c r="AO2" s="112"/>
      <c r="AP2" s="106"/>
      <c r="AQ2" s="106"/>
      <c r="AR2" s="113"/>
      <c r="AS2" s="9"/>
      <c r="AT2" s="9"/>
      <c r="AU2" s="9"/>
      <c r="AV2" s="9"/>
      <c r="AW2" s="9"/>
      <c r="AX2" s="9"/>
      <c r="AY2" s="9"/>
      <c r="AZ2" s="9"/>
      <c r="BA2" s="42"/>
      <c r="BB2" s="115"/>
      <c r="BC2" s="43"/>
      <c r="BD2" s="44"/>
      <c r="BE2" s="7"/>
      <c r="BF2" s="50"/>
      <c r="BG2" s="118"/>
      <c r="BH2" s="49"/>
      <c r="BI2" s="6"/>
    </row>
    <row r="3" spans="1:61">
      <c r="A3" s="6" t="s">
        <v>63</v>
      </c>
      <c r="B3" s="6">
        <v>2022</v>
      </c>
      <c r="C3" s="7">
        <f>3688.53*100000000</f>
        <v>368853000000</v>
      </c>
      <c r="D3" s="7" t="s">
        <v>64</v>
      </c>
      <c r="E3" s="8">
        <v>4633833787</v>
      </c>
      <c r="F3" s="20"/>
      <c r="G3" s="8">
        <v>34059175850.3</v>
      </c>
      <c r="H3" s="8">
        <v>26884479411.22</v>
      </c>
      <c r="I3" s="8"/>
      <c r="J3" s="39"/>
      <c r="K3" s="8"/>
      <c r="L3" s="8">
        <v>93653455.89</v>
      </c>
      <c r="M3" s="8"/>
      <c r="N3" s="8">
        <v>29745723.29</v>
      </c>
      <c r="O3" s="8"/>
      <c r="P3" s="8">
        <v>131720077.32</v>
      </c>
      <c r="Q3" s="8"/>
      <c r="R3" s="8"/>
      <c r="S3" s="8">
        <f>SUM(K3:R3)</f>
        <v>255119256.5</v>
      </c>
      <c r="T3" s="8"/>
      <c r="U3" s="8"/>
      <c r="V3" s="8"/>
      <c r="W3" s="8"/>
      <c r="X3" s="26">
        <v>100000</v>
      </c>
      <c r="Y3" s="26">
        <v>4131328.25</v>
      </c>
      <c r="Z3" s="26">
        <v>18223307402.03</v>
      </c>
      <c r="AA3" s="26"/>
      <c r="AB3" s="26">
        <v>6081662998.97</v>
      </c>
      <c r="AC3" s="26">
        <f>SUM(T3:AB3)</f>
        <v>24309201729.25</v>
      </c>
      <c r="AD3" s="26">
        <f>SUM(T3:Y3)</f>
        <v>4231328.25</v>
      </c>
      <c r="AE3" s="26">
        <f>SUM(Z3:AB3)</f>
        <v>24304970401</v>
      </c>
      <c r="AF3" s="26">
        <f>G3-AC3</f>
        <v>9749974121.05</v>
      </c>
      <c r="AG3" s="8">
        <v>4206780719.87</v>
      </c>
      <c r="AH3" s="8">
        <v>1179878268.77</v>
      </c>
      <c r="AI3" s="8">
        <v>684643779.66</v>
      </c>
      <c r="AJ3" s="39">
        <f t="shared" ref="AJ3:AJ13" si="0">SUM(AG3:AI3)/AF3</f>
        <v>0.622699372626249</v>
      </c>
      <c r="AK3" s="108"/>
      <c r="AL3" s="108">
        <v>188395321.48</v>
      </c>
      <c r="AM3" s="108">
        <v>25303923.79</v>
      </c>
      <c r="AN3" s="108"/>
      <c r="AO3" s="108"/>
      <c r="AP3" s="108">
        <v>10738064.59</v>
      </c>
      <c r="AQ3" s="108">
        <v>2391641182.47</v>
      </c>
      <c r="AR3" s="53">
        <v>52539515.27</v>
      </c>
      <c r="AS3" s="52"/>
      <c r="AT3" s="53">
        <v>142498802.39</v>
      </c>
      <c r="AU3" s="52"/>
      <c r="AV3" s="52"/>
      <c r="AW3" s="52"/>
      <c r="AX3" s="53">
        <v>2335492509.4</v>
      </c>
      <c r="AY3" s="52"/>
      <c r="AZ3" s="53">
        <v>19285851426.62</v>
      </c>
      <c r="BA3" s="26">
        <f>H3+S3-AC3</f>
        <v>2830396938.47</v>
      </c>
      <c r="BB3" s="26">
        <v>7352280924.22</v>
      </c>
      <c r="BC3" s="26">
        <v>7364206015.29</v>
      </c>
      <c r="BD3" s="26">
        <v>-732179071.06</v>
      </c>
      <c r="BE3" s="8">
        <f t="shared" ref="BE3:BE13" si="1">BC3+BD3</f>
        <v>6632026944.23</v>
      </c>
      <c r="BF3" s="8">
        <f>BB3+BD3</f>
        <v>6620101853.16</v>
      </c>
      <c r="BG3" s="39">
        <f>BE3/BA3</f>
        <v>2.34314376690041</v>
      </c>
      <c r="BH3" s="51">
        <f>BF3/BA3</f>
        <v>2.33893054475199</v>
      </c>
      <c r="BI3" s="55" t="s">
        <v>65</v>
      </c>
    </row>
    <row r="4" spans="1:61">
      <c r="A4" s="6"/>
      <c r="B4" s="6">
        <v>2021</v>
      </c>
      <c r="C4" s="7">
        <f>4427.84*100000000</f>
        <v>442784000000</v>
      </c>
      <c r="D4" s="7" t="s">
        <v>66</v>
      </c>
      <c r="E4" s="8">
        <v>4212576170</v>
      </c>
      <c r="F4" s="20"/>
      <c r="G4" s="8">
        <v>33337724549.58</v>
      </c>
      <c r="H4" s="8">
        <v>23499848566.38</v>
      </c>
      <c r="I4" s="8"/>
      <c r="J4" s="39"/>
      <c r="K4" s="8"/>
      <c r="L4" s="8"/>
      <c r="M4" s="8"/>
      <c r="N4" s="8">
        <v>54070173.8</v>
      </c>
      <c r="O4" s="8"/>
      <c r="P4" s="8">
        <v>104600000</v>
      </c>
      <c r="Q4" s="8"/>
      <c r="R4" s="8"/>
      <c r="S4" s="8">
        <f>SUM(K4:R4)</f>
        <v>158670173.8</v>
      </c>
      <c r="T4" s="8"/>
      <c r="U4" s="8"/>
      <c r="V4" s="8"/>
      <c r="W4" s="8"/>
      <c r="X4" s="26">
        <v>100000</v>
      </c>
      <c r="Y4" s="26">
        <v>4496708</v>
      </c>
      <c r="Z4" s="26">
        <v>19813767427.18</v>
      </c>
      <c r="AA4" s="26"/>
      <c r="AB4" s="26">
        <v>5377818664.42</v>
      </c>
      <c r="AC4" s="26">
        <f>SUM(T4:AB4)</f>
        <v>25196182799.6</v>
      </c>
      <c r="AD4" s="26">
        <f t="shared" ref="AD4:AD13" si="2">SUM(T4:Y4)</f>
        <v>4596708</v>
      </c>
      <c r="AE4" s="26">
        <f t="shared" ref="AE4:AE13" si="3">SUM(Z4:AB4)</f>
        <v>25191586091.6</v>
      </c>
      <c r="AF4" s="26">
        <f t="shared" ref="AF4:AF13" si="4">G4-AC4</f>
        <v>8141541749.98</v>
      </c>
      <c r="AG4" s="8">
        <v>3614222644.29</v>
      </c>
      <c r="AH4" s="8">
        <v>923163979.01</v>
      </c>
      <c r="AI4" s="8">
        <v>376666046.75</v>
      </c>
      <c r="AJ4" s="39">
        <f t="shared" si="0"/>
        <v>0.603577654080331</v>
      </c>
      <c r="AK4" s="108"/>
      <c r="AL4" s="108">
        <v>56045139.23</v>
      </c>
      <c r="AM4" s="108">
        <v>16294323.24</v>
      </c>
      <c r="AN4" s="108"/>
      <c r="AO4" s="108"/>
      <c r="AP4" s="108">
        <v>16216013.8</v>
      </c>
      <c r="AQ4" s="108">
        <v>2226818960.68</v>
      </c>
      <c r="AR4" s="53">
        <v>71912733.17</v>
      </c>
      <c r="AS4" s="52"/>
      <c r="AT4" s="53">
        <v>142498802.39</v>
      </c>
      <c r="AU4" s="52"/>
      <c r="AV4" s="52"/>
      <c r="AW4" s="52"/>
      <c r="AX4" s="53">
        <v>2124863700.9</v>
      </c>
      <c r="AY4" s="52"/>
      <c r="AZ4" s="53">
        <v>16921578797.54</v>
      </c>
      <c r="BA4" s="26">
        <f t="shared" ref="BA3:BA13" si="5">H4+L4+M4+O4+P4+Q4+R4-T4-U4-V4-W4-X4-Y4-Z4-AA4-AB4</f>
        <v>-1591734233.22</v>
      </c>
      <c r="BB4" s="26">
        <v>7820419296.51</v>
      </c>
      <c r="BC4" s="26">
        <v>7820740015.8</v>
      </c>
      <c r="BD4" s="26">
        <v>-584217366.43</v>
      </c>
      <c r="BE4" s="8">
        <f t="shared" si="1"/>
        <v>7236522649.37</v>
      </c>
      <c r="BF4" s="8">
        <f t="shared" ref="BF4:BF13" si="6">BB4+BD4</f>
        <v>7236201930.08</v>
      </c>
      <c r="BG4" s="39">
        <f t="shared" ref="BG4:BG24" si="7">BE4/BA4</f>
        <v>-4.54631338469794</v>
      </c>
      <c r="BH4" s="51">
        <f t="shared" ref="BH4:BH11" si="8">BF4/BA4</f>
        <v>-4.54611189422088</v>
      </c>
      <c r="BI4" s="55"/>
    </row>
    <row r="5" spans="1:61">
      <c r="A5" s="6"/>
      <c r="B5" s="6">
        <v>2020</v>
      </c>
      <c r="C5" s="7">
        <f>6498.38*100000000</f>
        <v>649838000000</v>
      </c>
      <c r="D5" s="7" t="s">
        <v>67</v>
      </c>
      <c r="E5" s="8">
        <v>3240443208</v>
      </c>
      <c r="F5" s="20"/>
      <c r="G5" s="8">
        <v>29533620038.66</v>
      </c>
      <c r="H5" s="8">
        <v>20166034544.96</v>
      </c>
      <c r="I5" s="8"/>
      <c r="J5" s="39"/>
      <c r="K5" s="8"/>
      <c r="L5" s="8"/>
      <c r="M5" s="8"/>
      <c r="N5" s="8"/>
      <c r="O5" s="8"/>
      <c r="P5" s="8">
        <v>92600000</v>
      </c>
      <c r="Q5" s="8"/>
      <c r="R5" s="8"/>
      <c r="S5" s="8">
        <f>L5+M5+O5+P5+Q5+R5</f>
        <v>92600000</v>
      </c>
      <c r="T5" s="8"/>
      <c r="U5" s="8"/>
      <c r="V5" s="8"/>
      <c r="W5" s="8"/>
      <c r="X5" s="26">
        <v>100000</v>
      </c>
      <c r="Y5" s="26">
        <v>4912608.29</v>
      </c>
      <c r="Z5" s="26">
        <v>16957675015.45</v>
      </c>
      <c r="AA5" s="26"/>
      <c r="AB5" s="26">
        <v>5054735186.75</v>
      </c>
      <c r="AC5" s="26">
        <f t="shared" ref="AC5:AC13" si="9">T5+U5+V5+W5+X5+Y5+Z5+AA5+AB5</f>
        <v>22017422810.49</v>
      </c>
      <c r="AD5" s="26">
        <f t="shared" si="2"/>
        <v>5012608.29</v>
      </c>
      <c r="AE5" s="26">
        <f t="shared" si="3"/>
        <v>22012410202.2</v>
      </c>
      <c r="AF5" s="26">
        <f t="shared" si="4"/>
        <v>7516197228.17</v>
      </c>
      <c r="AG5" s="8">
        <v>3913914242.44</v>
      </c>
      <c r="AH5" s="8">
        <v>368803829.98</v>
      </c>
      <c r="AI5" s="8">
        <v>385298787.75</v>
      </c>
      <c r="AJ5" s="39">
        <f t="shared" si="0"/>
        <v>0.621060985823351</v>
      </c>
      <c r="AK5" s="108"/>
      <c r="AL5" s="108">
        <v>41492650.3</v>
      </c>
      <c r="AM5" s="108">
        <v>15623255.46</v>
      </c>
      <c r="AN5" s="108"/>
      <c r="AO5" s="108"/>
      <c r="AP5" s="108">
        <v>11185829.2</v>
      </c>
      <c r="AQ5" s="108">
        <v>2099920921.86</v>
      </c>
      <c r="AR5" s="53">
        <v>19503828.31</v>
      </c>
      <c r="AS5" s="52"/>
      <c r="AT5" s="53">
        <v>790587443.39</v>
      </c>
      <c r="AU5" s="52"/>
      <c r="AV5" s="52"/>
      <c r="AW5" s="52"/>
      <c r="AX5" s="53">
        <v>1638797219.9</v>
      </c>
      <c r="AY5" s="52"/>
      <c r="AZ5" s="53">
        <v>14398588292.06</v>
      </c>
      <c r="BA5" s="26">
        <f t="shared" si="5"/>
        <v>-1758788265.53</v>
      </c>
      <c r="BB5" s="26">
        <v>7643869224.91</v>
      </c>
      <c r="BC5" s="26">
        <v>7642422274.71</v>
      </c>
      <c r="BD5" s="26">
        <v>-392238055.13</v>
      </c>
      <c r="BE5" s="8">
        <f t="shared" si="1"/>
        <v>7250184219.58</v>
      </c>
      <c r="BF5" s="8">
        <f t="shared" si="6"/>
        <v>7251631169.78</v>
      </c>
      <c r="BG5" s="39">
        <f t="shared" si="7"/>
        <v>-4.12226096891498</v>
      </c>
      <c r="BH5" s="51">
        <f t="shared" si="8"/>
        <v>-4.12308366612553</v>
      </c>
      <c r="BI5" s="55"/>
    </row>
    <row r="6" spans="1:61">
      <c r="A6" s="6"/>
      <c r="B6" s="6">
        <v>2019</v>
      </c>
      <c r="C6" s="7">
        <f>2903.17*100000000</f>
        <v>290317000000</v>
      </c>
      <c r="D6" s="7" t="s">
        <v>68</v>
      </c>
      <c r="E6" s="8">
        <v>2700369340</v>
      </c>
      <c r="F6" s="20"/>
      <c r="G6" s="8">
        <v>24753888098.68</v>
      </c>
      <c r="H6" s="8">
        <v>16597706781.83</v>
      </c>
      <c r="I6" s="8"/>
      <c r="J6" s="39"/>
      <c r="K6" s="8"/>
      <c r="L6" s="8"/>
      <c r="M6" s="8"/>
      <c r="N6" s="8"/>
      <c r="O6" s="8"/>
      <c r="P6" s="8">
        <v>19600000</v>
      </c>
      <c r="Q6" s="8"/>
      <c r="R6" s="8"/>
      <c r="S6" s="8">
        <f>L6+M6+O6+P6+Q6+R6</f>
        <v>19600000</v>
      </c>
      <c r="T6" s="8"/>
      <c r="U6" s="8"/>
      <c r="V6" s="8"/>
      <c r="W6" s="8"/>
      <c r="X6" s="26">
        <v>100000</v>
      </c>
      <c r="Y6" s="26">
        <v>5424533.82</v>
      </c>
      <c r="Z6" s="26">
        <v>13455532720.24</v>
      </c>
      <c r="AA6" s="26"/>
      <c r="AB6" s="26">
        <v>4878142342.48</v>
      </c>
      <c r="AC6" s="26">
        <f t="shared" si="9"/>
        <v>18339199596.54</v>
      </c>
      <c r="AD6" s="26">
        <f t="shared" si="2"/>
        <v>5524533.82</v>
      </c>
      <c r="AE6" s="26">
        <f t="shared" si="3"/>
        <v>18333675062.72</v>
      </c>
      <c r="AF6" s="26">
        <f t="shared" si="4"/>
        <v>6414688502.14</v>
      </c>
      <c r="AG6" s="8">
        <v>3448256519.87</v>
      </c>
      <c r="AH6" s="8">
        <v>493515429.53</v>
      </c>
      <c r="AI6" s="8">
        <v>138370580.99</v>
      </c>
      <c r="AJ6" s="39">
        <f t="shared" si="0"/>
        <v>0.636062457129263</v>
      </c>
      <c r="AK6" s="108"/>
      <c r="AL6" s="108">
        <v>2463315.07</v>
      </c>
      <c r="AM6" s="108">
        <v>18577720.22</v>
      </c>
      <c r="AN6" s="108"/>
      <c r="AO6" s="108"/>
      <c r="AP6" s="108">
        <v>89751214.54</v>
      </c>
      <c r="AQ6" s="108">
        <v>1802760746.44</v>
      </c>
      <c r="AR6" s="53">
        <v>22139073.03</v>
      </c>
      <c r="AS6" s="52"/>
      <c r="AT6" s="53">
        <v>1330661311.39</v>
      </c>
      <c r="AU6" s="52"/>
      <c r="AV6" s="52"/>
      <c r="AW6" s="52"/>
      <c r="AX6" s="53">
        <v>1368760285.9</v>
      </c>
      <c r="AY6" s="52"/>
      <c r="AZ6" s="53">
        <v>11182164121.35</v>
      </c>
      <c r="BA6" s="26">
        <f t="shared" si="5"/>
        <v>-1721892814.71</v>
      </c>
      <c r="BB6" s="26">
        <v>6379439840.25</v>
      </c>
      <c r="BC6" s="26">
        <v>6377198678.77</v>
      </c>
      <c r="BD6" s="26">
        <v>-292740159.04</v>
      </c>
      <c r="BE6" s="8">
        <f t="shared" si="1"/>
        <v>6084458519.73</v>
      </c>
      <c r="BF6" s="8">
        <f t="shared" si="6"/>
        <v>6086699681.21</v>
      </c>
      <c r="BG6" s="39">
        <f t="shared" si="7"/>
        <v>-3.5335872638244</v>
      </c>
      <c r="BH6" s="51">
        <f t="shared" si="8"/>
        <v>-3.53488883234298</v>
      </c>
      <c r="BI6" s="55"/>
    </row>
    <row r="7" spans="1:61">
      <c r="A7" s="6"/>
      <c r="B7" s="6">
        <v>2018</v>
      </c>
      <c r="C7" s="7">
        <f>1857.85*100000000</f>
        <v>185785000000</v>
      </c>
      <c r="D7" s="7" t="s">
        <v>69</v>
      </c>
      <c r="E7" s="8">
        <v>2700369340</v>
      </c>
      <c r="F7" s="20"/>
      <c r="G7" s="8">
        <v>20143788853.33</v>
      </c>
      <c r="H7" s="8">
        <v>13887826140.51</v>
      </c>
      <c r="I7" s="8"/>
      <c r="J7" s="39"/>
      <c r="K7" s="8"/>
      <c r="L7" s="8"/>
      <c r="M7" s="8"/>
      <c r="N7" s="8"/>
      <c r="O7" s="8"/>
      <c r="P7" s="8">
        <v>19600000</v>
      </c>
      <c r="Q7" s="8"/>
      <c r="R7" s="8"/>
      <c r="S7" s="8">
        <f>L7+M7+O7+P7+Q7+R7</f>
        <v>19600000</v>
      </c>
      <c r="T7" s="8">
        <v>100000</v>
      </c>
      <c r="U7" s="8"/>
      <c r="V7" s="8"/>
      <c r="W7" s="8"/>
      <c r="X7" s="26"/>
      <c r="Y7" s="26">
        <v>6128510.63</v>
      </c>
      <c r="Z7" s="26">
        <v>9457209973</v>
      </c>
      <c r="AA7" s="26"/>
      <c r="AB7" s="26"/>
      <c r="AC7" s="26">
        <f t="shared" si="9"/>
        <v>9463438483.63</v>
      </c>
      <c r="AD7" s="26">
        <f t="shared" si="2"/>
        <v>6228510.63</v>
      </c>
      <c r="AE7" s="26">
        <f t="shared" si="3"/>
        <v>9457209973</v>
      </c>
      <c r="AF7" s="26">
        <f t="shared" si="4"/>
        <v>10680350369.7</v>
      </c>
      <c r="AG7" s="8">
        <v>3745504253.81</v>
      </c>
      <c r="AH7" s="8">
        <v>252302626.51</v>
      </c>
      <c r="AI7" s="8">
        <v>143566603.01</v>
      </c>
      <c r="AJ7" s="39">
        <f t="shared" si="0"/>
        <v>0.387756331953212</v>
      </c>
      <c r="AK7" s="108"/>
      <c r="AL7" s="108">
        <v>2444554.89</v>
      </c>
      <c r="AM7" s="108">
        <v>17201427.99</v>
      </c>
      <c r="AN7" s="109"/>
      <c r="AO7" s="109"/>
      <c r="AP7" s="108">
        <v>58905778.04</v>
      </c>
      <c r="AQ7" s="108">
        <v>1203328316.58</v>
      </c>
      <c r="AR7" s="53">
        <v>5068670980.84</v>
      </c>
      <c r="AS7" s="52"/>
      <c r="AT7" s="53">
        <v>1330661311.39</v>
      </c>
      <c r="AU7" s="52"/>
      <c r="AV7" s="53">
        <v>39309965.69</v>
      </c>
      <c r="AW7" s="52"/>
      <c r="AX7" s="53">
        <v>1368760285.9</v>
      </c>
      <c r="AY7" s="52"/>
      <c r="AZ7" s="53">
        <v>8436031079.51</v>
      </c>
      <c r="BA7" s="26">
        <f t="shared" si="5"/>
        <v>4443987656.88</v>
      </c>
      <c r="BB7" s="26">
        <v>5241005851.75</v>
      </c>
      <c r="BC7" s="26">
        <v>5222806355.86</v>
      </c>
      <c r="BD7" s="26">
        <v>-152621887.7</v>
      </c>
      <c r="BE7" s="8">
        <f t="shared" si="1"/>
        <v>5070184468.16</v>
      </c>
      <c r="BF7" s="8">
        <f t="shared" si="6"/>
        <v>5088383964.05</v>
      </c>
      <c r="BG7" s="39">
        <f t="shared" si="7"/>
        <v>1.14090876474658</v>
      </c>
      <c r="BH7" s="51">
        <f t="shared" si="8"/>
        <v>1.14500407222607</v>
      </c>
      <c r="BI7" s="55"/>
    </row>
    <row r="8" spans="1:61">
      <c r="A8" s="6"/>
      <c r="B8" s="6">
        <v>2017</v>
      </c>
      <c r="C8" s="7">
        <f>1453.25*100000000</f>
        <v>145325000000</v>
      </c>
      <c r="D8" s="7" t="s">
        <v>70</v>
      </c>
      <c r="E8" s="8">
        <v>2701206700</v>
      </c>
      <c r="F8" s="20"/>
      <c r="G8" s="8">
        <v>16336012255.77</v>
      </c>
      <c r="H8" s="8">
        <v>11764173507.61</v>
      </c>
      <c r="I8" s="8"/>
      <c r="J8" s="39"/>
      <c r="K8" s="8"/>
      <c r="L8" s="8"/>
      <c r="M8" s="8"/>
      <c r="N8" s="8"/>
      <c r="O8" s="8"/>
      <c r="P8" s="8"/>
      <c r="Q8" s="8"/>
      <c r="R8" s="8"/>
      <c r="S8" s="8">
        <f t="shared" ref="S8:S14" si="10">L8+M8+O8+P8+Q8+R8</f>
        <v>0</v>
      </c>
      <c r="T8" s="8">
        <v>100000</v>
      </c>
      <c r="U8" s="8"/>
      <c r="V8" s="8"/>
      <c r="W8" s="8"/>
      <c r="X8" s="26"/>
      <c r="Y8" s="26">
        <v>4705134.66</v>
      </c>
      <c r="Z8" s="26">
        <v>5612919179.01</v>
      </c>
      <c r="AA8" s="26"/>
      <c r="AB8" s="26"/>
      <c r="AC8" s="26">
        <f t="shared" si="9"/>
        <v>5617724313.67</v>
      </c>
      <c r="AD8" s="26">
        <f t="shared" si="2"/>
        <v>4805134.66</v>
      </c>
      <c r="AE8" s="26">
        <f t="shared" si="3"/>
        <v>5612919179.01</v>
      </c>
      <c r="AF8" s="26">
        <f t="shared" si="4"/>
        <v>10718287942.1</v>
      </c>
      <c r="AG8" s="8">
        <v>3649646780.23</v>
      </c>
      <c r="AH8" s="8">
        <v>615135578.81</v>
      </c>
      <c r="AI8" s="8">
        <v>149567775.08</v>
      </c>
      <c r="AJ8" s="39">
        <f t="shared" si="0"/>
        <v>0.411852168738724</v>
      </c>
      <c r="AK8" s="108"/>
      <c r="AL8" s="108">
        <v>2466645.04</v>
      </c>
      <c r="AM8" s="108">
        <v>18366401.43</v>
      </c>
      <c r="AN8" s="108">
        <v>3797846.32</v>
      </c>
      <c r="AO8" s="108"/>
      <c r="AP8" s="108">
        <v>12743950.84</v>
      </c>
      <c r="AQ8" s="108">
        <v>1041120224.59</v>
      </c>
      <c r="AR8" s="53">
        <v>5103012828.25</v>
      </c>
      <c r="AS8" s="52"/>
      <c r="AT8" s="53">
        <v>1291572608.6</v>
      </c>
      <c r="AU8" s="53">
        <v>37170173.18</v>
      </c>
      <c r="AV8" s="53">
        <v>61430054.74</v>
      </c>
      <c r="AW8" s="52"/>
      <c r="AX8" s="53">
        <v>1291224237.63</v>
      </c>
      <c r="AY8" s="52"/>
      <c r="AZ8" s="53">
        <v>6445076571.28</v>
      </c>
      <c r="BA8" s="26">
        <f t="shared" si="5"/>
        <v>6146449193.94</v>
      </c>
      <c r="BB8" s="26">
        <v>4210824221.85</v>
      </c>
      <c r="BC8" s="26">
        <v>4215288941.15</v>
      </c>
      <c r="BD8" s="26">
        <v>-82004118.81</v>
      </c>
      <c r="BE8" s="8">
        <f t="shared" si="1"/>
        <v>4133284822.34</v>
      </c>
      <c r="BF8" s="8">
        <f t="shared" si="6"/>
        <v>4128820103.04</v>
      </c>
      <c r="BG8" s="39">
        <f t="shared" si="7"/>
        <v>0.672467093100705</v>
      </c>
      <c r="BH8" s="51">
        <f t="shared" ref="BH8:BH13" si="11">BF8/BA8</f>
        <v>0.671740703089314</v>
      </c>
      <c r="BI8" s="55"/>
    </row>
    <row r="9" spans="1:61">
      <c r="A9" s="6"/>
      <c r="B9" s="6">
        <v>2016</v>
      </c>
      <c r="C9" s="7">
        <f>793.36*100000000</f>
        <v>79336000000</v>
      </c>
      <c r="D9" s="7" t="s">
        <v>71</v>
      </c>
      <c r="E9" s="8">
        <v>2704950700</v>
      </c>
      <c r="F9" s="21"/>
      <c r="G9" s="93">
        <v>13463592998.27</v>
      </c>
      <c r="H9" s="8">
        <v>10013769433.03</v>
      </c>
      <c r="I9" s="8"/>
      <c r="J9" s="39"/>
      <c r="K9" s="8"/>
      <c r="L9" s="8"/>
      <c r="M9" s="8"/>
      <c r="N9" s="8"/>
      <c r="O9" s="8"/>
      <c r="P9" s="8"/>
      <c r="Q9" s="8"/>
      <c r="R9" s="8"/>
      <c r="S9" s="8">
        <f t="shared" si="10"/>
        <v>0</v>
      </c>
      <c r="T9" s="8">
        <v>100000</v>
      </c>
      <c r="U9" s="8"/>
      <c r="V9" s="8"/>
      <c r="W9" s="8"/>
      <c r="X9" s="26"/>
      <c r="Y9" s="26">
        <v>5314445.51</v>
      </c>
      <c r="Z9" s="26">
        <v>5196574520.25</v>
      </c>
      <c r="AA9" s="26"/>
      <c r="AB9" s="26"/>
      <c r="AC9" s="26">
        <f t="shared" si="9"/>
        <v>5201988965.76</v>
      </c>
      <c r="AD9" s="26">
        <f t="shared" si="2"/>
        <v>5414445.51</v>
      </c>
      <c r="AE9" s="26">
        <f t="shared" si="3"/>
        <v>5196574520.25</v>
      </c>
      <c r="AF9" s="26">
        <f t="shared" si="4"/>
        <v>8261604032.51</v>
      </c>
      <c r="AG9" s="26">
        <v>3830285320.94</v>
      </c>
      <c r="AH9" s="26">
        <v>582415461.85</v>
      </c>
      <c r="AI9" s="26">
        <v>140015729.76</v>
      </c>
      <c r="AJ9" s="39">
        <f t="shared" si="0"/>
        <v>0.551069319545543</v>
      </c>
      <c r="AK9" s="108"/>
      <c r="AL9" s="108"/>
      <c r="AM9" s="108">
        <v>16997928.74</v>
      </c>
      <c r="AN9" s="108">
        <v>2071262.81</v>
      </c>
      <c r="AO9" s="108"/>
      <c r="AP9" s="108">
        <v>6251866.18</v>
      </c>
      <c r="AQ9" s="108">
        <v>939884332.9</v>
      </c>
      <c r="AR9" s="53">
        <v>2666423818.65</v>
      </c>
      <c r="AS9" s="52"/>
      <c r="AT9" s="53">
        <v>1320136410.56</v>
      </c>
      <c r="AU9" s="53">
        <v>75623665.92</v>
      </c>
      <c r="AV9" s="53">
        <v>23734458.9</v>
      </c>
      <c r="AW9" s="52"/>
      <c r="AX9" s="53">
        <v>1041726620.6</v>
      </c>
      <c r="AY9" s="52"/>
      <c r="AZ9" s="53">
        <v>4998844908.89</v>
      </c>
      <c r="BA9" s="26">
        <f t="shared" si="5"/>
        <v>4811780467.27</v>
      </c>
      <c r="BB9" s="26">
        <v>3401602925.03</v>
      </c>
      <c r="BC9" s="26">
        <v>3413378743.95</v>
      </c>
      <c r="BD9" s="26">
        <v>-45681637.22</v>
      </c>
      <c r="BE9" s="8">
        <f t="shared" si="1"/>
        <v>3367697106.73</v>
      </c>
      <c r="BF9" s="8">
        <f t="shared" si="6"/>
        <v>3355921287.81</v>
      </c>
      <c r="BG9" s="39">
        <f t="shared" si="7"/>
        <v>0.699885859223475</v>
      </c>
      <c r="BH9" s="51">
        <f t="shared" si="11"/>
        <v>0.697438569909239</v>
      </c>
      <c r="BI9" s="55"/>
    </row>
    <row r="10" spans="1:61">
      <c r="A10" s="6"/>
      <c r="B10" s="6">
        <v>2015</v>
      </c>
      <c r="C10" s="7">
        <f>956.66*100000000</f>
        <v>95666000000</v>
      </c>
      <c r="D10" s="7" t="s">
        <v>72</v>
      </c>
      <c r="E10" s="8">
        <v>2706246000</v>
      </c>
      <c r="F10" s="21"/>
      <c r="G10" s="93">
        <v>11498002242.84</v>
      </c>
      <c r="H10" s="8">
        <v>8751125601.73</v>
      </c>
      <c r="I10" s="8"/>
      <c r="J10" s="39"/>
      <c r="K10" s="8"/>
      <c r="L10" s="8"/>
      <c r="M10" s="8"/>
      <c r="N10" s="8"/>
      <c r="O10" s="8"/>
      <c r="P10" s="8"/>
      <c r="Q10" s="8"/>
      <c r="R10" s="8"/>
      <c r="S10" s="8">
        <f t="shared" si="10"/>
        <v>0</v>
      </c>
      <c r="T10" s="8">
        <v>0.001</v>
      </c>
      <c r="U10" s="8"/>
      <c r="V10" s="8"/>
      <c r="W10" s="8"/>
      <c r="X10" s="26"/>
      <c r="Y10" s="26">
        <v>5923756.26</v>
      </c>
      <c r="Z10" s="26">
        <v>4519091067.15</v>
      </c>
      <c r="AA10" s="26"/>
      <c r="AB10" s="26"/>
      <c r="AC10" s="26">
        <f t="shared" si="9"/>
        <v>4525014823.411</v>
      </c>
      <c r="AD10" s="26">
        <f t="shared" si="2"/>
        <v>5923756.261</v>
      </c>
      <c r="AE10" s="26">
        <f t="shared" si="3"/>
        <v>4519091067.15</v>
      </c>
      <c r="AF10" s="26">
        <f t="shared" si="4"/>
        <v>6972987419.429</v>
      </c>
      <c r="AG10" s="26">
        <v>3263644592.88</v>
      </c>
      <c r="AH10" s="40">
        <v>786640648.16</v>
      </c>
      <c r="AI10" s="26">
        <v>144144932.39</v>
      </c>
      <c r="AJ10" s="39">
        <f t="shared" si="0"/>
        <v>0.601525561589708</v>
      </c>
      <c r="AK10" s="108"/>
      <c r="AL10" s="108"/>
      <c r="AM10" s="108">
        <v>7279517.87</v>
      </c>
      <c r="AN10" s="108">
        <v>753269.4</v>
      </c>
      <c r="AO10" s="108"/>
      <c r="AP10" s="108">
        <v>7085944.99</v>
      </c>
      <c r="AQ10" s="108">
        <v>999924009.12</v>
      </c>
      <c r="AR10" s="53">
        <v>1640624402.16</v>
      </c>
      <c r="AS10" s="52"/>
      <c r="AT10" s="53">
        <v>1333875444.15</v>
      </c>
      <c r="AU10" s="53">
        <v>109179250</v>
      </c>
      <c r="AV10" s="53">
        <v>5022311.65</v>
      </c>
      <c r="AW10" s="52"/>
      <c r="AX10" s="53">
        <v>827373822.15</v>
      </c>
      <c r="AY10" s="52"/>
      <c r="AZ10" s="53">
        <v>3987787273.78</v>
      </c>
      <c r="BA10" s="26">
        <f t="shared" si="5"/>
        <v>4226110778.319</v>
      </c>
      <c r="BB10" s="26">
        <v>2989140255.87</v>
      </c>
      <c r="BC10" s="26">
        <v>3011302913.95</v>
      </c>
      <c r="BD10" s="26">
        <v>-48786754.34</v>
      </c>
      <c r="BE10" s="8">
        <f t="shared" si="1"/>
        <v>2962516159.61</v>
      </c>
      <c r="BF10" s="8">
        <f t="shared" si="6"/>
        <v>2940353501.53</v>
      </c>
      <c r="BG10" s="39">
        <f t="shared" si="7"/>
        <v>0.701002958750737</v>
      </c>
      <c r="BH10" s="51">
        <f t="shared" si="11"/>
        <v>0.695758737942873</v>
      </c>
      <c r="BI10" s="55"/>
    </row>
    <row r="11" spans="1:61">
      <c r="A11" s="6"/>
      <c r="B11" s="6">
        <v>2014</v>
      </c>
      <c r="C11" s="7">
        <f>600.68*100000000</f>
        <v>60068000000</v>
      </c>
      <c r="D11" s="7" t="s">
        <v>73</v>
      </c>
      <c r="E11" s="8">
        <v>1503580000</v>
      </c>
      <c r="F11" s="21"/>
      <c r="G11" s="93">
        <v>11000594566.17</v>
      </c>
      <c r="H11" s="8">
        <v>7487912155.39</v>
      </c>
      <c r="I11" s="8"/>
      <c r="J11" s="39"/>
      <c r="K11" s="8"/>
      <c r="L11" s="8"/>
      <c r="M11" s="8"/>
      <c r="N11" s="8"/>
      <c r="O11" s="8">
        <v>115873800</v>
      </c>
      <c r="P11" s="8"/>
      <c r="Q11" s="8"/>
      <c r="R11" s="8"/>
      <c r="S11" s="8">
        <f t="shared" si="10"/>
        <v>115873800</v>
      </c>
      <c r="T11" s="8">
        <v>100000</v>
      </c>
      <c r="U11" s="8"/>
      <c r="V11" s="8"/>
      <c r="W11" s="8"/>
      <c r="X11" s="26"/>
      <c r="Y11" s="26">
        <v>6533067.14</v>
      </c>
      <c r="Z11" s="26">
        <v>5117565091.95</v>
      </c>
      <c r="AA11" s="26"/>
      <c r="AB11" s="26"/>
      <c r="AC11" s="26">
        <f t="shared" si="9"/>
        <v>5124198159.09</v>
      </c>
      <c r="AD11" s="26">
        <f t="shared" si="2"/>
        <v>6633067.14</v>
      </c>
      <c r="AE11" s="26">
        <f t="shared" si="3"/>
        <v>5117565091.95</v>
      </c>
      <c r="AF11" s="26">
        <f t="shared" si="4"/>
        <v>5876396407.08</v>
      </c>
      <c r="AG11" s="26">
        <v>3198675437.04</v>
      </c>
      <c r="AH11" s="26">
        <v>504653050.44</v>
      </c>
      <c r="AI11" s="26">
        <v>148693946.28</v>
      </c>
      <c r="AJ11" s="39">
        <f t="shared" si="0"/>
        <v>0.655507587799728</v>
      </c>
      <c r="AK11" s="108"/>
      <c r="AL11" s="108"/>
      <c r="AM11" s="108">
        <v>21882548.01</v>
      </c>
      <c r="AN11" s="108">
        <v>9681644.14</v>
      </c>
      <c r="AO11" s="108"/>
      <c r="AP11" s="108">
        <v>6946040.13</v>
      </c>
      <c r="AQ11" s="108">
        <v>1154208319.45</v>
      </c>
      <c r="AR11" s="53">
        <v>722327034.84</v>
      </c>
      <c r="AS11" s="52"/>
      <c r="AT11" s="53">
        <v>2503954982.27</v>
      </c>
      <c r="AU11" s="53">
        <v>115873800</v>
      </c>
      <c r="AV11" s="53">
        <v>9077439.72</v>
      </c>
      <c r="AW11" s="52"/>
      <c r="AX11" s="53">
        <v>495518007.47</v>
      </c>
      <c r="AY11" s="52"/>
      <c r="AZ11" s="53">
        <v>3091655525.93</v>
      </c>
      <c r="BA11" s="26">
        <f t="shared" si="5"/>
        <v>2479587796.3</v>
      </c>
      <c r="BB11" s="26">
        <v>2405116610.28</v>
      </c>
      <c r="BC11" s="26">
        <v>2492226431.36</v>
      </c>
      <c r="BD11" s="26">
        <v>-48633317.83</v>
      </c>
      <c r="BE11" s="8">
        <f t="shared" si="1"/>
        <v>2443593113.53</v>
      </c>
      <c r="BF11" s="8">
        <f t="shared" si="6"/>
        <v>2356483292.45</v>
      </c>
      <c r="BG11" s="39">
        <f t="shared" si="7"/>
        <v>0.985483602224648</v>
      </c>
      <c r="BH11" s="51">
        <f t="shared" si="11"/>
        <v>0.950352835243949</v>
      </c>
      <c r="BI11" s="55"/>
    </row>
    <row r="12" ht="20" customHeight="1" spans="1:61">
      <c r="A12" s="6"/>
      <c r="B12" s="6">
        <v>2013</v>
      </c>
      <c r="C12" s="93"/>
      <c r="D12" s="9"/>
      <c r="E12" s="8">
        <f>71100*10000</f>
        <v>711000000</v>
      </c>
      <c r="F12" s="21"/>
      <c r="G12" s="93">
        <v>6722123294.35</v>
      </c>
      <c r="H12" s="8">
        <v>3914438998.01</v>
      </c>
      <c r="I12" s="8"/>
      <c r="J12" s="39"/>
      <c r="K12" s="8"/>
      <c r="L12" s="8"/>
      <c r="M12" s="8"/>
      <c r="N12" s="8"/>
      <c r="O12" s="8"/>
      <c r="P12" s="8"/>
      <c r="Q12" s="8"/>
      <c r="R12" s="8"/>
      <c r="S12" s="8">
        <f t="shared" si="10"/>
        <v>0</v>
      </c>
      <c r="T12" s="8">
        <v>100000</v>
      </c>
      <c r="U12" s="8"/>
      <c r="V12" s="8"/>
      <c r="W12" s="8"/>
      <c r="X12" s="26"/>
      <c r="Y12" s="26">
        <v>7142377.97</v>
      </c>
      <c r="Z12" s="26">
        <v>2264838665.1</v>
      </c>
      <c r="AA12" s="26"/>
      <c r="AB12" s="26"/>
      <c r="AC12" s="26">
        <f t="shared" si="9"/>
        <v>2272081043.07</v>
      </c>
      <c r="AD12" s="26">
        <f t="shared" si="2"/>
        <v>7242377.97</v>
      </c>
      <c r="AE12" s="26">
        <f t="shared" si="3"/>
        <v>2264838665.1</v>
      </c>
      <c r="AF12" s="26">
        <f t="shared" si="4"/>
        <v>4450042251.28</v>
      </c>
      <c r="AG12" s="26">
        <v>2360669866.84</v>
      </c>
      <c r="AH12" s="26">
        <v>743177863.42</v>
      </c>
      <c r="AI12" s="26">
        <v>81874709.37</v>
      </c>
      <c r="AJ12" s="39">
        <f t="shared" si="0"/>
        <v>0.715885885962918</v>
      </c>
      <c r="AK12" s="108"/>
      <c r="AL12" s="108"/>
      <c r="AM12" s="108">
        <v>1045490.37</v>
      </c>
      <c r="AN12" s="108"/>
      <c r="AO12" s="108">
        <v>1488137000</v>
      </c>
      <c r="AP12" s="108">
        <v>989095587.91</v>
      </c>
      <c r="AQ12" s="108">
        <v>75869703.13</v>
      </c>
      <c r="AR12" s="53">
        <v>16569932.55</v>
      </c>
      <c r="AS12" s="52"/>
      <c r="AT12" s="53">
        <v>1336719988.55</v>
      </c>
      <c r="AU12" s="52"/>
      <c r="AV12" s="53">
        <v>-4428833.65</v>
      </c>
      <c r="AW12" s="52"/>
      <c r="AX12" s="53">
        <v>327830534.63</v>
      </c>
      <c r="AY12" s="52"/>
      <c r="AZ12" s="53">
        <v>1543317308.48</v>
      </c>
      <c r="BA12" s="26">
        <f t="shared" si="5"/>
        <v>1642357954.94</v>
      </c>
      <c r="BB12" s="26">
        <v>1896152535.46</v>
      </c>
      <c r="BC12" s="26">
        <v>1975619151.91</v>
      </c>
      <c r="BD12" s="26">
        <v>-14983980.52</v>
      </c>
      <c r="BE12" s="8">
        <f t="shared" si="1"/>
        <v>1960635171.39</v>
      </c>
      <c r="BF12" s="8">
        <f t="shared" si="6"/>
        <v>1881168554.94</v>
      </c>
      <c r="BG12" s="39">
        <f t="shared" si="7"/>
        <v>1.19379284247546</v>
      </c>
      <c r="BH12" s="51">
        <f t="shared" si="11"/>
        <v>1.14540715638859</v>
      </c>
      <c r="BI12" s="55"/>
    </row>
    <row r="13" ht="23" customHeight="1" spans="1:61">
      <c r="A13" s="6"/>
      <c r="B13" s="6">
        <v>2012</v>
      </c>
      <c r="C13" s="93"/>
      <c r="D13" s="9"/>
      <c r="E13" s="8">
        <f>71100*10000</f>
        <v>711000000</v>
      </c>
      <c r="F13" s="21"/>
      <c r="G13" s="93">
        <v>6110204366.74</v>
      </c>
      <c r="H13" s="8">
        <f>36.59*100000000</f>
        <v>3659000000</v>
      </c>
      <c r="I13" s="8"/>
      <c r="J13" s="39"/>
      <c r="K13" s="8"/>
      <c r="L13" s="8"/>
      <c r="M13" s="8"/>
      <c r="N13" s="8"/>
      <c r="O13" s="8"/>
      <c r="P13" s="8"/>
      <c r="Q13" s="8"/>
      <c r="R13" s="8"/>
      <c r="S13" s="8">
        <f t="shared" si="10"/>
        <v>0</v>
      </c>
      <c r="T13" s="8"/>
      <c r="U13" s="8"/>
      <c r="V13" s="8">
        <f>0.001*100000000</f>
        <v>100000</v>
      </c>
      <c r="W13" s="8"/>
      <c r="X13" s="26"/>
      <c r="Y13" s="26">
        <f>0.060445*100000000</f>
        <v>6044500</v>
      </c>
      <c r="Z13" s="26">
        <f>25.03*100000000</f>
        <v>2503000000</v>
      </c>
      <c r="AA13" s="26"/>
      <c r="AB13" s="26"/>
      <c r="AC13" s="26">
        <f t="shared" si="9"/>
        <v>2509144500</v>
      </c>
      <c r="AD13" s="26">
        <f t="shared" si="2"/>
        <v>6144500</v>
      </c>
      <c r="AE13" s="26">
        <f t="shared" si="3"/>
        <v>2503000000</v>
      </c>
      <c r="AF13" s="26">
        <f t="shared" si="4"/>
        <v>3601059866.74</v>
      </c>
      <c r="AG13" s="26">
        <v>2087720527.68</v>
      </c>
      <c r="AH13" s="26">
        <v>373939518.64</v>
      </c>
      <c r="AI13" s="26">
        <v>136055410.59</v>
      </c>
      <c r="AJ13" s="39">
        <f t="shared" si="0"/>
        <v>0.721375248688016</v>
      </c>
      <c r="AK13" s="108"/>
      <c r="AL13" s="108"/>
      <c r="AM13" s="108">
        <v>2878171.82</v>
      </c>
      <c r="AN13" s="108"/>
      <c r="AO13" s="108">
        <v>653037000</v>
      </c>
      <c r="AP13" s="108">
        <v>1609011448.3</v>
      </c>
      <c r="AQ13" s="108">
        <v>76102228.97</v>
      </c>
      <c r="AR13" s="53">
        <v>12449513.86</v>
      </c>
      <c r="AS13" s="52"/>
      <c r="AT13" s="53">
        <v>1336719988.55</v>
      </c>
      <c r="AU13" s="52"/>
      <c r="AV13" s="52"/>
      <c r="AW13" s="52"/>
      <c r="AX13" s="53">
        <v>221020719.29</v>
      </c>
      <c r="AY13" s="52"/>
      <c r="AZ13" s="53">
        <v>1394608332.15</v>
      </c>
      <c r="BA13" s="26">
        <f t="shared" si="5"/>
        <v>1149855500</v>
      </c>
      <c r="BB13" s="26">
        <v>1483067408.2</v>
      </c>
      <c r="BC13" s="26">
        <f>14.9*100000000</f>
        <v>1490000000</v>
      </c>
      <c r="BD13" s="26">
        <f>-0.120058*100000000</f>
        <v>-12005800</v>
      </c>
      <c r="BE13" s="8">
        <f t="shared" si="1"/>
        <v>1477994200</v>
      </c>
      <c r="BF13" s="8">
        <f t="shared" si="6"/>
        <v>1471061608.2</v>
      </c>
      <c r="BG13" s="39">
        <f t="shared" si="7"/>
        <v>1.28537385784562</v>
      </c>
      <c r="BH13" s="51">
        <f t="shared" si="11"/>
        <v>1.27934475958066</v>
      </c>
      <c r="BI13" s="55"/>
    </row>
    <row r="14" spans="1:61">
      <c r="A14" s="9" t="s">
        <v>74</v>
      </c>
      <c r="B14" s="9">
        <v>2022</v>
      </c>
      <c r="C14" s="93">
        <f>289.57*100000000</f>
        <v>28957000000</v>
      </c>
      <c r="D14" s="93" t="s">
        <v>64</v>
      </c>
      <c r="E14" s="9"/>
      <c r="F14" s="9"/>
      <c r="G14" s="8">
        <v>6223376570.5</v>
      </c>
      <c r="H14" s="8">
        <v>3464836366.55</v>
      </c>
      <c r="I14" s="8">
        <v>3009131107.56</v>
      </c>
      <c r="J14" s="39">
        <f t="shared" ref="J14:J24" si="12">I14/H14</f>
        <v>0.868477119615391</v>
      </c>
      <c r="K14" s="8"/>
      <c r="L14" s="8"/>
      <c r="M14" s="8"/>
      <c r="N14" s="8">
        <v>703849.99</v>
      </c>
      <c r="O14" s="8"/>
      <c r="P14" s="8">
        <v>360237800</v>
      </c>
      <c r="Q14" s="8"/>
      <c r="R14" s="8"/>
      <c r="S14" s="8">
        <f t="shared" ref="S14:S46" si="13">L14+M14+O14+P14+Q14+R14</f>
        <v>360237800</v>
      </c>
      <c r="T14" s="8"/>
      <c r="U14" s="8"/>
      <c r="V14" s="8">
        <v>4145789.87</v>
      </c>
      <c r="W14" s="8">
        <v>31845467</v>
      </c>
      <c r="X14" s="26"/>
      <c r="Y14" s="26">
        <v>513315725.87</v>
      </c>
      <c r="Z14" s="26">
        <v>628360401.94</v>
      </c>
      <c r="AA14" s="26"/>
      <c r="AB14" s="26">
        <v>133952.44</v>
      </c>
      <c r="AC14" s="26">
        <f t="shared" ref="AC14:AC46" si="14">T14+U14+V14+W14+X14+Y14+Z14+AA14+AB14</f>
        <v>1177801337.12</v>
      </c>
      <c r="AD14" s="26">
        <f t="shared" ref="AD14:AD46" si="15">SUM(T14:Y14)</f>
        <v>549306982.74</v>
      </c>
      <c r="AE14" s="26">
        <f t="shared" ref="AE14:AE46" si="16">SUM(Z14:AB14)</f>
        <v>628494354.38</v>
      </c>
      <c r="AF14" s="26">
        <f t="shared" ref="AF14:AF46" si="17">G14-AC14</f>
        <v>5045575233.38</v>
      </c>
      <c r="AG14" s="26">
        <v>1608531558.93</v>
      </c>
      <c r="AH14" s="26">
        <v>496987621.64</v>
      </c>
      <c r="AI14" s="26">
        <v>188480697.36</v>
      </c>
      <c r="AJ14" s="39">
        <f t="shared" ref="AJ14:AJ46" si="18">SUM(AG14:AI14)/AF14</f>
        <v>0.454655767047846</v>
      </c>
      <c r="AK14" s="110"/>
      <c r="AL14" s="110"/>
      <c r="AM14" s="110"/>
      <c r="AN14" s="110"/>
      <c r="AO14" s="110"/>
      <c r="AP14" s="110"/>
      <c r="AQ14" s="110"/>
      <c r="AR14" s="52"/>
      <c r="AS14" s="52"/>
      <c r="AT14" s="52"/>
      <c r="AU14" s="52"/>
      <c r="AV14" s="52"/>
      <c r="AW14" s="52"/>
      <c r="AX14" s="52"/>
      <c r="AY14" s="52"/>
      <c r="AZ14" s="52"/>
      <c r="BA14" s="26">
        <f t="shared" ref="BA14:BA46" si="19">H14+L14+M14+O14+P14+Q14+R14-T14-U14-V14-W14-X14-Y14-Z14-AA14-AB14</f>
        <v>2647272829.43</v>
      </c>
      <c r="BB14" s="26">
        <v>705693335.16</v>
      </c>
      <c r="BC14" s="26">
        <v>-474409780.91</v>
      </c>
      <c r="BD14" s="26">
        <v>-4190779.77</v>
      </c>
      <c r="BE14" s="8">
        <f t="shared" ref="BE14:BE46" si="20">BC14+BD14</f>
        <v>-478600560.68</v>
      </c>
      <c r="BF14" s="8">
        <f t="shared" ref="BF14:BF46" si="21">BB14+BD14</f>
        <v>701502555.39</v>
      </c>
      <c r="BG14" s="39">
        <f t="shared" ref="BG14:BG46" si="22">BE14/BA14</f>
        <v>-0.180790039983544</v>
      </c>
      <c r="BH14" s="51">
        <f>BF14/BA14</f>
        <v>0.264990652867859</v>
      </c>
      <c r="BI14" s="119"/>
    </row>
    <row r="15" spans="1:61">
      <c r="A15" s="9"/>
      <c r="B15" s="9">
        <v>2021</v>
      </c>
      <c r="C15" s="93">
        <f>302.48*100000000</f>
        <v>30248000000</v>
      </c>
      <c r="D15" s="93" t="s">
        <v>66</v>
      </c>
      <c r="E15" s="9"/>
      <c r="F15" s="9"/>
      <c r="G15" s="8">
        <v>5917652808.13</v>
      </c>
      <c r="H15" s="70">
        <v>4250369296.86</v>
      </c>
      <c r="I15" s="8">
        <v>3832349780.64</v>
      </c>
      <c r="J15" s="39">
        <f t="shared" si="12"/>
        <v>0.90165101264758</v>
      </c>
      <c r="K15" s="8"/>
      <c r="L15" s="8"/>
      <c r="M15" s="8"/>
      <c r="N15" s="8">
        <v>2495998.14</v>
      </c>
      <c r="O15" s="8"/>
      <c r="P15" s="8">
        <v>112678000</v>
      </c>
      <c r="Q15" s="8"/>
      <c r="R15" s="8"/>
      <c r="S15" s="8">
        <f t="shared" si="13"/>
        <v>112678000</v>
      </c>
      <c r="T15" s="8"/>
      <c r="U15" s="8"/>
      <c r="V15" s="8">
        <v>4900302.61</v>
      </c>
      <c r="W15" s="8">
        <v>35072172</v>
      </c>
      <c r="X15" s="26"/>
      <c r="Y15" s="26">
        <v>553443771.23</v>
      </c>
      <c r="Z15" s="26">
        <v>548656736.03</v>
      </c>
      <c r="AA15" s="26"/>
      <c r="AB15" s="26"/>
      <c r="AC15" s="26">
        <f t="shared" si="14"/>
        <v>1142072981.87</v>
      </c>
      <c r="AD15" s="26">
        <f t="shared" si="15"/>
        <v>593416245.84</v>
      </c>
      <c r="AE15" s="26">
        <f t="shared" si="16"/>
        <v>548656736.03</v>
      </c>
      <c r="AF15" s="26">
        <f t="shared" si="17"/>
        <v>4775579826.26</v>
      </c>
      <c r="AG15" s="26">
        <v>1600587935.72</v>
      </c>
      <c r="AH15" s="26">
        <v>286157008.81</v>
      </c>
      <c r="AI15" s="26">
        <v>192297802.7</v>
      </c>
      <c r="AJ15" s="39">
        <f t="shared" si="18"/>
        <v>0.435348758238265</v>
      </c>
      <c r="AK15" s="110"/>
      <c r="AL15" s="110"/>
      <c r="AM15" s="110"/>
      <c r="AN15" s="110"/>
      <c r="AO15" s="110"/>
      <c r="AP15" s="110"/>
      <c r="AQ15" s="110"/>
      <c r="AR15" s="52"/>
      <c r="AS15" s="52"/>
      <c r="AT15" s="52"/>
      <c r="AU15" s="52"/>
      <c r="AV15" s="52"/>
      <c r="AW15" s="52"/>
      <c r="AX15" s="52"/>
      <c r="AY15" s="52"/>
      <c r="AZ15" s="52"/>
      <c r="BA15" s="26">
        <f t="shared" si="19"/>
        <v>3220974314.99</v>
      </c>
      <c r="BB15" s="26">
        <v>877495460.11</v>
      </c>
      <c r="BC15" s="26">
        <v>876523604.02</v>
      </c>
      <c r="BD15" s="26">
        <v>19896160.07</v>
      </c>
      <c r="BE15" s="8">
        <f t="shared" si="20"/>
        <v>896419764.09</v>
      </c>
      <c r="BF15" s="8">
        <f t="shared" si="21"/>
        <v>897391620.18</v>
      </c>
      <c r="BG15" s="39">
        <f t="shared" si="22"/>
        <v>0.278307020306923</v>
      </c>
      <c r="BH15" s="51">
        <f t="shared" ref="BH15:BH42" si="23">BF15/BA15</f>
        <v>0.278608747671056</v>
      </c>
      <c r="BI15" s="120"/>
    </row>
    <row r="16" spans="1:61">
      <c r="A16" s="9"/>
      <c r="B16" s="9">
        <v>2020</v>
      </c>
      <c r="C16" s="93">
        <f>530.96*100000000</f>
        <v>53096000000</v>
      </c>
      <c r="D16" s="93" t="s">
        <v>67</v>
      </c>
      <c r="E16" s="9"/>
      <c r="F16" s="9"/>
      <c r="G16" s="93">
        <v>6658923560.27</v>
      </c>
      <c r="H16" s="8">
        <v>4991639172.49</v>
      </c>
      <c r="I16" s="8">
        <v>4615875380.59</v>
      </c>
      <c r="J16" s="39">
        <f t="shared" si="12"/>
        <v>0.92472136328064</v>
      </c>
      <c r="K16" s="8"/>
      <c r="L16" s="8"/>
      <c r="M16" s="8"/>
      <c r="N16" s="8"/>
      <c r="O16" s="8"/>
      <c r="P16" s="8">
        <v>360237800</v>
      </c>
      <c r="Q16" s="8"/>
      <c r="R16" s="8"/>
      <c r="S16" s="8">
        <f t="shared" si="13"/>
        <v>360237800</v>
      </c>
      <c r="T16" s="8"/>
      <c r="U16" s="8"/>
      <c r="V16" s="8">
        <v>5065304.88</v>
      </c>
      <c r="W16" s="8">
        <v>38828785.42</v>
      </c>
      <c r="X16" s="26"/>
      <c r="Y16" s="26">
        <v>545109691.12</v>
      </c>
      <c r="Z16" s="26">
        <v>241700996.57</v>
      </c>
      <c r="AA16" s="26"/>
      <c r="AB16" s="26">
        <v>779007720.05</v>
      </c>
      <c r="AC16" s="26">
        <f t="shared" si="14"/>
        <v>1609712498.04</v>
      </c>
      <c r="AD16" s="26">
        <f t="shared" si="15"/>
        <v>589003781.42</v>
      </c>
      <c r="AE16" s="26">
        <f t="shared" si="16"/>
        <v>1020708716.62</v>
      </c>
      <c r="AF16" s="26">
        <f t="shared" si="17"/>
        <v>5049211062.23</v>
      </c>
      <c r="AG16" s="26">
        <v>1458030642.5</v>
      </c>
      <c r="AH16" s="26">
        <v>227215629.33</v>
      </c>
      <c r="AI16" s="26">
        <v>197604336.16</v>
      </c>
      <c r="AJ16" s="39">
        <f t="shared" si="18"/>
        <v>0.372899960961116</v>
      </c>
      <c r="AK16" s="110"/>
      <c r="AL16" s="110"/>
      <c r="AM16" s="110"/>
      <c r="AN16" s="110"/>
      <c r="AO16" s="110"/>
      <c r="AP16" s="110"/>
      <c r="AQ16" s="110"/>
      <c r="AR16" s="52"/>
      <c r="AS16" s="52"/>
      <c r="AT16" s="52"/>
      <c r="AU16" s="52"/>
      <c r="AV16" s="52"/>
      <c r="AW16" s="52"/>
      <c r="AX16" s="52"/>
      <c r="AY16" s="52"/>
      <c r="AZ16" s="52"/>
      <c r="BA16" s="26">
        <f t="shared" si="19"/>
        <v>3742164474.45</v>
      </c>
      <c r="BB16" s="26">
        <v>1168764469.56</v>
      </c>
      <c r="BC16" s="26">
        <v>1130076526.92</v>
      </c>
      <c r="BD16" s="26">
        <v>13317353.72</v>
      </c>
      <c r="BE16" s="8">
        <f t="shared" si="20"/>
        <v>1143393880.64</v>
      </c>
      <c r="BF16" s="8">
        <f t="shared" si="21"/>
        <v>1182081823.28</v>
      </c>
      <c r="BG16" s="39">
        <f t="shared" si="22"/>
        <v>0.305543459793559</v>
      </c>
      <c r="BH16" s="51">
        <f t="shared" si="23"/>
        <v>0.315881846281953</v>
      </c>
      <c r="BI16" s="120"/>
    </row>
    <row r="17" spans="1:61">
      <c r="A17" s="9"/>
      <c r="B17" s="9">
        <v>2019</v>
      </c>
      <c r="C17" s="93">
        <f>313.48*100000000</f>
        <v>31348000000</v>
      </c>
      <c r="D17" s="93" t="s">
        <v>68</v>
      </c>
      <c r="E17" s="9"/>
      <c r="F17" s="9"/>
      <c r="G17" s="93">
        <v>5953726937.24</v>
      </c>
      <c r="H17" s="8">
        <v>4245796115.38</v>
      </c>
      <c r="I17" s="8">
        <v>3948972297.92</v>
      </c>
      <c r="J17" s="39">
        <f t="shared" si="12"/>
        <v>0.930089950295827</v>
      </c>
      <c r="K17" s="8"/>
      <c r="L17" s="8"/>
      <c r="M17" s="8"/>
      <c r="N17" s="8"/>
      <c r="O17" s="8"/>
      <c r="P17" s="8">
        <v>112678000</v>
      </c>
      <c r="Q17" s="8"/>
      <c r="R17" s="8"/>
      <c r="S17" s="8">
        <f t="shared" si="13"/>
        <v>112678000</v>
      </c>
      <c r="T17" s="8"/>
      <c r="U17" s="8"/>
      <c r="V17" s="8">
        <v>5102559.31</v>
      </c>
      <c r="W17" s="8">
        <v>53903005.65</v>
      </c>
      <c r="X17" s="26"/>
      <c r="Y17" s="26">
        <v>304420629.49</v>
      </c>
      <c r="Z17" s="26">
        <v>698822699.65</v>
      </c>
      <c r="AA17" s="26"/>
      <c r="AB17" s="26">
        <v>1134800000</v>
      </c>
      <c r="AC17" s="26">
        <f t="shared" si="14"/>
        <v>2197048894.1</v>
      </c>
      <c r="AD17" s="26">
        <f t="shared" si="15"/>
        <v>363426194.45</v>
      </c>
      <c r="AE17" s="26">
        <f t="shared" si="16"/>
        <v>1833622699.65</v>
      </c>
      <c r="AF17" s="26">
        <f t="shared" si="17"/>
        <v>3756678043.14</v>
      </c>
      <c r="AG17" s="26">
        <v>1424207470.64</v>
      </c>
      <c r="AH17" s="26">
        <v>366030438.06</v>
      </c>
      <c r="AI17" s="26">
        <v>211469631.7</v>
      </c>
      <c r="AJ17" s="39">
        <f t="shared" si="18"/>
        <v>0.532839790211802</v>
      </c>
      <c r="AK17" s="110"/>
      <c r="AL17" s="110"/>
      <c r="AM17" s="110"/>
      <c r="AN17" s="110"/>
      <c r="AO17" s="110"/>
      <c r="AP17" s="110"/>
      <c r="AQ17" s="110"/>
      <c r="AR17" s="52"/>
      <c r="AS17" s="52"/>
      <c r="AT17" s="52"/>
      <c r="AU17" s="52"/>
      <c r="AV17" s="52"/>
      <c r="AW17" s="52"/>
      <c r="AX17" s="52"/>
      <c r="AY17" s="52"/>
      <c r="AZ17" s="52"/>
      <c r="BA17" s="26">
        <f t="shared" si="19"/>
        <v>2161425221.28</v>
      </c>
      <c r="BB17" s="26">
        <v>930945243.71</v>
      </c>
      <c r="BC17" s="26">
        <v>928021905.68</v>
      </c>
      <c r="BD17" s="26">
        <v>48871548.21</v>
      </c>
      <c r="BE17" s="8">
        <f t="shared" si="20"/>
        <v>976893453.89</v>
      </c>
      <c r="BF17" s="8">
        <f t="shared" si="21"/>
        <v>979816791.92</v>
      </c>
      <c r="BG17" s="39">
        <f t="shared" si="22"/>
        <v>0.451967268759583</v>
      </c>
      <c r="BH17" s="51">
        <f t="shared" si="23"/>
        <v>0.453319773579653</v>
      </c>
      <c r="BI17" s="120"/>
    </row>
    <row r="18" spans="1:61">
      <c r="A18" s="9"/>
      <c r="B18" s="9">
        <v>2018</v>
      </c>
      <c r="C18" s="93">
        <f>234.69*100000000</f>
        <v>23469000000</v>
      </c>
      <c r="D18" s="93" t="s">
        <v>69</v>
      </c>
      <c r="E18" s="9"/>
      <c r="F18" s="9"/>
      <c r="G18" s="93">
        <v>5983687463.75</v>
      </c>
      <c r="H18" s="8">
        <v>3947798751.9</v>
      </c>
      <c r="I18" s="8">
        <v>3604791230.11</v>
      </c>
      <c r="J18" s="39">
        <f t="shared" si="12"/>
        <v>0.913114233185033</v>
      </c>
      <c r="K18" s="8"/>
      <c r="L18" s="8"/>
      <c r="M18" s="8">
        <v>398977053.53</v>
      </c>
      <c r="N18" s="8"/>
      <c r="O18" s="8"/>
      <c r="P18" s="8">
        <v>2159000</v>
      </c>
      <c r="Q18" s="8"/>
      <c r="R18" s="8"/>
      <c r="S18" s="8">
        <f t="shared" si="13"/>
        <v>401136053.53</v>
      </c>
      <c r="T18" s="8">
        <v>55637840.83</v>
      </c>
      <c r="U18" s="8"/>
      <c r="V18" s="8">
        <v>6136623.64</v>
      </c>
      <c r="W18" s="8"/>
      <c r="X18" s="26"/>
      <c r="Y18" s="26">
        <v>283688735.12</v>
      </c>
      <c r="Z18" s="26">
        <v>397125470.66</v>
      </c>
      <c r="AA18" s="26"/>
      <c r="AB18" s="26"/>
      <c r="AC18" s="26">
        <f t="shared" si="14"/>
        <v>742588670.25</v>
      </c>
      <c r="AD18" s="26">
        <f t="shared" si="15"/>
        <v>345463199.59</v>
      </c>
      <c r="AE18" s="26">
        <f t="shared" si="16"/>
        <v>397125470.66</v>
      </c>
      <c r="AF18" s="26">
        <f t="shared" si="17"/>
        <v>5241098793.5</v>
      </c>
      <c r="AG18" s="26">
        <v>1350355341.56</v>
      </c>
      <c r="AH18" s="26">
        <v>368918360.39</v>
      </c>
      <c r="AI18" s="26">
        <v>210168419.28</v>
      </c>
      <c r="AJ18" s="39">
        <f t="shared" si="18"/>
        <v>0.368136949378419</v>
      </c>
      <c r="AK18" s="110"/>
      <c r="AL18" s="110"/>
      <c r="AM18" s="110"/>
      <c r="AN18" s="110"/>
      <c r="AO18" s="110"/>
      <c r="AP18" s="110"/>
      <c r="AQ18" s="110"/>
      <c r="AR18" s="52"/>
      <c r="AS18" s="52"/>
      <c r="AT18" s="52"/>
      <c r="AU18" s="52"/>
      <c r="AV18" s="52"/>
      <c r="AW18" s="52"/>
      <c r="AX18" s="52"/>
      <c r="AY18" s="52"/>
      <c r="AZ18" s="52"/>
      <c r="BA18" s="26">
        <f t="shared" si="19"/>
        <v>3606346135.18</v>
      </c>
      <c r="BB18" s="26">
        <v>798545569.45</v>
      </c>
      <c r="BC18" s="26">
        <v>792565637.37</v>
      </c>
      <c r="BD18" s="26">
        <v>54180930.6</v>
      </c>
      <c r="BE18" s="8">
        <f t="shared" si="20"/>
        <v>846746567.97</v>
      </c>
      <c r="BF18" s="8">
        <f t="shared" si="21"/>
        <v>852726500.05</v>
      </c>
      <c r="BG18" s="39">
        <f t="shared" si="22"/>
        <v>0.234793482441956</v>
      </c>
      <c r="BH18" s="51">
        <f t="shared" si="23"/>
        <v>0.236451651640321</v>
      </c>
      <c r="BI18" s="120"/>
    </row>
    <row r="19" spans="1:61">
      <c r="A19" s="9"/>
      <c r="B19" s="9">
        <v>2017</v>
      </c>
      <c r="C19" s="93">
        <f>197.25*100000000</f>
        <v>19725000000</v>
      </c>
      <c r="D19" s="93" t="s">
        <v>70</v>
      </c>
      <c r="E19" s="9"/>
      <c r="F19" s="9"/>
      <c r="G19" s="93">
        <v>5304762875.94</v>
      </c>
      <c r="H19" s="8">
        <v>3450155650.06</v>
      </c>
      <c r="I19" s="8">
        <v>3140811451.38</v>
      </c>
      <c r="J19" s="39">
        <f t="shared" si="12"/>
        <v>0.910339060014692</v>
      </c>
      <c r="K19" s="8"/>
      <c r="L19" s="8">
        <v>19825364.41</v>
      </c>
      <c r="M19" s="8">
        <v>896236772.21</v>
      </c>
      <c r="N19" s="8"/>
      <c r="O19" s="8"/>
      <c r="P19" s="8">
        <v>15000000</v>
      </c>
      <c r="Q19" s="8"/>
      <c r="R19" s="8"/>
      <c r="S19" s="8">
        <f t="shared" si="13"/>
        <v>931062136.62</v>
      </c>
      <c r="T19" s="8">
        <v>36738845.82</v>
      </c>
      <c r="U19" s="8"/>
      <c r="V19" s="8">
        <v>30559665.41</v>
      </c>
      <c r="W19" s="8"/>
      <c r="X19" s="26"/>
      <c r="Y19" s="26">
        <v>351037308.03</v>
      </c>
      <c r="Z19" s="26">
        <v>240763315.02</v>
      </c>
      <c r="AA19" s="26"/>
      <c r="AB19" s="26"/>
      <c r="AC19" s="26">
        <f t="shared" si="14"/>
        <v>659099134.28</v>
      </c>
      <c r="AD19" s="26">
        <f t="shared" si="15"/>
        <v>418335819.26</v>
      </c>
      <c r="AE19" s="26">
        <f t="shared" si="16"/>
        <v>240763315.02</v>
      </c>
      <c r="AF19" s="26">
        <f t="shared" si="17"/>
        <v>4645663741.66</v>
      </c>
      <c r="AG19" s="26">
        <v>1213951191.04</v>
      </c>
      <c r="AH19" s="26">
        <v>267213146.27</v>
      </c>
      <c r="AI19" s="26">
        <v>211923542.08</v>
      </c>
      <c r="AJ19" s="39">
        <f t="shared" si="18"/>
        <v>0.364444775502633</v>
      </c>
      <c r="AK19" s="110"/>
      <c r="AL19" s="110"/>
      <c r="AM19" s="110"/>
      <c r="AN19" s="110"/>
      <c r="AO19" s="110"/>
      <c r="AP19" s="110"/>
      <c r="AQ19" s="110"/>
      <c r="AR19" s="52"/>
      <c r="AS19" s="52"/>
      <c r="AT19" s="52"/>
      <c r="AU19" s="52"/>
      <c r="AV19" s="52"/>
      <c r="AW19" s="52"/>
      <c r="AX19" s="52"/>
      <c r="AY19" s="52"/>
      <c r="AZ19" s="52"/>
      <c r="BA19" s="26">
        <f t="shared" si="19"/>
        <v>3722118652.4</v>
      </c>
      <c r="BB19" s="26">
        <v>611029991.65</v>
      </c>
      <c r="BC19" s="26">
        <v>609177803.64</v>
      </c>
      <c r="BD19" s="26"/>
      <c r="BE19" s="8">
        <f t="shared" si="20"/>
        <v>609177803.64</v>
      </c>
      <c r="BF19" s="8">
        <f t="shared" si="21"/>
        <v>611029991.65</v>
      </c>
      <c r="BG19" s="39">
        <f t="shared" si="22"/>
        <v>0.163664262354239</v>
      </c>
      <c r="BH19" s="51">
        <f t="shared" si="23"/>
        <v>0.164161878949241</v>
      </c>
      <c r="BI19" s="120"/>
    </row>
    <row r="20" spans="1:61">
      <c r="A20" s="9"/>
      <c r="B20" s="9">
        <v>2016</v>
      </c>
      <c r="C20" s="93">
        <f>112.17*100000000</f>
        <v>11217000000</v>
      </c>
      <c r="D20" s="93" t="s">
        <v>71</v>
      </c>
      <c r="E20" s="9"/>
      <c r="F20" s="9"/>
      <c r="G20" s="93">
        <v>4910866585.04</v>
      </c>
      <c r="H20" s="8">
        <v>3089104604.76</v>
      </c>
      <c r="I20" s="8">
        <v>2799259157.1</v>
      </c>
      <c r="J20" s="39">
        <f t="shared" si="12"/>
        <v>0.906171695444247</v>
      </c>
      <c r="K20" s="8"/>
      <c r="L20" s="8"/>
      <c r="M20" s="8">
        <v>894432652.35</v>
      </c>
      <c r="N20" s="8"/>
      <c r="O20" s="8"/>
      <c r="P20" s="8"/>
      <c r="Q20" s="8"/>
      <c r="R20" s="8"/>
      <c r="S20" s="8">
        <f t="shared" si="13"/>
        <v>894432652.35</v>
      </c>
      <c r="T20" s="8">
        <v>61821715.09</v>
      </c>
      <c r="U20" s="8"/>
      <c r="V20" s="8">
        <v>48885214.48</v>
      </c>
      <c r="W20" s="8"/>
      <c r="X20" s="26"/>
      <c r="Y20" s="26">
        <v>335490531.15</v>
      </c>
      <c r="Z20" s="26">
        <v>115724324.08</v>
      </c>
      <c r="AA20" s="26"/>
      <c r="AB20" s="26"/>
      <c r="AC20" s="26">
        <f t="shared" si="14"/>
        <v>561921784.8</v>
      </c>
      <c r="AD20" s="26">
        <f t="shared" si="15"/>
        <v>446197460.72</v>
      </c>
      <c r="AE20" s="26">
        <f t="shared" si="16"/>
        <v>115724324.08</v>
      </c>
      <c r="AF20" s="26">
        <f t="shared" si="17"/>
        <v>4348944800.24</v>
      </c>
      <c r="AG20" s="26">
        <v>5070807.93</v>
      </c>
      <c r="AH20" s="26">
        <v>220403829.62</v>
      </c>
      <c r="AI20" s="26">
        <v>143185158.14</v>
      </c>
      <c r="AJ20" s="39">
        <f t="shared" si="18"/>
        <v>0.0847699413590293</v>
      </c>
      <c r="AK20" s="110"/>
      <c r="AL20" s="110"/>
      <c r="AM20" s="110"/>
      <c r="AN20" s="110"/>
      <c r="AO20" s="110"/>
      <c r="AP20" s="110"/>
      <c r="AQ20" s="110"/>
      <c r="AR20" s="52"/>
      <c r="AS20" s="52"/>
      <c r="AT20" s="52"/>
      <c r="AU20" s="52"/>
      <c r="AV20" s="52"/>
      <c r="AW20" s="52"/>
      <c r="AX20" s="52"/>
      <c r="AY20" s="52"/>
      <c r="AZ20" s="52"/>
      <c r="BA20" s="26">
        <f t="shared" si="19"/>
        <v>3421615472.31</v>
      </c>
      <c r="BB20" s="26">
        <v>467381534.74</v>
      </c>
      <c r="BC20" s="26">
        <v>486262492.39</v>
      </c>
      <c r="BD20" s="26">
        <v>63247203.54</v>
      </c>
      <c r="BE20" s="8">
        <f t="shared" si="20"/>
        <v>549509695.93</v>
      </c>
      <c r="BF20" s="8">
        <f t="shared" si="21"/>
        <v>530628738.28</v>
      </c>
      <c r="BG20" s="39">
        <f t="shared" si="22"/>
        <v>0.160599488860452</v>
      </c>
      <c r="BH20" s="51">
        <f t="shared" si="23"/>
        <v>0.15508134756059</v>
      </c>
      <c r="BI20" s="120"/>
    </row>
    <row r="21" spans="1:61">
      <c r="A21" s="9"/>
      <c r="B21" s="1">
        <v>2015</v>
      </c>
      <c r="C21" s="93">
        <f>124.67*100000000</f>
        <v>12467000000</v>
      </c>
      <c r="D21" s="93" t="s">
        <v>72</v>
      </c>
      <c r="E21" s="9"/>
      <c r="F21" s="9"/>
      <c r="G21" s="93">
        <v>4523115170.58</v>
      </c>
      <c r="H21" s="8">
        <v>2798588123.5</v>
      </c>
      <c r="I21" s="8">
        <v>2513979782.5</v>
      </c>
      <c r="J21" s="39">
        <f t="shared" si="12"/>
        <v>0.898302884011363</v>
      </c>
      <c r="K21" s="8"/>
      <c r="L21" s="8"/>
      <c r="M21" s="8">
        <v>892732741.68</v>
      </c>
      <c r="N21" s="8"/>
      <c r="O21" s="8"/>
      <c r="P21" s="8"/>
      <c r="Q21" s="8"/>
      <c r="R21" s="8"/>
      <c r="S21" s="8">
        <f t="shared" si="13"/>
        <v>892732741.68</v>
      </c>
      <c r="T21" s="8">
        <v>64590909.09</v>
      </c>
      <c r="U21" s="8"/>
      <c r="V21" s="8">
        <v>53009892.18</v>
      </c>
      <c r="W21" s="8"/>
      <c r="X21" s="26"/>
      <c r="Y21" s="26">
        <v>386602381.17</v>
      </c>
      <c r="Z21" s="26">
        <v>91815071.75</v>
      </c>
      <c r="AA21" s="26"/>
      <c r="AB21" s="26"/>
      <c r="AC21" s="26">
        <f t="shared" si="14"/>
        <v>596018254.19</v>
      </c>
      <c r="AD21" s="26">
        <f t="shared" si="15"/>
        <v>504203182.44</v>
      </c>
      <c r="AE21" s="26">
        <f t="shared" si="16"/>
        <v>91815071.75</v>
      </c>
      <c r="AF21" s="26">
        <f t="shared" si="17"/>
        <v>3927096916.39</v>
      </c>
      <c r="AG21" s="26">
        <v>5050771.62</v>
      </c>
      <c r="AH21" s="26">
        <v>219840981.62</v>
      </c>
      <c r="AI21" s="26">
        <v>107229007.99</v>
      </c>
      <c r="AJ21" s="39">
        <f t="shared" si="18"/>
        <v>0.0845715724111294</v>
      </c>
      <c r="AK21" s="110"/>
      <c r="AL21" s="110"/>
      <c r="AM21" s="110"/>
      <c r="AN21" s="110"/>
      <c r="AO21" s="110"/>
      <c r="AP21" s="110"/>
      <c r="AQ21" s="110"/>
      <c r="AR21" s="52"/>
      <c r="AS21" s="52"/>
      <c r="AT21" s="52"/>
      <c r="AU21" s="52"/>
      <c r="AV21" s="52"/>
      <c r="AW21" s="52"/>
      <c r="AX21" s="52"/>
      <c r="AY21" s="52"/>
      <c r="AZ21" s="52"/>
      <c r="BA21" s="26">
        <f t="shared" si="19"/>
        <v>3095302610.99</v>
      </c>
      <c r="BB21" s="26">
        <v>300808951.67</v>
      </c>
      <c r="BC21" s="26">
        <v>339119271.56</v>
      </c>
      <c r="BD21" s="26">
        <v>61164838.68</v>
      </c>
      <c r="BE21" s="8">
        <f t="shared" si="20"/>
        <v>400284110.24</v>
      </c>
      <c r="BF21" s="8">
        <f t="shared" si="21"/>
        <v>361973790.35</v>
      </c>
      <c r="BG21" s="39">
        <f t="shared" si="22"/>
        <v>0.129319863207809</v>
      </c>
      <c r="BH21" s="51">
        <f t="shared" si="23"/>
        <v>0.116942940914661</v>
      </c>
      <c r="BI21" s="120"/>
    </row>
    <row r="22" spans="1:61">
      <c r="A22" s="9"/>
      <c r="B22" s="1">
        <v>2014</v>
      </c>
      <c r="C22" s="93">
        <f>82.69*100000000</f>
        <v>8269000000</v>
      </c>
      <c r="D22" s="93" t="s">
        <v>73</v>
      </c>
      <c r="E22" s="9"/>
      <c r="F22" s="9"/>
      <c r="G22" s="93">
        <v>4058969587.71</v>
      </c>
      <c r="H22" s="8">
        <v>2612537101.13</v>
      </c>
      <c r="I22" s="8">
        <v>2354641481.49</v>
      </c>
      <c r="J22" s="39">
        <f t="shared" si="12"/>
        <v>0.901285375228374</v>
      </c>
      <c r="K22" s="8"/>
      <c r="L22" s="8">
        <v>108570000</v>
      </c>
      <c r="M22" s="8">
        <v>495236064.74</v>
      </c>
      <c r="N22" s="8"/>
      <c r="O22" s="8"/>
      <c r="P22" s="8">
        <v>100000000</v>
      </c>
      <c r="Q22" s="8"/>
      <c r="R22" s="8"/>
      <c r="S22" s="8">
        <f t="shared" si="13"/>
        <v>703806064.74</v>
      </c>
      <c r="T22" s="8">
        <v>64590909.09</v>
      </c>
      <c r="U22" s="8"/>
      <c r="V22" s="8">
        <v>51725432.12</v>
      </c>
      <c r="W22" s="8"/>
      <c r="X22" s="26"/>
      <c r="Y22" s="26">
        <v>429600695.28</v>
      </c>
      <c r="Z22" s="26">
        <v>270362211.98</v>
      </c>
      <c r="AA22" s="26"/>
      <c r="AB22" s="26">
        <v>2792908.28</v>
      </c>
      <c r="AC22" s="26">
        <f t="shared" si="14"/>
        <v>819072156.75</v>
      </c>
      <c r="AD22" s="26">
        <f t="shared" si="15"/>
        <v>545917036.49</v>
      </c>
      <c r="AE22" s="26">
        <f t="shared" si="16"/>
        <v>273155120.26</v>
      </c>
      <c r="AF22" s="26">
        <f t="shared" si="17"/>
        <v>3239897430.96</v>
      </c>
      <c r="AG22" s="26">
        <v>1176377517.48</v>
      </c>
      <c r="AH22" s="26">
        <v>191069756.34</v>
      </c>
      <c r="AI22" s="26">
        <v>114142333.91</v>
      </c>
      <c r="AJ22" s="39">
        <f t="shared" si="18"/>
        <v>0.457295219772126</v>
      </c>
      <c r="AK22" s="110"/>
      <c r="AL22" s="110"/>
      <c r="AM22" s="110"/>
      <c r="AN22" s="110"/>
      <c r="AO22" s="110"/>
      <c r="AP22" s="110"/>
      <c r="AQ22" s="110"/>
      <c r="AR22" s="52"/>
      <c r="AS22" s="52"/>
      <c r="AT22" s="52"/>
      <c r="AU22" s="52"/>
      <c r="AV22" s="52"/>
      <c r="AW22" s="52"/>
      <c r="AX22" s="52"/>
      <c r="AY22" s="52"/>
      <c r="AZ22" s="52"/>
      <c r="BA22" s="26">
        <f t="shared" si="19"/>
        <v>2497271009.12</v>
      </c>
      <c r="BB22" s="26">
        <v>322787675.72</v>
      </c>
      <c r="BC22" s="26">
        <v>344024306.1</v>
      </c>
      <c r="BD22" s="26">
        <v>33214100.66</v>
      </c>
      <c r="BE22" s="8">
        <f t="shared" si="20"/>
        <v>377238406.76</v>
      </c>
      <c r="BF22" s="8">
        <f t="shared" si="21"/>
        <v>356001776.38</v>
      </c>
      <c r="BG22" s="39">
        <f t="shared" si="22"/>
        <v>0.151060259532238</v>
      </c>
      <c r="BH22" s="51">
        <f t="shared" si="23"/>
        <v>0.142556324515796</v>
      </c>
      <c r="BI22" s="120"/>
    </row>
    <row r="23" spans="1:61">
      <c r="A23" s="9"/>
      <c r="B23" s="1">
        <v>2013</v>
      </c>
      <c r="C23" s="93">
        <f>90.58*100000000</f>
        <v>9058000000</v>
      </c>
      <c r="D23" s="9" t="s">
        <v>75</v>
      </c>
      <c r="E23" s="9"/>
      <c r="F23" s="9"/>
      <c r="G23" s="93">
        <v>3696122566.48</v>
      </c>
      <c r="H23" s="8">
        <v>2384818024.28</v>
      </c>
      <c r="I23" s="8">
        <v>2132672364.41</v>
      </c>
      <c r="J23" s="39">
        <f t="shared" si="12"/>
        <v>0.89427048214879</v>
      </c>
      <c r="K23" s="8"/>
      <c r="L23" s="8">
        <v>119570000</v>
      </c>
      <c r="M23" s="8"/>
      <c r="N23" s="8"/>
      <c r="O23" s="8"/>
      <c r="P23" s="8">
        <v>164120000</v>
      </c>
      <c r="Q23" s="8"/>
      <c r="R23" s="8"/>
      <c r="S23" s="8">
        <f t="shared" si="13"/>
        <v>283690000</v>
      </c>
      <c r="T23" s="8">
        <v>63090909.09</v>
      </c>
      <c r="U23" s="8"/>
      <c r="V23" s="8">
        <v>50949811.29</v>
      </c>
      <c r="W23" s="8"/>
      <c r="X23" s="26"/>
      <c r="Y23" s="26">
        <v>494115489.98</v>
      </c>
      <c r="Z23" s="26">
        <v>355308868.93</v>
      </c>
      <c r="AA23" s="26"/>
      <c r="AB23" s="26">
        <v>2470756.05</v>
      </c>
      <c r="AC23" s="26">
        <f t="shared" si="14"/>
        <v>965935835.34</v>
      </c>
      <c r="AD23" s="26">
        <f t="shared" si="15"/>
        <v>608156210.36</v>
      </c>
      <c r="AE23" s="26">
        <f t="shared" si="16"/>
        <v>357779624.98</v>
      </c>
      <c r="AF23" s="26">
        <f t="shared" si="17"/>
        <v>2730186731.14</v>
      </c>
      <c r="AG23" s="26">
        <v>669634314.87</v>
      </c>
      <c r="AH23" s="26">
        <v>318586622.82</v>
      </c>
      <c r="AI23" s="26">
        <v>105849021.03</v>
      </c>
      <c r="AJ23" s="39">
        <f t="shared" si="18"/>
        <v>0.400730816775733</v>
      </c>
      <c r="AK23" s="110"/>
      <c r="AL23" s="110"/>
      <c r="AM23" s="110"/>
      <c r="AN23" s="110"/>
      <c r="AO23" s="110"/>
      <c r="AP23" s="110"/>
      <c r="AQ23" s="110"/>
      <c r="AR23" s="52"/>
      <c r="AS23" s="52"/>
      <c r="AT23" s="52"/>
      <c r="AU23" s="52"/>
      <c r="AV23" s="52"/>
      <c r="AW23" s="52"/>
      <c r="AX23" s="52"/>
      <c r="AY23" s="52"/>
      <c r="AZ23" s="52"/>
      <c r="BA23" s="26">
        <f t="shared" si="19"/>
        <v>1702572188.94</v>
      </c>
      <c r="BB23" s="26">
        <v>254249235.99</v>
      </c>
      <c r="BC23" s="26">
        <v>262357521.58</v>
      </c>
      <c r="BD23" s="26">
        <v>33833713.16</v>
      </c>
      <c r="BE23" s="8">
        <f t="shared" si="20"/>
        <v>296191234.74</v>
      </c>
      <c r="BF23" s="8">
        <f t="shared" si="21"/>
        <v>288082949.15</v>
      </c>
      <c r="BG23" s="39">
        <f t="shared" si="22"/>
        <v>0.173966917035339</v>
      </c>
      <c r="BH23" s="51">
        <f t="shared" si="23"/>
        <v>0.16920454299759</v>
      </c>
      <c r="BI23" s="120"/>
    </row>
    <row r="24" spans="1:61">
      <c r="A24" s="9"/>
      <c r="B24" s="1">
        <v>2012</v>
      </c>
      <c r="C24" s="93"/>
      <c r="D24" s="9"/>
      <c r="E24" s="9"/>
      <c r="F24" s="9"/>
      <c r="G24" s="93">
        <v>3495088667.33</v>
      </c>
      <c r="H24" s="8">
        <v>2189553863.83</v>
      </c>
      <c r="I24" s="8">
        <v>1947986370.95</v>
      </c>
      <c r="J24" s="39">
        <f t="shared" si="12"/>
        <v>0.889672733395356</v>
      </c>
      <c r="K24" s="8"/>
      <c r="L24" s="8">
        <v>75000000</v>
      </c>
      <c r="M24" s="8"/>
      <c r="N24" s="8"/>
      <c r="O24" s="8"/>
      <c r="P24" s="8">
        <v>10000000</v>
      </c>
      <c r="Q24" s="8"/>
      <c r="R24" s="8"/>
      <c r="S24" s="8">
        <f t="shared" si="13"/>
        <v>85000000</v>
      </c>
      <c r="T24" s="8"/>
      <c r="U24" s="8"/>
      <c r="V24" s="8">
        <v>92901339.6</v>
      </c>
      <c r="W24" s="8"/>
      <c r="X24" s="26"/>
      <c r="Y24" s="26">
        <v>519796165.2</v>
      </c>
      <c r="Z24" s="26">
        <v>354573106.95</v>
      </c>
      <c r="AA24" s="26"/>
      <c r="AB24" s="26">
        <v>3181507.07</v>
      </c>
      <c r="AC24" s="26">
        <f t="shared" si="14"/>
        <v>970452118.82</v>
      </c>
      <c r="AD24" s="26">
        <f t="shared" si="15"/>
        <v>612697504.8</v>
      </c>
      <c r="AE24" s="26">
        <f t="shared" si="16"/>
        <v>357754614.02</v>
      </c>
      <c r="AF24" s="26">
        <f t="shared" si="17"/>
        <v>2524636548.51</v>
      </c>
      <c r="AG24" s="26">
        <v>588313085.14</v>
      </c>
      <c r="AH24" s="26">
        <v>138230365.82</v>
      </c>
      <c r="AI24" s="26">
        <v>89661621.47</v>
      </c>
      <c r="AJ24" s="39">
        <f t="shared" si="18"/>
        <v>0.323296069254686</v>
      </c>
      <c r="AK24" s="110"/>
      <c r="AL24" s="110"/>
      <c r="AM24" s="110"/>
      <c r="AN24" s="110"/>
      <c r="AO24" s="110"/>
      <c r="AP24" s="110"/>
      <c r="AQ24" s="110"/>
      <c r="AR24" s="52"/>
      <c r="AS24" s="52"/>
      <c r="AT24" s="52"/>
      <c r="AU24" s="52"/>
      <c r="AV24" s="52"/>
      <c r="AW24" s="52"/>
      <c r="AX24" s="52"/>
      <c r="AY24" s="52"/>
      <c r="AZ24" s="52"/>
      <c r="BA24" s="26">
        <f t="shared" si="19"/>
        <v>1304101745.01</v>
      </c>
      <c r="BB24" s="26">
        <v>117736589.57</v>
      </c>
      <c r="BC24" s="26">
        <v>145320131.28</v>
      </c>
      <c r="BD24" s="26">
        <v>40927808.72</v>
      </c>
      <c r="BE24" s="8">
        <f t="shared" si="20"/>
        <v>186247940</v>
      </c>
      <c r="BF24" s="8">
        <f t="shared" si="21"/>
        <v>158664398.29</v>
      </c>
      <c r="BG24" s="39">
        <f t="shared" si="22"/>
        <v>0.142817031502839</v>
      </c>
      <c r="BH24" s="51">
        <f t="shared" si="23"/>
        <v>0.121665659061581</v>
      </c>
      <c r="BI24" s="121"/>
    </row>
    <row r="25" customFormat="1" spans="1:61">
      <c r="A25" s="10" t="s">
        <v>76</v>
      </c>
      <c r="B25" s="1">
        <v>2022</v>
      </c>
      <c r="C25" s="93">
        <f>200.62*100000000</f>
        <v>20062000000</v>
      </c>
      <c r="D25" s="93" t="s">
        <v>64</v>
      </c>
      <c r="E25" s="9"/>
      <c r="F25" s="9"/>
      <c r="G25" s="93">
        <v>3171593207.19</v>
      </c>
      <c r="H25" s="8">
        <v>2353022936.1</v>
      </c>
      <c r="I25" s="8"/>
      <c r="J25" s="39"/>
      <c r="K25" s="8"/>
      <c r="L25" s="8"/>
      <c r="M25" s="8"/>
      <c r="N25" s="8">
        <v>73646.11</v>
      </c>
      <c r="O25" s="8"/>
      <c r="P25" s="8">
        <v>65000000</v>
      </c>
      <c r="Q25" s="8"/>
      <c r="R25" s="8"/>
      <c r="S25" s="8">
        <f t="shared" si="13"/>
        <v>65000000</v>
      </c>
      <c r="T25" s="8"/>
      <c r="U25" s="8"/>
      <c r="V25" s="8"/>
      <c r="W25" s="8"/>
      <c r="X25" s="26"/>
      <c r="Y25" s="26"/>
      <c r="Z25" s="26">
        <v>409279659.48</v>
      </c>
      <c r="AA25" s="26"/>
      <c r="AB25" s="26">
        <v>410000000</v>
      </c>
      <c r="AC25" s="26">
        <f t="shared" si="14"/>
        <v>819279659.48</v>
      </c>
      <c r="AD25" s="26">
        <f t="shared" si="15"/>
        <v>0</v>
      </c>
      <c r="AE25" s="26">
        <f t="shared" si="16"/>
        <v>819279659.48</v>
      </c>
      <c r="AF25" s="26">
        <f t="shared" si="17"/>
        <v>2352313547.71</v>
      </c>
      <c r="AG25" s="26">
        <v>882644351.4</v>
      </c>
      <c r="AH25" s="26">
        <v>351547774.26</v>
      </c>
      <c r="AI25" s="26">
        <v>97675956.36</v>
      </c>
      <c r="AJ25" s="39">
        <f t="shared" si="18"/>
        <v>0.566194962961713</v>
      </c>
      <c r="AK25" s="110"/>
      <c r="AL25" s="110"/>
      <c r="AM25" s="110"/>
      <c r="AN25" s="110"/>
      <c r="AO25" s="110"/>
      <c r="AP25" s="110"/>
      <c r="AQ25" s="110"/>
      <c r="AR25" s="52"/>
      <c r="AS25" s="52"/>
      <c r="AT25" s="52"/>
      <c r="AU25" s="52"/>
      <c r="AV25" s="52"/>
      <c r="AW25" s="52"/>
      <c r="AX25" s="52"/>
      <c r="AY25" s="52"/>
      <c r="AZ25" s="52"/>
      <c r="BA25" s="26">
        <f t="shared" si="19"/>
        <v>1598743276.62</v>
      </c>
      <c r="BB25" s="26">
        <v>400347681.7</v>
      </c>
      <c r="BC25" s="26">
        <v>400347681.7</v>
      </c>
      <c r="BD25" s="26">
        <v>-8308696.86</v>
      </c>
      <c r="BE25" s="8">
        <f t="shared" si="20"/>
        <v>392038984.84</v>
      </c>
      <c r="BF25" s="8">
        <f t="shared" si="21"/>
        <v>392038984.84</v>
      </c>
      <c r="BG25" s="39">
        <f t="shared" si="22"/>
        <v>0.245216971713453</v>
      </c>
      <c r="BH25" s="51">
        <f t="shared" si="23"/>
        <v>0.245216971713453</v>
      </c>
      <c r="BI25" s="119"/>
    </row>
    <row r="26" customFormat="1" spans="1:61">
      <c r="A26" s="11"/>
      <c r="B26" s="1">
        <v>2021</v>
      </c>
      <c r="C26" s="93">
        <f>192.35*100000000</f>
        <v>19235000000</v>
      </c>
      <c r="D26" s="93" t="s">
        <v>66</v>
      </c>
      <c r="E26" s="9"/>
      <c r="F26" s="9"/>
      <c r="G26" s="93">
        <v>2397922657.19</v>
      </c>
      <c r="H26" s="8">
        <v>2074320828.6</v>
      </c>
      <c r="I26" s="8"/>
      <c r="J26" s="39"/>
      <c r="K26" s="8"/>
      <c r="L26" s="8"/>
      <c r="M26" s="8"/>
      <c r="N26" s="8">
        <v>425887.22</v>
      </c>
      <c r="O26" s="8"/>
      <c r="P26" s="8"/>
      <c r="Q26" s="8"/>
      <c r="R26" s="8"/>
      <c r="S26" s="8">
        <f t="shared" si="13"/>
        <v>0</v>
      </c>
      <c r="T26" s="8"/>
      <c r="U26" s="8"/>
      <c r="V26" s="8"/>
      <c r="W26" s="8"/>
      <c r="X26" s="26"/>
      <c r="Y26" s="26"/>
      <c r="Z26" s="26">
        <v>196955347.02</v>
      </c>
      <c r="AA26" s="26"/>
      <c r="AB26" s="26">
        <v>160000000</v>
      </c>
      <c r="AC26" s="26">
        <f t="shared" si="14"/>
        <v>356955347.02</v>
      </c>
      <c r="AD26" s="26">
        <f t="shared" si="15"/>
        <v>0</v>
      </c>
      <c r="AE26" s="26">
        <f t="shared" si="16"/>
        <v>356955347.02</v>
      </c>
      <c r="AF26" s="26">
        <f t="shared" si="17"/>
        <v>2040967310.17</v>
      </c>
      <c r="AG26" s="26">
        <v>842528924.16</v>
      </c>
      <c r="AH26" s="26">
        <v>284081775.37</v>
      </c>
      <c r="AI26" s="26">
        <v>103322955.28</v>
      </c>
      <c r="AJ26" s="39">
        <f t="shared" si="18"/>
        <v>0.602622907619012</v>
      </c>
      <c r="AK26" s="110"/>
      <c r="AL26" s="110"/>
      <c r="AM26" s="110"/>
      <c r="AN26" s="110"/>
      <c r="AO26" s="110"/>
      <c r="AP26" s="110"/>
      <c r="AQ26" s="110"/>
      <c r="AR26" s="52"/>
      <c r="AS26" s="52"/>
      <c r="AT26" s="52"/>
      <c r="AU26" s="52"/>
      <c r="AV26" s="52"/>
      <c r="AW26" s="52"/>
      <c r="AX26" s="52"/>
      <c r="AY26" s="52"/>
      <c r="AZ26" s="52"/>
      <c r="BA26" s="26">
        <f t="shared" si="19"/>
        <v>1717365481.58</v>
      </c>
      <c r="BB26" s="26">
        <v>269992984.84</v>
      </c>
      <c r="BC26" s="26">
        <v>269992984.84</v>
      </c>
      <c r="BD26" s="116">
        <v>-2704183.35</v>
      </c>
      <c r="BE26" s="8">
        <f t="shared" si="20"/>
        <v>267288801.49</v>
      </c>
      <c r="BF26" s="8">
        <f t="shared" si="21"/>
        <v>267288801.49</v>
      </c>
      <c r="BG26" s="39">
        <f t="shared" si="22"/>
        <v>0.155638857515694</v>
      </c>
      <c r="BH26" s="51">
        <f t="shared" si="23"/>
        <v>0.155638857515694</v>
      </c>
      <c r="BI26" s="120"/>
    </row>
    <row r="27" customFormat="1" spans="1:61">
      <c r="A27" s="11"/>
      <c r="B27" s="1">
        <v>2020</v>
      </c>
      <c r="C27" s="93">
        <f>248.83*100000000</f>
        <v>24883000000</v>
      </c>
      <c r="D27" s="93" t="s">
        <v>67</v>
      </c>
      <c r="E27" s="9"/>
      <c r="F27" s="9"/>
      <c r="G27" s="93">
        <v>2185494550.48</v>
      </c>
      <c r="H27" s="8">
        <v>1897911349</v>
      </c>
      <c r="I27" s="8"/>
      <c r="J27" s="39"/>
      <c r="K27" s="8"/>
      <c r="L27" s="8"/>
      <c r="M27" s="8"/>
      <c r="N27" s="8"/>
      <c r="O27" s="8"/>
      <c r="P27" s="8"/>
      <c r="Q27" s="8"/>
      <c r="R27" s="8"/>
      <c r="S27" s="8">
        <f t="shared" si="13"/>
        <v>0</v>
      </c>
      <c r="T27" s="8"/>
      <c r="U27" s="8"/>
      <c r="V27" s="8"/>
      <c r="W27" s="8"/>
      <c r="X27" s="26"/>
      <c r="Y27" s="26"/>
      <c r="Z27" s="26">
        <v>117463290.74</v>
      </c>
      <c r="AA27" s="26"/>
      <c r="AB27" s="26">
        <v>390000000</v>
      </c>
      <c r="AC27" s="26">
        <f t="shared" si="14"/>
        <v>507463290.74</v>
      </c>
      <c r="AD27" s="26">
        <f t="shared" si="15"/>
        <v>0</v>
      </c>
      <c r="AE27" s="26">
        <f t="shared" si="16"/>
        <v>507463290.74</v>
      </c>
      <c r="AF27" s="26">
        <f t="shared" si="17"/>
        <v>1678031259.74</v>
      </c>
      <c r="AG27" s="26">
        <v>826764257.92</v>
      </c>
      <c r="AH27" s="26">
        <v>140301049.56</v>
      </c>
      <c r="AI27" s="26">
        <v>105258498.85</v>
      </c>
      <c r="AJ27" s="39">
        <f t="shared" si="18"/>
        <v>0.639036847559175</v>
      </c>
      <c r="AK27" s="110"/>
      <c r="AL27" s="110"/>
      <c r="AM27" s="110"/>
      <c r="AN27" s="110"/>
      <c r="AO27" s="110"/>
      <c r="AP27" s="110"/>
      <c r="AQ27" s="110"/>
      <c r="AR27" s="52"/>
      <c r="AS27" s="52"/>
      <c r="AT27" s="52"/>
      <c r="AU27" s="52"/>
      <c r="AV27" s="52"/>
      <c r="AW27" s="52"/>
      <c r="AX27" s="52"/>
      <c r="AY27" s="52"/>
      <c r="AZ27" s="52"/>
      <c r="BA27" s="26">
        <f t="shared" si="19"/>
        <v>1390448058.26</v>
      </c>
      <c r="BB27" s="26">
        <v>261914264.2</v>
      </c>
      <c r="BC27" s="26">
        <v>261914264.2</v>
      </c>
      <c r="BD27" s="26">
        <v>-3216073.21</v>
      </c>
      <c r="BE27" s="8">
        <f t="shared" si="20"/>
        <v>258698190.99</v>
      </c>
      <c r="BF27" s="8">
        <f t="shared" si="21"/>
        <v>258698190.99</v>
      </c>
      <c r="BG27" s="39">
        <f t="shared" si="22"/>
        <v>0.186053833117458</v>
      </c>
      <c r="BH27" s="51">
        <f t="shared" si="23"/>
        <v>0.186053833117458</v>
      </c>
      <c r="BI27" s="120"/>
    </row>
    <row r="28" customFormat="1" spans="1:61">
      <c r="A28" s="11"/>
      <c r="B28" s="1">
        <v>2019</v>
      </c>
      <c r="C28" s="93">
        <f>99.04*100000000</f>
        <v>9904000000</v>
      </c>
      <c r="D28" s="93" t="s">
        <v>68</v>
      </c>
      <c r="E28" s="9"/>
      <c r="F28" s="9"/>
      <c r="G28" s="93">
        <v>2055571609.08</v>
      </c>
      <c r="H28" s="8">
        <v>1592531795</v>
      </c>
      <c r="I28" s="8"/>
      <c r="J28" s="39"/>
      <c r="K28" s="8"/>
      <c r="L28" s="8"/>
      <c r="M28" s="8">
        <v>158004865.85</v>
      </c>
      <c r="N28" s="8"/>
      <c r="O28" s="8"/>
      <c r="P28" s="8"/>
      <c r="Q28" s="8"/>
      <c r="R28" s="8"/>
      <c r="S28" s="8">
        <f t="shared" si="13"/>
        <v>158004865.85</v>
      </c>
      <c r="T28" s="8"/>
      <c r="U28" s="8"/>
      <c r="V28" s="8"/>
      <c r="W28" s="8"/>
      <c r="X28" s="26"/>
      <c r="Y28" s="26"/>
      <c r="Z28" s="26">
        <v>86062661.58</v>
      </c>
      <c r="AA28" s="26"/>
      <c r="AB28" s="26">
        <v>343000000</v>
      </c>
      <c r="AC28" s="26">
        <f t="shared" si="14"/>
        <v>429062661.58</v>
      </c>
      <c r="AD28" s="26">
        <f t="shared" si="15"/>
        <v>0</v>
      </c>
      <c r="AE28" s="26">
        <f t="shared" si="16"/>
        <v>429062661.58</v>
      </c>
      <c r="AF28" s="26">
        <f t="shared" si="17"/>
        <v>1626508947.5</v>
      </c>
      <c r="AG28" s="26">
        <v>692422171.85</v>
      </c>
      <c r="AH28" s="26">
        <v>198232449.32</v>
      </c>
      <c r="AI28" s="26">
        <v>121391437.7</v>
      </c>
      <c r="AJ28" s="39">
        <f t="shared" si="18"/>
        <v>0.622219791920327</v>
      </c>
      <c r="AK28" s="110"/>
      <c r="AL28" s="110"/>
      <c r="AM28" s="110"/>
      <c r="AN28" s="110"/>
      <c r="AO28" s="110"/>
      <c r="AP28" s="110"/>
      <c r="AQ28" s="110"/>
      <c r="AR28" s="52"/>
      <c r="AS28" s="52"/>
      <c r="AT28" s="52"/>
      <c r="AU28" s="52"/>
      <c r="AV28" s="52"/>
      <c r="AW28" s="52"/>
      <c r="AX28" s="52"/>
      <c r="AY28" s="52"/>
      <c r="AZ28" s="52"/>
      <c r="BA28" s="26">
        <f t="shared" si="19"/>
        <v>1321473999.27</v>
      </c>
      <c r="BB28" s="26">
        <v>231836026.43</v>
      </c>
      <c r="BC28" s="26">
        <v>231836026.43</v>
      </c>
      <c r="BD28" s="26">
        <v>-7515207.85</v>
      </c>
      <c r="BE28" s="8">
        <f t="shared" si="20"/>
        <v>224320818.58</v>
      </c>
      <c r="BF28" s="8">
        <f t="shared" si="21"/>
        <v>224320818.58</v>
      </c>
      <c r="BG28" s="39">
        <f t="shared" si="22"/>
        <v>0.169750459489871</v>
      </c>
      <c r="BH28" s="51">
        <f t="shared" si="23"/>
        <v>0.169750459489871</v>
      </c>
      <c r="BI28" s="120"/>
    </row>
    <row r="29" customFormat="1" spans="1:61">
      <c r="A29" s="11"/>
      <c r="B29" s="1">
        <v>2018</v>
      </c>
      <c r="C29" s="93">
        <f>50.17*100000000</f>
        <v>5017000000</v>
      </c>
      <c r="D29" s="93" t="s">
        <v>69</v>
      </c>
      <c r="E29" s="9"/>
      <c r="F29" s="9"/>
      <c r="G29" s="93">
        <v>1931143438.96</v>
      </c>
      <c r="H29" s="8">
        <v>1306508786.36</v>
      </c>
      <c r="I29" s="8"/>
      <c r="J29" s="39"/>
      <c r="K29" s="8"/>
      <c r="L29" s="8"/>
      <c r="M29" s="8">
        <v>286525248.65</v>
      </c>
      <c r="N29" s="8"/>
      <c r="O29" s="8"/>
      <c r="P29" s="8">
        <v>100000000</v>
      </c>
      <c r="Q29" s="8"/>
      <c r="R29" s="8"/>
      <c r="S29" s="8">
        <f t="shared" si="13"/>
        <v>386525248.65</v>
      </c>
      <c r="T29" s="8"/>
      <c r="U29" s="8"/>
      <c r="V29" s="8"/>
      <c r="W29" s="8"/>
      <c r="X29" s="26"/>
      <c r="Y29" s="26"/>
      <c r="Z29" s="26">
        <v>454485084.24</v>
      </c>
      <c r="AA29" s="26"/>
      <c r="AB29" s="26"/>
      <c r="AC29" s="26">
        <f t="shared" si="14"/>
        <v>454485084.24</v>
      </c>
      <c r="AD29" s="26">
        <f t="shared" si="15"/>
        <v>0</v>
      </c>
      <c r="AE29" s="26">
        <f t="shared" si="16"/>
        <v>454485084.24</v>
      </c>
      <c r="AF29" s="26">
        <f t="shared" si="17"/>
        <v>1476658354.72</v>
      </c>
      <c r="AG29" s="26">
        <v>414111164.86</v>
      </c>
      <c r="AH29" s="26">
        <v>305810425.36</v>
      </c>
      <c r="AI29" s="26">
        <v>52826585.01</v>
      </c>
      <c r="AJ29" s="39">
        <f t="shared" si="18"/>
        <v>0.523308707637066</v>
      </c>
      <c r="AK29" s="110"/>
      <c r="AL29" s="110"/>
      <c r="AM29" s="110"/>
      <c r="AN29" s="110"/>
      <c r="AO29" s="110"/>
      <c r="AP29" s="110"/>
      <c r="AQ29" s="110"/>
      <c r="AR29" s="52"/>
      <c r="AS29" s="52"/>
      <c r="AT29" s="52"/>
      <c r="AU29" s="52"/>
      <c r="AV29" s="52"/>
      <c r="AW29" s="52"/>
      <c r="AX29" s="52"/>
      <c r="AY29" s="52"/>
      <c r="AZ29" s="52"/>
      <c r="BA29" s="26">
        <f t="shared" si="19"/>
        <v>1238548950.77</v>
      </c>
      <c r="BB29" s="26">
        <v>285175272.21</v>
      </c>
      <c r="BC29" s="26">
        <v>285175272.21</v>
      </c>
      <c r="BD29" s="26">
        <v>1697152.63</v>
      </c>
      <c r="BE29" s="8">
        <f t="shared" si="20"/>
        <v>286872424.84</v>
      </c>
      <c r="BF29" s="8">
        <f t="shared" si="21"/>
        <v>286872424.84</v>
      </c>
      <c r="BG29" s="39">
        <f t="shared" si="22"/>
        <v>0.231619771395917</v>
      </c>
      <c r="BH29" s="51">
        <f t="shared" si="23"/>
        <v>0.231619771395917</v>
      </c>
      <c r="BI29" s="120"/>
    </row>
    <row r="30" customFormat="1" spans="1:61">
      <c r="A30" s="11"/>
      <c r="B30" s="1">
        <v>2017</v>
      </c>
      <c r="C30" s="93">
        <f>58.64*100000000</f>
        <v>5864000000</v>
      </c>
      <c r="D30" s="93" t="s">
        <v>70</v>
      </c>
      <c r="E30" s="9"/>
      <c r="F30" s="9"/>
      <c r="G30" s="93">
        <v>1196126831.38</v>
      </c>
      <c r="H30" s="8">
        <v>1062987000.38</v>
      </c>
      <c r="I30" s="8"/>
      <c r="J30" s="39"/>
      <c r="K30" s="8"/>
      <c r="L30" s="8"/>
      <c r="M30" s="8"/>
      <c r="N30" s="8"/>
      <c r="O30" s="8"/>
      <c r="P30" s="8"/>
      <c r="Q30" s="8"/>
      <c r="R30" s="8"/>
      <c r="S30" s="8">
        <f t="shared" si="13"/>
        <v>0</v>
      </c>
      <c r="T30" s="8"/>
      <c r="U30" s="8"/>
      <c r="V30" s="8"/>
      <c r="W30" s="8"/>
      <c r="X30" s="26"/>
      <c r="Y30" s="26"/>
      <c r="Z30" s="26">
        <v>80908967.56</v>
      </c>
      <c r="AA30" s="26"/>
      <c r="AB30" s="26"/>
      <c r="AC30" s="26">
        <f t="shared" si="14"/>
        <v>80908967.56</v>
      </c>
      <c r="AD30" s="26">
        <f t="shared" si="15"/>
        <v>0</v>
      </c>
      <c r="AE30" s="26">
        <f t="shared" si="16"/>
        <v>80908967.56</v>
      </c>
      <c r="AF30" s="26">
        <f t="shared" si="17"/>
        <v>1115217863.82</v>
      </c>
      <c r="AG30" s="26">
        <v>433226421.79</v>
      </c>
      <c r="AH30" s="26">
        <v>99305024.29</v>
      </c>
      <c r="AI30" s="26">
        <v>57617282.2</v>
      </c>
      <c r="AJ30" s="39">
        <f t="shared" si="18"/>
        <v>0.529177972686467</v>
      </c>
      <c r="AK30" s="110"/>
      <c r="AL30" s="110"/>
      <c r="AM30" s="110"/>
      <c r="AN30" s="110"/>
      <c r="AO30" s="110"/>
      <c r="AP30" s="110"/>
      <c r="AQ30" s="110"/>
      <c r="AR30" s="52"/>
      <c r="AS30" s="52"/>
      <c r="AT30" s="52"/>
      <c r="AU30" s="52"/>
      <c r="AV30" s="52"/>
      <c r="AW30" s="52"/>
      <c r="AX30" s="52"/>
      <c r="AY30" s="52"/>
      <c r="AZ30" s="52"/>
      <c r="BA30" s="26">
        <f t="shared" si="19"/>
        <v>982078032.82</v>
      </c>
      <c r="BB30" s="26">
        <v>169196845.16</v>
      </c>
      <c r="BC30" s="26">
        <v>169196845.16</v>
      </c>
      <c r="BD30" s="26">
        <v>1193171.8</v>
      </c>
      <c r="BE30" s="8">
        <f t="shared" si="20"/>
        <v>170390016.96</v>
      </c>
      <c r="BF30" s="8">
        <f t="shared" si="21"/>
        <v>170390016.96</v>
      </c>
      <c r="BG30" s="39">
        <f t="shared" si="22"/>
        <v>0.173499468744588</v>
      </c>
      <c r="BH30" s="51">
        <f t="shared" si="23"/>
        <v>0.173499468744588</v>
      </c>
      <c r="BI30" s="120"/>
    </row>
    <row r="31" customFormat="1" spans="1:61">
      <c r="A31" s="11"/>
      <c r="B31" s="1">
        <v>2016</v>
      </c>
      <c r="C31" s="93">
        <f>71.95*100000000</f>
        <v>7195000000</v>
      </c>
      <c r="D31" s="93" t="s">
        <v>71</v>
      </c>
      <c r="E31" s="9"/>
      <c r="F31" s="9"/>
      <c r="G31" s="93">
        <v>1026655803.71</v>
      </c>
      <c r="H31" s="8">
        <v>890420754.13</v>
      </c>
      <c r="I31" s="8"/>
      <c r="J31" s="39"/>
      <c r="K31" s="8"/>
      <c r="L31" s="8"/>
      <c r="M31" s="8"/>
      <c r="N31" s="8"/>
      <c r="O31" s="8"/>
      <c r="P31" s="8"/>
      <c r="Q31" s="8"/>
      <c r="R31" s="8"/>
      <c r="S31" s="8">
        <f t="shared" si="13"/>
        <v>0</v>
      </c>
      <c r="T31" s="8"/>
      <c r="U31" s="8"/>
      <c r="V31" s="8"/>
      <c r="W31" s="8"/>
      <c r="X31" s="26"/>
      <c r="Y31" s="26"/>
      <c r="Z31" s="26">
        <v>92047470.8</v>
      </c>
      <c r="AA31" s="26"/>
      <c r="AB31" s="26"/>
      <c r="AC31" s="26">
        <f t="shared" si="14"/>
        <v>92047470.8</v>
      </c>
      <c r="AD31" s="26">
        <f t="shared" si="15"/>
        <v>0</v>
      </c>
      <c r="AE31" s="26">
        <f t="shared" si="16"/>
        <v>92047470.8</v>
      </c>
      <c r="AF31" s="26">
        <f t="shared" si="17"/>
        <v>934608332.91</v>
      </c>
      <c r="AG31" s="26">
        <v>441122863.27</v>
      </c>
      <c r="AH31" s="26">
        <v>351208.05</v>
      </c>
      <c r="AI31" s="26">
        <v>52537975.61</v>
      </c>
      <c r="AJ31" s="39">
        <f t="shared" si="18"/>
        <v>0.528576548629566</v>
      </c>
      <c r="AK31" s="110"/>
      <c r="AL31" s="110"/>
      <c r="AM31" s="110"/>
      <c r="AN31" s="110"/>
      <c r="AO31" s="110"/>
      <c r="AP31" s="110"/>
      <c r="AQ31" s="110"/>
      <c r="AR31" s="52"/>
      <c r="AS31" s="52"/>
      <c r="AT31" s="52"/>
      <c r="AU31" s="52"/>
      <c r="AV31" s="52"/>
      <c r="AW31" s="52"/>
      <c r="AX31" s="52"/>
      <c r="AY31" s="52"/>
      <c r="AZ31" s="52"/>
      <c r="BA31" s="26">
        <f t="shared" si="19"/>
        <v>798373283.33</v>
      </c>
      <c r="BB31" s="26">
        <v>109805144.07</v>
      </c>
      <c r="BC31" s="26">
        <v>109805144.07</v>
      </c>
      <c r="BD31" s="26">
        <v>-744236.12</v>
      </c>
      <c r="BE31" s="8">
        <f t="shared" si="20"/>
        <v>109060907.95</v>
      </c>
      <c r="BF31" s="8">
        <f t="shared" si="21"/>
        <v>109060907.95</v>
      </c>
      <c r="BG31" s="39">
        <f t="shared" si="22"/>
        <v>0.136603904748802</v>
      </c>
      <c r="BH31" s="51">
        <f t="shared" si="23"/>
        <v>0.136603904748802</v>
      </c>
      <c r="BI31" s="120"/>
    </row>
    <row r="32" customFormat="1" spans="1:61">
      <c r="A32" s="11"/>
      <c r="B32" s="1">
        <v>2015</v>
      </c>
      <c r="C32" s="93"/>
      <c r="D32" s="93"/>
      <c r="E32" s="9"/>
      <c r="F32" s="9"/>
      <c r="G32" s="93">
        <v>724122606.18</v>
      </c>
      <c r="H32" s="8">
        <v>467498088.49</v>
      </c>
      <c r="I32" s="8"/>
      <c r="J32" s="39"/>
      <c r="K32" s="8"/>
      <c r="L32" s="8"/>
      <c r="M32" s="8"/>
      <c r="N32" s="8"/>
      <c r="O32" s="8"/>
      <c r="P32" s="8">
        <v>134500000</v>
      </c>
      <c r="Q32" s="8"/>
      <c r="R32" s="8"/>
      <c r="S32" s="8">
        <f t="shared" si="13"/>
        <v>134500000</v>
      </c>
      <c r="T32" s="8"/>
      <c r="U32" s="8"/>
      <c r="V32" s="8"/>
      <c r="W32" s="8"/>
      <c r="X32" s="26"/>
      <c r="Y32" s="26"/>
      <c r="Z32" s="26">
        <v>48418130.2</v>
      </c>
      <c r="AA32" s="26"/>
      <c r="AB32" s="26"/>
      <c r="AC32" s="26">
        <f t="shared" si="14"/>
        <v>48418130.2</v>
      </c>
      <c r="AD32" s="26">
        <f t="shared" si="15"/>
        <v>0</v>
      </c>
      <c r="AE32" s="26">
        <f t="shared" si="16"/>
        <v>48418130.2</v>
      </c>
      <c r="AF32" s="26">
        <f t="shared" si="17"/>
        <v>675704475.98</v>
      </c>
      <c r="AG32" s="26">
        <v>296712047.05</v>
      </c>
      <c r="AH32" s="26">
        <v>100113894.14</v>
      </c>
      <c r="AI32" s="26">
        <v>45529574.87</v>
      </c>
      <c r="AJ32" s="39">
        <f t="shared" si="18"/>
        <v>0.654658259320297</v>
      </c>
      <c r="AK32" s="110"/>
      <c r="AL32" s="110"/>
      <c r="AM32" s="110"/>
      <c r="AN32" s="110"/>
      <c r="AO32" s="110"/>
      <c r="AP32" s="110"/>
      <c r="AQ32" s="110"/>
      <c r="AR32" s="52"/>
      <c r="AS32" s="52"/>
      <c r="AT32" s="52"/>
      <c r="AU32" s="52"/>
      <c r="AV32" s="52"/>
      <c r="AW32" s="52"/>
      <c r="AX32" s="52"/>
      <c r="AY32" s="52"/>
      <c r="AZ32" s="52"/>
      <c r="BA32" s="26">
        <f t="shared" si="19"/>
        <v>553579958.29</v>
      </c>
      <c r="BB32" s="26">
        <v>78437173.43</v>
      </c>
      <c r="BC32" s="26">
        <v>78437173.43</v>
      </c>
      <c r="BD32" s="26">
        <v>7181535.02</v>
      </c>
      <c r="BE32" s="8">
        <f t="shared" si="20"/>
        <v>85618708.45</v>
      </c>
      <c r="BF32" s="8">
        <f t="shared" si="21"/>
        <v>85618708.45</v>
      </c>
      <c r="BG32" s="39">
        <f t="shared" si="22"/>
        <v>0.15466367083533</v>
      </c>
      <c r="BH32" s="51">
        <f t="shared" si="23"/>
        <v>0.15466367083533</v>
      </c>
      <c r="BI32" s="120"/>
    </row>
    <row r="33" customFormat="1" spans="1:61">
      <c r="A33" s="11"/>
      <c r="B33" s="1">
        <v>2014</v>
      </c>
      <c r="C33" s="93"/>
      <c r="D33" s="93"/>
      <c r="E33" s="9"/>
      <c r="F33" s="9"/>
      <c r="G33" s="93"/>
      <c r="H33" s="8"/>
      <c r="I33" s="8"/>
      <c r="J33" s="39"/>
      <c r="K33" s="8"/>
      <c r="L33" s="8"/>
      <c r="M33" s="8"/>
      <c r="N33" s="8"/>
      <c r="O33" s="8"/>
      <c r="P33" s="8"/>
      <c r="Q33" s="8"/>
      <c r="R33" s="8"/>
      <c r="S33" s="8">
        <f t="shared" si="13"/>
        <v>0</v>
      </c>
      <c r="T33" s="8"/>
      <c r="U33" s="8"/>
      <c r="V33" s="8"/>
      <c r="W33" s="8"/>
      <c r="X33" s="26"/>
      <c r="Y33" s="26"/>
      <c r="Z33" s="26"/>
      <c r="AA33" s="26"/>
      <c r="AB33" s="26"/>
      <c r="AC33" s="26">
        <f t="shared" si="14"/>
        <v>0</v>
      </c>
      <c r="AD33" s="26">
        <f t="shared" si="15"/>
        <v>0</v>
      </c>
      <c r="AE33" s="26">
        <f t="shared" si="16"/>
        <v>0</v>
      </c>
      <c r="AF33" s="26">
        <f t="shared" si="17"/>
        <v>0</v>
      </c>
      <c r="AG33" s="26"/>
      <c r="AH33" s="26"/>
      <c r="AI33" s="26"/>
      <c r="AJ33" s="39" t="e">
        <f t="shared" si="18"/>
        <v>#DIV/0!</v>
      </c>
      <c r="AK33" s="110"/>
      <c r="AL33" s="110"/>
      <c r="AM33" s="110"/>
      <c r="AN33" s="110"/>
      <c r="AO33" s="110"/>
      <c r="AP33" s="110"/>
      <c r="AQ33" s="110"/>
      <c r="AR33" s="52"/>
      <c r="AS33" s="52"/>
      <c r="AT33" s="52"/>
      <c r="AU33" s="52"/>
      <c r="AV33" s="52"/>
      <c r="AW33" s="52"/>
      <c r="AX33" s="52"/>
      <c r="AY33" s="52"/>
      <c r="AZ33" s="52"/>
      <c r="BA33" s="26">
        <f t="shared" si="19"/>
        <v>0</v>
      </c>
      <c r="BB33" s="26"/>
      <c r="BC33" s="26"/>
      <c r="BD33" s="26"/>
      <c r="BE33" s="8">
        <f t="shared" si="20"/>
        <v>0</v>
      </c>
      <c r="BF33" s="8">
        <f t="shared" si="21"/>
        <v>0</v>
      </c>
      <c r="BG33" s="39" t="e">
        <f t="shared" si="22"/>
        <v>#DIV/0!</v>
      </c>
      <c r="BH33" s="51" t="e">
        <f t="shared" si="23"/>
        <v>#DIV/0!</v>
      </c>
      <c r="BI33" s="120"/>
    </row>
    <row r="34" customFormat="1" spans="1:61">
      <c r="A34" s="11"/>
      <c r="B34" s="1">
        <v>2013</v>
      </c>
      <c r="C34" s="93"/>
      <c r="D34" s="9"/>
      <c r="E34" s="9"/>
      <c r="F34" s="9"/>
      <c r="G34" s="93"/>
      <c r="H34" s="8"/>
      <c r="I34" s="8"/>
      <c r="J34" s="39"/>
      <c r="K34" s="8"/>
      <c r="L34" s="8"/>
      <c r="M34" s="8"/>
      <c r="N34" s="8"/>
      <c r="O34" s="8"/>
      <c r="P34" s="8"/>
      <c r="Q34" s="8"/>
      <c r="R34" s="8"/>
      <c r="S34" s="8">
        <f t="shared" si="13"/>
        <v>0</v>
      </c>
      <c r="T34" s="8"/>
      <c r="U34" s="8"/>
      <c r="V34" s="8"/>
      <c r="W34" s="8"/>
      <c r="X34" s="26"/>
      <c r="Y34" s="26"/>
      <c r="Z34" s="26"/>
      <c r="AA34" s="26"/>
      <c r="AB34" s="26"/>
      <c r="AC34" s="26">
        <f t="shared" si="14"/>
        <v>0</v>
      </c>
      <c r="AD34" s="26">
        <f t="shared" si="15"/>
        <v>0</v>
      </c>
      <c r="AE34" s="26">
        <f t="shared" si="16"/>
        <v>0</v>
      </c>
      <c r="AF34" s="26">
        <f t="shared" si="17"/>
        <v>0</v>
      </c>
      <c r="AG34" s="26"/>
      <c r="AH34" s="26"/>
      <c r="AI34" s="26"/>
      <c r="AJ34" s="39" t="e">
        <f t="shared" si="18"/>
        <v>#DIV/0!</v>
      </c>
      <c r="AK34" s="110"/>
      <c r="AL34" s="110"/>
      <c r="AM34" s="110"/>
      <c r="AN34" s="110"/>
      <c r="AO34" s="110"/>
      <c r="AP34" s="110"/>
      <c r="AQ34" s="110"/>
      <c r="AR34" s="52"/>
      <c r="AS34" s="52"/>
      <c r="AT34" s="52"/>
      <c r="AU34" s="52"/>
      <c r="AV34" s="52"/>
      <c r="AW34" s="52"/>
      <c r="AX34" s="52"/>
      <c r="AY34" s="52"/>
      <c r="AZ34" s="52"/>
      <c r="BA34" s="26">
        <f t="shared" si="19"/>
        <v>0</v>
      </c>
      <c r="BB34" s="26"/>
      <c r="BC34" s="26"/>
      <c r="BD34" s="26"/>
      <c r="BE34" s="8">
        <f t="shared" si="20"/>
        <v>0</v>
      </c>
      <c r="BF34" s="8">
        <f t="shared" si="21"/>
        <v>0</v>
      </c>
      <c r="BG34" s="39" t="e">
        <f t="shared" si="22"/>
        <v>#DIV/0!</v>
      </c>
      <c r="BH34" s="51" t="e">
        <f t="shared" si="23"/>
        <v>#DIV/0!</v>
      </c>
      <c r="BI34" s="120"/>
    </row>
    <row r="35" customFormat="1" spans="1:61">
      <c r="A35" s="12"/>
      <c r="B35" s="1">
        <v>2012</v>
      </c>
      <c r="C35" s="93"/>
      <c r="D35" s="9"/>
      <c r="E35" s="9"/>
      <c r="F35" s="9"/>
      <c r="G35" s="93"/>
      <c r="H35" s="8"/>
      <c r="I35" s="8"/>
      <c r="J35" s="39"/>
      <c r="K35" s="8"/>
      <c r="L35" s="8"/>
      <c r="M35" s="8"/>
      <c r="N35" s="8"/>
      <c r="O35" s="8"/>
      <c r="P35" s="8"/>
      <c r="Q35" s="8"/>
      <c r="R35" s="8"/>
      <c r="S35" s="8">
        <f t="shared" si="13"/>
        <v>0</v>
      </c>
      <c r="T35" s="8"/>
      <c r="U35" s="8"/>
      <c r="V35" s="8"/>
      <c r="W35" s="8"/>
      <c r="X35" s="26"/>
      <c r="Y35" s="26"/>
      <c r="Z35" s="26"/>
      <c r="AA35" s="26"/>
      <c r="AB35" s="26"/>
      <c r="AC35" s="26">
        <f t="shared" si="14"/>
        <v>0</v>
      </c>
      <c r="AD35" s="26">
        <f t="shared" si="15"/>
        <v>0</v>
      </c>
      <c r="AE35" s="26">
        <f t="shared" si="16"/>
        <v>0</v>
      </c>
      <c r="AF35" s="26">
        <f t="shared" si="17"/>
        <v>0</v>
      </c>
      <c r="AG35" s="26"/>
      <c r="AH35" s="26"/>
      <c r="AI35" s="26"/>
      <c r="AJ35" s="39" t="e">
        <f t="shared" si="18"/>
        <v>#DIV/0!</v>
      </c>
      <c r="AK35" s="110"/>
      <c r="AL35" s="110"/>
      <c r="AM35" s="110"/>
      <c r="AN35" s="110"/>
      <c r="AO35" s="110"/>
      <c r="AP35" s="110"/>
      <c r="AQ35" s="110"/>
      <c r="AR35" s="52"/>
      <c r="AS35" s="52"/>
      <c r="AT35" s="52"/>
      <c r="AU35" s="52"/>
      <c r="AV35" s="52"/>
      <c r="AW35" s="52"/>
      <c r="AX35" s="52"/>
      <c r="AY35" s="52"/>
      <c r="AZ35" s="52"/>
      <c r="BA35" s="26">
        <f t="shared" si="19"/>
        <v>0</v>
      </c>
      <c r="BB35" s="26"/>
      <c r="BC35" s="26"/>
      <c r="BD35" s="26"/>
      <c r="BE35" s="8">
        <f t="shared" si="20"/>
        <v>0</v>
      </c>
      <c r="BF35" s="8">
        <f t="shared" si="21"/>
        <v>0</v>
      </c>
      <c r="BG35" s="39" t="e">
        <f t="shared" si="22"/>
        <v>#DIV/0!</v>
      </c>
      <c r="BH35" s="51" t="e">
        <f t="shared" si="23"/>
        <v>#DIV/0!</v>
      </c>
      <c r="BI35" s="121"/>
    </row>
    <row r="36" customFormat="1" spans="1:61">
      <c r="A36" s="1" t="s">
        <v>77</v>
      </c>
      <c r="B36" s="1">
        <v>2022</v>
      </c>
      <c r="C36" s="94">
        <f>209.69*100000000</f>
        <v>20969000000</v>
      </c>
      <c r="D36" s="93" t="s">
        <v>64</v>
      </c>
      <c r="E36" s="9"/>
      <c r="F36" s="9"/>
      <c r="G36" s="93">
        <v>4821728151.31</v>
      </c>
      <c r="H36" s="8">
        <v>4024801422.74</v>
      </c>
      <c r="I36" s="8">
        <v>4020108495.73</v>
      </c>
      <c r="J36" s="39">
        <f t="shared" ref="J36:J46" si="24">I36/H36</f>
        <v>0.998833997875402</v>
      </c>
      <c r="K36" s="8"/>
      <c r="L36" s="8"/>
      <c r="M36" s="8"/>
      <c r="N36" s="8"/>
      <c r="O36" s="8"/>
      <c r="P36" s="8"/>
      <c r="Q36" s="8"/>
      <c r="R36" s="8"/>
      <c r="S36" s="8">
        <f t="shared" si="13"/>
        <v>0</v>
      </c>
      <c r="T36" s="8"/>
      <c r="U36" s="8"/>
      <c r="V36" s="8">
        <v>397953829.27</v>
      </c>
      <c r="W36" s="8">
        <v>100016388.43</v>
      </c>
      <c r="X36" s="26"/>
      <c r="Y36" s="26"/>
      <c r="Z36" s="26">
        <v>449537465.83</v>
      </c>
      <c r="AA36" s="26"/>
      <c r="AB36" s="26">
        <v>2500000000</v>
      </c>
      <c r="AC36" s="26">
        <f t="shared" si="14"/>
        <v>3447507683.53</v>
      </c>
      <c r="AD36" s="26">
        <f t="shared" si="15"/>
        <v>497970217.7</v>
      </c>
      <c r="AE36" s="26">
        <f t="shared" si="16"/>
        <v>2949537465.83</v>
      </c>
      <c r="AF36" s="26">
        <f t="shared" si="17"/>
        <v>1374220467.78</v>
      </c>
      <c r="AG36" s="26">
        <v>727027170.02</v>
      </c>
      <c r="AH36" s="26">
        <v>287525786.58</v>
      </c>
      <c r="AI36" s="26">
        <v>45828226.9</v>
      </c>
      <c r="AJ36" s="39">
        <f t="shared" si="18"/>
        <v>0.771623773886154</v>
      </c>
      <c r="AK36" s="110"/>
      <c r="AL36" s="110"/>
      <c r="AM36" s="110"/>
      <c r="AN36" s="110"/>
      <c r="AO36" s="110"/>
      <c r="AP36" s="110"/>
      <c r="AQ36" s="110"/>
      <c r="AR36" s="52"/>
      <c r="AS36" s="52"/>
      <c r="AT36" s="52"/>
      <c r="AU36" s="52"/>
      <c r="AV36" s="52"/>
      <c r="AW36" s="52"/>
      <c r="AX36" s="52"/>
      <c r="AY36" s="52"/>
      <c r="AZ36" s="52"/>
      <c r="BA36" s="26">
        <f t="shared" si="19"/>
        <v>577293739.21</v>
      </c>
      <c r="BB36" s="26">
        <v>405819152.23</v>
      </c>
      <c r="BC36" s="26">
        <v>403799001.87</v>
      </c>
      <c r="BD36" s="26">
        <v>-18204490.44</v>
      </c>
      <c r="BE36" s="8">
        <f t="shared" si="20"/>
        <v>385594511.43</v>
      </c>
      <c r="BF36" s="8">
        <f t="shared" si="21"/>
        <v>387614661.79</v>
      </c>
      <c r="BG36" s="39">
        <f t="shared" si="22"/>
        <v>0.667934684269517</v>
      </c>
      <c r="BH36" s="51">
        <f t="shared" si="23"/>
        <v>0.671434029962689</v>
      </c>
      <c r="BI36" s="119"/>
    </row>
    <row r="37" customFormat="1" spans="1:61">
      <c r="A37" s="1"/>
      <c r="B37" s="1">
        <v>2021</v>
      </c>
      <c r="C37" s="95">
        <f>202.2*100000000</f>
        <v>20220000000</v>
      </c>
      <c r="D37" s="93" t="s">
        <v>66</v>
      </c>
      <c r="E37" s="9"/>
      <c r="F37" s="9"/>
      <c r="G37" s="93">
        <v>4230481534.85</v>
      </c>
      <c r="H37" s="8">
        <v>3804077971.37</v>
      </c>
      <c r="I37" s="8">
        <v>3804291456.8</v>
      </c>
      <c r="J37" s="39">
        <f t="shared" si="24"/>
        <v>1.00005612015096</v>
      </c>
      <c r="K37" s="8"/>
      <c r="L37" s="8"/>
      <c r="M37" s="8"/>
      <c r="N37" s="8"/>
      <c r="O37" s="8"/>
      <c r="P37" s="8"/>
      <c r="Q37" s="8"/>
      <c r="R37" s="8"/>
      <c r="S37" s="8">
        <f t="shared" si="13"/>
        <v>0</v>
      </c>
      <c r="T37" s="8"/>
      <c r="U37" s="8"/>
      <c r="V37" s="8">
        <v>182035039.03</v>
      </c>
      <c r="W37" s="8">
        <v>1492.54</v>
      </c>
      <c r="X37" s="26"/>
      <c r="Y37" s="26"/>
      <c r="Z37" s="26">
        <v>1344703430.4</v>
      </c>
      <c r="AA37" s="26"/>
      <c r="AB37" s="26">
        <v>1600000000</v>
      </c>
      <c r="AC37" s="26">
        <f t="shared" si="14"/>
        <v>3126739961.97</v>
      </c>
      <c r="AD37" s="26">
        <f t="shared" si="15"/>
        <v>182036531.57</v>
      </c>
      <c r="AE37" s="26">
        <f t="shared" si="16"/>
        <v>2944703430.4</v>
      </c>
      <c r="AF37" s="26">
        <f t="shared" si="17"/>
        <v>1103741572.88</v>
      </c>
      <c r="AG37" s="26">
        <v>442833056.84</v>
      </c>
      <c r="AH37" s="26">
        <v>268340570.54</v>
      </c>
      <c r="AI37" s="26">
        <v>44958296.82</v>
      </c>
      <c r="AJ37" s="39">
        <f t="shared" si="18"/>
        <v>0.685062466413239</v>
      </c>
      <c r="AK37" s="110"/>
      <c r="AL37" s="110"/>
      <c r="AM37" s="110"/>
      <c r="AN37" s="110"/>
      <c r="AO37" s="110"/>
      <c r="AP37" s="110"/>
      <c r="AQ37" s="110"/>
      <c r="AR37" s="52"/>
      <c r="AS37" s="52"/>
      <c r="AT37" s="52"/>
      <c r="AU37" s="52"/>
      <c r="AV37" s="52"/>
      <c r="AW37" s="52"/>
      <c r="AX37" s="52"/>
      <c r="AY37" s="52"/>
      <c r="AZ37" s="52"/>
      <c r="BA37" s="26">
        <f t="shared" si="19"/>
        <v>677338009.4</v>
      </c>
      <c r="BB37" s="26">
        <v>189048659.22</v>
      </c>
      <c r="BC37" s="26">
        <v>216128285.6</v>
      </c>
      <c r="BD37" s="26">
        <v>-34723295.56</v>
      </c>
      <c r="BE37" s="8">
        <f t="shared" si="20"/>
        <v>181404990.04</v>
      </c>
      <c r="BF37" s="8">
        <f t="shared" si="21"/>
        <v>154325363.66</v>
      </c>
      <c r="BG37" s="39">
        <f t="shared" si="22"/>
        <v>0.267820478878326</v>
      </c>
      <c r="BH37" s="51">
        <f t="shared" si="23"/>
        <v>0.227840991526084</v>
      </c>
      <c r="BI37" s="120"/>
    </row>
    <row r="38" customFormat="1" spans="1:61">
      <c r="A38" s="1"/>
      <c r="B38" s="1">
        <v>2020</v>
      </c>
      <c r="C38" s="95">
        <f>518.48*100000000</f>
        <v>51848000000</v>
      </c>
      <c r="D38" s="93" t="s">
        <v>67</v>
      </c>
      <c r="E38" s="9"/>
      <c r="F38" s="9"/>
      <c r="G38" s="93">
        <v>4289984896.09</v>
      </c>
      <c r="H38" s="8">
        <v>3729658162.74</v>
      </c>
      <c r="I38" s="8">
        <v>3729658162.74</v>
      </c>
      <c r="J38" s="39">
        <f t="shared" si="24"/>
        <v>1</v>
      </c>
      <c r="K38" s="8"/>
      <c r="L38" s="8"/>
      <c r="M38" s="8"/>
      <c r="N38" s="8"/>
      <c r="O38" s="8"/>
      <c r="P38" s="8"/>
      <c r="Q38" s="8"/>
      <c r="R38" s="8"/>
      <c r="S38" s="8">
        <f t="shared" si="13"/>
        <v>0</v>
      </c>
      <c r="T38" s="8"/>
      <c r="U38" s="8"/>
      <c r="V38" s="8"/>
      <c r="W38" s="8"/>
      <c r="X38" s="26"/>
      <c r="Y38" s="26"/>
      <c r="Z38" s="26">
        <v>2728845771.53</v>
      </c>
      <c r="AA38" s="26"/>
      <c r="AB38" s="26">
        <v>650000000</v>
      </c>
      <c r="AC38" s="26">
        <f t="shared" si="14"/>
        <v>3378845771.53</v>
      </c>
      <c r="AD38" s="26">
        <f t="shared" si="15"/>
        <v>0</v>
      </c>
      <c r="AE38" s="26">
        <f t="shared" si="16"/>
        <v>3378845771.53</v>
      </c>
      <c r="AF38" s="26">
        <f t="shared" si="17"/>
        <v>911139124.56</v>
      </c>
      <c r="AG38" s="26">
        <v>432123417.35</v>
      </c>
      <c r="AH38" s="26">
        <v>75890363.53</v>
      </c>
      <c r="AI38" s="26">
        <v>44707222.63</v>
      </c>
      <c r="AJ38" s="39">
        <f t="shared" si="18"/>
        <v>0.606626352234535</v>
      </c>
      <c r="AK38" s="110"/>
      <c r="AL38" s="110"/>
      <c r="AM38" s="110"/>
      <c r="AN38" s="110"/>
      <c r="AO38" s="110"/>
      <c r="AP38" s="110"/>
      <c r="AQ38" s="110"/>
      <c r="AR38" s="52"/>
      <c r="AS38" s="52"/>
      <c r="AT38" s="52"/>
      <c r="AU38" s="52"/>
      <c r="AV38" s="52"/>
      <c r="AW38" s="52"/>
      <c r="AX38" s="52"/>
      <c r="AY38" s="52"/>
      <c r="AZ38" s="52"/>
      <c r="BA38" s="26">
        <f t="shared" si="19"/>
        <v>350812391.21</v>
      </c>
      <c r="BB38" s="26">
        <v>406926001.61</v>
      </c>
      <c r="BC38" s="26">
        <v>428054028.52</v>
      </c>
      <c r="BD38" s="26">
        <v>-15207763.94</v>
      </c>
      <c r="BE38" s="8">
        <f t="shared" si="20"/>
        <v>412846264.58</v>
      </c>
      <c r="BF38" s="8">
        <f t="shared" si="21"/>
        <v>391718237.67</v>
      </c>
      <c r="BG38" s="39">
        <f t="shared" si="22"/>
        <v>1.17682919681382</v>
      </c>
      <c r="BH38" s="51">
        <f t="shared" si="23"/>
        <v>1.1166031972785</v>
      </c>
      <c r="BI38" s="120"/>
    </row>
    <row r="39" customFormat="1" spans="1:61">
      <c r="A39" s="1"/>
      <c r="B39" s="1">
        <v>2019</v>
      </c>
      <c r="C39" s="95">
        <f>185.51*100000000</f>
        <v>18551000000</v>
      </c>
      <c r="D39" s="93" t="s">
        <v>68</v>
      </c>
      <c r="E39" s="9"/>
      <c r="F39" s="9"/>
      <c r="G39" s="93">
        <v>2142313400.4</v>
      </c>
      <c r="H39" s="8">
        <v>1841916395.05</v>
      </c>
      <c r="I39" s="8">
        <v>1841916395.05</v>
      </c>
      <c r="J39" s="39">
        <f t="shared" si="24"/>
        <v>1</v>
      </c>
      <c r="K39" s="8"/>
      <c r="L39" s="8"/>
      <c r="M39" s="8"/>
      <c r="N39" s="8"/>
      <c r="O39" s="8">
        <v>1500000</v>
      </c>
      <c r="P39" s="8"/>
      <c r="Q39" s="8"/>
      <c r="R39" s="8"/>
      <c r="S39" s="8">
        <f t="shared" si="13"/>
        <v>1500000</v>
      </c>
      <c r="T39" s="8"/>
      <c r="U39" s="8"/>
      <c r="V39" s="8"/>
      <c r="W39" s="8"/>
      <c r="X39" s="26"/>
      <c r="Y39" s="26"/>
      <c r="Z39" s="26">
        <v>676296162.79</v>
      </c>
      <c r="AA39" s="26"/>
      <c r="AB39" s="26">
        <v>940000000</v>
      </c>
      <c r="AC39" s="26">
        <f t="shared" si="14"/>
        <v>1616296162.79</v>
      </c>
      <c r="AD39" s="26">
        <f t="shared" si="15"/>
        <v>0</v>
      </c>
      <c r="AE39" s="26">
        <f t="shared" si="16"/>
        <v>1616296162.79</v>
      </c>
      <c r="AF39" s="26">
        <f t="shared" si="17"/>
        <v>526017237.61</v>
      </c>
      <c r="AG39" s="26">
        <v>361890082.05</v>
      </c>
      <c r="AH39" s="26"/>
      <c r="AI39" s="26">
        <v>34248482.92</v>
      </c>
      <c r="AJ39" s="39">
        <f t="shared" si="18"/>
        <v>0.753090462909326</v>
      </c>
      <c r="AK39" s="110"/>
      <c r="AL39" s="110"/>
      <c r="AM39" s="110"/>
      <c r="AN39" s="110"/>
      <c r="AO39" s="110"/>
      <c r="AP39" s="110"/>
      <c r="AQ39" s="110"/>
      <c r="AR39" s="52"/>
      <c r="AS39" s="52"/>
      <c r="AT39" s="52"/>
      <c r="AU39" s="52"/>
      <c r="AV39" s="52"/>
      <c r="AW39" s="52"/>
      <c r="AX39" s="52"/>
      <c r="AY39" s="52"/>
      <c r="AZ39" s="52"/>
      <c r="BA39" s="26">
        <f t="shared" si="19"/>
        <v>227120232.26</v>
      </c>
      <c r="BB39" s="26">
        <v>333719198.48</v>
      </c>
      <c r="BC39" s="26">
        <v>346426076.51</v>
      </c>
      <c r="BD39" s="26">
        <v>-4547297.69</v>
      </c>
      <c r="BE39" s="8">
        <f t="shared" si="20"/>
        <v>341878778.82</v>
      </c>
      <c r="BF39" s="8">
        <f t="shared" si="21"/>
        <v>329171900.79</v>
      </c>
      <c r="BG39" s="39">
        <f t="shared" si="22"/>
        <v>1.50527663439789</v>
      </c>
      <c r="BH39" s="51">
        <f t="shared" si="23"/>
        <v>1.44932883131774</v>
      </c>
      <c r="BI39" s="120"/>
    </row>
    <row r="40" customFormat="1" spans="1:61">
      <c r="A40" s="1"/>
      <c r="B40" s="1">
        <v>2018</v>
      </c>
      <c r="C40" s="93"/>
      <c r="D40" s="93" t="s">
        <v>69</v>
      </c>
      <c r="E40" s="9"/>
      <c r="F40" s="9"/>
      <c r="G40" s="93">
        <v>1386819709.64</v>
      </c>
      <c r="H40" s="8">
        <v>1138264322.8</v>
      </c>
      <c r="I40" s="8">
        <v>1138264322.8</v>
      </c>
      <c r="J40" s="39">
        <f t="shared" si="24"/>
        <v>1</v>
      </c>
      <c r="K40" s="8"/>
      <c r="L40" s="8"/>
      <c r="M40" s="8"/>
      <c r="N40" s="8"/>
      <c r="O40" s="8">
        <v>1250000</v>
      </c>
      <c r="P40" s="8"/>
      <c r="Q40" s="8"/>
      <c r="R40" s="8"/>
      <c r="S40" s="8">
        <f t="shared" si="13"/>
        <v>1250000</v>
      </c>
      <c r="T40" s="8"/>
      <c r="U40" s="8"/>
      <c r="V40" s="8"/>
      <c r="W40" s="8"/>
      <c r="X40" s="26"/>
      <c r="Y40" s="26"/>
      <c r="Z40" s="26">
        <v>354894241.72</v>
      </c>
      <c r="AA40" s="26"/>
      <c r="AB40" s="26"/>
      <c r="AC40" s="26">
        <f t="shared" si="14"/>
        <v>354894241.72</v>
      </c>
      <c r="AD40" s="26">
        <f t="shared" si="15"/>
        <v>0</v>
      </c>
      <c r="AE40" s="26">
        <f t="shared" si="16"/>
        <v>354894241.72</v>
      </c>
      <c r="AF40" s="26">
        <f t="shared" si="17"/>
        <v>1031925467.92</v>
      </c>
      <c r="AG40" s="26">
        <v>347270926.98</v>
      </c>
      <c r="AH40" s="26"/>
      <c r="AI40" s="26">
        <v>34876914.15</v>
      </c>
      <c r="AJ40" s="39">
        <f t="shared" si="18"/>
        <v>0.370325040916255</v>
      </c>
      <c r="AK40" s="110"/>
      <c r="AL40" s="110"/>
      <c r="AM40" s="110"/>
      <c r="AN40" s="110"/>
      <c r="AO40" s="110"/>
      <c r="AP40" s="110"/>
      <c r="AQ40" s="110"/>
      <c r="AR40" s="52"/>
      <c r="AS40" s="52"/>
      <c r="AT40" s="52"/>
      <c r="AU40" s="52"/>
      <c r="AV40" s="52"/>
      <c r="AW40" s="52"/>
      <c r="AX40" s="52"/>
      <c r="AY40" s="52"/>
      <c r="AZ40" s="52"/>
      <c r="BA40" s="26">
        <f t="shared" si="19"/>
        <v>784620081.08</v>
      </c>
      <c r="BB40" s="26">
        <v>299580768.26</v>
      </c>
      <c r="BC40" s="26">
        <v>310714328.49</v>
      </c>
      <c r="BD40" s="26">
        <v>-1795071.34</v>
      </c>
      <c r="BE40" s="8">
        <f t="shared" si="20"/>
        <v>308919257.15</v>
      </c>
      <c r="BF40" s="8">
        <f t="shared" si="21"/>
        <v>297785696.92</v>
      </c>
      <c r="BG40" s="39">
        <f t="shared" si="22"/>
        <v>0.393718265182283</v>
      </c>
      <c r="BH40" s="51">
        <f t="shared" si="23"/>
        <v>0.379528518452025</v>
      </c>
      <c r="BI40" s="120"/>
    </row>
    <row r="41" customFormat="1" spans="1:61">
      <c r="A41" s="1"/>
      <c r="B41" s="1">
        <v>2017</v>
      </c>
      <c r="C41" s="93"/>
      <c r="D41" s="93" t="s">
        <v>70</v>
      </c>
      <c r="E41" s="9"/>
      <c r="F41" s="9"/>
      <c r="G41" s="93">
        <v>1192648317.5</v>
      </c>
      <c r="H41" s="8">
        <v>931150919.19</v>
      </c>
      <c r="I41" s="8">
        <v>931150919.19</v>
      </c>
      <c r="J41" s="39">
        <f t="shared" si="24"/>
        <v>1</v>
      </c>
      <c r="K41" s="8"/>
      <c r="L41" s="8"/>
      <c r="M41" s="8"/>
      <c r="N41" s="8"/>
      <c r="O41" s="8">
        <v>750000</v>
      </c>
      <c r="P41" s="8"/>
      <c r="Q41" s="8"/>
      <c r="R41" s="8"/>
      <c r="S41" s="8">
        <f t="shared" si="13"/>
        <v>750000</v>
      </c>
      <c r="T41" s="8"/>
      <c r="U41" s="8"/>
      <c r="V41" s="8"/>
      <c r="W41" s="8"/>
      <c r="X41" s="26"/>
      <c r="Y41" s="26"/>
      <c r="Z41" s="26">
        <v>244636371.41</v>
      </c>
      <c r="AA41" s="26"/>
      <c r="AB41" s="26"/>
      <c r="AC41" s="26">
        <f t="shared" si="14"/>
        <v>244636371.41</v>
      </c>
      <c r="AD41" s="26">
        <f t="shared" si="15"/>
        <v>0</v>
      </c>
      <c r="AE41" s="26">
        <f t="shared" si="16"/>
        <v>244636371.41</v>
      </c>
      <c r="AF41" s="26">
        <f t="shared" si="17"/>
        <v>948011946.09</v>
      </c>
      <c r="AG41" s="26">
        <v>348935152.83</v>
      </c>
      <c r="AH41" s="26"/>
      <c r="AI41" s="26">
        <v>35079098.02</v>
      </c>
      <c r="AJ41" s="39">
        <f t="shared" si="18"/>
        <v>0.405073219207665</v>
      </c>
      <c r="AK41" s="110"/>
      <c r="AL41" s="110"/>
      <c r="AM41" s="110"/>
      <c r="AN41" s="110"/>
      <c r="AO41" s="110"/>
      <c r="AP41" s="110"/>
      <c r="AQ41" s="110"/>
      <c r="AR41" s="52"/>
      <c r="AS41" s="52"/>
      <c r="AT41" s="52"/>
      <c r="AU41" s="52"/>
      <c r="AV41" s="52"/>
      <c r="AW41" s="52"/>
      <c r="AX41" s="52"/>
      <c r="AY41" s="52"/>
      <c r="AZ41" s="52"/>
      <c r="BA41" s="26">
        <f t="shared" si="19"/>
        <v>687264547.78</v>
      </c>
      <c r="BB41" s="26">
        <v>202571830.78</v>
      </c>
      <c r="BC41" s="26">
        <v>214910355.24</v>
      </c>
      <c r="BD41" s="26">
        <v>-2099574.4</v>
      </c>
      <c r="BE41" s="8">
        <f t="shared" si="20"/>
        <v>212810780.84</v>
      </c>
      <c r="BF41" s="8">
        <f t="shared" si="21"/>
        <v>200472256.38</v>
      </c>
      <c r="BG41" s="39">
        <f t="shared" si="22"/>
        <v>0.309649001286944</v>
      </c>
      <c r="BH41" s="51">
        <f t="shared" si="23"/>
        <v>0.291695908115099</v>
      </c>
      <c r="BI41" s="120"/>
    </row>
    <row r="42" customFormat="1" spans="1:61">
      <c r="A42" s="1"/>
      <c r="B42" s="1">
        <v>2016</v>
      </c>
      <c r="C42" s="93"/>
      <c r="D42" s="93" t="s">
        <v>71</v>
      </c>
      <c r="E42" s="9"/>
      <c r="F42" s="9"/>
      <c r="G42" s="93">
        <v>1151506778.33</v>
      </c>
      <c r="H42" s="8">
        <v>945560809.3</v>
      </c>
      <c r="I42" s="8">
        <v>945560809.3</v>
      </c>
      <c r="J42" s="39">
        <f t="shared" si="24"/>
        <v>1</v>
      </c>
      <c r="K42" s="8"/>
      <c r="L42" s="8"/>
      <c r="M42" s="8"/>
      <c r="N42" s="8"/>
      <c r="O42" s="8"/>
      <c r="P42" s="8"/>
      <c r="Q42" s="8"/>
      <c r="R42" s="8"/>
      <c r="S42" s="8">
        <f t="shared" si="13"/>
        <v>0</v>
      </c>
      <c r="T42" s="8"/>
      <c r="U42" s="8"/>
      <c r="V42" s="8"/>
      <c r="W42" s="8"/>
      <c r="X42" s="26"/>
      <c r="Y42" s="26"/>
      <c r="Z42" s="26">
        <v>312085269.45</v>
      </c>
      <c r="AA42" s="26"/>
      <c r="AB42" s="26"/>
      <c r="AC42" s="26">
        <f t="shared" si="14"/>
        <v>312085269.45</v>
      </c>
      <c r="AD42" s="26">
        <f t="shared" si="15"/>
        <v>0</v>
      </c>
      <c r="AE42" s="26">
        <f t="shared" si="16"/>
        <v>312085269.45</v>
      </c>
      <c r="AF42" s="26">
        <f t="shared" si="17"/>
        <v>839421508.88</v>
      </c>
      <c r="AG42" s="26">
        <v>360596708.86</v>
      </c>
      <c r="AH42" s="26">
        <v>55641.03</v>
      </c>
      <c r="AI42" s="26">
        <v>36778441.29</v>
      </c>
      <c r="AJ42" s="39">
        <f t="shared" si="18"/>
        <v>0.473457955241429</v>
      </c>
      <c r="AK42" s="110"/>
      <c r="AL42" s="110"/>
      <c r="AM42" s="110"/>
      <c r="AN42" s="110"/>
      <c r="AO42" s="110"/>
      <c r="AP42" s="110"/>
      <c r="AQ42" s="110"/>
      <c r="AR42" s="52"/>
      <c r="AS42" s="52"/>
      <c r="AT42" s="52"/>
      <c r="AU42" s="52"/>
      <c r="AV42" s="52"/>
      <c r="AW42" s="52"/>
      <c r="AX42" s="52"/>
      <c r="AY42" s="52"/>
      <c r="AZ42" s="52"/>
      <c r="BA42" s="26">
        <f t="shared" si="19"/>
        <v>633475539.85</v>
      </c>
      <c r="BB42" s="26">
        <v>203462646.21</v>
      </c>
      <c r="BC42" s="26">
        <v>237185917.95</v>
      </c>
      <c r="BD42" s="26">
        <v>-1677127.31</v>
      </c>
      <c r="BE42" s="8">
        <f t="shared" si="20"/>
        <v>235508790.64</v>
      </c>
      <c r="BF42" s="8">
        <f t="shared" si="21"/>
        <v>201785518.9</v>
      </c>
      <c r="BG42" s="39">
        <f t="shared" si="22"/>
        <v>0.371772508684023</v>
      </c>
      <c r="BH42" s="51">
        <f t="shared" si="23"/>
        <v>0.318537190793161</v>
      </c>
      <c r="BI42" s="120"/>
    </row>
    <row r="43" customFormat="1" spans="1:61">
      <c r="A43" s="1"/>
      <c r="B43" s="1">
        <v>2015</v>
      </c>
      <c r="C43" s="93"/>
      <c r="D43" s="9"/>
      <c r="E43" s="9"/>
      <c r="F43" s="9"/>
      <c r="G43" s="93"/>
      <c r="H43" s="8"/>
      <c r="I43" s="8"/>
      <c r="J43" s="39" t="e">
        <f t="shared" si="24"/>
        <v>#DIV/0!</v>
      </c>
      <c r="K43" s="8"/>
      <c r="L43" s="8"/>
      <c r="M43" s="8"/>
      <c r="N43" s="8"/>
      <c r="O43" s="8"/>
      <c r="P43" s="8"/>
      <c r="Q43" s="8"/>
      <c r="R43" s="8"/>
      <c r="S43" s="8">
        <f t="shared" si="13"/>
        <v>0</v>
      </c>
      <c r="T43" s="8"/>
      <c r="U43" s="8"/>
      <c r="V43" s="8"/>
      <c r="W43" s="8"/>
      <c r="X43" s="26"/>
      <c r="Y43" s="26"/>
      <c r="Z43" s="26"/>
      <c r="AA43" s="26"/>
      <c r="AB43" s="26"/>
      <c r="AC43" s="26">
        <f t="shared" si="14"/>
        <v>0</v>
      </c>
      <c r="AD43" s="26">
        <f t="shared" si="15"/>
        <v>0</v>
      </c>
      <c r="AE43" s="26">
        <f t="shared" si="16"/>
        <v>0</v>
      </c>
      <c r="AF43" s="26">
        <f t="shared" si="17"/>
        <v>0</v>
      </c>
      <c r="AG43" s="26"/>
      <c r="AH43" s="26"/>
      <c r="AI43" s="26"/>
      <c r="AJ43" s="39" t="e">
        <f t="shared" si="18"/>
        <v>#DIV/0!</v>
      </c>
      <c r="AK43" s="110"/>
      <c r="AL43" s="110"/>
      <c r="AM43" s="110"/>
      <c r="AN43" s="110"/>
      <c r="AO43" s="110"/>
      <c r="AP43" s="110"/>
      <c r="AQ43" s="110"/>
      <c r="AR43" s="52"/>
      <c r="AS43" s="52"/>
      <c r="AT43" s="52"/>
      <c r="AU43" s="52"/>
      <c r="AV43" s="52"/>
      <c r="AW43" s="52"/>
      <c r="AX43" s="52"/>
      <c r="AY43" s="52"/>
      <c r="AZ43" s="52"/>
      <c r="BA43" s="26">
        <f t="shared" si="19"/>
        <v>0</v>
      </c>
      <c r="BB43" s="26"/>
      <c r="BC43" s="26"/>
      <c r="BD43" s="26"/>
      <c r="BE43" s="8">
        <f t="shared" si="20"/>
        <v>0</v>
      </c>
      <c r="BF43" s="8">
        <f t="shared" si="21"/>
        <v>0</v>
      </c>
      <c r="BG43" s="39" t="e">
        <f t="shared" si="22"/>
        <v>#DIV/0!</v>
      </c>
      <c r="BH43" s="51"/>
      <c r="BI43" s="120"/>
    </row>
    <row r="44" customFormat="1" spans="1:61">
      <c r="A44" s="1"/>
      <c r="B44" s="1">
        <v>2014</v>
      </c>
      <c r="C44" s="93"/>
      <c r="D44" s="9"/>
      <c r="E44" s="9"/>
      <c r="F44" s="9"/>
      <c r="G44" s="93"/>
      <c r="H44" s="8"/>
      <c r="I44" s="8"/>
      <c r="J44" s="39" t="e">
        <f t="shared" si="24"/>
        <v>#DIV/0!</v>
      </c>
      <c r="K44" s="8"/>
      <c r="L44" s="8"/>
      <c r="M44" s="8"/>
      <c r="N44" s="8"/>
      <c r="O44" s="8"/>
      <c r="P44" s="8"/>
      <c r="Q44" s="8"/>
      <c r="R44" s="8"/>
      <c r="S44" s="8">
        <f t="shared" si="13"/>
        <v>0</v>
      </c>
      <c r="T44" s="8"/>
      <c r="U44" s="8"/>
      <c r="V44" s="8"/>
      <c r="W44" s="8"/>
      <c r="X44" s="26"/>
      <c r="Y44" s="26"/>
      <c r="Z44" s="26"/>
      <c r="AA44" s="26"/>
      <c r="AB44" s="26"/>
      <c r="AC44" s="26">
        <f t="shared" si="14"/>
        <v>0</v>
      </c>
      <c r="AD44" s="26">
        <f t="shared" si="15"/>
        <v>0</v>
      </c>
      <c r="AE44" s="26">
        <f t="shared" si="16"/>
        <v>0</v>
      </c>
      <c r="AF44" s="26">
        <f t="shared" si="17"/>
        <v>0</v>
      </c>
      <c r="AG44" s="26"/>
      <c r="AH44" s="26"/>
      <c r="AI44" s="26"/>
      <c r="AJ44" s="39" t="e">
        <f t="shared" si="18"/>
        <v>#DIV/0!</v>
      </c>
      <c r="AK44" s="110"/>
      <c r="AL44" s="110"/>
      <c r="AM44" s="110"/>
      <c r="AN44" s="110"/>
      <c r="AO44" s="110"/>
      <c r="AP44" s="110"/>
      <c r="AQ44" s="110"/>
      <c r="AR44" s="52"/>
      <c r="AS44" s="52"/>
      <c r="AT44" s="52"/>
      <c r="AU44" s="52"/>
      <c r="AV44" s="52"/>
      <c r="AW44" s="52"/>
      <c r="AX44" s="52"/>
      <c r="AY44" s="52"/>
      <c r="AZ44" s="52"/>
      <c r="BA44" s="26">
        <f t="shared" si="19"/>
        <v>0</v>
      </c>
      <c r="BB44" s="26"/>
      <c r="BC44" s="26"/>
      <c r="BD44" s="26"/>
      <c r="BE44" s="8">
        <f t="shared" si="20"/>
        <v>0</v>
      </c>
      <c r="BF44" s="8">
        <f t="shared" si="21"/>
        <v>0</v>
      </c>
      <c r="BG44" s="39" t="e">
        <f t="shared" si="22"/>
        <v>#DIV/0!</v>
      </c>
      <c r="BH44" s="51"/>
      <c r="BI44" s="120"/>
    </row>
    <row r="45" customFormat="1" spans="1:61">
      <c r="A45" s="1"/>
      <c r="B45" s="1">
        <v>2013</v>
      </c>
      <c r="C45" s="93"/>
      <c r="D45" s="9"/>
      <c r="E45" s="9"/>
      <c r="F45" s="9"/>
      <c r="G45" s="93"/>
      <c r="H45" s="8"/>
      <c r="I45" s="8"/>
      <c r="J45" s="39" t="e">
        <f t="shared" si="24"/>
        <v>#DIV/0!</v>
      </c>
      <c r="K45" s="8"/>
      <c r="L45" s="8"/>
      <c r="M45" s="8"/>
      <c r="N45" s="8"/>
      <c r="O45" s="8"/>
      <c r="P45" s="8"/>
      <c r="Q45" s="8"/>
      <c r="R45" s="8"/>
      <c r="S45" s="8">
        <f t="shared" si="13"/>
        <v>0</v>
      </c>
      <c r="T45" s="8"/>
      <c r="U45" s="8"/>
      <c r="V45" s="8"/>
      <c r="W45" s="8"/>
      <c r="X45" s="26"/>
      <c r="Y45" s="26"/>
      <c r="Z45" s="26"/>
      <c r="AA45" s="26"/>
      <c r="AB45" s="26"/>
      <c r="AC45" s="26">
        <f t="shared" si="14"/>
        <v>0</v>
      </c>
      <c r="AD45" s="26">
        <f t="shared" si="15"/>
        <v>0</v>
      </c>
      <c r="AE45" s="26">
        <f t="shared" si="16"/>
        <v>0</v>
      </c>
      <c r="AF45" s="26">
        <f t="shared" si="17"/>
        <v>0</v>
      </c>
      <c r="AG45" s="26"/>
      <c r="AH45" s="26"/>
      <c r="AI45" s="26"/>
      <c r="AJ45" s="39" t="e">
        <f t="shared" si="18"/>
        <v>#DIV/0!</v>
      </c>
      <c r="AK45" s="110"/>
      <c r="AL45" s="110"/>
      <c r="AM45" s="110"/>
      <c r="AN45" s="110"/>
      <c r="AO45" s="110"/>
      <c r="AP45" s="110"/>
      <c r="AQ45" s="110"/>
      <c r="AR45" s="52"/>
      <c r="AS45" s="52"/>
      <c r="AT45" s="52"/>
      <c r="AU45" s="52"/>
      <c r="AV45" s="52"/>
      <c r="AW45" s="52"/>
      <c r="AX45" s="52"/>
      <c r="AY45" s="52"/>
      <c r="AZ45" s="52"/>
      <c r="BA45" s="26">
        <f t="shared" si="19"/>
        <v>0</v>
      </c>
      <c r="BB45" s="26"/>
      <c r="BC45" s="26"/>
      <c r="BD45" s="26"/>
      <c r="BE45" s="8">
        <f t="shared" si="20"/>
        <v>0</v>
      </c>
      <c r="BF45" s="8">
        <f t="shared" si="21"/>
        <v>0</v>
      </c>
      <c r="BG45" s="39" t="e">
        <f t="shared" si="22"/>
        <v>#DIV/0!</v>
      </c>
      <c r="BH45" s="51"/>
      <c r="BI45" s="120"/>
    </row>
    <row r="46" customFormat="1" spans="1:61">
      <c r="A46" s="1"/>
      <c r="B46" s="1">
        <v>2012</v>
      </c>
      <c r="C46" s="93"/>
      <c r="D46" s="9"/>
      <c r="E46" s="9"/>
      <c r="F46" s="9"/>
      <c r="G46" s="93"/>
      <c r="H46" s="8"/>
      <c r="I46" s="8"/>
      <c r="J46" s="39" t="e">
        <f t="shared" si="24"/>
        <v>#DIV/0!</v>
      </c>
      <c r="K46" s="8"/>
      <c r="L46" s="8"/>
      <c r="M46" s="8"/>
      <c r="N46" s="8"/>
      <c r="O46" s="8"/>
      <c r="P46" s="8"/>
      <c r="Q46" s="8"/>
      <c r="R46" s="8"/>
      <c r="S46" s="8">
        <f t="shared" si="13"/>
        <v>0</v>
      </c>
      <c r="T46" s="8"/>
      <c r="U46" s="8"/>
      <c r="V46" s="8"/>
      <c r="W46" s="8"/>
      <c r="X46" s="26"/>
      <c r="Y46" s="26"/>
      <c r="Z46" s="26"/>
      <c r="AA46" s="26"/>
      <c r="AB46" s="26"/>
      <c r="AC46" s="26">
        <f t="shared" si="14"/>
        <v>0</v>
      </c>
      <c r="AD46" s="26">
        <f t="shared" si="15"/>
        <v>0</v>
      </c>
      <c r="AE46" s="26">
        <f t="shared" si="16"/>
        <v>0</v>
      </c>
      <c r="AF46" s="26">
        <f t="shared" si="17"/>
        <v>0</v>
      </c>
      <c r="AG46" s="26"/>
      <c r="AH46" s="26"/>
      <c r="AI46" s="26"/>
      <c r="AJ46" s="39" t="e">
        <f t="shared" si="18"/>
        <v>#DIV/0!</v>
      </c>
      <c r="AK46" s="110"/>
      <c r="AL46" s="110"/>
      <c r="AM46" s="110"/>
      <c r="AN46" s="110"/>
      <c r="AO46" s="110"/>
      <c r="AP46" s="110"/>
      <c r="AQ46" s="110"/>
      <c r="AR46" s="52"/>
      <c r="AS46" s="52"/>
      <c r="AT46" s="52"/>
      <c r="AU46" s="52"/>
      <c r="AV46" s="52"/>
      <c r="AW46" s="52"/>
      <c r="AX46" s="52"/>
      <c r="AY46" s="52"/>
      <c r="AZ46" s="52"/>
      <c r="BA46" s="26">
        <f t="shared" si="19"/>
        <v>0</v>
      </c>
      <c r="BB46" s="26"/>
      <c r="BC46" s="26"/>
      <c r="BD46" s="26"/>
      <c r="BE46" s="8">
        <f t="shared" si="20"/>
        <v>0</v>
      </c>
      <c r="BF46" s="8">
        <f t="shared" si="21"/>
        <v>0</v>
      </c>
      <c r="BG46" s="39" t="e">
        <f t="shared" si="22"/>
        <v>#DIV/0!</v>
      </c>
      <c r="BH46" s="51"/>
      <c r="BI46" s="121"/>
    </row>
    <row r="47" spans="1:61">
      <c r="A47" s="9" t="s">
        <v>78</v>
      </c>
      <c r="B47" s="9">
        <v>2022</v>
      </c>
      <c r="C47" s="93"/>
      <c r="D47" s="9"/>
      <c r="E47" s="9"/>
      <c r="F47" s="9"/>
      <c r="G47" s="93"/>
      <c r="H47" s="8"/>
      <c r="I47" s="8"/>
      <c r="J47" s="39"/>
      <c r="K47" s="8"/>
      <c r="L47" s="8"/>
      <c r="M47" s="8"/>
      <c r="N47" s="8"/>
      <c r="O47" s="8"/>
      <c r="P47" s="8"/>
      <c r="Q47" s="8"/>
      <c r="R47" s="8"/>
      <c r="S47" s="8"/>
      <c r="T47" s="8"/>
      <c r="U47" s="8"/>
      <c r="V47" s="8"/>
      <c r="W47" s="8"/>
      <c r="X47" s="26"/>
      <c r="Y47" s="26"/>
      <c r="Z47" s="26"/>
      <c r="AA47" s="26"/>
      <c r="AB47" s="26"/>
      <c r="AC47" s="26"/>
      <c r="AD47" s="26"/>
      <c r="AE47" s="26"/>
      <c r="AF47" s="26"/>
      <c r="AG47" s="26"/>
      <c r="AH47" s="26"/>
      <c r="AI47" s="26"/>
      <c r="AJ47" s="41"/>
      <c r="AK47" s="110"/>
      <c r="AL47" s="110"/>
      <c r="AM47" s="110"/>
      <c r="AN47" s="110"/>
      <c r="AO47" s="110"/>
      <c r="AP47" s="110"/>
      <c r="AQ47" s="110"/>
      <c r="AR47" s="52"/>
      <c r="AS47" s="52"/>
      <c r="AT47" s="52"/>
      <c r="AU47" s="52"/>
      <c r="AV47" s="52"/>
      <c r="AW47" s="52"/>
      <c r="AX47" s="52"/>
      <c r="AY47" s="52"/>
      <c r="AZ47" s="52"/>
      <c r="BA47" s="26"/>
      <c r="BB47" s="26"/>
      <c r="BC47" s="26"/>
      <c r="BD47" s="26"/>
      <c r="BE47" s="8"/>
      <c r="BF47" s="8"/>
      <c r="BG47" s="39"/>
      <c r="BH47" s="51"/>
      <c r="BI47" s="119"/>
    </row>
    <row r="48" spans="1:61">
      <c r="A48" s="9"/>
      <c r="B48" s="9">
        <v>2021</v>
      </c>
      <c r="C48" s="93"/>
      <c r="D48" s="9"/>
      <c r="E48" s="9"/>
      <c r="F48" s="9"/>
      <c r="G48" s="93"/>
      <c r="H48" s="8"/>
      <c r="I48" s="8"/>
      <c r="J48" s="39"/>
      <c r="K48" s="8"/>
      <c r="L48" s="8"/>
      <c r="M48" s="8"/>
      <c r="N48" s="8"/>
      <c r="O48" s="8"/>
      <c r="P48" s="8"/>
      <c r="Q48" s="8"/>
      <c r="R48" s="8"/>
      <c r="S48" s="8"/>
      <c r="T48" s="8"/>
      <c r="U48" s="8"/>
      <c r="V48" s="8"/>
      <c r="W48" s="8"/>
      <c r="X48" s="26"/>
      <c r="Y48" s="26"/>
      <c r="Z48" s="26"/>
      <c r="AA48" s="26"/>
      <c r="AB48" s="26"/>
      <c r="AC48" s="26"/>
      <c r="AD48" s="26"/>
      <c r="AE48" s="26"/>
      <c r="AF48" s="26"/>
      <c r="AG48" s="26"/>
      <c r="AH48" s="26"/>
      <c r="AI48" s="26"/>
      <c r="AJ48" s="41"/>
      <c r="AK48" s="110"/>
      <c r="AL48" s="110"/>
      <c r="AM48" s="110"/>
      <c r="AN48" s="110"/>
      <c r="AO48" s="110"/>
      <c r="AP48" s="110"/>
      <c r="AQ48" s="110"/>
      <c r="AR48" s="52"/>
      <c r="AS48" s="52"/>
      <c r="AT48" s="52"/>
      <c r="AU48" s="52"/>
      <c r="AV48" s="52"/>
      <c r="AW48" s="52"/>
      <c r="AX48" s="52"/>
      <c r="AY48" s="52"/>
      <c r="AZ48" s="52"/>
      <c r="BA48" s="26"/>
      <c r="BB48" s="26"/>
      <c r="BC48" s="26"/>
      <c r="BD48" s="26"/>
      <c r="BE48" s="8"/>
      <c r="BF48" s="8"/>
      <c r="BG48" s="39"/>
      <c r="BH48" s="51"/>
      <c r="BI48" s="120"/>
    </row>
    <row r="49" spans="1:61">
      <c r="A49" s="9"/>
      <c r="B49" s="9">
        <v>2020</v>
      </c>
      <c r="C49" s="93"/>
      <c r="D49" s="9"/>
      <c r="E49" s="9"/>
      <c r="F49" s="9"/>
      <c r="G49" s="93"/>
      <c r="H49" s="8"/>
      <c r="I49" s="8"/>
      <c r="J49" s="39"/>
      <c r="K49" s="8"/>
      <c r="L49" s="8"/>
      <c r="M49" s="8"/>
      <c r="N49" s="8"/>
      <c r="O49" s="8"/>
      <c r="P49" s="8"/>
      <c r="Q49" s="8"/>
      <c r="R49" s="8"/>
      <c r="S49" s="8"/>
      <c r="T49" s="8"/>
      <c r="U49" s="8"/>
      <c r="V49" s="8"/>
      <c r="W49" s="8"/>
      <c r="X49" s="26"/>
      <c r="Y49" s="26"/>
      <c r="Z49" s="26"/>
      <c r="AA49" s="26"/>
      <c r="AB49" s="26"/>
      <c r="AC49" s="26"/>
      <c r="AD49" s="26"/>
      <c r="AE49" s="26"/>
      <c r="AF49" s="26"/>
      <c r="AG49" s="26"/>
      <c r="AH49" s="26"/>
      <c r="AI49" s="26"/>
      <c r="AJ49" s="41"/>
      <c r="AK49" s="110"/>
      <c r="AL49" s="110"/>
      <c r="AM49" s="110"/>
      <c r="AN49" s="110"/>
      <c r="AO49" s="110"/>
      <c r="AP49" s="110"/>
      <c r="AQ49" s="110"/>
      <c r="AR49" s="52"/>
      <c r="AS49" s="52"/>
      <c r="AT49" s="52"/>
      <c r="AU49" s="52"/>
      <c r="AV49" s="52"/>
      <c r="AW49" s="52"/>
      <c r="AX49" s="52"/>
      <c r="AY49" s="52"/>
      <c r="AZ49" s="52"/>
      <c r="BA49" s="26"/>
      <c r="BB49" s="26"/>
      <c r="BC49" s="26"/>
      <c r="BD49" s="26"/>
      <c r="BE49" s="8"/>
      <c r="BF49" s="8"/>
      <c r="BG49" s="39"/>
      <c r="BH49" s="51"/>
      <c r="BI49" s="120"/>
    </row>
    <row r="50" spans="1:61">
      <c r="A50" s="9"/>
      <c r="B50" s="9">
        <v>2019</v>
      </c>
      <c r="C50" s="93"/>
      <c r="D50" s="9"/>
      <c r="E50" s="9"/>
      <c r="F50" s="9"/>
      <c r="G50" s="93"/>
      <c r="H50" s="8"/>
      <c r="I50" s="8"/>
      <c r="J50" s="39"/>
      <c r="K50" s="8"/>
      <c r="L50" s="8"/>
      <c r="M50" s="8"/>
      <c r="N50" s="8"/>
      <c r="O50" s="8"/>
      <c r="P50" s="8"/>
      <c r="Q50" s="8"/>
      <c r="R50" s="8"/>
      <c r="S50" s="8"/>
      <c r="T50" s="8"/>
      <c r="U50" s="8"/>
      <c r="V50" s="8"/>
      <c r="W50" s="8"/>
      <c r="X50" s="26"/>
      <c r="Y50" s="26"/>
      <c r="Z50" s="26"/>
      <c r="AA50" s="26"/>
      <c r="AB50" s="26"/>
      <c r="AC50" s="26"/>
      <c r="AD50" s="26"/>
      <c r="AE50" s="26"/>
      <c r="AF50" s="26"/>
      <c r="AG50" s="26"/>
      <c r="AH50" s="26"/>
      <c r="AI50" s="26"/>
      <c r="AJ50" s="41"/>
      <c r="AK50" s="110"/>
      <c r="AL50" s="110"/>
      <c r="AM50" s="110"/>
      <c r="AN50" s="110"/>
      <c r="AO50" s="110"/>
      <c r="AP50" s="110"/>
      <c r="AQ50" s="110"/>
      <c r="AR50" s="52"/>
      <c r="AS50" s="52"/>
      <c r="AT50" s="52"/>
      <c r="AU50" s="52"/>
      <c r="AV50" s="52"/>
      <c r="AW50" s="52"/>
      <c r="AX50" s="52"/>
      <c r="AY50" s="52"/>
      <c r="AZ50" s="52"/>
      <c r="BA50" s="26"/>
      <c r="BB50" s="26"/>
      <c r="BC50" s="26"/>
      <c r="BD50" s="26"/>
      <c r="BE50" s="8"/>
      <c r="BF50" s="8"/>
      <c r="BG50" s="39"/>
      <c r="BH50" s="51"/>
      <c r="BI50" s="120"/>
    </row>
    <row r="51" spans="1:61">
      <c r="A51" s="9"/>
      <c r="B51" s="9">
        <v>2018</v>
      </c>
      <c r="C51" s="93"/>
      <c r="D51" s="9"/>
      <c r="E51" s="9"/>
      <c r="F51" s="9"/>
      <c r="G51" s="93"/>
      <c r="H51" s="8"/>
      <c r="I51" s="8"/>
      <c r="J51" s="39"/>
      <c r="K51" s="8"/>
      <c r="L51" s="8"/>
      <c r="M51" s="8"/>
      <c r="N51" s="8"/>
      <c r="O51" s="8"/>
      <c r="P51" s="8"/>
      <c r="Q51" s="8"/>
      <c r="R51" s="8"/>
      <c r="S51" s="8"/>
      <c r="T51" s="8"/>
      <c r="U51" s="8"/>
      <c r="V51" s="8"/>
      <c r="W51" s="8"/>
      <c r="X51" s="26"/>
      <c r="Y51" s="26"/>
      <c r="Z51" s="26"/>
      <c r="AA51" s="26"/>
      <c r="AB51" s="26"/>
      <c r="AC51" s="26"/>
      <c r="AD51" s="26"/>
      <c r="AE51" s="26"/>
      <c r="AF51" s="26"/>
      <c r="AG51" s="26"/>
      <c r="AH51" s="26"/>
      <c r="AI51" s="26"/>
      <c r="AJ51" s="41"/>
      <c r="AK51" s="110"/>
      <c r="AL51" s="110"/>
      <c r="AM51" s="110"/>
      <c r="AN51" s="110"/>
      <c r="AO51" s="110"/>
      <c r="AP51" s="110"/>
      <c r="AQ51" s="110"/>
      <c r="AR51" s="52"/>
      <c r="AS51" s="52"/>
      <c r="AT51" s="52"/>
      <c r="AU51" s="52"/>
      <c r="AV51" s="52"/>
      <c r="AW51" s="52"/>
      <c r="AX51" s="52"/>
      <c r="AY51" s="52"/>
      <c r="AZ51" s="52"/>
      <c r="BA51" s="26"/>
      <c r="BB51" s="26"/>
      <c r="BC51" s="26"/>
      <c r="BD51" s="26"/>
      <c r="BE51" s="8"/>
      <c r="BF51" s="8"/>
      <c r="BG51" s="39"/>
      <c r="BH51" s="51"/>
      <c r="BI51" s="120"/>
    </row>
    <row r="52" spans="1:61">
      <c r="A52" s="9"/>
      <c r="B52" s="9">
        <v>2017</v>
      </c>
      <c r="C52" s="93"/>
      <c r="D52" s="9"/>
      <c r="E52" s="9"/>
      <c r="F52" s="9"/>
      <c r="G52" s="93"/>
      <c r="H52" s="8"/>
      <c r="I52" s="8"/>
      <c r="J52" s="39"/>
      <c r="K52" s="8"/>
      <c r="L52" s="8"/>
      <c r="M52" s="8"/>
      <c r="N52" s="8"/>
      <c r="O52" s="8"/>
      <c r="P52" s="8"/>
      <c r="Q52" s="8"/>
      <c r="R52" s="8"/>
      <c r="S52" s="8"/>
      <c r="T52" s="8"/>
      <c r="U52" s="8"/>
      <c r="V52" s="8"/>
      <c r="W52" s="8"/>
      <c r="X52" s="26"/>
      <c r="Y52" s="26"/>
      <c r="Z52" s="26"/>
      <c r="AA52" s="26"/>
      <c r="AB52" s="26"/>
      <c r="AC52" s="26"/>
      <c r="AD52" s="26"/>
      <c r="AE52" s="26"/>
      <c r="AF52" s="26"/>
      <c r="AG52" s="26"/>
      <c r="AH52" s="26"/>
      <c r="AI52" s="26"/>
      <c r="AJ52" s="41"/>
      <c r="AK52" s="110"/>
      <c r="AL52" s="110"/>
      <c r="AM52" s="110"/>
      <c r="AN52" s="110"/>
      <c r="AO52" s="110"/>
      <c r="AP52" s="110"/>
      <c r="AQ52" s="110"/>
      <c r="AR52" s="52"/>
      <c r="AS52" s="52"/>
      <c r="AT52" s="52"/>
      <c r="AU52" s="52"/>
      <c r="AV52" s="52"/>
      <c r="AW52" s="52"/>
      <c r="AX52" s="52"/>
      <c r="AY52" s="52"/>
      <c r="AZ52" s="52"/>
      <c r="BA52" s="26"/>
      <c r="BB52" s="26"/>
      <c r="BC52" s="26"/>
      <c r="BD52" s="26"/>
      <c r="BE52" s="8"/>
      <c r="BF52" s="8"/>
      <c r="BG52" s="39"/>
      <c r="BH52" s="51"/>
      <c r="BI52" s="120"/>
    </row>
    <row r="53" spans="1:61">
      <c r="A53" s="9"/>
      <c r="B53" s="9">
        <v>2016</v>
      </c>
      <c r="C53" s="93"/>
      <c r="D53" s="9"/>
      <c r="E53" s="9"/>
      <c r="F53" s="9"/>
      <c r="G53" s="93"/>
      <c r="H53" s="8"/>
      <c r="I53" s="8"/>
      <c r="J53" s="39"/>
      <c r="K53" s="8"/>
      <c r="L53" s="8"/>
      <c r="M53" s="8"/>
      <c r="N53" s="8"/>
      <c r="O53" s="8"/>
      <c r="P53" s="8"/>
      <c r="Q53" s="8"/>
      <c r="R53" s="8"/>
      <c r="S53" s="8"/>
      <c r="T53" s="8"/>
      <c r="U53" s="8"/>
      <c r="V53" s="8"/>
      <c r="W53" s="8"/>
      <c r="X53" s="26"/>
      <c r="Y53" s="26"/>
      <c r="Z53" s="26"/>
      <c r="AA53" s="26"/>
      <c r="AB53" s="26"/>
      <c r="AC53" s="26"/>
      <c r="AD53" s="26"/>
      <c r="AE53" s="26"/>
      <c r="AF53" s="26"/>
      <c r="AG53" s="26"/>
      <c r="AH53" s="26"/>
      <c r="AI53" s="26"/>
      <c r="AJ53" s="41"/>
      <c r="AK53" s="110"/>
      <c r="AL53" s="110"/>
      <c r="AM53" s="110"/>
      <c r="AN53" s="110"/>
      <c r="AO53" s="110"/>
      <c r="AP53" s="110"/>
      <c r="AQ53" s="110"/>
      <c r="AR53" s="52"/>
      <c r="AS53" s="52"/>
      <c r="AT53" s="52"/>
      <c r="AU53" s="52"/>
      <c r="AV53" s="52"/>
      <c r="AW53" s="52"/>
      <c r="AX53" s="52"/>
      <c r="AY53" s="52"/>
      <c r="AZ53" s="52"/>
      <c r="BA53" s="26"/>
      <c r="BB53" s="26"/>
      <c r="BC53" s="26"/>
      <c r="BD53" s="26"/>
      <c r="BE53" s="8"/>
      <c r="BF53" s="8"/>
      <c r="BG53" s="39"/>
      <c r="BH53" s="51"/>
      <c r="BI53" s="120"/>
    </row>
    <row r="54" spans="1:61">
      <c r="A54" s="9"/>
      <c r="B54" s="9">
        <v>2015</v>
      </c>
      <c r="C54" s="93"/>
      <c r="D54" s="9"/>
      <c r="E54" s="9"/>
      <c r="F54" s="9"/>
      <c r="G54" s="93"/>
      <c r="H54" s="8"/>
      <c r="I54" s="8"/>
      <c r="J54" s="39"/>
      <c r="K54" s="8"/>
      <c r="L54" s="8"/>
      <c r="M54" s="8"/>
      <c r="N54" s="8"/>
      <c r="O54" s="8"/>
      <c r="P54" s="8"/>
      <c r="Q54" s="8"/>
      <c r="R54" s="8"/>
      <c r="S54" s="8"/>
      <c r="T54" s="8"/>
      <c r="U54" s="8"/>
      <c r="V54" s="8"/>
      <c r="W54" s="8"/>
      <c r="X54" s="26"/>
      <c r="Y54" s="26"/>
      <c r="Z54" s="26"/>
      <c r="AA54" s="26"/>
      <c r="AB54" s="26"/>
      <c r="AC54" s="26"/>
      <c r="AD54" s="26"/>
      <c r="AE54" s="26"/>
      <c r="AF54" s="26"/>
      <c r="AG54" s="26"/>
      <c r="AH54" s="26"/>
      <c r="AI54" s="26"/>
      <c r="AJ54" s="41"/>
      <c r="AK54" s="110"/>
      <c r="AL54" s="110"/>
      <c r="AM54" s="110"/>
      <c r="AN54" s="110"/>
      <c r="AO54" s="110"/>
      <c r="AP54" s="110"/>
      <c r="AQ54" s="110"/>
      <c r="AR54" s="52"/>
      <c r="AS54" s="52"/>
      <c r="AT54" s="52"/>
      <c r="AU54" s="52"/>
      <c r="AV54" s="52"/>
      <c r="AW54" s="52"/>
      <c r="AX54" s="52"/>
      <c r="AY54" s="52"/>
      <c r="AZ54" s="52"/>
      <c r="BA54" s="26"/>
      <c r="BB54" s="26"/>
      <c r="BC54" s="26"/>
      <c r="BD54" s="26"/>
      <c r="BE54" s="8"/>
      <c r="BF54" s="8"/>
      <c r="BG54" s="39"/>
      <c r="BH54" s="51"/>
      <c r="BI54" s="120"/>
    </row>
    <row r="55" spans="1:61">
      <c r="A55" s="9"/>
      <c r="B55" s="9">
        <v>2014</v>
      </c>
      <c r="C55" s="93"/>
      <c r="D55" s="9"/>
      <c r="E55" s="9"/>
      <c r="F55" s="9"/>
      <c r="G55" s="93"/>
      <c r="H55" s="8"/>
      <c r="I55" s="8"/>
      <c r="J55" s="39"/>
      <c r="K55" s="8"/>
      <c r="L55" s="8"/>
      <c r="M55" s="8"/>
      <c r="N55" s="8"/>
      <c r="O55" s="8"/>
      <c r="P55" s="8"/>
      <c r="Q55" s="8"/>
      <c r="R55" s="8"/>
      <c r="S55" s="8"/>
      <c r="T55" s="8"/>
      <c r="U55" s="8"/>
      <c r="V55" s="8"/>
      <c r="W55" s="8"/>
      <c r="X55" s="26"/>
      <c r="Y55" s="26"/>
      <c r="Z55" s="26"/>
      <c r="AA55" s="26"/>
      <c r="AB55" s="26"/>
      <c r="AC55" s="26"/>
      <c r="AD55" s="26"/>
      <c r="AE55" s="26"/>
      <c r="AF55" s="26"/>
      <c r="AG55" s="26"/>
      <c r="AH55" s="26"/>
      <c r="AI55" s="26"/>
      <c r="AJ55" s="41"/>
      <c r="AK55" s="110"/>
      <c r="AL55" s="110"/>
      <c r="AM55" s="110"/>
      <c r="AN55" s="110"/>
      <c r="AO55" s="110"/>
      <c r="AP55" s="110"/>
      <c r="AQ55" s="110"/>
      <c r="AR55" s="52"/>
      <c r="AS55" s="52"/>
      <c r="AT55" s="52"/>
      <c r="AU55" s="52"/>
      <c r="AV55" s="52"/>
      <c r="AW55" s="52"/>
      <c r="AX55" s="52"/>
      <c r="AY55" s="52"/>
      <c r="AZ55" s="52"/>
      <c r="BA55" s="26"/>
      <c r="BB55" s="26"/>
      <c r="BC55" s="26"/>
      <c r="BD55" s="26"/>
      <c r="BE55" s="8"/>
      <c r="BF55" s="8"/>
      <c r="BG55" s="39"/>
      <c r="BH55" s="51"/>
      <c r="BI55" s="120"/>
    </row>
    <row r="56" spans="1:61">
      <c r="A56" s="9"/>
      <c r="B56" s="9">
        <v>2013</v>
      </c>
      <c r="C56" s="93"/>
      <c r="D56" s="9"/>
      <c r="E56" s="9"/>
      <c r="F56" s="9"/>
      <c r="G56" s="93"/>
      <c r="H56" s="8"/>
      <c r="I56" s="8"/>
      <c r="J56" s="39"/>
      <c r="K56" s="8"/>
      <c r="L56" s="8"/>
      <c r="M56" s="8"/>
      <c r="N56" s="8"/>
      <c r="O56" s="8"/>
      <c r="P56" s="8"/>
      <c r="Q56" s="8"/>
      <c r="R56" s="8"/>
      <c r="S56" s="8"/>
      <c r="T56" s="8"/>
      <c r="U56" s="8"/>
      <c r="V56" s="8"/>
      <c r="W56" s="8"/>
      <c r="X56" s="26"/>
      <c r="Y56" s="26"/>
      <c r="Z56" s="26"/>
      <c r="AA56" s="26"/>
      <c r="AB56" s="26"/>
      <c r="AC56" s="26"/>
      <c r="AD56" s="26"/>
      <c r="AE56" s="26"/>
      <c r="AF56" s="26"/>
      <c r="AG56" s="26"/>
      <c r="AH56" s="26"/>
      <c r="AI56" s="26"/>
      <c r="AJ56" s="41"/>
      <c r="AK56" s="110"/>
      <c r="AL56" s="110"/>
      <c r="AM56" s="110"/>
      <c r="AN56" s="110"/>
      <c r="AO56" s="110"/>
      <c r="AP56" s="110"/>
      <c r="AQ56" s="110"/>
      <c r="AR56" s="52"/>
      <c r="AS56" s="52"/>
      <c r="AT56" s="52"/>
      <c r="AU56" s="52"/>
      <c r="AV56" s="52"/>
      <c r="AW56" s="52"/>
      <c r="AX56" s="52"/>
      <c r="AY56" s="52"/>
      <c r="AZ56" s="52"/>
      <c r="BA56" s="26"/>
      <c r="BB56" s="26"/>
      <c r="BC56" s="26"/>
      <c r="BD56" s="26"/>
      <c r="BE56" s="8"/>
      <c r="BF56" s="8"/>
      <c r="BG56" s="39"/>
      <c r="BH56" s="51"/>
      <c r="BI56" s="120"/>
    </row>
    <row r="57" spans="1:61">
      <c r="A57" s="9"/>
      <c r="B57" s="9">
        <v>2012</v>
      </c>
      <c r="C57" s="93"/>
      <c r="D57" s="9"/>
      <c r="E57" s="9"/>
      <c r="F57" s="9"/>
      <c r="G57" s="93"/>
      <c r="H57" s="8"/>
      <c r="I57" s="8"/>
      <c r="J57" s="39"/>
      <c r="K57" s="8"/>
      <c r="L57" s="8"/>
      <c r="M57" s="8"/>
      <c r="N57" s="8"/>
      <c r="O57" s="8"/>
      <c r="P57" s="8"/>
      <c r="Q57" s="8"/>
      <c r="R57" s="8"/>
      <c r="S57" s="8"/>
      <c r="T57" s="8"/>
      <c r="U57" s="8"/>
      <c r="V57" s="8"/>
      <c r="W57" s="8"/>
      <c r="X57" s="26"/>
      <c r="Y57" s="26"/>
      <c r="Z57" s="26"/>
      <c r="AA57" s="26"/>
      <c r="AB57" s="26"/>
      <c r="AC57" s="26"/>
      <c r="AD57" s="26"/>
      <c r="AE57" s="26"/>
      <c r="AF57" s="26"/>
      <c r="AG57" s="26"/>
      <c r="AH57" s="26"/>
      <c r="AI57" s="26"/>
      <c r="AJ57" s="41"/>
      <c r="AK57" s="110"/>
      <c r="AL57" s="110"/>
      <c r="AM57" s="110"/>
      <c r="AN57" s="110"/>
      <c r="AO57" s="110"/>
      <c r="AP57" s="110"/>
      <c r="AQ57" s="110"/>
      <c r="AR57" s="52"/>
      <c r="AS57" s="52"/>
      <c r="AT57" s="52"/>
      <c r="AU57" s="52"/>
      <c r="AV57" s="52"/>
      <c r="AW57" s="52"/>
      <c r="AX57" s="52"/>
      <c r="AY57" s="52"/>
      <c r="AZ57" s="52"/>
      <c r="BA57" s="26"/>
      <c r="BB57" s="26"/>
      <c r="BC57" s="26"/>
      <c r="BD57" s="26"/>
      <c r="BE57" s="8"/>
      <c r="BF57" s="8"/>
      <c r="BG57" s="39"/>
      <c r="BH57" s="51"/>
      <c r="BI57" s="121"/>
    </row>
    <row r="58" spans="1:61">
      <c r="A58" s="96" t="s">
        <v>79</v>
      </c>
      <c r="B58" s="9">
        <v>2022</v>
      </c>
      <c r="C58" s="89">
        <f>53.22*100000000</f>
        <v>5322000000</v>
      </c>
      <c r="D58" s="93" t="s">
        <v>64</v>
      </c>
      <c r="E58" s="9"/>
      <c r="F58" s="9"/>
      <c r="G58" s="93"/>
      <c r="H58" s="8"/>
      <c r="I58" s="8"/>
      <c r="J58" s="39"/>
      <c r="K58" s="8"/>
      <c r="L58" s="8"/>
      <c r="M58" s="8"/>
      <c r="N58" s="8"/>
      <c r="O58" s="8"/>
      <c r="P58" s="8"/>
      <c r="Q58" s="8"/>
      <c r="R58" s="8"/>
      <c r="S58" s="8"/>
      <c r="T58" s="8"/>
      <c r="U58" s="8"/>
      <c r="V58" s="8"/>
      <c r="W58" s="8"/>
      <c r="X58" s="26"/>
      <c r="Y58" s="26"/>
      <c r="Z58" s="26"/>
      <c r="AA58" s="26"/>
      <c r="AB58" s="26"/>
      <c r="AC58" s="26"/>
      <c r="AD58" s="26"/>
      <c r="AE58" s="26"/>
      <c r="AF58" s="26"/>
      <c r="AG58" s="26"/>
      <c r="AH58" s="26"/>
      <c r="AI58" s="26"/>
      <c r="AJ58" s="41"/>
      <c r="AK58" s="110"/>
      <c r="AL58" s="110"/>
      <c r="AM58" s="110"/>
      <c r="AN58" s="110"/>
      <c r="AO58" s="110"/>
      <c r="AP58" s="110"/>
      <c r="AQ58" s="110"/>
      <c r="AR58" s="52"/>
      <c r="AS58" s="52"/>
      <c r="AT58" s="52"/>
      <c r="AU58" s="52"/>
      <c r="AV58" s="52"/>
      <c r="AW58" s="52"/>
      <c r="AX58" s="52"/>
      <c r="AY58" s="52"/>
      <c r="AZ58" s="52"/>
      <c r="BA58" s="26"/>
      <c r="BB58" s="26"/>
      <c r="BC58" s="26"/>
      <c r="BD58" s="26"/>
      <c r="BE58" s="8"/>
      <c r="BF58" s="8"/>
      <c r="BG58" s="39"/>
      <c r="BH58" s="51"/>
      <c r="BI58" s="52"/>
    </row>
    <row r="59" spans="1:61">
      <c r="A59" s="97"/>
      <c r="B59" s="9">
        <v>2021</v>
      </c>
      <c r="C59" s="93">
        <f>79.03*100000000</f>
        <v>7903000000</v>
      </c>
      <c r="D59" s="93" t="s">
        <v>66</v>
      </c>
      <c r="E59" s="9"/>
      <c r="F59" s="9"/>
      <c r="G59" s="93"/>
      <c r="H59" s="8"/>
      <c r="I59" s="8"/>
      <c r="J59" s="39"/>
      <c r="K59" s="8"/>
      <c r="L59" s="8"/>
      <c r="M59" s="8"/>
      <c r="N59" s="8"/>
      <c r="O59" s="8"/>
      <c r="P59" s="8"/>
      <c r="Q59" s="8"/>
      <c r="R59" s="8"/>
      <c r="S59" s="8"/>
      <c r="T59" s="8"/>
      <c r="U59" s="8"/>
      <c r="V59" s="8"/>
      <c r="W59" s="8"/>
      <c r="X59" s="26"/>
      <c r="Y59" s="26"/>
      <c r="Z59" s="26"/>
      <c r="AA59" s="26"/>
      <c r="AB59" s="26"/>
      <c r="AC59" s="26"/>
      <c r="AD59" s="26"/>
      <c r="AE59" s="26"/>
      <c r="AF59" s="26"/>
      <c r="AG59" s="26"/>
      <c r="AH59" s="26"/>
      <c r="AI59" s="26"/>
      <c r="AJ59" s="41"/>
      <c r="AK59" s="110"/>
      <c r="AL59" s="110"/>
      <c r="AM59" s="110"/>
      <c r="AN59" s="110"/>
      <c r="AO59" s="110"/>
      <c r="AP59" s="110"/>
      <c r="AQ59" s="110"/>
      <c r="AR59" s="52"/>
      <c r="AS59" s="52"/>
      <c r="AT59" s="52"/>
      <c r="AU59" s="52"/>
      <c r="AV59" s="52"/>
      <c r="AW59" s="52"/>
      <c r="AX59" s="52"/>
      <c r="AY59" s="52"/>
      <c r="AZ59" s="52"/>
      <c r="BA59" s="26"/>
      <c r="BB59" s="26"/>
      <c r="BC59" s="26"/>
      <c r="BD59" s="26"/>
      <c r="BE59" s="8"/>
      <c r="BF59" s="8"/>
      <c r="BG59" s="39"/>
      <c r="BH59" s="51"/>
      <c r="BI59" s="52"/>
    </row>
    <row r="60" spans="1:61">
      <c r="A60" s="97"/>
      <c r="B60" s="9">
        <v>2020</v>
      </c>
      <c r="C60" s="93">
        <f>78.11*100000000</f>
        <v>7811000000</v>
      </c>
      <c r="D60" s="93" t="s">
        <v>67</v>
      </c>
      <c r="E60" s="9"/>
      <c r="F60" s="9"/>
      <c r="G60" s="93"/>
      <c r="H60" s="8"/>
      <c r="I60" s="8"/>
      <c r="J60" s="39"/>
      <c r="K60" s="8"/>
      <c r="L60" s="8"/>
      <c r="M60" s="8"/>
      <c r="N60" s="8"/>
      <c r="O60" s="8"/>
      <c r="P60" s="8"/>
      <c r="Q60" s="8"/>
      <c r="R60" s="8"/>
      <c r="S60" s="8"/>
      <c r="T60" s="8"/>
      <c r="U60" s="8"/>
      <c r="V60" s="8"/>
      <c r="W60" s="8"/>
      <c r="X60" s="26"/>
      <c r="Y60" s="26"/>
      <c r="Z60" s="26"/>
      <c r="AA60" s="26"/>
      <c r="AB60" s="26"/>
      <c r="AC60" s="26"/>
      <c r="AD60" s="26"/>
      <c r="AE60" s="26"/>
      <c r="AF60" s="26"/>
      <c r="AG60" s="26"/>
      <c r="AH60" s="26"/>
      <c r="AI60" s="26"/>
      <c r="AJ60" s="41"/>
      <c r="AK60" s="110"/>
      <c r="AL60" s="110"/>
      <c r="AM60" s="110"/>
      <c r="AN60" s="110"/>
      <c r="AO60" s="110"/>
      <c r="AP60" s="110"/>
      <c r="AQ60" s="110"/>
      <c r="AR60" s="52"/>
      <c r="AS60" s="52"/>
      <c r="AT60" s="52"/>
      <c r="AU60" s="52"/>
      <c r="AV60" s="52"/>
      <c r="AW60" s="52"/>
      <c r="AX60" s="52"/>
      <c r="AY60" s="52"/>
      <c r="AZ60" s="52"/>
      <c r="BA60" s="26"/>
      <c r="BB60" s="26"/>
      <c r="BC60" s="26"/>
      <c r="BD60" s="26"/>
      <c r="BE60" s="8"/>
      <c r="BF60" s="8"/>
      <c r="BG60" s="39"/>
      <c r="BH60" s="51"/>
      <c r="BI60" s="52"/>
    </row>
    <row r="61" spans="1:61">
      <c r="A61" s="97"/>
      <c r="B61" s="9">
        <v>2019</v>
      </c>
      <c r="C61" s="93">
        <f>41.24*100000000</f>
        <v>4124000000</v>
      </c>
      <c r="D61" s="93" t="s">
        <v>68</v>
      </c>
      <c r="E61" s="9"/>
      <c r="F61" s="9"/>
      <c r="G61" s="93"/>
      <c r="H61" s="8"/>
      <c r="I61" s="8"/>
      <c r="J61" s="39"/>
      <c r="K61" s="8"/>
      <c r="L61" s="8"/>
      <c r="M61" s="8"/>
      <c r="N61" s="8"/>
      <c r="O61" s="8"/>
      <c r="P61" s="8"/>
      <c r="Q61" s="8"/>
      <c r="R61" s="8"/>
      <c r="S61" s="8"/>
      <c r="T61" s="8"/>
      <c r="U61" s="8"/>
      <c r="V61" s="8"/>
      <c r="W61" s="8"/>
      <c r="X61" s="26"/>
      <c r="Y61" s="26"/>
      <c r="Z61" s="26"/>
      <c r="AA61" s="26"/>
      <c r="AB61" s="26"/>
      <c r="AC61" s="26"/>
      <c r="AD61" s="26"/>
      <c r="AE61" s="26"/>
      <c r="AF61" s="26"/>
      <c r="AG61" s="26"/>
      <c r="AH61" s="26"/>
      <c r="AI61" s="26"/>
      <c r="AJ61" s="41"/>
      <c r="AK61" s="110"/>
      <c r="AL61" s="110"/>
      <c r="AM61" s="110"/>
      <c r="AN61" s="110"/>
      <c r="AO61" s="110"/>
      <c r="AP61" s="110"/>
      <c r="AQ61" s="110"/>
      <c r="AR61" s="52"/>
      <c r="AS61" s="52"/>
      <c r="AT61" s="52"/>
      <c r="AU61" s="52"/>
      <c r="AV61" s="52"/>
      <c r="AW61" s="52"/>
      <c r="AX61" s="52"/>
      <c r="AY61" s="52"/>
      <c r="AZ61" s="52"/>
      <c r="BA61" s="26"/>
      <c r="BB61" s="26"/>
      <c r="BC61" s="26"/>
      <c r="BD61" s="26"/>
      <c r="BE61" s="8"/>
      <c r="BF61" s="8"/>
      <c r="BG61" s="39"/>
      <c r="BH61" s="51"/>
      <c r="BI61" s="52"/>
    </row>
    <row r="62" spans="1:61">
      <c r="A62" s="97"/>
      <c r="B62" s="9">
        <v>2018</v>
      </c>
      <c r="C62" s="93">
        <f>41.47*100000000</f>
        <v>4147000000</v>
      </c>
      <c r="D62" s="93" t="s">
        <v>69</v>
      </c>
      <c r="E62" s="9"/>
      <c r="F62" s="9"/>
      <c r="G62" s="93"/>
      <c r="H62" s="8"/>
      <c r="I62" s="8"/>
      <c r="J62" s="39"/>
      <c r="K62" s="8"/>
      <c r="L62" s="8"/>
      <c r="M62" s="8"/>
      <c r="N62" s="8"/>
      <c r="O62" s="8"/>
      <c r="P62" s="8"/>
      <c r="Q62" s="8"/>
      <c r="R62" s="8"/>
      <c r="S62" s="8"/>
      <c r="T62" s="8"/>
      <c r="U62" s="8"/>
      <c r="V62" s="8"/>
      <c r="W62" s="8"/>
      <c r="X62" s="26"/>
      <c r="Y62" s="26"/>
      <c r="Z62" s="26"/>
      <c r="AA62" s="26"/>
      <c r="AB62" s="26"/>
      <c r="AC62" s="26"/>
      <c r="AD62" s="26"/>
      <c r="AE62" s="26"/>
      <c r="AF62" s="26"/>
      <c r="AG62" s="26"/>
      <c r="AH62" s="26"/>
      <c r="AI62" s="26"/>
      <c r="AJ62" s="41"/>
      <c r="AK62" s="110"/>
      <c r="AL62" s="110"/>
      <c r="AM62" s="110"/>
      <c r="AN62" s="110"/>
      <c r="AO62" s="110"/>
      <c r="AP62" s="110"/>
      <c r="AQ62" s="110"/>
      <c r="AR62" s="52"/>
      <c r="AS62" s="52"/>
      <c r="AT62" s="52"/>
      <c r="AU62" s="52"/>
      <c r="AV62" s="52"/>
      <c r="AW62" s="52"/>
      <c r="AX62" s="52"/>
      <c r="AY62" s="52"/>
      <c r="AZ62" s="52"/>
      <c r="BA62" s="26"/>
      <c r="BB62" s="26"/>
      <c r="BC62" s="26"/>
      <c r="BD62" s="26"/>
      <c r="BE62" s="8"/>
      <c r="BF62" s="8"/>
      <c r="BG62" s="39"/>
      <c r="BH62" s="51"/>
      <c r="BI62" s="52"/>
    </row>
    <row r="63" spans="1:61">
      <c r="A63" s="97"/>
      <c r="B63" s="9">
        <v>2017</v>
      </c>
      <c r="C63" s="93">
        <f>81.33*100000000</f>
        <v>8133000000</v>
      </c>
      <c r="D63" s="93" t="s">
        <v>70</v>
      </c>
      <c r="E63" s="9"/>
      <c r="F63" s="9"/>
      <c r="G63" s="93"/>
      <c r="H63" s="8"/>
      <c r="I63" s="8"/>
      <c r="J63" s="39"/>
      <c r="K63" s="8"/>
      <c r="L63" s="8"/>
      <c r="M63" s="8"/>
      <c r="N63" s="8"/>
      <c r="O63" s="8"/>
      <c r="P63" s="8"/>
      <c r="Q63" s="8"/>
      <c r="R63" s="8"/>
      <c r="S63" s="8"/>
      <c r="T63" s="8"/>
      <c r="U63" s="8"/>
      <c r="V63" s="8"/>
      <c r="W63" s="8"/>
      <c r="X63" s="26"/>
      <c r="Y63" s="26"/>
      <c r="Z63" s="26"/>
      <c r="AA63" s="26"/>
      <c r="AB63" s="26"/>
      <c r="AC63" s="26"/>
      <c r="AD63" s="26"/>
      <c r="AE63" s="26"/>
      <c r="AF63" s="26"/>
      <c r="AG63" s="26"/>
      <c r="AH63" s="26"/>
      <c r="AI63" s="26"/>
      <c r="AJ63" s="41"/>
      <c r="AK63" s="110"/>
      <c r="AL63" s="110"/>
      <c r="AM63" s="110"/>
      <c r="AN63" s="110"/>
      <c r="AO63" s="110"/>
      <c r="AP63" s="110"/>
      <c r="AQ63" s="110"/>
      <c r="AR63" s="52"/>
      <c r="AS63" s="52"/>
      <c r="AT63" s="52"/>
      <c r="AU63" s="52"/>
      <c r="AV63" s="52"/>
      <c r="AW63" s="52"/>
      <c r="AX63" s="52"/>
      <c r="AY63" s="52"/>
      <c r="AZ63" s="52"/>
      <c r="BA63" s="26"/>
      <c r="BB63" s="26"/>
      <c r="BC63" s="26"/>
      <c r="BD63" s="26"/>
      <c r="BE63" s="8"/>
      <c r="BF63" s="8"/>
      <c r="BG63" s="39"/>
      <c r="BH63" s="51"/>
      <c r="BI63" s="52"/>
    </row>
    <row r="64" spans="1:61">
      <c r="A64" s="97"/>
      <c r="B64" s="9">
        <v>2016</v>
      </c>
      <c r="C64" s="93">
        <f>81.1*100000000</f>
        <v>8110000000</v>
      </c>
      <c r="D64" s="93" t="s">
        <v>71</v>
      </c>
      <c r="E64" s="9"/>
      <c r="F64" s="9"/>
      <c r="G64" s="93"/>
      <c r="H64" s="8"/>
      <c r="I64" s="8"/>
      <c r="J64" s="39"/>
      <c r="K64" s="8"/>
      <c r="L64" s="8"/>
      <c r="M64" s="8"/>
      <c r="N64" s="8"/>
      <c r="O64" s="8"/>
      <c r="P64" s="8"/>
      <c r="Q64" s="8"/>
      <c r="R64" s="8"/>
      <c r="S64" s="8"/>
      <c r="T64" s="8"/>
      <c r="U64" s="8"/>
      <c r="V64" s="8"/>
      <c r="W64" s="8"/>
      <c r="X64" s="26"/>
      <c r="Y64" s="26"/>
      <c r="Z64" s="26"/>
      <c r="AA64" s="26"/>
      <c r="AB64" s="26"/>
      <c r="AC64" s="26"/>
      <c r="AD64" s="26"/>
      <c r="AE64" s="26"/>
      <c r="AF64" s="26"/>
      <c r="AG64" s="26"/>
      <c r="AH64" s="26"/>
      <c r="AI64" s="26"/>
      <c r="AJ64" s="41"/>
      <c r="AK64" s="110"/>
      <c r="AL64" s="110"/>
      <c r="AM64" s="110"/>
      <c r="AN64" s="110"/>
      <c r="AO64" s="110"/>
      <c r="AP64" s="110"/>
      <c r="AQ64" s="110"/>
      <c r="AR64" s="52"/>
      <c r="AS64" s="52"/>
      <c r="AT64" s="52"/>
      <c r="AU64" s="52"/>
      <c r="AV64" s="52"/>
      <c r="AW64" s="52"/>
      <c r="AX64" s="52"/>
      <c r="AY64" s="52"/>
      <c r="AZ64" s="52"/>
      <c r="BA64" s="26"/>
      <c r="BB64" s="26"/>
      <c r="BC64" s="26"/>
      <c r="BD64" s="26"/>
      <c r="BE64" s="8"/>
      <c r="BF64" s="8"/>
      <c r="BG64" s="39"/>
      <c r="BH64" s="51"/>
      <c r="BI64" s="52"/>
    </row>
    <row r="65" spans="1:61">
      <c r="A65" s="97"/>
      <c r="B65" s="9">
        <v>2015</v>
      </c>
      <c r="C65" s="93">
        <f>93.54*100000000</f>
        <v>9354000000</v>
      </c>
      <c r="D65" s="93" t="s">
        <v>72</v>
      </c>
      <c r="E65" s="9"/>
      <c r="F65" s="9"/>
      <c r="G65" s="93"/>
      <c r="H65" s="8"/>
      <c r="I65" s="8"/>
      <c r="J65" s="39"/>
      <c r="K65" s="8"/>
      <c r="L65" s="8"/>
      <c r="M65" s="8"/>
      <c r="N65" s="8"/>
      <c r="O65" s="8"/>
      <c r="P65" s="8"/>
      <c r="Q65" s="8"/>
      <c r="R65" s="8"/>
      <c r="S65" s="8"/>
      <c r="T65" s="8"/>
      <c r="U65" s="8"/>
      <c r="V65" s="8"/>
      <c r="W65" s="8"/>
      <c r="X65" s="26"/>
      <c r="Y65" s="26"/>
      <c r="Z65" s="26"/>
      <c r="AA65" s="26"/>
      <c r="AB65" s="26"/>
      <c r="AC65" s="26"/>
      <c r="AD65" s="26"/>
      <c r="AE65" s="26"/>
      <c r="AF65" s="26"/>
      <c r="AG65" s="26"/>
      <c r="AH65" s="26"/>
      <c r="AI65" s="26"/>
      <c r="AJ65" s="41"/>
      <c r="AK65" s="110"/>
      <c r="AL65" s="110"/>
      <c r="AM65" s="110"/>
      <c r="AN65" s="110"/>
      <c r="AO65" s="110"/>
      <c r="AP65" s="110"/>
      <c r="AQ65" s="110"/>
      <c r="AR65" s="52"/>
      <c r="AS65" s="52"/>
      <c r="AT65" s="52"/>
      <c r="AU65" s="52"/>
      <c r="AV65" s="52"/>
      <c r="AW65" s="52"/>
      <c r="AX65" s="52"/>
      <c r="AY65" s="52"/>
      <c r="AZ65" s="52"/>
      <c r="BA65" s="26"/>
      <c r="BB65" s="26"/>
      <c r="BC65" s="26"/>
      <c r="BD65" s="26"/>
      <c r="BE65" s="8"/>
      <c r="BF65" s="8"/>
      <c r="BG65" s="39"/>
      <c r="BH65" s="51"/>
      <c r="BI65" s="52"/>
    </row>
    <row r="66" spans="1:61">
      <c r="A66" s="97"/>
      <c r="B66" s="9">
        <v>2014</v>
      </c>
      <c r="C66" s="93">
        <f>54.51*100000000</f>
        <v>5451000000</v>
      </c>
      <c r="D66" s="93" t="s">
        <v>73</v>
      </c>
      <c r="E66" s="9"/>
      <c r="F66" s="9"/>
      <c r="G66" s="93"/>
      <c r="H66" s="8"/>
      <c r="I66" s="8"/>
      <c r="J66" s="39"/>
      <c r="K66" s="8"/>
      <c r="L66" s="8"/>
      <c r="M66" s="8"/>
      <c r="N66" s="8"/>
      <c r="O66" s="8"/>
      <c r="P66" s="8"/>
      <c r="Q66" s="8"/>
      <c r="R66" s="8"/>
      <c r="S66" s="8"/>
      <c r="T66" s="8"/>
      <c r="U66" s="8"/>
      <c r="V66" s="8"/>
      <c r="W66" s="8"/>
      <c r="X66" s="26"/>
      <c r="Y66" s="26"/>
      <c r="Z66" s="26"/>
      <c r="AA66" s="26"/>
      <c r="AB66" s="26"/>
      <c r="AC66" s="26"/>
      <c r="AD66" s="26"/>
      <c r="AE66" s="26"/>
      <c r="AF66" s="26"/>
      <c r="AG66" s="26"/>
      <c r="AH66" s="26"/>
      <c r="AI66" s="26"/>
      <c r="AJ66" s="41"/>
      <c r="AK66" s="110"/>
      <c r="AL66" s="110"/>
      <c r="AM66" s="110"/>
      <c r="AN66" s="110"/>
      <c r="AO66" s="110"/>
      <c r="AP66" s="110"/>
      <c r="AQ66" s="110"/>
      <c r="AR66" s="52"/>
      <c r="AS66" s="52"/>
      <c r="AT66" s="52"/>
      <c r="AU66" s="52"/>
      <c r="AV66" s="52"/>
      <c r="AW66" s="52"/>
      <c r="AX66" s="52"/>
      <c r="AY66" s="52"/>
      <c r="AZ66" s="52"/>
      <c r="BA66" s="26"/>
      <c r="BB66" s="26"/>
      <c r="BC66" s="26"/>
      <c r="BD66" s="26"/>
      <c r="BE66" s="8"/>
      <c r="BF66" s="8"/>
      <c r="BG66" s="39"/>
      <c r="BH66" s="51"/>
      <c r="BI66" s="52"/>
    </row>
    <row r="67" spans="1:61">
      <c r="A67" s="97"/>
      <c r="B67" s="9">
        <v>2013</v>
      </c>
      <c r="C67" s="93">
        <f>43.82*100000000</f>
        <v>4382000000</v>
      </c>
      <c r="D67" s="9" t="s">
        <v>75</v>
      </c>
      <c r="E67" s="9"/>
      <c r="F67" s="9"/>
      <c r="G67" s="93"/>
      <c r="H67" s="8"/>
      <c r="I67" s="8"/>
      <c r="J67" s="39"/>
      <c r="K67" s="8"/>
      <c r="L67" s="8"/>
      <c r="M67" s="8"/>
      <c r="N67" s="8"/>
      <c r="O67" s="8"/>
      <c r="P67" s="8"/>
      <c r="Q67" s="8"/>
      <c r="R67" s="8"/>
      <c r="S67" s="8"/>
      <c r="T67" s="8"/>
      <c r="U67" s="8"/>
      <c r="V67" s="8"/>
      <c r="W67" s="8"/>
      <c r="X67" s="26"/>
      <c r="Y67" s="26"/>
      <c r="Z67" s="26"/>
      <c r="AA67" s="26"/>
      <c r="AB67" s="26"/>
      <c r="AC67" s="26"/>
      <c r="AD67" s="26"/>
      <c r="AE67" s="26"/>
      <c r="AF67" s="26"/>
      <c r="AG67" s="26"/>
      <c r="AH67" s="26"/>
      <c r="AI67" s="26"/>
      <c r="AJ67" s="41"/>
      <c r="AK67" s="110"/>
      <c r="AL67" s="110"/>
      <c r="AM67" s="110"/>
      <c r="AN67" s="110"/>
      <c r="AO67" s="110"/>
      <c r="AP67" s="110"/>
      <c r="AQ67" s="110"/>
      <c r="AR67" s="52"/>
      <c r="AS67" s="52"/>
      <c r="AT67" s="52"/>
      <c r="AU67" s="52"/>
      <c r="AV67" s="52"/>
      <c r="AW67" s="52"/>
      <c r="AX67" s="52"/>
      <c r="AY67" s="52"/>
      <c r="AZ67" s="52"/>
      <c r="BA67" s="26"/>
      <c r="BB67" s="26"/>
      <c r="BC67" s="26"/>
      <c r="BD67" s="26"/>
      <c r="BE67" s="8"/>
      <c r="BF67" s="8"/>
      <c r="BG67" s="39"/>
      <c r="BH67" s="51"/>
      <c r="BI67" s="52"/>
    </row>
    <row r="68" spans="1:61">
      <c r="A68" s="122"/>
      <c r="B68" s="9">
        <v>2012</v>
      </c>
      <c r="C68" s="93"/>
      <c r="D68" s="9"/>
      <c r="E68" s="9"/>
      <c r="F68" s="9"/>
      <c r="G68" s="93"/>
      <c r="H68" s="8"/>
      <c r="I68" s="8"/>
      <c r="J68" s="39"/>
      <c r="K68" s="8"/>
      <c r="L68" s="8"/>
      <c r="M68" s="8"/>
      <c r="N68" s="8"/>
      <c r="O68" s="8"/>
      <c r="P68" s="8"/>
      <c r="Q68" s="8"/>
      <c r="R68" s="8"/>
      <c r="S68" s="8"/>
      <c r="T68" s="8"/>
      <c r="U68" s="8"/>
      <c r="V68" s="8"/>
      <c r="W68" s="8"/>
      <c r="X68" s="26"/>
      <c r="Y68" s="26"/>
      <c r="Z68" s="26"/>
      <c r="AA68" s="26"/>
      <c r="AB68" s="26"/>
      <c r="AC68" s="26"/>
      <c r="AD68" s="26"/>
      <c r="AE68" s="26"/>
      <c r="AF68" s="26"/>
      <c r="AG68" s="26"/>
      <c r="AH68" s="26"/>
      <c r="AI68" s="26"/>
      <c r="AJ68" s="41"/>
      <c r="AK68" s="110"/>
      <c r="AL68" s="110"/>
      <c r="AM68" s="110"/>
      <c r="AN68" s="110"/>
      <c r="AO68" s="110"/>
      <c r="AP68" s="110"/>
      <c r="AQ68" s="110"/>
      <c r="AR68" s="52"/>
      <c r="AS68" s="52"/>
      <c r="AT68" s="52"/>
      <c r="AU68" s="52"/>
      <c r="AV68" s="52"/>
      <c r="AW68" s="52"/>
      <c r="AX68" s="52"/>
      <c r="AY68" s="52"/>
      <c r="AZ68" s="52"/>
      <c r="BA68" s="26"/>
      <c r="BB68" s="26"/>
      <c r="BC68" s="26"/>
      <c r="BD68" s="26"/>
      <c r="BE68" s="8"/>
      <c r="BF68" s="8"/>
      <c r="BG68" s="39"/>
      <c r="BH68" s="51"/>
      <c r="BI68" s="52"/>
    </row>
    <row r="69" spans="1:61">
      <c r="A69" s="9" t="s">
        <v>80</v>
      </c>
      <c r="B69" s="9">
        <v>2022</v>
      </c>
      <c r="C69" s="93"/>
      <c r="D69" s="9"/>
      <c r="E69" s="9"/>
      <c r="F69" s="9"/>
      <c r="G69" s="93"/>
      <c r="H69" s="8"/>
      <c r="I69" s="8"/>
      <c r="J69" s="39"/>
      <c r="K69" s="8"/>
      <c r="L69" s="8"/>
      <c r="M69" s="8"/>
      <c r="N69" s="8"/>
      <c r="O69" s="8"/>
      <c r="P69" s="8"/>
      <c r="Q69" s="8"/>
      <c r="R69" s="8"/>
      <c r="S69" s="8"/>
      <c r="T69" s="8"/>
      <c r="U69" s="8"/>
      <c r="V69" s="8"/>
      <c r="W69" s="8"/>
      <c r="X69" s="26"/>
      <c r="Y69" s="26"/>
      <c r="Z69" s="26"/>
      <c r="AA69" s="26"/>
      <c r="AB69" s="26"/>
      <c r="AC69" s="26"/>
      <c r="AD69" s="26"/>
      <c r="AE69" s="26"/>
      <c r="AF69" s="26"/>
      <c r="AG69" s="26"/>
      <c r="AH69" s="26"/>
      <c r="AI69" s="26"/>
      <c r="AJ69" s="41"/>
      <c r="AK69" s="110"/>
      <c r="AL69" s="110"/>
      <c r="AM69" s="110"/>
      <c r="AN69" s="110"/>
      <c r="AO69" s="110"/>
      <c r="AP69" s="110"/>
      <c r="AQ69" s="110"/>
      <c r="AR69" s="52"/>
      <c r="AS69" s="52"/>
      <c r="AT69" s="52"/>
      <c r="AU69" s="52"/>
      <c r="AV69" s="52"/>
      <c r="AW69" s="52"/>
      <c r="AX69" s="52"/>
      <c r="AY69" s="52"/>
      <c r="AZ69" s="52"/>
      <c r="BA69" s="26"/>
      <c r="BB69" s="26"/>
      <c r="BC69" s="26"/>
      <c r="BD69" s="26"/>
      <c r="BE69" s="8"/>
      <c r="BF69" s="8"/>
      <c r="BG69" s="39"/>
      <c r="BH69" s="51"/>
      <c r="BI69" s="52"/>
    </row>
    <row r="70" spans="1:61">
      <c r="A70" s="9"/>
      <c r="B70" s="9">
        <v>2021</v>
      </c>
      <c r="C70" s="93"/>
      <c r="D70" s="9"/>
      <c r="E70" s="9"/>
      <c r="F70" s="9"/>
      <c r="G70" s="93"/>
      <c r="H70" s="8"/>
      <c r="I70" s="8"/>
      <c r="J70" s="39"/>
      <c r="K70" s="8"/>
      <c r="L70" s="8"/>
      <c r="M70" s="8"/>
      <c r="N70" s="8"/>
      <c r="O70" s="8"/>
      <c r="P70" s="8"/>
      <c r="Q70" s="8"/>
      <c r="R70" s="8"/>
      <c r="S70" s="8"/>
      <c r="T70" s="8"/>
      <c r="U70" s="8"/>
      <c r="V70" s="8"/>
      <c r="W70" s="8"/>
      <c r="X70" s="26"/>
      <c r="Y70" s="26"/>
      <c r="Z70" s="26"/>
      <c r="AA70" s="26"/>
      <c r="AB70" s="26"/>
      <c r="AC70" s="26"/>
      <c r="AD70" s="26"/>
      <c r="AE70" s="26"/>
      <c r="AF70" s="26"/>
      <c r="AG70" s="26"/>
      <c r="AH70" s="26"/>
      <c r="AI70" s="26"/>
      <c r="AJ70" s="41"/>
      <c r="AK70" s="110"/>
      <c r="AL70" s="110"/>
      <c r="AM70" s="110"/>
      <c r="AN70" s="110"/>
      <c r="AO70" s="110"/>
      <c r="AP70" s="110"/>
      <c r="AQ70" s="110"/>
      <c r="AR70" s="52"/>
      <c r="AS70" s="52"/>
      <c r="AT70" s="52"/>
      <c r="AU70" s="52"/>
      <c r="AV70" s="52"/>
      <c r="AW70" s="52"/>
      <c r="AX70" s="52"/>
      <c r="AY70" s="52"/>
      <c r="AZ70" s="52"/>
      <c r="BA70" s="26"/>
      <c r="BB70" s="26"/>
      <c r="BC70" s="26"/>
      <c r="BD70" s="26"/>
      <c r="BE70" s="8"/>
      <c r="BF70" s="8"/>
      <c r="BG70" s="39"/>
      <c r="BH70" s="51"/>
      <c r="BI70" s="52"/>
    </row>
    <row r="71" spans="1:61">
      <c r="A71" s="9"/>
      <c r="B71" s="9">
        <v>2020</v>
      </c>
      <c r="C71" s="93"/>
      <c r="D71" s="9"/>
      <c r="E71" s="9"/>
      <c r="F71" s="9"/>
      <c r="G71" s="93"/>
      <c r="H71" s="8"/>
      <c r="I71" s="8"/>
      <c r="J71" s="39"/>
      <c r="K71" s="8"/>
      <c r="L71" s="8"/>
      <c r="M71" s="8"/>
      <c r="N71" s="8"/>
      <c r="O71" s="8"/>
      <c r="P71" s="8"/>
      <c r="Q71" s="8"/>
      <c r="R71" s="8"/>
      <c r="S71" s="8"/>
      <c r="T71" s="8"/>
      <c r="U71" s="8"/>
      <c r="V71" s="8"/>
      <c r="W71" s="8"/>
      <c r="X71" s="26"/>
      <c r="Y71" s="26"/>
      <c r="Z71" s="26"/>
      <c r="AA71" s="26"/>
      <c r="AB71" s="26"/>
      <c r="AC71" s="26"/>
      <c r="AD71" s="26"/>
      <c r="AE71" s="26"/>
      <c r="AF71" s="26"/>
      <c r="AG71" s="26"/>
      <c r="AH71" s="26"/>
      <c r="AI71" s="26"/>
      <c r="AJ71" s="41"/>
      <c r="AK71" s="110"/>
      <c r="AL71" s="110"/>
      <c r="AM71" s="110"/>
      <c r="AN71" s="110"/>
      <c r="AO71" s="110"/>
      <c r="AP71" s="110"/>
      <c r="AQ71" s="110"/>
      <c r="AR71" s="52"/>
      <c r="AS71" s="52"/>
      <c r="AT71" s="52"/>
      <c r="AU71" s="52"/>
      <c r="AV71" s="52"/>
      <c r="AW71" s="52"/>
      <c r="AX71" s="52"/>
      <c r="AY71" s="52"/>
      <c r="AZ71" s="52"/>
      <c r="BA71" s="26"/>
      <c r="BB71" s="26"/>
      <c r="BC71" s="26"/>
      <c r="BD71" s="26"/>
      <c r="BE71" s="8"/>
      <c r="BF71" s="8"/>
      <c r="BG71" s="39"/>
      <c r="BH71" s="51"/>
      <c r="BI71" s="52"/>
    </row>
    <row r="72" spans="1:61">
      <c r="A72" s="9"/>
      <c r="B72" s="9">
        <v>2019</v>
      </c>
      <c r="C72" s="93"/>
      <c r="D72" s="9"/>
      <c r="E72" s="9"/>
      <c r="F72" s="9"/>
      <c r="G72" s="93"/>
      <c r="H72" s="8"/>
      <c r="I72" s="8"/>
      <c r="J72" s="39"/>
      <c r="K72" s="8"/>
      <c r="L72" s="8"/>
      <c r="M72" s="8"/>
      <c r="N72" s="8"/>
      <c r="O72" s="8"/>
      <c r="P72" s="8"/>
      <c r="Q72" s="8"/>
      <c r="R72" s="8"/>
      <c r="S72" s="8"/>
      <c r="T72" s="8"/>
      <c r="U72" s="8"/>
      <c r="V72" s="8"/>
      <c r="W72" s="8"/>
      <c r="X72" s="26"/>
      <c r="Y72" s="26"/>
      <c r="Z72" s="26"/>
      <c r="AA72" s="26"/>
      <c r="AB72" s="26"/>
      <c r="AC72" s="26"/>
      <c r="AD72" s="26"/>
      <c r="AE72" s="26"/>
      <c r="AF72" s="26"/>
      <c r="AG72" s="26"/>
      <c r="AH72" s="26"/>
      <c r="AI72" s="26"/>
      <c r="AJ72" s="41"/>
      <c r="AK72" s="110"/>
      <c r="AL72" s="110"/>
      <c r="AM72" s="110"/>
      <c r="AN72" s="110"/>
      <c r="AO72" s="110"/>
      <c r="AP72" s="110"/>
      <c r="AQ72" s="110"/>
      <c r="AR72" s="52"/>
      <c r="AS72" s="52"/>
      <c r="AT72" s="52"/>
      <c r="AU72" s="52"/>
      <c r="AV72" s="52"/>
      <c r="AW72" s="52"/>
      <c r="AX72" s="52"/>
      <c r="AY72" s="52"/>
      <c r="AZ72" s="52"/>
      <c r="BA72" s="26"/>
      <c r="BB72" s="26"/>
      <c r="BC72" s="26"/>
      <c r="BD72" s="26"/>
      <c r="BE72" s="8"/>
      <c r="BF72" s="8"/>
      <c r="BG72" s="39"/>
      <c r="BH72" s="51"/>
      <c r="BI72" s="52"/>
    </row>
    <row r="73" spans="1:61">
      <c r="A73" s="9"/>
      <c r="B73" s="9">
        <v>2018</v>
      </c>
      <c r="C73" s="93"/>
      <c r="D73" s="9"/>
      <c r="E73" s="9"/>
      <c r="F73" s="9"/>
      <c r="G73" s="93"/>
      <c r="H73" s="8"/>
      <c r="I73" s="8"/>
      <c r="J73" s="39"/>
      <c r="K73" s="8"/>
      <c r="L73" s="8"/>
      <c r="M73" s="8"/>
      <c r="N73" s="8"/>
      <c r="O73" s="8"/>
      <c r="P73" s="8"/>
      <c r="Q73" s="8"/>
      <c r="R73" s="8"/>
      <c r="S73" s="8"/>
      <c r="T73" s="8"/>
      <c r="U73" s="8"/>
      <c r="V73" s="8"/>
      <c r="W73" s="8"/>
      <c r="X73" s="26"/>
      <c r="Y73" s="26"/>
      <c r="Z73" s="26"/>
      <c r="AA73" s="26"/>
      <c r="AB73" s="26"/>
      <c r="AC73" s="26"/>
      <c r="AD73" s="26"/>
      <c r="AE73" s="26"/>
      <c r="AF73" s="26"/>
      <c r="AG73" s="26"/>
      <c r="AH73" s="26"/>
      <c r="AI73" s="26"/>
      <c r="AJ73" s="41"/>
      <c r="AK73" s="110"/>
      <c r="AL73" s="110"/>
      <c r="AM73" s="110"/>
      <c r="AN73" s="110"/>
      <c r="AO73" s="110"/>
      <c r="AP73" s="110"/>
      <c r="AQ73" s="110"/>
      <c r="AR73" s="52"/>
      <c r="AS73" s="52"/>
      <c r="AT73" s="52"/>
      <c r="AU73" s="52"/>
      <c r="AV73" s="52"/>
      <c r="AW73" s="52"/>
      <c r="AX73" s="52"/>
      <c r="AY73" s="52"/>
      <c r="AZ73" s="52"/>
      <c r="BA73" s="26"/>
      <c r="BB73" s="26"/>
      <c r="BC73" s="26"/>
      <c r="BD73" s="26"/>
      <c r="BE73" s="8"/>
      <c r="BF73" s="8"/>
      <c r="BG73" s="39"/>
      <c r="BH73" s="51"/>
      <c r="BI73" s="52"/>
    </row>
    <row r="74" spans="1:61">
      <c r="A74" s="9"/>
      <c r="B74" s="9">
        <v>2017</v>
      </c>
      <c r="C74" s="93"/>
      <c r="D74" s="9"/>
      <c r="E74" s="9"/>
      <c r="F74" s="9"/>
      <c r="G74" s="93"/>
      <c r="H74" s="8"/>
      <c r="I74" s="8"/>
      <c r="J74" s="39"/>
      <c r="K74" s="8"/>
      <c r="L74" s="8"/>
      <c r="M74" s="8"/>
      <c r="N74" s="8"/>
      <c r="O74" s="8"/>
      <c r="P74" s="8"/>
      <c r="Q74" s="8"/>
      <c r="R74" s="8"/>
      <c r="S74" s="8"/>
      <c r="T74" s="8"/>
      <c r="U74" s="8"/>
      <c r="V74" s="8"/>
      <c r="W74" s="8"/>
      <c r="X74" s="26"/>
      <c r="Y74" s="26"/>
      <c r="Z74" s="26"/>
      <c r="AA74" s="26"/>
      <c r="AB74" s="26"/>
      <c r="AC74" s="26"/>
      <c r="AD74" s="26"/>
      <c r="AE74" s="26"/>
      <c r="AF74" s="26"/>
      <c r="AG74" s="26"/>
      <c r="AH74" s="26"/>
      <c r="AI74" s="26"/>
      <c r="AJ74" s="41"/>
      <c r="AK74" s="110"/>
      <c r="AL74" s="110"/>
      <c r="AM74" s="110"/>
      <c r="AN74" s="110"/>
      <c r="AO74" s="110"/>
      <c r="AP74" s="110"/>
      <c r="AQ74" s="110"/>
      <c r="AR74" s="52"/>
      <c r="AS74" s="52"/>
      <c r="AT74" s="52"/>
      <c r="AU74" s="52"/>
      <c r="AV74" s="52"/>
      <c r="AW74" s="52"/>
      <c r="AX74" s="52"/>
      <c r="AY74" s="52"/>
      <c r="AZ74" s="52"/>
      <c r="BA74" s="26"/>
      <c r="BB74" s="26"/>
      <c r="BC74" s="26"/>
      <c r="BD74" s="26"/>
      <c r="BE74" s="8"/>
      <c r="BF74" s="8"/>
      <c r="BG74" s="39"/>
      <c r="BH74" s="51"/>
      <c r="BI74" s="52"/>
    </row>
    <row r="75" spans="1:61">
      <c r="A75" s="9"/>
      <c r="B75" s="9">
        <v>2016</v>
      </c>
      <c r="C75" s="93"/>
      <c r="D75" s="9"/>
      <c r="E75" s="9"/>
      <c r="F75" s="9"/>
      <c r="G75" s="93"/>
      <c r="H75" s="8"/>
      <c r="I75" s="8"/>
      <c r="J75" s="39"/>
      <c r="K75" s="8"/>
      <c r="L75" s="8"/>
      <c r="M75" s="8"/>
      <c r="N75" s="8"/>
      <c r="O75" s="8"/>
      <c r="P75" s="8"/>
      <c r="Q75" s="8"/>
      <c r="R75" s="8"/>
      <c r="S75" s="8"/>
      <c r="T75" s="8"/>
      <c r="U75" s="8"/>
      <c r="V75" s="8"/>
      <c r="W75" s="8"/>
      <c r="X75" s="26"/>
      <c r="Y75" s="26"/>
      <c r="Z75" s="26"/>
      <c r="AA75" s="26"/>
      <c r="AB75" s="26"/>
      <c r="AC75" s="26"/>
      <c r="AD75" s="26"/>
      <c r="AE75" s="26"/>
      <c r="AF75" s="26"/>
      <c r="AG75" s="26"/>
      <c r="AH75" s="26"/>
      <c r="AI75" s="26"/>
      <c r="AJ75" s="41"/>
      <c r="AK75" s="110"/>
      <c r="AL75" s="110"/>
      <c r="AM75" s="110"/>
      <c r="AN75" s="110"/>
      <c r="AO75" s="110"/>
      <c r="AP75" s="110"/>
      <c r="AQ75" s="110"/>
      <c r="AR75" s="52"/>
      <c r="AS75" s="52"/>
      <c r="AT75" s="52"/>
      <c r="AU75" s="52"/>
      <c r="AV75" s="52"/>
      <c r="AW75" s="52"/>
      <c r="AX75" s="52"/>
      <c r="AY75" s="52"/>
      <c r="AZ75" s="52"/>
      <c r="BA75" s="26"/>
      <c r="BB75" s="26"/>
      <c r="BC75" s="26"/>
      <c r="BD75" s="26"/>
      <c r="BE75" s="8"/>
      <c r="BF75" s="8"/>
      <c r="BG75" s="39"/>
      <c r="BH75" s="51"/>
      <c r="BI75" s="52"/>
    </row>
    <row r="76" spans="1:61">
      <c r="A76" s="9"/>
      <c r="B76" s="9">
        <v>2015</v>
      </c>
      <c r="C76" s="93"/>
      <c r="D76" s="9"/>
      <c r="E76" s="9"/>
      <c r="F76" s="9"/>
      <c r="G76" s="93"/>
      <c r="H76" s="8"/>
      <c r="I76" s="8"/>
      <c r="J76" s="39"/>
      <c r="K76" s="8"/>
      <c r="L76" s="8"/>
      <c r="M76" s="8"/>
      <c r="N76" s="8"/>
      <c r="O76" s="8"/>
      <c r="P76" s="8"/>
      <c r="Q76" s="8"/>
      <c r="R76" s="8"/>
      <c r="S76" s="8"/>
      <c r="T76" s="8"/>
      <c r="U76" s="8"/>
      <c r="V76" s="8"/>
      <c r="W76" s="8"/>
      <c r="X76" s="26"/>
      <c r="Y76" s="26"/>
      <c r="Z76" s="26"/>
      <c r="AA76" s="26"/>
      <c r="AB76" s="26"/>
      <c r="AC76" s="26"/>
      <c r="AD76" s="26"/>
      <c r="AE76" s="26"/>
      <c r="AF76" s="26"/>
      <c r="AG76" s="26"/>
      <c r="AH76" s="26"/>
      <c r="AI76" s="26"/>
      <c r="AJ76" s="41"/>
      <c r="AK76" s="110"/>
      <c r="AL76" s="110"/>
      <c r="AM76" s="110"/>
      <c r="AN76" s="110"/>
      <c r="AO76" s="110"/>
      <c r="AP76" s="110"/>
      <c r="AQ76" s="110"/>
      <c r="AR76" s="52"/>
      <c r="AS76" s="52"/>
      <c r="AT76" s="52"/>
      <c r="AU76" s="52"/>
      <c r="AV76" s="52"/>
      <c r="AW76" s="52"/>
      <c r="AX76" s="52"/>
      <c r="AY76" s="52"/>
      <c r="AZ76" s="52"/>
      <c r="BA76" s="26"/>
      <c r="BB76" s="26"/>
      <c r="BC76" s="26"/>
      <c r="BD76" s="26"/>
      <c r="BE76" s="8"/>
      <c r="BF76" s="8"/>
      <c r="BG76" s="39"/>
      <c r="BH76" s="51"/>
      <c r="BI76" s="52"/>
    </row>
    <row r="77" spans="1:61">
      <c r="A77" s="9"/>
      <c r="B77" s="9">
        <v>2014</v>
      </c>
      <c r="C77" s="93"/>
      <c r="D77" s="9"/>
      <c r="E77" s="9"/>
      <c r="F77" s="9"/>
      <c r="G77" s="93"/>
      <c r="H77" s="8"/>
      <c r="I77" s="8"/>
      <c r="J77" s="39"/>
      <c r="K77" s="8"/>
      <c r="L77" s="8"/>
      <c r="M77" s="8"/>
      <c r="N77" s="8"/>
      <c r="O77" s="8"/>
      <c r="P77" s="8"/>
      <c r="Q77" s="8"/>
      <c r="R77" s="8"/>
      <c r="S77" s="8"/>
      <c r="T77" s="8"/>
      <c r="U77" s="8"/>
      <c r="V77" s="8"/>
      <c r="W77" s="8"/>
      <c r="X77" s="26"/>
      <c r="Y77" s="26"/>
      <c r="Z77" s="26"/>
      <c r="AA77" s="26"/>
      <c r="AB77" s="26"/>
      <c r="AC77" s="26"/>
      <c r="AD77" s="26"/>
      <c r="AE77" s="26"/>
      <c r="AF77" s="26"/>
      <c r="AG77" s="26"/>
      <c r="AH77" s="26"/>
      <c r="AI77" s="26"/>
      <c r="AJ77" s="41"/>
      <c r="AK77" s="110"/>
      <c r="AL77" s="110"/>
      <c r="AM77" s="110"/>
      <c r="AN77" s="110"/>
      <c r="AO77" s="110"/>
      <c r="AP77" s="110"/>
      <c r="AQ77" s="110"/>
      <c r="AR77" s="52"/>
      <c r="AS77" s="52"/>
      <c r="AT77" s="52"/>
      <c r="AU77" s="52"/>
      <c r="AV77" s="52"/>
      <c r="AW77" s="52"/>
      <c r="AX77" s="52"/>
      <c r="AY77" s="52"/>
      <c r="AZ77" s="52"/>
      <c r="BA77" s="26"/>
      <c r="BB77" s="26"/>
      <c r="BC77" s="26"/>
      <c r="BD77" s="26"/>
      <c r="BE77" s="8"/>
      <c r="BF77" s="8"/>
      <c r="BG77" s="39"/>
      <c r="BH77" s="51"/>
      <c r="BI77" s="52"/>
    </row>
    <row r="78" spans="1:61">
      <c r="A78" s="9"/>
      <c r="B78" s="9">
        <v>2013</v>
      </c>
      <c r="C78" s="93"/>
      <c r="D78" s="9"/>
      <c r="E78" s="9"/>
      <c r="F78" s="9"/>
      <c r="G78" s="93"/>
      <c r="H78" s="8"/>
      <c r="I78" s="8"/>
      <c r="J78" s="39"/>
      <c r="K78" s="8"/>
      <c r="L78" s="8"/>
      <c r="M78" s="8"/>
      <c r="N78" s="8"/>
      <c r="O78" s="8"/>
      <c r="P78" s="8"/>
      <c r="Q78" s="8"/>
      <c r="R78" s="8"/>
      <c r="S78" s="8"/>
      <c r="T78" s="8"/>
      <c r="U78" s="8"/>
      <c r="V78" s="8"/>
      <c r="W78" s="8"/>
      <c r="X78" s="26"/>
      <c r="Y78" s="26"/>
      <c r="Z78" s="26"/>
      <c r="AA78" s="26"/>
      <c r="AB78" s="26"/>
      <c r="AC78" s="26"/>
      <c r="AD78" s="26"/>
      <c r="AE78" s="26"/>
      <c r="AF78" s="26"/>
      <c r="AG78" s="26"/>
      <c r="AH78" s="26"/>
      <c r="AI78" s="26"/>
      <c r="AJ78" s="41"/>
      <c r="AK78" s="110"/>
      <c r="AL78" s="110"/>
      <c r="AM78" s="110"/>
      <c r="AN78" s="110"/>
      <c r="AO78" s="110"/>
      <c r="AP78" s="110"/>
      <c r="AQ78" s="110"/>
      <c r="AR78" s="52"/>
      <c r="AS78" s="52"/>
      <c r="AT78" s="52"/>
      <c r="AU78" s="52"/>
      <c r="AV78" s="52"/>
      <c r="AW78" s="52"/>
      <c r="AX78" s="52"/>
      <c r="AY78" s="52"/>
      <c r="AZ78" s="52"/>
      <c r="BA78" s="26"/>
      <c r="BB78" s="26"/>
      <c r="BC78" s="26"/>
      <c r="BD78" s="26"/>
      <c r="BE78" s="8"/>
      <c r="BF78" s="8"/>
      <c r="BG78" s="39"/>
      <c r="BH78" s="51"/>
      <c r="BI78" s="52"/>
    </row>
    <row r="79" spans="1:61">
      <c r="A79" s="9"/>
      <c r="B79" s="9">
        <v>2012</v>
      </c>
      <c r="C79" s="93"/>
      <c r="D79" s="9"/>
      <c r="E79" s="9"/>
      <c r="F79" s="9"/>
      <c r="G79" s="93"/>
      <c r="H79" s="8"/>
      <c r="I79" s="8"/>
      <c r="J79" s="39"/>
      <c r="K79" s="8"/>
      <c r="L79" s="8"/>
      <c r="M79" s="8"/>
      <c r="N79" s="8"/>
      <c r="O79" s="8"/>
      <c r="P79" s="8"/>
      <c r="Q79" s="8"/>
      <c r="R79" s="8"/>
      <c r="S79" s="8"/>
      <c r="T79" s="8"/>
      <c r="U79" s="8"/>
      <c r="V79" s="8"/>
      <c r="W79" s="8"/>
      <c r="X79" s="26"/>
      <c r="Y79" s="26"/>
      <c r="Z79" s="26"/>
      <c r="AA79" s="26"/>
      <c r="AB79" s="26"/>
      <c r="AC79" s="26"/>
      <c r="AD79" s="26"/>
      <c r="AE79" s="26"/>
      <c r="AF79" s="26"/>
      <c r="AG79" s="26"/>
      <c r="AH79" s="26"/>
      <c r="AI79" s="26"/>
      <c r="AJ79" s="41"/>
      <c r="AK79" s="110"/>
      <c r="AL79" s="110"/>
      <c r="AM79" s="110"/>
      <c r="AN79" s="110"/>
      <c r="AO79" s="110"/>
      <c r="AP79" s="110"/>
      <c r="AQ79" s="110"/>
      <c r="AR79" s="52"/>
      <c r="AS79" s="52"/>
      <c r="AT79" s="52"/>
      <c r="AU79" s="52"/>
      <c r="AV79" s="52"/>
      <c r="AW79" s="52"/>
      <c r="AX79" s="52"/>
      <c r="AY79" s="52"/>
      <c r="AZ79" s="52"/>
      <c r="BA79" s="26"/>
      <c r="BB79" s="26"/>
      <c r="BC79" s="26"/>
      <c r="BD79" s="26"/>
      <c r="BE79" s="8"/>
      <c r="BF79" s="8"/>
      <c r="BG79" s="39"/>
      <c r="BH79" s="51"/>
      <c r="BI79" s="52"/>
    </row>
    <row r="80" spans="1:61">
      <c r="A80" s="9" t="s">
        <v>81</v>
      </c>
      <c r="B80" s="9">
        <v>2022</v>
      </c>
      <c r="C80" s="93"/>
      <c r="D80" s="9"/>
      <c r="E80" s="9"/>
      <c r="F80" s="9"/>
      <c r="G80" s="93"/>
      <c r="H80" s="8"/>
      <c r="I80" s="8"/>
      <c r="J80" s="39"/>
      <c r="K80" s="8"/>
      <c r="L80" s="8"/>
      <c r="M80" s="8"/>
      <c r="N80" s="8"/>
      <c r="O80" s="8"/>
      <c r="P80" s="8"/>
      <c r="Q80" s="8"/>
      <c r="R80" s="8"/>
      <c r="S80" s="8"/>
      <c r="T80" s="8"/>
      <c r="U80" s="8"/>
      <c r="V80" s="8"/>
      <c r="W80" s="8"/>
      <c r="X80" s="26"/>
      <c r="Y80" s="26"/>
      <c r="Z80" s="26"/>
      <c r="AA80" s="26"/>
      <c r="AB80" s="26"/>
      <c r="AC80" s="26"/>
      <c r="AD80" s="26"/>
      <c r="AE80" s="26"/>
      <c r="AF80" s="26"/>
      <c r="AG80" s="26"/>
      <c r="AH80" s="26"/>
      <c r="AI80" s="26"/>
      <c r="AJ80" s="41"/>
      <c r="AK80" s="110"/>
      <c r="AL80" s="110"/>
      <c r="AM80" s="110"/>
      <c r="AN80" s="110"/>
      <c r="AO80" s="110"/>
      <c r="AP80" s="110"/>
      <c r="AQ80" s="110"/>
      <c r="AR80" s="52"/>
      <c r="AS80" s="52"/>
      <c r="AT80" s="52"/>
      <c r="AU80" s="52"/>
      <c r="AV80" s="52"/>
      <c r="AW80" s="52"/>
      <c r="AX80" s="52"/>
      <c r="AY80" s="52"/>
      <c r="AZ80" s="52"/>
      <c r="BA80" s="26"/>
      <c r="BB80" s="26"/>
      <c r="BC80" s="26"/>
      <c r="BD80" s="26"/>
      <c r="BE80" s="8"/>
      <c r="BF80" s="8"/>
      <c r="BG80" s="39"/>
      <c r="BH80" s="51"/>
      <c r="BI80" s="52"/>
    </row>
    <row r="81" spans="1:61">
      <c r="A81" s="9"/>
      <c r="B81" s="9">
        <v>2021</v>
      </c>
      <c r="C81" s="93"/>
      <c r="D81" s="9"/>
      <c r="E81" s="9"/>
      <c r="F81" s="9"/>
      <c r="G81" s="93"/>
      <c r="H81" s="8"/>
      <c r="I81" s="8"/>
      <c r="J81" s="39"/>
      <c r="K81" s="8"/>
      <c r="L81" s="8"/>
      <c r="M81" s="8"/>
      <c r="N81" s="8"/>
      <c r="O81" s="8"/>
      <c r="P81" s="8"/>
      <c r="Q81" s="8"/>
      <c r="R81" s="8"/>
      <c r="S81" s="8"/>
      <c r="T81" s="8"/>
      <c r="U81" s="8"/>
      <c r="V81" s="8"/>
      <c r="W81" s="8"/>
      <c r="X81" s="26"/>
      <c r="Y81" s="26"/>
      <c r="Z81" s="26"/>
      <c r="AA81" s="26"/>
      <c r="AB81" s="26"/>
      <c r="AC81" s="26"/>
      <c r="AD81" s="26"/>
      <c r="AE81" s="26"/>
      <c r="AF81" s="26"/>
      <c r="AG81" s="26"/>
      <c r="AH81" s="26"/>
      <c r="AI81" s="26"/>
      <c r="AJ81" s="41"/>
      <c r="AK81" s="110"/>
      <c r="AL81" s="110"/>
      <c r="AM81" s="110"/>
      <c r="AN81" s="110"/>
      <c r="AO81" s="110"/>
      <c r="AP81" s="110"/>
      <c r="AQ81" s="110"/>
      <c r="AR81" s="52"/>
      <c r="AS81" s="52"/>
      <c r="AT81" s="52"/>
      <c r="AU81" s="52"/>
      <c r="AV81" s="52"/>
      <c r="AW81" s="52"/>
      <c r="AX81" s="52"/>
      <c r="AY81" s="52"/>
      <c r="AZ81" s="52"/>
      <c r="BA81" s="26"/>
      <c r="BB81" s="26"/>
      <c r="BC81" s="26"/>
      <c r="BD81" s="26"/>
      <c r="BE81" s="8"/>
      <c r="BF81" s="8"/>
      <c r="BG81" s="39"/>
      <c r="BH81" s="51"/>
      <c r="BI81" s="52"/>
    </row>
    <row r="82" spans="1:61">
      <c r="A82" s="9"/>
      <c r="B82" s="9">
        <v>2020</v>
      </c>
      <c r="C82" s="93"/>
      <c r="D82" s="9"/>
      <c r="E82" s="9"/>
      <c r="F82" s="9"/>
      <c r="G82" s="93"/>
      <c r="H82" s="8"/>
      <c r="I82" s="8"/>
      <c r="J82" s="39"/>
      <c r="K82" s="8"/>
      <c r="L82" s="8"/>
      <c r="M82" s="8"/>
      <c r="N82" s="8"/>
      <c r="O82" s="8"/>
      <c r="P82" s="8"/>
      <c r="Q82" s="8"/>
      <c r="R82" s="8"/>
      <c r="S82" s="8"/>
      <c r="T82" s="8"/>
      <c r="U82" s="8"/>
      <c r="V82" s="8"/>
      <c r="W82" s="8"/>
      <c r="X82" s="26"/>
      <c r="Y82" s="26"/>
      <c r="Z82" s="26"/>
      <c r="AA82" s="26"/>
      <c r="AB82" s="26"/>
      <c r="AC82" s="26"/>
      <c r="AD82" s="26"/>
      <c r="AE82" s="26"/>
      <c r="AF82" s="26"/>
      <c r="AG82" s="26"/>
      <c r="AH82" s="26"/>
      <c r="AI82" s="26"/>
      <c r="AJ82" s="41"/>
      <c r="AK82" s="110"/>
      <c r="AL82" s="110"/>
      <c r="AM82" s="110"/>
      <c r="AN82" s="110"/>
      <c r="AO82" s="110"/>
      <c r="AP82" s="110"/>
      <c r="AQ82" s="110"/>
      <c r="AR82" s="52"/>
      <c r="AS82" s="52"/>
      <c r="AT82" s="52"/>
      <c r="AU82" s="52"/>
      <c r="AV82" s="52"/>
      <c r="AW82" s="52"/>
      <c r="AX82" s="52"/>
      <c r="AY82" s="52"/>
      <c r="AZ82" s="52"/>
      <c r="BA82" s="26"/>
      <c r="BB82" s="26"/>
      <c r="BC82" s="26"/>
      <c r="BD82" s="26"/>
      <c r="BE82" s="8"/>
      <c r="BF82" s="8"/>
      <c r="BG82" s="39"/>
      <c r="BH82" s="51"/>
      <c r="BI82" s="52"/>
    </row>
    <row r="83" spans="1:61">
      <c r="A83" s="9"/>
      <c r="B83" s="9">
        <v>2019</v>
      </c>
      <c r="C83" s="93"/>
      <c r="D83" s="9"/>
      <c r="E83" s="9"/>
      <c r="F83" s="9"/>
      <c r="G83" s="93"/>
      <c r="H83" s="8"/>
      <c r="I83" s="8"/>
      <c r="J83" s="39"/>
      <c r="K83" s="8"/>
      <c r="L83" s="8"/>
      <c r="M83" s="8"/>
      <c r="N83" s="8"/>
      <c r="O83" s="8"/>
      <c r="P83" s="8"/>
      <c r="Q83" s="8"/>
      <c r="R83" s="8"/>
      <c r="S83" s="8"/>
      <c r="T83" s="8"/>
      <c r="U83" s="8"/>
      <c r="V83" s="8"/>
      <c r="W83" s="8"/>
      <c r="X83" s="26"/>
      <c r="Y83" s="26"/>
      <c r="Z83" s="26"/>
      <c r="AA83" s="26"/>
      <c r="AB83" s="26"/>
      <c r="AC83" s="26"/>
      <c r="AD83" s="26"/>
      <c r="AE83" s="26"/>
      <c r="AF83" s="26"/>
      <c r="AG83" s="26"/>
      <c r="AH83" s="26"/>
      <c r="AI83" s="26"/>
      <c r="AJ83" s="41"/>
      <c r="AK83" s="110"/>
      <c r="AL83" s="110"/>
      <c r="AM83" s="110"/>
      <c r="AN83" s="110"/>
      <c r="AO83" s="110"/>
      <c r="AP83" s="110"/>
      <c r="AQ83" s="110"/>
      <c r="AR83" s="52"/>
      <c r="AS83" s="52"/>
      <c r="AT83" s="52"/>
      <c r="AU83" s="52"/>
      <c r="AV83" s="52"/>
      <c r="AW83" s="52"/>
      <c r="AX83" s="52"/>
      <c r="AY83" s="52"/>
      <c r="AZ83" s="52"/>
      <c r="BA83" s="26"/>
      <c r="BB83" s="26"/>
      <c r="BC83" s="26"/>
      <c r="BD83" s="26"/>
      <c r="BE83" s="8"/>
      <c r="BF83" s="8"/>
      <c r="BG83" s="39"/>
      <c r="BH83" s="123"/>
      <c r="BI83" s="52"/>
    </row>
    <row r="84" spans="1:61">
      <c r="A84" s="9"/>
      <c r="B84" s="9">
        <v>2018</v>
      </c>
      <c r="C84" s="93"/>
      <c r="D84" s="9"/>
      <c r="E84" s="9"/>
      <c r="F84" s="9"/>
      <c r="G84" s="93"/>
      <c r="H84" s="8"/>
      <c r="I84" s="8"/>
      <c r="J84" s="39"/>
      <c r="K84" s="8"/>
      <c r="L84" s="8"/>
      <c r="M84" s="8"/>
      <c r="N84" s="8"/>
      <c r="O84" s="8"/>
      <c r="P84" s="8"/>
      <c r="Q84" s="8"/>
      <c r="R84" s="8"/>
      <c r="S84" s="8"/>
      <c r="T84" s="8"/>
      <c r="U84" s="8"/>
      <c r="V84" s="8"/>
      <c r="W84" s="8"/>
      <c r="X84" s="26"/>
      <c r="Y84" s="26"/>
      <c r="Z84" s="26"/>
      <c r="AA84" s="26"/>
      <c r="AB84" s="26"/>
      <c r="AC84" s="26"/>
      <c r="AD84" s="26"/>
      <c r="AE84" s="26"/>
      <c r="AF84" s="26"/>
      <c r="AG84" s="26"/>
      <c r="AH84" s="26"/>
      <c r="AI84" s="26"/>
      <c r="AJ84" s="41"/>
      <c r="AK84" s="110"/>
      <c r="AL84" s="110"/>
      <c r="AM84" s="110"/>
      <c r="AN84" s="110"/>
      <c r="AO84" s="110"/>
      <c r="AP84" s="110"/>
      <c r="AQ84" s="110"/>
      <c r="AR84" s="52"/>
      <c r="AS84" s="52"/>
      <c r="AT84" s="52"/>
      <c r="AU84" s="52"/>
      <c r="AV84" s="52"/>
      <c r="AW84" s="52"/>
      <c r="AX84" s="52"/>
      <c r="AY84" s="52"/>
      <c r="AZ84" s="52"/>
      <c r="BA84" s="26"/>
      <c r="BB84" s="26"/>
      <c r="BC84" s="26"/>
      <c r="BD84" s="26"/>
      <c r="BE84" s="8"/>
      <c r="BF84" s="8"/>
      <c r="BG84" s="39"/>
      <c r="BH84" s="123"/>
      <c r="BI84" s="52"/>
    </row>
    <row r="85" spans="1:61">
      <c r="A85" s="9"/>
      <c r="B85" s="9">
        <v>2017</v>
      </c>
      <c r="C85" s="93"/>
      <c r="D85" s="9"/>
      <c r="E85" s="9"/>
      <c r="F85" s="9"/>
      <c r="G85" s="93"/>
      <c r="H85" s="8"/>
      <c r="I85" s="8"/>
      <c r="J85" s="39"/>
      <c r="K85" s="8"/>
      <c r="L85" s="8"/>
      <c r="M85" s="8"/>
      <c r="N85" s="8"/>
      <c r="O85" s="8"/>
      <c r="P85" s="8"/>
      <c r="Q85" s="8"/>
      <c r="R85" s="8"/>
      <c r="S85" s="8"/>
      <c r="T85" s="8"/>
      <c r="U85" s="8"/>
      <c r="V85" s="8"/>
      <c r="W85" s="8"/>
      <c r="X85" s="26"/>
      <c r="Y85" s="26"/>
      <c r="Z85" s="26"/>
      <c r="AA85" s="26"/>
      <c r="AB85" s="26"/>
      <c r="AC85" s="26"/>
      <c r="AD85" s="26"/>
      <c r="AE85" s="26"/>
      <c r="AF85" s="26"/>
      <c r="AG85" s="26"/>
      <c r="AH85" s="26"/>
      <c r="AI85" s="26"/>
      <c r="AJ85" s="41"/>
      <c r="AK85" s="110"/>
      <c r="AL85" s="110"/>
      <c r="AM85" s="110"/>
      <c r="AN85" s="110"/>
      <c r="AO85" s="110"/>
      <c r="AP85" s="110"/>
      <c r="AQ85" s="110"/>
      <c r="AR85" s="52"/>
      <c r="AS85" s="52"/>
      <c r="AT85" s="52"/>
      <c r="AU85" s="52"/>
      <c r="AV85" s="52"/>
      <c r="AW85" s="52"/>
      <c r="AX85" s="52"/>
      <c r="AY85" s="52"/>
      <c r="AZ85" s="52"/>
      <c r="BA85" s="26"/>
      <c r="BB85" s="26"/>
      <c r="BC85" s="26"/>
      <c r="BD85" s="26"/>
      <c r="BE85" s="8"/>
      <c r="BF85" s="8"/>
      <c r="BG85" s="39"/>
      <c r="BH85" s="123"/>
      <c r="BI85" s="52"/>
    </row>
    <row r="86" spans="1:61">
      <c r="A86" s="9"/>
      <c r="B86" s="9">
        <v>2016</v>
      </c>
      <c r="C86" s="93"/>
      <c r="D86" s="9"/>
      <c r="E86" s="9"/>
      <c r="F86" s="9"/>
      <c r="G86" s="93"/>
      <c r="H86" s="8"/>
      <c r="I86" s="8"/>
      <c r="J86" s="39"/>
      <c r="K86" s="8"/>
      <c r="L86" s="8"/>
      <c r="M86" s="8"/>
      <c r="N86" s="8"/>
      <c r="O86" s="8"/>
      <c r="P86" s="8"/>
      <c r="Q86" s="8"/>
      <c r="R86" s="8"/>
      <c r="S86" s="8"/>
      <c r="T86" s="8"/>
      <c r="U86" s="8"/>
      <c r="V86" s="8"/>
      <c r="W86" s="8"/>
      <c r="X86" s="26"/>
      <c r="Y86" s="26"/>
      <c r="Z86" s="26"/>
      <c r="AA86" s="26"/>
      <c r="AB86" s="26"/>
      <c r="AC86" s="26"/>
      <c r="AD86" s="26"/>
      <c r="AE86" s="26"/>
      <c r="AF86" s="26"/>
      <c r="AG86" s="26"/>
      <c r="AH86" s="26"/>
      <c r="AI86" s="26"/>
      <c r="AJ86" s="41"/>
      <c r="AK86" s="110"/>
      <c r="AL86" s="110"/>
      <c r="AM86" s="110"/>
      <c r="AN86" s="110"/>
      <c r="AO86" s="110"/>
      <c r="AP86" s="110"/>
      <c r="AQ86" s="110"/>
      <c r="AR86" s="52"/>
      <c r="AS86" s="52"/>
      <c r="AT86" s="52"/>
      <c r="AU86" s="52"/>
      <c r="AV86" s="52"/>
      <c r="AW86" s="52"/>
      <c r="AX86" s="52"/>
      <c r="AY86" s="52"/>
      <c r="AZ86" s="52"/>
      <c r="BA86" s="26"/>
      <c r="BB86" s="26"/>
      <c r="BC86" s="26"/>
      <c r="BD86" s="26"/>
      <c r="BE86" s="8"/>
      <c r="BF86" s="8"/>
      <c r="BG86" s="39"/>
      <c r="BH86" s="123"/>
      <c r="BI86" s="52"/>
    </row>
    <row r="87" spans="1:61">
      <c r="A87" s="9"/>
      <c r="B87" s="9">
        <v>2015</v>
      </c>
      <c r="C87" s="93"/>
      <c r="D87" s="9"/>
      <c r="E87" s="9"/>
      <c r="F87" s="9"/>
      <c r="G87" s="93"/>
      <c r="H87" s="8"/>
      <c r="I87" s="8"/>
      <c r="J87" s="39"/>
      <c r="K87" s="8"/>
      <c r="L87" s="8"/>
      <c r="M87" s="8"/>
      <c r="N87" s="8"/>
      <c r="O87" s="8"/>
      <c r="P87" s="8"/>
      <c r="Q87" s="8"/>
      <c r="R87" s="8"/>
      <c r="S87" s="8"/>
      <c r="T87" s="8"/>
      <c r="U87" s="8"/>
      <c r="V87" s="8"/>
      <c r="W87" s="8"/>
      <c r="X87" s="26"/>
      <c r="Y87" s="26"/>
      <c r="Z87" s="26"/>
      <c r="AA87" s="26"/>
      <c r="AB87" s="26"/>
      <c r="AC87" s="26"/>
      <c r="AD87" s="26"/>
      <c r="AE87" s="26"/>
      <c r="AF87" s="26"/>
      <c r="AG87" s="26"/>
      <c r="AH87" s="26"/>
      <c r="AI87" s="26"/>
      <c r="AJ87" s="41"/>
      <c r="AK87" s="110"/>
      <c r="AL87" s="110"/>
      <c r="AM87" s="110"/>
      <c r="AN87" s="110"/>
      <c r="AO87" s="110"/>
      <c r="AP87" s="110"/>
      <c r="AQ87" s="110"/>
      <c r="AR87" s="52"/>
      <c r="AS87" s="52"/>
      <c r="AT87" s="52"/>
      <c r="AU87" s="52"/>
      <c r="AV87" s="52"/>
      <c r="AW87" s="52"/>
      <c r="AX87" s="52"/>
      <c r="AY87" s="52"/>
      <c r="AZ87" s="52"/>
      <c r="BA87" s="26"/>
      <c r="BB87" s="26"/>
      <c r="BC87" s="26"/>
      <c r="BD87" s="26"/>
      <c r="BE87" s="8"/>
      <c r="BF87" s="8"/>
      <c r="BG87" s="39"/>
      <c r="BH87" s="123"/>
      <c r="BI87" s="52"/>
    </row>
    <row r="88" spans="1:61">
      <c r="A88" s="9"/>
      <c r="B88" s="9">
        <v>2014</v>
      </c>
      <c r="C88" s="93"/>
      <c r="D88" s="9"/>
      <c r="E88" s="9"/>
      <c r="F88" s="9"/>
      <c r="G88" s="93"/>
      <c r="H88" s="8"/>
      <c r="I88" s="8"/>
      <c r="J88" s="39"/>
      <c r="K88" s="8"/>
      <c r="L88" s="8"/>
      <c r="M88" s="8"/>
      <c r="N88" s="8"/>
      <c r="O88" s="8"/>
      <c r="P88" s="8"/>
      <c r="Q88" s="8"/>
      <c r="R88" s="8"/>
      <c r="S88" s="8"/>
      <c r="T88" s="8"/>
      <c r="U88" s="8"/>
      <c r="V88" s="8"/>
      <c r="W88" s="8"/>
      <c r="X88" s="26"/>
      <c r="Y88" s="26"/>
      <c r="Z88" s="26"/>
      <c r="AA88" s="26"/>
      <c r="AB88" s="26"/>
      <c r="AC88" s="26"/>
      <c r="AD88" s="26"/>
      <c r="AE88" s="26"/>
      <c r="AF88" s="26"/>
      <c r="AG88" s="26"/>
      <c r="AH88" s="26"/>
      <c r="AI88" s="26"/>
      <c r="AJ88" s="41"/>
      <c r="AK88" s="110"/>
      <c r="AL88" s="110"/>
      <c r="AM88" s="110"/>
      <c r="AN88" s="110"/>
      <c r="AO88" s="110"/>
      <c r="AP88" s="110"/>
      <c r="AQ88" s="110"/>
      <c r="AR88" s="52"/>
      <c r="AS88" s="52"/>
      <c r="AT88" s="52"/>
      <c r="AU88" s="52"/>
      <c r="AV88" s="52"/>
      <c r="AW88" s="52"/>
      <c r="AX88" s="52"/>
      <c r="AY88" s="52"/>
      <c r="AZ88" s="52"/>
      <c r="BA88" s="26"/>
      <c r="BB88" s="26"/>
      <c r="BC88" s="26"/>
      <c r="BD88" s="26"/>
      <c r="BE88" s="8"/>
      <c r="BF88" s="8"/>
      <c r="BG88" s="39"/>
      <c r="BH88" s="123"/>
      <c r="BI88" s="52"/>
    </row>
    <row r="89" spans="1:61">
      <c r="A89" s="9"/>
      <c r="B89" s="9">
        <v>2013</v>
      </c>
      <c r="C89" s="93"/>
      <c r="D89" s="9"/>
      <c r="E89" s="9"/>
      <c r="F89" s="9"/>
      <c r="G89" s="93"/>
      <c r="H89" s="8"/>
      <c r="I89" s="8"/>
      <c r="J89" s="39"/>
      <c r="K89" s="8"/>
      <c r="L89" s="8"/>
      <c r="M89" s="8"/>
      <c r="N89" s="8"/>
      <c r="O89" s="8"/>
      <c r="P89" s="8"/>
      <c r="Q89" s="8"/>
      <c r="R89" s="8"/>
      <c r="S89" s="8"/>
      <c r="T89" s="8"/>
      <c r="U89" s="8"/>
      <c r="V89" s="8"/>
      <c r="W89" s="8"/>
      <c r="X89" s="26"/>
      <c r="Y89" s="26"/>
      <c r="Z89" s="26"/>
      <c r="AA89" s="26"/>
      <c r="AB89" s="26"/>
      <c r="AC89" s="26"/>
      <c r="AD89" s="26"/>
      <c r="AE89" s="26"/>
      <c r="AF89" s="26"/>
      <c r="AG89" s="26"/>
      <c r="AH89" s="26"/>
      <c r="AI89" s="26"/>
      <c r="AJ89" s="41"/>
      <c r="AK89" s="110"/>
      <c r="AL89" s="110"/>
      <c r="AM89" s="110"/>
      <c r="AN89" s="110"/>
      <c r="AO89" s="110"/>
      <c r="AP89" s="110"/>
      <c r="AQ89" s="110"/>
      <c r="AR89" s="52"/>
      <c r="AS89" s="52"/>
      <c r="AT89" s="52"/>
      <c r="AU89" s="52"/>
      <c r="AV89" s="52"/>
      <c r="AW89" s="52"/>
      <c r="AX89" s="52"/>
      <c r="AY89" s="52"/>
      <c r="AZ89" s="52"/>
      <c r="BA89" s="26"/>
      <c r="BB89" s="26"/>
      <c r="BC89" s="26"/>
      <c r="BD89" s="26"/>
      <c r="BE89" s="8"/>
      <c r="BF89" s="8"/>
      <c r="BG89" s="39"/>
      <c r="BH89" s="123"/>
      <c r="BI89" s="52"/>
    </row>
    <row r="90" spans="1:61">
      <c r="A90" s="9"/>
      <c r="B90" s="9">
        <v>2012</v>
      </c>
      <c r="C90" s="93"/>
      <c r="D90" s="9"/>
      <c r="E90" s="9"/>
      <c r="F90" s="9"/>
      <c r="G90" s="93"/>
      <c r="H90" s="8"/>
      <c r="I90" s="8"/>
      <c r="J90" s="39"/>
      <c r="K90" s="8"/>
      <c r="L90" s="8"/>
      <c r="M90" s="8"/>
      <c r="N90" s="8"/>
      <c r="O90" s="8"/>
      <c r="P90" s="8"/>
      <c r="Q90" s="8"/>
      <c r="R90" s="8"/>
      <c r="S90" s="8"/>
      <c r="T90" s="8"/>
      <c r="U90" s="8"/>
      <c r="V90" s="8"/>
      <c r="W90" s="8"/>
      <c r="X90" s="26"/>
      <c r="Y90" s="26"/>
      <c r="Z90" s="26"/>
      <c r="AA90" s="26"/>
      <c r="AB90" s="26"/>
      <c r="AC90" s="26"/>
      <c r="AD90" s="26"/>
      <c r="AE90" s="26"/>
      <c r="AF90" s="26"/>
      <c r="AG90" s="26"/>
      <c r="AH90" s="26"/>
      <c r="AI90" s="26"/>
      <c r="AJ90" s="41"/>
      <c r="AK90" s="110"/>
      <c r="AL90" s="110"/>
      <c r="AM90" s="110"/>
      <c r="AN90" s="110"/>
      <c r="AO90" s="110"/>
      <c r="AP90" s="110"/>
      <c r="AQ90" s="110"/>
      <c r="AR90" s="52"/>
      <c r="AS90" s="52"/>
      <c r="AT90" s="52"/>
      <c r="AU90" s="52"/>
      <c r="AV90" s="52"/>
      <c r="AW90" s="52"/>
      <c r="AX90" s="52"/>
      <c r="AY90" s="52"/>
      <c r="AZ90" s="52"/>
      <c r="BA90" s="26"/>
      <c r="BB90" s="26"/>
      <c r="BC90" s="26"/>
      <c r="BD90" s="26"/>
      <c r="BE90" s="8"/>
      <c r="BF90" s="8"/>
      <c r="BG90" s="39"/>
      <c r="BH90" s="123"/>
      <c r="BI90" s="52"/>
    </row>
    <row r="91" spans="1:61">
      <c r="A91" s="9" t="s">
        <v>82</v>
      </c>
      <c r="B91" s="9">
        <v>2022</v>
      </c>
      <c r="C91" s="93"/>
      <c r="D91" s="9"/>
      <c r="E91" s="9"/>
      <c r="F91" s="9"/>
      <c r="G91" s="93"/>
      <c r="H91" s="8"/>
      <c r="I91" s="8"/>
      <c r="J91" s="39"/>
      <c r="K91" s="8"/>
      <c r="L91" s="8"/>
      <c r="M91" s="8"/>
      <c r="N91" s="8"/>
      <c r="O91" s="8"/>
      <c r="P91" s="8"/>
      <c r="Q91" s="8"/>
      <c r="R91" s="8"/>
      <c r="S91" s="8"/>
      <c r="T91" s="8"/>
      <c r="U91" s="8"/>
      <c r="V91" s="8"/>
      <c r="W91" s="8"/>
      <c r="X91" s="26"/>
      <c r="Y91" s="26"/>
      <c r="Z91" s="26"/>
      <c r="AA91" s="26"/>
      <c r="AB91" s="26"/>
      <c r="AC91" s="26"/>
      <c r="AD91" s="26"/>
      <c r="AE91" s="26"/>
      <c r="AF91" s="26"/>
      <c r="AG91" s="26"/>
      <c r="AH91" s="26"/>
      <c r="AI91" s="26"/>
      <c r="AJ91" s="41"/>
      <c r="AK91" s="110"/>
      <c r="AL91" s="110"/>
      <c r="AM91" s="110"/>
      <c r="AN91" s="110"/>
      <c r="AO91" s="110"/>
      <c r="AP91" s="110"/>
      <c r="AQ91" s="110"/>
      <c r="AR91" s="52"/>
      <c r="AS91" s="52"/>
      <c r="AT91" s="52"/>
      <c r="AU91" s="52"/>
      <c r="AV91" s="52"/>
      <c r="AW91" s="52"/>
      <c r="AX91" s="52"/>
      <c r="AY91" s="52"/>
      <c r="AZ91" s="52"/>
      <c r="BA91" s="26"/>
      <c r="BB91" s="26"/>
      <c r="BC91" s="26"/>
      <c r="BD91" s="26"/>
      <c r="BE91" s="8"/>
      <c r="BF91" s="8"/>
      <c r="BG91" s="39"/>
      <c r="BH91" s="123"/>
      <c r="BI91" s="52"/>
    </row>
    <row r="92" spans="1:61">
      <c r="A92" s="9"/>
      <c r="B92" s="9">
        <v>2021</v>
      </c>
      <c r="C92" s="93"/>
      <c r="D92" s="9"/>
      <c r="E92" s="9"/>
      <c r="F92" s="9"/>
      <c r="G92" s="93"/>
      <c r="H92" s="8"/>
      <c r="I92" s="8"/>
      <c r="J92" s="39"/>
      <c r="K92" s="8"/>
      <c r="L92" s="8"/>
      <c r="M92" s="8"/>
      <c r="N92" s="8"/>
      <c r="O92" s="8"/>
      <c r="P92" s="8"/>
      <c r="Q92" s="8"/>
      <c r="R92" s="8"/>
      <c r="S92" s="8"/>
      <c r="T92" s="8"/>
      <c r="U92" s="8"/>
      <c r="V92" s="8"/>
      <c r="W92" s="8"/>
      <c r="X92" s="26"/>
      <c r="Y92" s="26"/>
      <c r="Z92" s="26"/>
      <c r="AA92" s="26"/>
      <c r="AB92" s="26"/>
      <c r="AC92" s="26"/>
      <c r="AD92" s="26"/>
      <c r="AE92" s="26"/>
      <c r="AF92" s="26"/>
      <c r="AG92" s="26"/>
      <c r="AH92" s="26"/>
      <c r="AI92" s="26"/>
      <c r="AJ92" s="41"/>
      <c r="AK92" s="110"/>
      <c r="AL92" s="110"/>
      <c r="AM92" s="110"/>
      <c r="AN92" s="110"/>
      <c r="AO92" s="110"/>
      <c r="AP92" s="110"/>
      <c r="AQ92" s="110"/>
      <c r="AR92" s="52"/>
      <c r="AS92" s="52"/>
      <c r="AT92" s="52"/>
      <c r="AU92" s="52"/>
      <c r="AV92" s="52"/>
      <c r="AW92" s="52"/>
      <c r="AX92" s="52"/>
      <c r="AY92" s="52"/>
      <c r="AZ92" s="52"/>
      <c r="BA92" s="26"/>
      <c r="BB92" s="26"/>
      <c r="BC92" s="26"/>
      <c r="BD92" s="26"/>
      <c r="BE92" s="8"/>
      <c r="BF92" s="8"/>
      <c r="BG92" s="39"/>
      <c r="BH92" s="123"/>
      <c r="BI92" s="52"/>
    </row>
    <row r="93" spans="1:61">
      <c r="A93" s="9"/>
      <c r="B93" s="9">
        <v>2020</v>
      </c>
      <c r="C93" s="93"/>
      <c r="D93" s="9"/>
      <c r="E93" s="9"/>
      <c r="F93" s="9"/>
      <c r="G93" s="93"/>
      <c r="H93" s="8"/>
      <c r="I93" s="8"/>
      <c r="J93" s="39"/>
      <c r="K93" s="8"/>
      <c r="L93" s="8"/>
      <c r="M93" s="8"/>
      <c r="N93" s="8"/>
      <c r="O93" s="8"/>
      <c r="P93" s="8"/>
      <c r="Q93" s="8"/>
      <c r="R93" s="8"/>
      <c r="S93" s="8"/>
      <c r="T93" s="8"/>
      <c r="U93" s="8"/>
      <c r="V93" s="8"/>
      <c r="W93" s="8"/>
      <c r="X93" s="26"/>
      <c r="Y93" s="26"/>
      <c r="Z93" s="26"/>
      <c r="AA93" s="26"/>
      <c r="AB93" s="26"/>
      <c r="AC93" s="26"/>
      <c r="AD93" s="26"/>
      <c r="AE93" s="26"/>
      <c r="AF93" s="26"/>
      <c r="AG93" s="26"/>
      <c r="AH93" s="26"/>
      <c r="AI93" s="26"/>
      <c r="AJ93" s="41"/>
      <c r="AK93" s="110"/>
      <c r="AL93" s="110"/>
      <c r="AM93" s="110"/>
      <c r="AN93" s="110"/>
      <c r="AO93" s="110"/>
      <c r="AP93" s="110"/>
      <c r="AQ93" s="110"/>
      <c r="AR93" s="52"/>
      <c r="AS93" s="52"/>
      <c r="AT93" s="52"/>
      <c r="AU93" s="52"/>
      <c r="AV93" s="52"/>
      <c r="AW93" s="52"/>
      <c r="AX93" s="52"/>
      <c r="AY93" s="52"/>
      <c r="AZ93" s="52"/>
      <c r="BA93" s="26"/>
      <c r="BB93" s="26"/>
      <c r="BC93" s="26"/>
      <c r="BD93" s="26"/>
      <c r="BE93" s="8"/>
      <c r="BF93" s="8"/>
      <c r="BG93" s="39"/>
      <c r="BH93" s="123"/>
      <c r="BI93" s="52"/>
    </row>
    <row r="94" spans="1:61">
      <c r="A94" s="9"/>
      <c r="B94" s="9">
        <v>2019</v>
      </c>
      <c r="C94" s="93"/>
      <c r="D94" s="9"/>
      <c r="E94" s="9"/>
      <c r="F94" s="9"/>
      <c r="G94" s="93"/>
      <c r="H94" s="8"/>
      <c r="I94" s="8"/>
      <c r="J94" s="39"/>
      <c r="K94" s="8"/>
      <c r="L94" s="8"/>
      <c r="M94" s="8"/>
      <c r="N94" s="8"/>
      <c r="O94" s="8"/>
      <c r="P94" s="8"/>
      <c r="Q94" s="8"/>
      <c r="R94" s="8"/>
      <c r="S94" s="8"/>
      <c r="T94" s="8"/>
      <c r="U94" s="8"/>
      <c r="V94" s="8"/>
      <c r="W94" s="8"/>
      <c r="X94" s="26"/>
      <c r="Y94" s="26"/>
      <c r="Z94" s="26"/>
      <c r="AA94" s="26"/>
      <c r="AB94" s="26"/>
      <c r="AC94" s="26"/>
      <c r="AD94" s="26"/>
      <c r="AE94" s="26"/>
      <c r="AF94" s="26"/>
      <c r="AG94" s="26"/>
      <c r="AH94" s="26"/>
      <c r="AI94" s="26"/>
      <c r="AJ94" s="41"/>
      <c r="AK94" s="110"/>
      <c r="AL94" s="110"/>
      <c r="AM94" s="110"/>
      <c r="AN94" s="110"/>
      <c r="AO94" s="110"/>
      <c r="AP94" s="110"/>
      <c r="AQ94" s="110"/>
      <c r="AR94" s="52"/>
      <c r="AS94" s="52"/>
      <c r="AT94" s="52"/>
      <c r="AU94" s="52"/>
      <c r="AV94" s="52"/>
      <c r="AW94" s="52"/>
      <c r="AX94" s="52"/>
      <c r="AY94" s="52"/>
      <c r="AZ94" s="52"/>
      <c r="BA94" s="26"/>
      <c r="BB94" s="26"/>
      <c r="BC94" s="26"/>
      <c r="BD94" s="26"/>
      <c r="BE94" s="8"/>
      <c r="BF94" s="8"/>
      <c r="BG94" s="39"/>
      <c r="BH94" s="123"/>
      <c r="BI94" s="52"/>
    </row>
    <row r="95" spans="1:61">
      <c r="A95" s="9"/>
      <c r="B95" s="9">
        <v>2018</v>
      </c>
      <c r="C95" s="93"/>
      <c r="D95" s="9"/>
      <c r="E95" s="9"/>
      <c r="F95" s="9"/>
      <c r="G95" s="93"/>
      <c r="H95" s="8"/>
      <c r="I95" s="8"/>
      <c r="J95" s="39"/>
      <c r="K95" s="8"/>
      <c r="L95" s="8"/>
      <c r="M95" s="8"/>
      <c r="N95" s="8"/>
      <c r="O95" s="8"/>
      <c r="P95" s="8"/>
      <c r="Q95" s="8"/>
      <c r="R95" s="8"/>
      <c r="S95" s="8"/>
      <c r="T95" s="8"/>
      <c r="U95" s="8"/>
      <c r="V95" s="8"/>
      <c r="W95" s="8"/>
      <c r="X95" s="26"/>
      <c r="Y95" s="26"/>
      <c r="Z95" s="26"/>
      <c r="AA95" s="26"/>
      <c r="AB95" s="26"/>
      <c r="AC95" s="26"/>
      <c r="AD95" s="26"/>
      <c r="AE95" s="26"/>
      <c r="AF95" s="26"/>
      <c r="AG95" s="26"/>
      <c r="AH95" s="26"/>
      <c r="AI95" s="26"/>
      <c r="AJ95" s="41"/>
      <c r="AK95" s="110"/>
      <c r="AL95" s="110"/>
      <c r="AM95" s="110"/>
      <c r="AN95" s="110"/>
      <c r="AO95" s="110"/>
      <c r="AP95" s="110"/>
      <c r="AQ95" s="110"/>
      <c r="AR95" s="52"/>
      <c r="AS95" s="52"/>
      <c r="AT95" s="52"/>
      <c r="AU95" s="52"/>
      <c r="AV95" s="52"/>
      <c r="AW95" s="52"/>
      <c r="AX95" s="52"/>
      <c r="AY95" s="52"/>
      <c r="AZ95" s="52"/>
      <c r="BA95" s="26"/>
      <c r="BB95" s="26"/>
      <c r="BC95" s="26"/>
      <c r="BD95" s="26"/>
      <c r="BE95" s="8"/>
      <c r="BF95" s="8"/>
      <c r="BG95" s="39"/>
      <c r="BH95" s="123"/>
      <c r="BI95" s="52"/>
    </row>
    <row r="96" spans="1:61">
      <c r="A96" s="9"/>
      <c r="B96" s="9">
        <v>2017</v>
      </c>
      <c r="C96" s="93"/>
      <c r="D96" s="9"/>
      <c r="E96" s="9"/>
      <c r="F96" s="9"/>
      <c r="G96" s="93"/>
      <c r="H96" s="8"/>
      <c r="I96" s="8"/>
      <c r="J96" s="39"/>
      <c r="K96" s="8"/>
      <c r="L96" s="8"/>
      <c r="M96" s="8"/>
      <c r="N96" s="8"/>
      <c r="O96" s="8"/>
      <c r="P96" s="8"/>
      <c r="Q96" s="8"/>
      <c r="R96" s="8"/>
      <c r="S96" s="8"/>
      <c r="T96" s="8"/>
      <c r="U96" s="8"/>
      <c r="V96" s="8"/>
      <c r="W96" s="8"/>
      <c r="X96" s="26"/>
      <c r="Y96" s="26"/>
      <c r="Z96" s="26"/>
      <c r="AA96" s="26"/>
      <c r="AB96" s="26"/>
      <c r="AC96" s="26"/>
      <c r="AD96" s="26"/>
      <c r="AE96" s="26"/>
      <c r="AF96" s="26"/>
      <c r="AG96" s="26"/>
      <c r="AH96" s="26"/>
      <c r="AI96" s="26"/>
      <c r="AJ96" s="41"/>
      <c r="AK96" s="110"/>
      <c r="AL96" s="110"/>
      <c r="AM96" s="110"/>
      <c r="AN96" s="110"/>
      <c r="AO96" s="110"/>
      <c r="AP96" s="110"/>
      <c r="AQ96" s="110"/>
      <c r="AR96" s="52"/>
      <c r="AS96" s="52"/>
      <c r="AT96" s="52"/>
      <c r="AU96" s="52"/>
      <c r="AV96" s="52"/>
      <c r="AW96" s="52"/>
      <c r="AX96" s="52"/>
      <c r="AY96" s="52"/>
      <c r="AZ96" s="52"/>
      <c r="BA96" s="26"/>
      <c r="BB96" s="26"/>
      <c r="BC96" s="26"/>
      <c r="BD96" s="26"/>
      <c r="BE96" s="8"/>
      <c r="BF96" s="8"/>
      <c r="BG96" s="39"/>
      <c r="BH96" s="123"/>
      <c r="BI96" s="52"/>
    </row>
    <row r="97" spans="1:61">
      <c r="A97" s="9"/>
      <c r="B97" s="9">
        <v>2016</v>
      </c>
      <c r="C97" s="93"/>
      <c r="D97" s="9"/>
      <c r="E97" s="9"/>
      <c r="F97" s="9"/>
      <c r="G97" s="93"/>
      <c r="H97" s="8"/>
      <c r="I97" s="8"/>
      <c r="J97" s="39"/>
      <c r="K97" s="8"/>
      <c r="L97" s="8"/>
      <c r="M97" s="8"/>
      <c r="N97" s="8"/>
      <c r="O97" s="8"/>
      <c r="P97" s="8"/>
      <c r="Q97" s="8"/>
      <c r="R97" s="8"/>
      <c r="S97" s="8"/>
      <c r="T97" s="8"/>
      <c r="U97" s="8"/>
      <c r="V97" s="8"/>
      <c r="W97" s="8"/>
      <c r="X97" s="26"/>
      <c r="Y97" s="26"/>
      <c r="Z97" s="26"/>
      <c r="AA97" s="26"/>
      <c r="AB97" s="26"/>
      <c r="AC97" s="26"/>
      <c r="AD97" s="26"/>
      <c r="AE97" s="26"/>
      <c r="AF97" s="26"/>
      <c r="AG97" s="26"/>
      <c r="AH97" s="26"/>
      <c r="AI97" s="26"/>
      <c r="AJ97" s="41"/>
      <c r="AK97" s="110"/>
      <c r="AL97" s="110"/>
      <c r="AM97" s="110"/>
      <c r="AN97" s="110"/>
      <c r="AO97" s="110"/>
      <c r="AP97" s="110"/>
      <c r="AQ97" s="110"/>
      <c r="AR97" s="52"/>
      <c r="AS97" s="52"/>
      <c r="AT97" s="52"/>
      <c r="AU97" s="52"/>
      <c r="AV97" s="52"/>
      <c r="AW97" s="52"/>
      <c r="AX97" s="52"/>
      <c r="AY97" s="52"/>
      <c r="AZ97" s="52"/>
      <c r="BA97" s="26"/>
      <c r="BB97" s="26"/>
      <c r="BC97" s="26"/>
      <c r="BD97" s="26"/>
      <c r="BE97" s="8"/>
      <c r="BF97" s="8"/>
      <c r="BG97" s="39"/>
      <c r="BH97" s="123"/>
      <c r="BI97" s="52"/>
    </row>
    <row r="98" spans="1:61">
      <c r="A98" s="9"/>
      <c r="B98" s="9">
        <v>2015</v>
      </c>
      <c r="C98" s="93"/>
      <c r="D98" s="9"/>
      <c r="E98" s="9"/>
      <c r="F98" s="9"/>
      <c r="G98" s="93"/>
      <c r="H98" s="8"/>
      <c r="I98" s="8"/>
      <c r="J98" s="39"/>
      <c r="K98" s="8"/>
      <c r="L98" s="8"/>
      <c r="M98" s="8"/>
      <c r="N98" s="8"/>
      <c r="O98" s="8"/>
      <c r="P98" s="8"/>
      <c r="Q98" s="8"/>
      <c r="R98" s="8"/>
      <c r="S98" s="8"/>
      <c r="T98" s="8"/>
      <c r="U98" s="8"/>
      <c r="V98" s="8"/>
      <c r="W98" s="8"/>
      <c r="X98" s="26"/>
      <c r="Y98" s="26"/>
      <c r="Z98" s="26"/>
      <c r="AA98" s="26"/>
      <c r="AB98" s="26"/>
      <c r="AC98" s="26"/>
      <c r="AD98" s="26"/>
      <c r="AE98" s="26"/>
      <c r="AF98" s="26"/>
      <c r="AG98" s="26"/>
      <c r="AH98" s="26"/>
      <c r="AI98" s="26"/>
      <c r="AJ98" s="41"/>
      <c r="AK98" s="110"/>
      <c r="AL98" s="110"/>
      <c r="AM98" s="110"/>
      <c r="AN98" s="110"/>
      <c r="AO98" s="110"/>
      <c r="AP98" s="110"/>
      <c r="AQ98" s="110"/>
      <c r="AR98" s="52"/>
      <c r="AS98" s="52"/>
      <c r="AT98" s="52"/>
      <c r="AU98" s="52"/>
      <c r="AV98" s="52"/>
      <c r="AW98" s="52"/>
      <c r="AX98" s="52"/>
      <c r="AY98" s="52"/>
      <c r="AZ98" s="52"/>
      <c r="BA98" s="26"/>
      <c r="BB98" s="26"/>
      <c r="BC98" s="26"/>
      <c r="BD98" s="26"/>
      <c r="BE98" s="8"/>
      <c r="BF98" s="8"/>
      <c r="BG98" s="39"/>
      <c r="BH98" s="123"/>
      <c r="BI98" s="52"/>
    </row>
    <row r="99" spans="1:61">
      <c r="A99" s="9"/>
      <c r="B99" s="9">
        <v>2014</v>
      </c>
      <c r="C99" s="93"/>
      <c r="D99" s="9"/>
      <c r="E99" s="9"/>
      <c r="F99" s="9"/>
      <c r="G99" s="93"/>
      <c r="H99" s="8"/>
      <c r="I99" s="8"/>
      <c r="J99" s="39"/>
      <c r="K99" s="8"/>
      <c r="L99" s="8"/>
      <c r="M99" s="8"/>
      <c r="N99" s="8"/>
      <c r="O99" s="8"/>
      <c r="P99" s="8"/>
      <c r="Q99" s="8"/>
      <c r="R99" s="8"/>
      <c r="S99" s="8"/>
      <c r="T99" s="8"/>
      <c r="U99" s="8"/>
      <c r="V99" s="8"/>
      <c r="W99" s="8"/>
      <c r="X99" s="26"/>
      <c r="Y99" s="26"/>
      <c r="Z99" s="26"/>
      <c r="AA99" s="26"/>
      <c r="AB99" s="26"/>
      <c r="AC99" s="26"/>
      <c r="AD99" s="26"/>
      <c r="AE99" s="26"/>
      <c r="AF99" s="26"/>
      <c r="AG99" s="26"/>
      <c r="AH99" s="26"/>
      <c r="AI99" s="26"/>
      <c r="AJ99" s="41"/>
      <c r="AK99" s="110"/>
      <c r="AL99" s="110"/>
      <c r="AM99" s="110"/>
      <c r="AN99" s="110"/>
      <c r="AO99" s="110"/>
      <c r="AP99" s="110"/>
      <c r="AQ99" s="110"/>
      <c r="AR99" s="52"/>
      <c r="AS99" s="52"/>
      <c r="AT99" s="52"/>
      <c r="AU99" s="52"/>
      <c r="AV99" s="52"/>
      <c r="AW99" s="52"/>
      <c r="AX99" s="52"/>
      <c r="AY99" s="52"/>
      <c r="AZ99" s="52"/>
      <c r="BA99" s="26"/>
      <c r="BB99" s="26"/>
      <c r="BC99" s="26"/>
      <c r="BD99" s="26"/>
      <c r="BE99" s="8"/>
      <c r="BF99" s="8"/>
      <c r="BG99" s="39"/>
      <c r="BH99" s="123"/>
      <c r="BI99" s="52"/>
    </row>
    <row r="100" spans="1:61">
      <c r="A100" s="9"/>
      <c r="B100" s="9">
        <v>2013</v>
      </c>
      <c r="C100" s="93"/>
      <c r="D100" s="9"/>
      <c r="E100" s="9"/>
      <c r="F100" s="9"/>
      <c r="G100" s="93"/>
      <c r="H100" s="8"/>
      <c r="I100" s="8"/>
      <c r="J100" s="39"/>
      <c r="K100" s="8"/>
      <c r="L100" s="8"/>
      <c r="M100" s="8"/>
      <c r="N100" s="8"/>
      <c r="O100" s="8"/>
      <c r="P100" s="8"/>
      <c r="Q100" s="8"/>
      <c r="R100" s="8"/>
      <c r="S100" s="8"/>
      <c r="T100" s="8"/>
      <c r="U100" s="8"/>
      <c r="V100" s="8"/>
      <c r="W100" s="8"/>
      <c r="X100" s="26"/>
      <c r="Y100" s="26"/>
      <c r="Z100" s="26"/>
      <c r="AA100" s="26"/>
      <c r="AB100" s="26"/>
      <c r="AC100" s="26"/>
      <c r="AD100" s="26"/>
      <c r="AE100" s="26"/>
      <c r="AF100" s="26"/>
      <c r="AG100" s="26"/>
      <c r="AH100" s="26"/>
      <c r="AI100" s="26"/>
      <c r="AJ100" s="41"/>
      <c r="AK100" s="110"/>
      <c r="AL100" s="110"/>
      <c r="AM100" s="110"/>
      <c r="AN100" s="110"/>
      <c r="AO100" s="110"/>
      <c r="AP100" s="110"/>
      <c r="AQ100" s="110"/>
      <c r="AR100" s="52"/>
      <c r="AS100" s="52"/>
      <c r="AT100" s="52"/>
      <c r="AU100" s="52"/>
      <c r="AV100" s="52"/>
      <c r="AW100" s="52"/>
      <c r="AX100" s="52"/>
      <c r="AY100" s="52"/>
      <c r="AZ100" s="52"/>
      <c r="BA100" s="26"/>
      <c r="BB100" s="26"/>
      <c r="BC100" s="26"/>
      <c r="BD100" s="26"/>
      <c r="BE100" s="8"/>
      <c r="BF100" s="8"/>
      <c r="BG100" s="39"/>
      <c r="BH100" s="123"/>
      <c r="BI100" s="52"/>
    </row>
    <row r="101" spans="1:61">
      <c r="A101" s="9"/>
      <c r="B101" s="9">
        <v>2012</v>
      </c>
      <c r="C101" s="93"/>
      <c r="D101" s="9"/>
      <c r="E101" s="9"/>
      <c r="F101" s="9"/>
      <c r="G101" s="93"/>
      <c r="H101" s="8"/>
      <c r="I101" s="8"/>
      <c r="J101" s="39"/>
      <c r="K101" s="8"/>
      <c r="L101" s="8"/>
      <c r="M101" s="8"/>
      <c r="N101" s="8"/>
      <c r="O101" s="8"/>
      <c r="P101" s="8"/>
      <c r="Q101" s="8"/>
      <c r="R101" s="8"/>
      <c r="S101" s="8"/>
      <c r="T101" s="8"/>
      <c r="U101" s="8"/>
      <c r="V101" s="8"/>
      <c r="W101" s="8"/>
      <c r="X101" s="26"/>
      <c r="Y101" s="26"/>
      <c r="Z101" s="26"/>
      <c r="AA101" s="26"/>
      <c r="AB101" s="26"/>
      <c r="AC101" s="26"/>
      <c r="AD101" s="26"/>
      <c r="AE101" s="26"/>
      <c r="AF101" s="26"/>
      <c r="AG101" s="26"/>
      <c r="AH101" s="26"/>
      <c r="AI101" s="26"/>
      <c r="AJ101" s="41"/>
      <c r="AK101" s="110"/>
      <c r="AL101" s="110"/>
      <c r="AM101" s="110"/>
      <c r="AN101" s="110"/>
      <c r="AO101" s="110"/>
      <c r="AP101" s="110"/>
      <c r="AQ101" s="110"/>
      <c r="AR101" s="52"/>
      <c r="AS101" s="52"/>
      <c r="AT101" s="52"/>
      <c r="AU101" s="52"/>
      <c r="AV101" s="52"/>
      <c r="AW101" s="52"/>
      <c r="AX101" s="52"/>
      <c r="AY101" s="52"/>
      <c r="AZ101" s="52"/>
      <c r="BA101" s="26"/>
      <c r="BB101" s="26"/>
      <c r="BC101" s="26"/>
      <c r="BD101" s="26"/>
      <c r="BE101" s="8"/>
      <c r="BF101" s="8"/>
      <c r="BG101" s="39"/>
      <c r="BH101" s="123"/>
      <c r="BI101" s="52"/>
    </row>
    <row r="102" spans="60:60">
      <c r="BH102" s="124"/>
    </row>
  </sheetData>
  <mergeCells count="60">
    <mergeCell ref="K1:R1"/>
    <mergeCell ref="T1:AB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G1:G2"/>
    <mergeCell ref="H1:H2"/>
    <mergeCell ref="I1:I2"/>
    <mergeCell ref="J1:J2"/>
    <mergeCell ref="S1:S2"/>
    <mergeCell ref="AC1:AC2"/>
    <mergeCell ref="AD1:AD2"/>
    <mergeCell ref="AE1:AE2"/>
    <mergeCell ref="AF1:AF2"/>
    <mergeCell ref="AG1:AG2"/>
    <mergeCell ref="AH1:AH2"/>
    <mergeCell ref="AI1:AI2"/>
    <mergeCell ref="AJ1:AJ2"/>
    <mergeCell ref="AK1:AK2"/>
    <mergeCell ref="AL1:AL2"/>
    <mergeCell ref="AM1:AM2"/>
    <mergeCell ref="AN1:AN2"/>
    <mergeCell ref="AO1:AO2"/>
    <mergeCell ref="AP1:AP2"/>
    <mergeCell ref="AQ1:AQ2"/>
    <mergeCell ref="AR1:AR2"/>
    <mergeCell ref="AS1:AS2"/>
    <mergeCell ref="AT1:AT2"/>
    <mergeCell ref="AU1:AU2"/>
    <mergeCell ref="AV1:AV2"/>
    <mergeCell ref="AW1:AW2"/>
    <mergeCell ref="AX1:AX2"/>
    <mergeCell ref="AY1:AY2"/>
    <mergeCell ref="AZ1:AZ2"/>
    <mergeCell ref="BA1:BA2"/>
    <mergeCell ref="BB1:BB2"/>
    <mergeCell ref="BC1:BC2"/>
    <mergeCell ref="BD1:BD2"/>
    <mergeCell ref="BE1:BE2"/>
    <mergeCell ref="BF1:BF2"/>
    <mergeCell ref="BG1:BG2"/>
    <mergeCell ref="BH1:BH2"/>
    <mergeCell ref="BI1:BI2"/>
    <mergeCell ref="BI3:BI13"/>
    <mergeCell ref="BI14:BI24"/>
    <mergeCell ref="BI25:BI35"/>
    <mergeCell ref="BI36:BI46"/>
    <mergeCell ref="BI47:BI57"/>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N46"/>
  <sheetViews>
    <sheetView tabSelected="1" topLeftCell="Z1" workbookViewId="0">
      <selection activeCell="AH4" sqref="AH4"/>
    </sheetView>
  </sheetViews>
  <sheetFormatPr defaultColWidth="9.23076923076923" defaultRowHeight="16.8"/>
  <cols>
    <col min="1" max="1" width="5.375" style="65" customWidth="1"/>
    <col min="2" max="2" width="8.875" style="65" customWidth="1"/>
    <col min="3" max="4" width="23.625" style="69" customWidth="1"/>
    <col min="5" max="5" width="23.625" style="70" customWidth="1"/>
    <col min="6" max="8" width="23.625" style="71" customWidth="1"/>
    <col min="9" max="9" width="27.3076923076923" style="71" customWidth="1"/>
    <col min="10" max="10" width="12.9230769230769" style="72" customWidth="1"/>
    <col min="11" max="11" width="14.875" style="72" customWidth="1"/>
    <col min="12" max="12" width="10.3076923076923" style="65" customWidth="1"/>
    <col min="13" max="13" width="12.875" style="65" customWidth="1"/>
    <col min="14" max="14" width="15.1538461538462" style="65" customWidth="1"/>
    <col min="15" max="15" width="11.5" style="65" customWidth="1"/>
    <col min="16" max="16" width="22.5" style="71" customWidth="1"/>
    <col min="17" max="17" width="22.5" style="70" customWidth="1"/>
    <col min="18" max="20" width="22.5" style="71" customWidth="1"/>
    <col min="21" max="21" width="27.3076923076923" style="71" customWidth="1"/>
    <col min="22" max="22" width="12.625" style="72" customWidth="1"/>
    <col min="23" max="23" width="14.3076923076923" style="72" customWidth="1"/>
    <col min="24" max="24" width="9.375" style="65" customWidth="1"/>
    <col min="25" max="26" width="12.875" style="71" customWidth="1"/>
    <col min="27" max="27" width="7.125" style="70" customWidth="1"/>
    <col min="28" max="28" width="22.5" style="70" customWidth="1"/>
    <col min="29" max="29" width="22.5" style="71" customWidth="1"/>
    <col min="30" max="30" width="19.8461538461538" style="73" customWidth="1"/>
    <col min="31" max="31" width="22.4615384615385" style="74" customWidth="1"/>
    <col min="32" max="32" width="27.3076923076923" style="74" customWidth="1"/>
    <col min="33" max="33" width="12.625" style="73" customWidth="1"/>
    <col min="34" max="34" width="13.625" style="73" customWidth="1"/>
    <col min="35" max="35" width="13.625" style="69" customWidth="1"/>
    <col min="36" max="36" width="13.625" style="71" customWidth="1"/>
    <col min="37" max="37" width="8.875" style="71" customWidth="1"/>
    <col min="38" max="38" width="5.125" customWidth="1"/>
    <col min="39" max="39" width="18.25"/>
    <col min="40" max="40" width="29.6923076923077" style="71" customWidth="1"/>
  </cols>
  <sheetData>
    <row r="1" spans="1:40">
      <c r="A1" s="10" t="s">
        <v>1</v>
      </c>
      <c r="B1" s="10" t="s">
        <v>0</v>
      </c>
      <c r="C1" s="8" t="s">
        <v>83</v>
      </c>
      <c r="D1" s="75" t="s">
        <v>84</v>
      </c>
      <c r="E1" s="77" t="s">
        <v>85</v>
      </c>
      <c r="F1" s="78"/>
      <c r="G1" s="78"/>
      <c r="H1" s="78"/>
      <c r="I1" s="78"/>
      <c r="J1" s="81"/>
      <c r="K1" s="81"/>
      <c r="L1" s="77"/>
      <c r="M1" s="77"/>
      <c r="N1" s="77"/>
      <c r="O1" s="79"/>
      <c r="P1" s="83"/>
      <c r="Q1" s="85" t="s">
        <v>86</v>
      </c>
      <c r="R1" s="78"/>
      <c r="S1" s="78"/>
      <c r="T1" s="78"/>
      <c r="U1" s="78"/>
      <c r="V1" s="81"/>
      <c r="W1" s="81"/>
      <c r="X1" s="77"/>
      <c r="Y1" s="83"/>
      <c r="Z1" s="83"/>
      <c r="AA1" s="79"/>
      <c r="AB1" s="85" t="s">
        <v>87</v>
      </c>
      <c r="AC1" s="78"/>
      <c r="AD1" s="87"/>
      <c r="AE1" s="78"/>
      <c r="AF1" s="78"/>
      <c r="AG1" s="81"/>
      <c r="AH1" s="81"/>
      <c r="AI1" s="77"/>
      <c r="AJ1" s="83"/>
      <c r="AK1" s="83"/>
      <c r="AL1" s="79"/>
      <c r="AM1" s="1" t="s">
        <v>88</v>
      </c>
      <c r="AN1" s="39" t="s">
        <v>89</v>
      </c>
    </row>
    <row r="2" spans="1:40">
      <c r="A2" s="12"/>
      <c r="B2" s="12"/>
      <c r="C2" s="8"/>
      <c r="D2" s="76"/>
      <c r="E2" s="79" t="s">
        <v>83</v>
      </c>
      <c r="F2" s="39" t="s">
        <v>90</v>
      </c>
      <c r="G2" s="8" t="s">
        <v>91</v>
      </c>
      <c r="H2" s="39" t="s">
        <v>92</v>
      </c>
      <c r="I2" s="39" t="s">
        <v>93</v>
      </c>
      <c r="J2" s="82" t="s">
        <v>94</v>
      </c>
      <c r="K2" s="82" t="s">
        <v>95</v>
      </c>
      <c r="L2" s="1" t="s">
        <v>96</v>
      </c>
      <c r="M2" s="1" t="s">
        <v>97</v>
      </c>
      <c r="N2" s="1" t="s">
        <v>98</v>
      </c>
      <c r="O2" s="1" t="s">
        <v>99</v>
      </c>
      <c r="P2" s="39" t="s">
        <v>100</v>
      </c>
      <c r="Q2" s="8" t="s">
        <v>83</v>
      </c>
      <c r="R2" s="39" t="s">
        <v>90</v>
      </c>
      <c r="S2" s="8" t="s">
        <v>91</v>
      </c>
      <c r="T2" s="39" t="s">
        <v>92</v>
      </c>
      <c r="U2" s="39" t="s">
        <v>93</v>
      </c>
      <c r="V2" s="82" t="s">
        <v>101</v>
      </c>
      <c r="W2" s="82" t="s">
        <v>95</v>
      </c>
      <c r="X2" s="1" t="s">
        <v>96</v>
      </c>
      <c r="Y2" s="39" t="s">
        <v>97</v>
      </c>
      <c r="Z2" s="39" t="s">
        <v>98</v>
      </c>
      <c r="AA2" s="8" t="s">
        <v>99</v>
      </c>
      <c r="AB2" s="8" t="s">
        <v>83</v>
      </c>
      <c r="AC2" s="39" t="s">
        <v>90</v>
      </c>
      <c r="AD2" s="8" t="s">
        <v>91</v>
      </c>
      <c r="AE2" s="39" t="s">
        <v>92</v>
      </c>
      <c r="AF2" s="39" t="s">
        <v>93</v>
      </c>
      <c r="AG2" s="82" t="s">
        <v>101</v>
      </c>
      <c r="AH2" s="82" t="s">
        <v>95</v>
      </c>
      <c r="AI2" s="8" t="s">
        <v>96</v>
      </c>
      <c r="AJ2" s="39" t="s">
        <v>97</v>
      </c>
      <c r="AK2" s="39" t="s">
        <v>102</v>
      </c>
      <c r="AL2" s="1" t="s">
        <v>99</v>
      </c>
      <c r="AM2" s="1"/>
      <c r="AN2" s="39"/>
    </row>
    <row r="3" spans="1:40">
      <c r="A3" s="1">
        <v>2022</v>
      </c>
      <c r="B3" s="1" t="s">
        <v>63</v>
      </c>
      <c r="C3" s="26">
        <v>25609651543.29</v>
      </c>
      <c r="D3" s="8">
        <v>16471824416.06</v>
      </c>
      <c r="E3" s="8">
        <v>13861182323.73</v>
      </c>
      <c r="F3" s="39">
        <f>E3/C3</f>
        <v>0.541248376624702</v>
      </c>
      <c r="G3" s="8">
        <v>8277124315.29</v>
      </c>
      <c r="H3" s="39">
        <f>G3/D3</f>
        <v>0.502501975872194</v>
      </c>
      <c r="I3" s="39">
        <f>G3/E3</f>
        <v>0.597144177313054</v>
      </c>
      <c r="J3" s="82">
        <v>2502658</v>
      </c>
      <c r="K3" s="82">
        <v>2468667</v>
      </c>
      <c r="L3" s="20">
        <f t="shared" ref="L3:L9" si="0">E3/J3</f>
        <v>5538.58430665716</v>
      </c>
      <c r="M3" s="39">
        <f t="shared" ref="M3:M8" si="1">(L3-L4)/L4</f>
        <v>0.0384893415159133</v>
      </c>
      <c r="N3" s="39">
        <f t="shared" ref="N3:N8" si="2">(J3-J4)/J4</f>
        <v>-0.0592508613748467</v>
      </c>
      <c r="O3" s="20">
        <v>55865</v>
      </c>
      <c r="P3" s="39">
        <f t="shared" ref="P3:P9" si="3">O3/J3</f>
        <v>0.022322266965762</v>
      </c>
      <c r="Q3" s="8">
        <v>4416534600.86</v>
      </c>
      <c r="R3" s="39">
        <f>Q3/C3</f>
        <v>0.172455864672519</v>
      </c>
      <c r="S3" s="26">
        <v>2930274011.71</v>
      </c>
      <c r="T3" s="39">
        <f>S3/D3</f>
        <v>0.17789614178093</v>
      </c>
      <c r="U3" s="39">
        <f>S3/Q3</f>
        <v>0.663478105920286</v>
      </c>
      <c r="V3" s="82">
        <v>877936</v>
      </c>
      <c r="W3" s="86">
        <v>867822</v>
      </c>
      <c r="X3" s="20">
        <f t="shared" ref="X3:X9" si="4">Q3/V3</f>
        <v>5030.58833543675</v>
      </c>
      <c r="Y3" s="39">
        <f t="shared" ref="Y3:Y8" si="5">(X3-X4)/X4</f>
        <v>0.0672531942862395</v>
      </c>
      <c r="Z3" s="39">
        <f t="shared" ref="Z3:Z8" si="6">(V3-V4)/V4</f>
        <v>-0.0867894147224854</v>
      </c>
      <c r="AA3" s="8"/>
      <c r="AB3" s="8">
        <v>2584008717.63</v>
      </c>
      <c r="AC3" s="39">
        <f>AB3/C3</f>
        <v>0.100899799954796</v>
      </c>
      <c r="AD3" s="26">
        <v>1620613207.54</v>
      </c>
      <c r="AE3" s="88">
        <f>AD3/D3</f>
        <v>0.0983869889943645</v>
      </c>
      <c r="AF3" s="88">
        <f>AD3/AB3</f>
        <v>0.62717017805822</v>
      </c>
      <c r="AG3" s="86">
        <v>284712</v>
      </c>
      <c r="AH3" s="86"/>
      <c r="AI3" s="26">
        <f t="shared" ref="AI3:AI9" si="7">AB3/AG3</f>
        <v>9075.86865896063</v>
      </c>
      <c r="AJ3" s="39">
        <f t="shared" ref="AJ3:AJ8" si="8">(AI3-AI4)/AI4</f>
        <v>0.0538722069517929</v>
      </c>
      <c r="AK3" s="39">
        <f t="shared" ref="AK3:AK8" si="9">(AG3-AG4)/AG4</f>
        <v>-0.0802479704606319</v>
      </c>
      <c r="AL3" s="52"/>
      <c r="AM3" s="53">
        <v>1378053856.94</v>
      </c>
      <c r="AN3" s="39">
        <f t="shared" ref="AN3:AN9" si="10">AM3/C3</f>
        <v>0.0538099417171127</v>
      </c>
    </row>
    <row r="4" spans="1:40">
      <c r="A4" s="1">
        <v>2021</v>
      </c>
      <c r="B4" s="1"/>
      <c r="C4" s="26">
        <v>25004031043.49</v>
      </c>
      <c r="D4" s="8">
        <v>15336858254.4</v>
      </c>
      <c r="E4" s="8">
        <v>14188105305.9</v>
      </c>
      <c r="F4" s="39">
        <f t="shared" ref="F4:F46" si="11">E4/C4</f>
        <v>0.56743271839738</v>
      </c>
      <c r="G4" s="8">
        <v>8099787316.69</v>
      </c>
      <c r="H4" s="39">
        <f t="shared" ref="H4:H9" si="12">G4/D4</f>
        <v>0.528125590152484</v>
      </c>
      <c r="I4" s="39">
        <f t="shared" ref="I4:I9" si="13">G4/E4</f>
        <v>0.570885762549406</v>
      </c>
      <c r="J4" s="82">
        <v>2660282</v>
      </c>
      <c r="K4" s="82">
        <v>2647215</v>
      </c>
      <c r="L4" s="20">
        <f t="shared" si="0"/>
        <v>5333.30876422124</v>
      </c>
      <c r="M4" s="39">
        <f t="shared" si="1"/>
        <v>0.00311286715276948</v>
      </c>
      <c r="N4" s="39">
        <f t="shared" si="2"/>
        <v>0.0843860477951592</v>
      </c>
      <c r="O4" s="20">
        <v>89856</v>
      </c>
      <c r="P4" s="39">
        <f t="shared" si="3"/>
        <v>0.0337768702716479</v>
      </c>
      <c r="Q4" s="8">
        <v>4531513070.84</v>
      </c>
      <c r="R4" s="39">
        <f t="shared" ref="R4:R46" si="14">Q4/C4</f>
        <v>0.181231300783392</v>
      </c>
      <c r="S4" s="26">
        <v>2963142018.97</v>
      </c>
      <c r="T4" s="39">
        <f t="shared" ref="T4:T9" si="15">S4/D4</f>
        <v>0.193203977621682</v>
      </c>
      <c r="U4" s="39">
        <f t="shared" ref="U4:U9" si="16">S4/Q4</f>
        <v>0.65389682709681</v>
      </c>
      <c r="V4" s="82">
        <v>961373</v>
      </c>
      <c r="W4" s="86">
        <v>955618</v>
      </c>
      <c r="X4" s="20">
        <f t="shared" si="4"/>
        <v>4713.58470733004</v>
      </c>
      <c r="Y4" s="39">
        <f t="shared" si="5"/>
        <v>-0.0115123547648422</v>
      </c>
      <c r="Z4" s="39">
        <f t="shared" si="6"/>
        <v>0.114603054983914</v>
      </c>
      <c r="AA4" s="8"/>
      <c r="AB4" s="8">
        <v>2665847293.87</v>
      </c>
      <c r="AC4" s="39">
        <f t="shared" ref="AC4:AC30" si="17">AB4/C4</f>
        <v>0.10661670069251</v>
      </c>
      <c r="AD4" s="26">
        <v>1612313007.28</v>
      </c>
      <c r="AE4" s="88">
        <f t="shared" ref="AE4:AE9" si="18">AD4/D4</f>
        <v>0.105126681132196</v>
      </c>
      <c r="AF4" s="88">
        <f t="shared" ref="AF4:AF9" si="19">AD4/AB4</f>
        <v>0.604803212467362</v>
      </c>
      <c r="AG4" s="86">
        <v>309553</v>
      </c>
      <c r="AH4" s="86"/>
      <c r="AI4" s="26">
        <f t="shared" si="7"/>
        <v>8611.92524016889</v>
      </c>
      <c r="AJ4" s="39">
        <f t="shared" si="8"/>
        <v>0.00402042140971097</v>
      </c>
      <c r="AK4" s="39">
        <f t="shared" si="9"/>
        <v>0.0519067004669054</v>
      </c>
      <c r="AL4" s="52"/>
      <c r="AM4" s="53">
        <v>1356919480.01</v>
      </c>
      <c r="AN4" s="39">
        <f t="shared" si="10"/>
        <v>0.0542680289290108</v>
      </c>
    </row>
    <row r="5" spans="1:40">
      <c r="A5" s="1">
        <v>2020</v>
      </c>
      <c r="B5" s="1"/>
      <c r="C5" s="26">
        <v>22791873936.49</v>
      </c>
      <c r="D5" s="8">
        <v>13180788066.91</v>
      </c>
      <c r="E5" s="8">
        <v>13043396033.15</v>
      </c>
      <c r="F5" s="39">
        <f t="shared" si="11"/>
        <v>0.572282738553911</v>
      </c>
      <c r="G5" s="8">
        <v>6863724532.39</v>
      </c>
      <c r="H5" s="39">
        <f t="shared" si="12"/>
        <v>0.520737037690575</v>
      </c>
      <c r="I5" s="39">
        <f t="shared" si="13"/>
        <v>0.52622219818717</v>
      </c>
      <c r="J5" s="82">
        <v>2453261</v>
      </c>
      <c r="K5" s="82">
        <v>2379225</v>
      </c>
      <c r="L5" s="20">
        <f t="shared" si="0"/>
        <v>5316.75840163358</v>
      </c>
      <c r="M5" s="39">
        <f t="shared" si="1"/>
        <v>-0.00724148884819736</v>
      </c>
      <c r="N5" s="39">
        <f t="shared" si="2"/>
        <v>0.129855547700576</v>
      </c>
      <c r="O5" s="20">
        <v>102923</v>
      </c>
      <c r="P5" s="39">
        <f t="shared" si="3"/>
        <v>0.041953546728212</v>
      </c>
      <c r="Q5" s="8">
        <v>4112934207.41</v>
      </c>
      <c r="R5" s="39">
        <f t="shared" si="14"/>
        <v>0.180456166915927</v>
      </c>
      <c r="S5" s="26">
        <v>2658576139.02</v>
      </c>
      <c r="T5" s="39">
        <f t="shared" si="15"/>
        <v>0.201700848653677</v>
      </c>
      <c r="U5" s="39">
        <f t="shared" si="16"/>
        <v>0.646394035243798</v>
      </c>
      <c r="V5" s="82">
        <v>862525</v>
      </c>
      <c r="W5" s="86">
        <v>842561</v>
      </c>
      <c r="X5" s="20">
        <f t="shared" si="4"/>
        <v>4768.4811540651</v>
      </c>
      <c r="Y5" s="39">
        <f t="shared" si="5"/>
        <v>0.0271498205943616</v>
      </c>
      <c r="Z5" s="39">
        <f t="shared" si="6"/>
        <v>0.147398905446428</v>
      </c>
      <c r="AA5" s="8"/>
      <c r="AB5" s="8">
        <v>2524151981.16</v>
      </c>
      <c r="AC5" s="39">
        <f t="shared" si="17"/>
        <v>0.110747891471917</v>
      </c>
      <c r="AD5" s="26">
        <v>1408593828.13</v>
      </c>
      <c r="AE5" s="88">
        <f t="shared" si="18"/>
        <v>0.106867193446971</v>
      </c>
      <c r="AF5" s="88">
        <f t="shared" si="19"/>
        <v>0.558046361171432</v>
      </c>
      <c r="AG5" s="86">
        <v>294278</v>
      </c>
      <c r="AH5" s="86"/>
      <c r="AI5" s="26">
        <f t="shared" si="7"/>
        <v>8577.440315484</v>
      </c>
      <c r="AJ5" s="39">
        <f t="shared" si="8"/>
        <v>0.00216407295861967</v>
      </c>
      <c r="AK5" s="39">
        <f t="shared" si="9"/>
        <v>0.0991760232476487</v>
      </c>
      <c r="AL5" s="52"/>
      <c r="AM5" s="53">
        <v>1365533071.16</v>
      </c>
      <c r="AN5" s="39">
        <f t="shared" si="10"/>
        <v>0.0599131547921459</v>
      </c>
    </row>
    <row r="6" spans="1:40">
      <c r="A6" s="1">
        <v>2019</v>
      </c>
      <c r="B6" s="1"/>
      <c r="C6" s="26">
        <v>19796889800.07</v>
      </c>
      <c r="D6" s="8">
        <v>10800720678.76</v>
      </c>
      <c r="E6" s="8">
        <v>11628511840.07</v>
      </c>
      <c r="F6" s="39">
        <f t="shared" si="11"/>
        <v>0.587390845607924</v>
      </c>
      <c r="G6" s="8">
        <v>5770628180.96</v>
      </c>
      <c r="H6" s="39">
        <f t="shared" si="12"/>
        <v>0.534281771799556</v>
      </c>
      <c r="I6" s="39">
        <f t="shared" si="13"/>
        <v>0.496248209601106</v>
      </c>
      <c r="J6" s="82">
        <v>2171305</v>
      </c>
      <c r="K6" s="82">
        <v>2241720</v>
      </c>
      <c r="L6" s="20">
        <f t="shared" si="0"/>
        <v>5355.54048835608</v>
      </c>
      <c r="M6" s="39">
        <f t="shared" si="1"/>
        <v>-0.0174695064205632</v>
      </c>
      <c r="N6" s="39">
        <f t="shared" si="2"/>
        <v>0.156205919517859</v>
      </c>
      <c r="O6" s="20">
        <v>176959</v>
      </c>
      <c r="P6" s="39">
        <f t="shared" si="3"/>
        <v>0.0814989142474226</v>
      </c>
      <c r="Q6" s="8">
        <v>3489824092.09</v>
      </c>
      <c r="R6" s="39">
        <f t="shared" si="14"/>
        <v>0.176281432453984</v>
      </c>
      <c r="S6" s="26">
        <v>2165083033.79</v>
      </c>
      <c r="T6" s="39">
        <f t="shared" si="15"/>
        <v>0.200457274860159</v>
      </c>
      <c r="U6" s="39">
        <f t="shared" si="16"/>
        <v>0.620398901680275</v>
      </c>
      <c r="V6" s="82">
        <v>751722</v>
      </c>
      <c r="W6" s="86">
        <v>762515</v>
      </c>
      <c r="X6" s="20">
        <f t="shared" si="4"/>
        <v>4642.4397477924</v>
      </c>
      <c r="Y6" s="39">
        <f t="shared" si="5"/>
        <v>-0.0175430802695542</v>
      </c>
      <c r="Z6" s="39">
        <f t="shared" si="6"/>
        <v>0.243913820492454</v>
      </c>
      <c r="AA6" s="8"/>
      <c r="AB6" s="8">
        <v>2291444931.89</v>
      </c>
      <c r="AC6" s="39">
        <f t="shared" si="17"/>
        <v>0.115747723760219</v>
      </c>
      <c r="AD6" s="26">
        <v>1201739958.17</v>
      </c>
      <c r="AE6" s="88">
        <f t="shared" si="18"/>
        <v>0.111264793703374</v>
      </c>
      <c r="AF6" s="88">
        <f t="shared" si="19"/>
        <v>0.524446361963757</v>
      </c>
      <c r="AG6" s="86">
        <v>267726</v>
      </c>
      <c r="AH6" s="86"/>
      <c r="AI6" s="26">
        <f t="shared" si="7"/>
        <v>8558.9181920695</v>
      </c>
      <c r="AJ6" s="39">
        <f t="shared" si="8"/>
        <v>-0.0250839145992827</v>
      </c>
      <c r="AK6" s="39">
        <f t="shared" si="9"/>
        <v>0.123351012050619</v>
      </c>
      <c r="AL6" s="52"/>
      <c r="AM6" s="53">
        <v>2162819226.68</v>
      </c>
      <c r="AN6" s="39">
        <f t="shared" si="10"/>
        <v>0.109250455426203</v>
      </c>
    </row>
    <row r="7" spans="1:40">
      <c r="A7" s="1">
        <v>2018</v>
      </c>
      <c r="B7" s="1"/>
      <c r="C7" s="26">
        <v>17034475127.23</v>
      </c>
      <c r="D7" s="8">
        <v>9119051026.25</v>
      </c>
      <c r="E7" s="8">
        <v>10236297819.37</v>
      </c>
      <c r="F7" s="39">
        <f t="shared" si="11"/>
        <v>0.600916537957019</v>
      </c>
      <c r="G7" s="8">
        <v>5062172624.6</v>
      </c>
      <c r="H7" s="39">
        <f t="shared" si="12"/>
        <v>0.55512055037614</v>
      </c>
      <c r="I7" s="39">
        <f t="shared" si="13"/>
        <v>0.494531588854412</v>
      </c>
      <c r="J7" s="82">
        <v>1877957</v>
      </c>
      <c r="K7" s="82">
        <v>1915722</v>
      </c>
      <c r="L7" s="20">
        <f t="shared" si="0"/>
        <v>5450.76262095991</v>
      </c>
      <c r="M7" s="39">
        <f t="shared" si="1"/>
        <v>0.00935729187302478</v>
      </c>
      <c r="N7" s="39">
        <f t="shared" si="2"/>
        <v>0.147755164405329</v>
      </c>
      <c r="O7" s="20">
        <v>106544</v>
      </c>
      <c r="P7" s="39">
        <f t="shared" si="3"/>
        <v>0.0567339933768452</v>
      </c>
      <c r="Q7" s="8">
        <v>2855615479.97</v>
      </c>
      <c r="R7" s="39">
        <f t="shared" si="14"/>
        <v>0.16763742109114</v>
      </c>
      <c r="S7" s="26">
        <v>1687085668.33</v>
      </c>
      <c r="T7" s="39">
        <f t="shared" si="15"/>
        <v>0.185006714347093</v>
      </c>
      <c r="U7" s="39">
        <f t="shared" si="16"/>
        <v>0.590795812728864</v>
      </c>
      <c r="V7" s="82">
        <v>604320</v>
      </c>
      <c r="W7" s="86">
        <v>617006</v>
      </c>
      <c r="X7" s="20">
        <f t="shared" si="4"/>
        <v>4725.33670897869</v>
      </c>
      <c r="Y7" s="39">
        <f t="shared" si="5"/>
        <v>0.0109431857447727</v>
      </c>
      <c r="Z7" s="39">
        <f t="shared" si="6"/>
        <v>0.246534653465347</v>
      </c>
      <c r="AA7" s="8"/>
      <c r="AB7" s="8">
        <v>2092313262.06</v>
      </c>
      <c r="AC7" s="39">
        <f t="shared" si="17"/>
        <v>0.122828161503808</v>
      </c>
      <c r="AD7" s="26">
        <v>1093337468.44</v>
      </c>
      <c r="AE7" s="88">
        <f t="shared" si="18"/>
        <v>0.119895970018452</v>
      </c>
      <c r="AF7" s="88">
        <f t="shared" si="19"/>
        <v>0.52254960491124</v>
      </c>
      <c r="AG7" s="86">
        <v>238328</v>
      </c>
      <c r="AH7" s="86"/>
      <c r="AI7" s="26">
        <f t="shared" si="7"/>
        <v>8779.13322001611</v>
      </c>
      <c r="AJ7" s="39">
        <f t="shared" si="8"/>
        <v>-0.00430830674962497</v>
      </c>
      <c r="AK7" s="39">
        <f t="shared" si="9"/>
        <v>0.0299394987035436</v>
      </c>
      <c r="AL7" s="52"/>
      <c r="AM7" s="53">
        <v>2236019583.2</v>
      </c>
      <c r="AN7" s="39">
        <f t="shared" si="10"/>
        <v>0.131264366321782</v>
      </c>
    </row>
    <row r="8" spans="1:40">
      <c r="A8" s="1">
        <v>2017</v>
      </c>
      <c r="B8" s="1"/>
      <c r="C8" s="26">
        <v>14584310896.6</v>
      </c>
      <c r="D8" s="8">
        <v>7920728043.51</v>
      </c>
      <c r="E8" s="8">
        <v>8835858097.25</v>
      </c>
      <c r="F8" s="39">
        <f t="shared" si="11"/>
        <v>0.605846800708964</v>
      </c>
      <c r="G8" s="8">
        <v>4459713077.13</v>
      </c>
      <c r="H8" s="39">
        <f t="shared" si="12"/>
        <v>0.563043327915311</v>
      </c>
      <c r="I8" s="39">
        <f t="shared" si="13"/>
        <v>0.504728915748206</v>
      </c>
      <c r="J8" s="82">
        <v>1636200</v>
      </c>
      <c r="K8" s="82">
        <v>1660500</v>
      </c>
      <c r="L8" s="20">
        <f t="shared" si="0"/>
        <v>5400.23108253881</v>
      </c>
      <c r="M8" s="39">
        <f t="shared" si="1"/>
        <v>0.0547974863103068</v>
      </c>
      <c r="N8" s="39">
        <f t="shared" si="2"/>
        <v>0.105316489900696</v>
      </c>
      <c r="O8" s="20">
        <v>68800</v>
      </c>
      <c r="P8" s="39">
        <f t="shared" si="3"/>
        <v>0.0420486493093754</v>
      </c>
      <c r="Q8" s="8">
        <v>2266045479.92</v>
      </c>
      <c r="R8" s="39">
        <f t="shared" si="14"/>
        <v>0.155375560490025</v>
      </c>
      <c r="S8" s="26">
        <v>1114489382.95</v>
      </c>
      <c r="T8" s="39">
        <f t="shared" si="15"/>
        <v>0.140705422131388</v>
      </c>
      <c r="U8" s="39">
        <f t="shared" si="16"/>
        <v>0.491821277562949</v>
      </c>
      <c r="V8" s="82">
        <v>484800</v>
      </c>
      <c r="W8" s="86">
        <v>504600</v>
      </c>
      <c r="X8" s="20">
        <f t="shared" si="4"/>
        <v>4674.1862209571</v>
      </c>
      <c r="Y8" s="39">
        <f t="shared" si="5"/>
        <v>0.0712420686424475</v>
      </c>
      <c r="Z8" s="39">
        <f t="shared" si="6"/>
        <v>0.135628952916374</v>
      </c>
      <c r="AA8" s="8"/>
      <c r="AB8" s="8">
        <v>2040281586.04</v>
      </c>
      <c r="AC8" s="39">
        <f t="shared" si="17"/>
        <v>0.139895645430573</v>
      </c>
      <c r="AD8" s="26">
        <v>1379128476.37</v>
      </c>
      <c r="AE8" s="88">
        <f t="shared" si="18"/>
        <v>0.174116377786764</v>
      </c>
      <c r="AF8" s="88">
        <f t="shared" si="19"/>
        <v>0.675950067778028</v>
      </c>
      <c r="AG8" s="86">
        <v>231400</v>
      </c>
      <c r="AH8" s="86"/>
      <c r="AI8" s="26">
        <f t="shared" si="7"/>
        <v>8817.12007796024</v>
      </c>
      <c r="AJ8" s="39">
        <f t="shared" si="8"/>
        <v>0.0588667531164487</v>
      </c>
      <c r="AK8" s="39">
        <f t="shared" si="9"/>
        <v>0.0619550252409362</v>
      </c>
      <c r="AL8" s="52"/>
      <c r="AM8" s="53">
        <v>1956552214.37</v>
      </c>
      <c r="AN8" s="39">
        <f t="shared" si="10"/>
        <v>0.134154587641582</v>
      </c>
    </row>
    <row r="9" spans="1:40">
      <c r="A9" s="1">
        <v>2016</v>
      </c>
      <c r="B9" s="1"/>
      <c r="C9" s="26">
        <v>12458558940.81</v>
      </c>
      <c r="D9" s="8">
        <v>6983199621.89</v>
      </c>
      <c r="E9" s="8">
        <v>7578670005.6</v>
      </c>
      <c r="F9" s="39">
        <f t="shared" si="11"/>
        <v>0.608310322374031</v>
      </c>
      <c r="G9" s="8">
        <v>3976070337.88</v>
      </c>
      <c r="H9" s="39">
        <f t="shared" si="12"/>
        <v>0.569376582822629</v>
      </c>
      <c r="I9" s="39">
        <f t="shared" si="13"/>
        <v>0.524639591767687</v>
      </c>
      <c r="J9" s="82">
        <v>1480300</v>
      </c>
      <c r="K9" s="82">
        <v>1473700</v>
      </c>
      <c r="L9" s="20">
        <f t="shared" si="0"/>
        <v>5119.68520272918</v>
      </c>
      <c r="M9" s="20"/>
      <c r="N9" s="20"/>
      <c r="O9" s="20">
        <v>44500</v>
      </c>
      <c r="P9" s="39">
        <f t="shared" si="3"/>
        <v>0.0300614740255354</v>
      </c>
      <c r="Q9" s="8">
        <v>1862706997.92</v>
      </c>
      <c r="R9" s="39">
        <f t="shared" si="14"/>
        <v>0.149512235465565</v>
      </c>
      <c r="S9" s="26">
        <v>1150500558.83</v>
      </c>
      <c r="T9" s="39">
        <f t="shared" si="15"/>
        <v>0.16475263792024</v>
      </c>
      <c r="U9" s="39">
        <f t="shared" si="16"/>
        <v>0.617649775361724</v>
      </c>
      <c r="V9" s="82">
        <v>426900</v>
      </c>
      <c r="W9" s="86">
        <v>434900</v>
      </c>
      <c r="X9" s="20">
        <f t="shared" si="4"/>
        <v>4363.333328461</v>
      </c>
      <c r="Y9" s="39"/>
      <c r="Z9" s="39"/>
      <c r="AA9" s="8"/>
      <c r="AB9" s="8">
        <v>1814440258.26</v>
      </c>
      <c r="AC9" s="39">
        <f t="shared" si="17"/>
        <v>0.145638052272363</v>
      </c>
      <c r="AD9" s="26">
        <v>1003370413.95</v>
      </c>
      <c r="AE9" s="88">
        <f t="shared" si="18"/>
        <v>0.14368347867427</v>
      </c>
      <c r="AF9" s="88">
        <f t="shared" si="19"/>
        <v>0.55299170605496</v>
      </c>
      <c r="AG9" s="86">
        <v>217900</v>
      </c>
      <c r="AH9" s="86"/>
      <c r="AI9" s="26">
        <f t="shared" si="7"/>
        <v>8326.94014804956</v>
      </c>
      <c r="AJ9" s="39"/>
      <c r="AK9" s="39"/>
      <c r="AL9" s="52"/>
      <c r="AM9" s="53">
        <v>1559903903.37</v>
      </c>
      <c r="AN9" s="39">
        <f t="shared" si="10"/>
        <v>0.125207410486319</v>
      </c>
    </row>
    <row r="10" spans="1:40">
      <c r="A10" s="1">
        <v>2015</v>
      </c>
      <c r="B10" s="1"/>
      <c r="C10" s="26">
        <v>11294380030.09</v>
      </c>
      <c r="D10" s="26"/>
      <c r="E10" s="8"/>
      <c r="F10" s="39">
        <f t="shared" si="11"/>
        <v>0</v>
      </c>
      <c r="G10" s="39"/>
      <c r="H10" s="39" t="e">
        <f t="shared" ref="H10:H30" si="20">G10/D10</f>
        <v>#DIV/0!</v>
      </c>
      <c r="I10" s="39" t="e">
        <f t="shared" ref="I10:I30" si="21">G10/E10</f>
        <v>#DIV/0!</v>
      </c>
      <c r="J10" s="82"/>
      <c r="K10" s="82"/>
      <c r="L10" s="1"/>
      <c r="M10" s="1"/>
      <c r="N10" s="1"/>
      <c r="O10" s="1"/>
      <c r="P10" s="39"/>
      <c r="Q10" s="8"/>
      <c r="R10" s="39">
        <f t="shared" si="14"/>
        <v>0</v>
      </c>
      <c r="S10" s="39"/>
      <c r="T10" s="39"/>
      <c r="U10" s="39"/>
      <c r="V10" s="82"/>
      <c r="W10" s="82"/>
      <c r="X10" s="1"/>
      <c r="Y10" s="39"/>
      <c r="Z10" s="39"/>
      <c r="AA10" s="8"/>
      <c r="AB10" s="8"/>
      <c r="AC10" s="39">
        <f t="shared" si="17"/>
        <v>0</v>
      </c>
      <c r="AD10" s="86"/>
      <c r="AE10" s="88"/>
      <c r="AF10" s="88"/>
      <c r="AG10" s="86"/>
      <c r="AH10" s="86"/>
      <c r="AI10" s="26"/>
      <c r="AJ10" s="39"/>
      <c r="AK10" s="39"/>
      <c r="AL10" s="52"/>
      <c r="AM10" s="53"/>
      <c r="AN10" s="39"/>
    </row>
    <row r="11" spans="1:40">
      <c r="A11" s="1">
        <v>2014</v>
      </c>
      <c r="B11" s="1"/>
      <c r="C11" s="26">
        <v>9817189662.62</v>
      </c>
      <c r="D11" s="26"/>
      <c r="E11" s="8"/>
      <c r="F11" s="39">
        <f t="shared" si="11"/>
        <v>0</v>
      </c>
      <c r="G11" s="39"/>
      <c r="H11" s="39" t="e">
        <f t="shared" si="20"/>
        <v>#DIV/0!</v>
      </c>
      <c r="I11" s="39" t="e">
        <f t="shared" si="21"/>
        <v>#DIV/0!</v>
      </c>
      <c r="J11" s="82"/>
      <c r="K11" s="82"/>
      <c r="L11" s="1"/>
      <c r="M11" s="1"/>
      <c r="N11" s="1"/>
      <c r="O11" s="1"/>
      <c r="P11" s="39"/>
      <c r="Q11" s="8"/>
      <c r="R11" s="39">
        <f t="shared" si="14"/>
        <v>0</v>
      </c>
      <c r="S11" s="39"/>
      <c r="T11" s="39"/>
      <c r="U11" s="39"/>
      <c r="V11" s="82"/>
      <c r="W11" s="82"/>
      <c r="X11" s="1"/>
      <c r="Y11" s="39"/>
      <c r="Z11" s="39"/>
      <c r="AA11" s="8"/>
      <c r="AB11" s="8"/>
      <c r="AC11" s="39">
        <f t="shared" si="17"/>
        <v>0</v>
      </c>
      <c r="AD11" s="86"/>
      <c r="AE11" s="88"/>
      <c r="AF11" s="88"/>
      <c r="AG11" s="86"/>
      <c r="AH11" s="86"/>
      <c r="AI11" s="26"/>
      <c r="AJ11" s="39"/>
      <c r="AK11" s="39"/>
      <c r="AL11" s="52"/>
      <c r="AM11" s="52"/>
      <c r="AN11" s="39"/>
    </row>
    <row r="12" spans="1:40">
      <c r="A12" s="1">
        <v>2013</v>
      </c>
      <c r="B12" s="1"/>
      <c r="C12" s="26">
        <v>8401589320.86</v>
      </c>
      <c r="D12" s="26"/>
      <c r="E12" s="8"/>
      <c r="F12" s="39">
        <f t="shared" si="11"/>
        <v>0</v>
      </c>
      <c r="G12" s="39"/>
      <c r="H12" s="39" t="e">
        <f t="shared" si="20"/>
        <v>#DIV/0!</v>
      </c>
      <c r="I12" s="39" t="e">
        <f t="shared" si="21"/>
        <v>#DIV/0!</v>
      </c>
      <c r="J12" s="82"/>
      <c r="K12" s="82"/>
      <c r="L12" s="1"/>
      <c r="M12" s="1"/>
      <c r="N12" s="1"/>
      <c r="O12" s="1"/>
      <c r="P12" s="39"/>
      <c r="Q12" s="8"/>
      <c r="R12" s="39">
        <f t="shared" si="14"/>
        <v>0</v>
      </c>
      <c r="S12" s="39"/>
      <c r="T12" s="39"/>
      <c r="U12" s="39"/>
      <c r="V12" s="82"/>
      <c r="W12" s="82"/>
      <c r="X12" s="1"/>
      <c r="Y12" s="39"/>
      <c r="Z12" s="39"/>
      <c r="AA12" s="8"/>
      <c r="AB12" s="8"/>
      <c r="AC12" s="39">
        <f t="shared" si="17"/>
        <v>0</v>
      </c>
      <c r="AD12" s="86"/>
      <c r="AE12" s="88"/>
      <c r="AF12" s="88"/>
      <c r="AG12" s="86"/>
      <c r="AH12" s="86"/>
      <c r="AI12" s="26"/>
      <c r="AJ12" s="39"/>
      <c r="AK12" s="39"/>
      <c r="AL12" s="52"/>
      <c r="AM12" s="52"/>
      <c r="AN12" s="39"/>
    </row>
    <row r="13" spans="1:40">
      <c r="A13" s="1">
        <v>2012</v>
      </c>
      <c r="B13" s="1"/>
      <c r="C13" s="26">
        <v>7069591619.67</v>
      </c>
      <c r="D13" s="26"/>
      <c r="E13" s="8"/>
      <c r="F13" s="39">
        <f t="shared" si="11"/>
        <v>0</v>
      </c>
      <c r="G13" s="39"/>
      <c r="H13" s="39" t="e">
        <f t="shared" si="20"/>
        <v>#DIV/0!</v>
      </c>
      <c r="I13" s="39" t="e">
        <f t="shared" si="21"/>
        <v>#DIV/0!</v>
      </c>
      <c r="J13" s="82"/>
      <c r="K13" s="82"/>
      <c r="L13" s="1"/>
      <c r="M13" s="1"/>
      <c r="N13" s="39">
        <f>AVERAGE(N3:N8)</f>
        <v>0.0940447179907955</v>
      </c>
      <c r="O13" s="1"/>
      <c r="P13" s="39"/>
      <c r="Q13" s="8"/>
      <c r="R13" s="39">
        <f t="shared" si="14"/>
        <v>0</v>
      </c>
      <c r="S13" s="39"/>
      <c r="T13" s="39"/>
      <c r="U13" s="39"/>
      <c r="V13" s="82"/>
      <c r="W13" s="82"/>
      <c r="X13" s="1"/>
      <c r="Y13" s="39"/>
      <c r="Z13" s="39">
        <f>AVERAGE(Z3:Z8)</f>
        <v>0.133548328763672</v>
      </c>
      <c r="AA13" s="8"/>
      <c r="AB13" s="8"/>
      <c r="AC13" s="39">
        <f t="shared" si="17"/>
        <v>0</v>
      </c>
      <c r="AD13" s="86"/>
      <c r="AE13" s="88"/>
      <c r="AF13" s="88"/>
      <c r="AG13" s="86"/>
      <c r="AH13" s="86"/>
      <c r="AI13" s="26"/>
      <c r="AJ13" s="39"/>
      <c r="AK13" s="39">
        <f>AVERAGE(AK3:AK8)</f>
        <v>0.0476800482081702</v>
      </c>
      <c r="AL13" s="52"/>
      <c r="AM13" s="52"/>
      <c r="AN13" s="39"/>
    </row>
    <row r="14" spans="1:40">
      <c r="A14" s="1">
        <v>2022</v>
      </c>
      <c r="B14" s="10" t="s">
        <v>74</v>
      </c>
      <c r="C14" s="26">
        <v>5341040998.68</v>
      </c>
      <c r="D14" s="26"/>
      <c r="E14" s="8"/>
      <c r="F14" s="39">
        <f t="shared" si="11"/>
        <v>0</v>
      </c>
      <c r="G14" s="39"/>
      <c r="H14" s="39" t="e">
        <f t="shared" si="20"/>
        <v>#DIV/0!</v>
      </c>
      <c r="I14" s="39" t="e">
        <f t="shared" si="21"/>
        <v>#DIV/0!</v>
      </c>
      <c r="J14" s="82"/>
      <c r="K14" s="82"/>
      <c r="L14" s="1"/>
      <c r="M14" s="1"/>
      <c r="N14" s="39"/>
      <c r="O14" s="1"/>
      <c r="P14" s="39"/>
      <c r="Q14" s="8"/>
      <c r="R14" s="39">
        <f t="shared" si="14"/>
        <v>0</v>
      </c>
      <c r="S14" s="39"/>
      <c r="T14" s="39"/>
      <c r="U14" s="39"/>
      <c r="V14" s="82"/>
      <c r="W14" s="82"/>
      <c r="X14" s="1"/>
      <c r="Y14" s="39"/>
      <c r="Z14" s="39"/>
      <c r="AA14" s="8"/>
      <c r="AB14" s="8"/>
      <c r="AC14" s="39">
        <f t="shared" si="17"/>
        <v>0</v>
      </c>
      <c r="AD14" s="86"/>
      <c r="AE14" s="88"/>
      <c r="AF14" s="88"/>
      <c r="AG14" s="86"/>
      <c r="AH14" s="86"/>
      <c r="AI14" s="26"/>
      <c r="AJ14" s="39"/>
      <c r="AK14" s="39"/>
      <c r="AL14" s="52"/>
      <c r="AM14" s="52"/>
      <c r="AN14" s="39"/>
    </row>
    <row r="15" spans="1:40">
      <c r="A15" s="1">
        <v>2021</v>
      </c>
      <c r="B15" s="11"/>
      <c r="C15" s="26">
        <v>5115649704.3</v>
      </c>
      <c r="D15" s="26"/>
      <c r="E15" s="8"/>
      <c r="F15" s="39">
        <f t="shared" si="11"/>
        <v>0</v>
      </c>
      <c r="G15" s="39"/>
      <c r="H15" s="39" t="e">
        <f t="shared" si="20"/>
        <v>#DIV/0!</v>
      </c>
      <c r="I15" s="39" t="e">
        <f t="shared" si="21"/>
        <v>#DIV/0!</v>
      </c>
      <c r="J15" s="82"/>
      <c r="K15" s="82"/>
      <c r="L15" s="1"/>
      <c r="M15" s="1"/>
      <c r="N15" s="39"/>
      <c r="O15" s="1"/>
      <c r="P15" s="39"/>
      <c r="Q15" s="8"/>
      <c r="R15" s="39">
        <f t="shared" si="14"/>
        <v>0</v>
      </c>
      <c r="S15" s="39"/>
      <c r="T15" s="39"/>
      <c r="U15" s="39"/>
      <c r="V15" s="82"/>
      <c r="W15" s="82"/>
      <c r="X15" s="1"/>
      <c r="Y15" s="39"/>
      <c r="Z15" s="39"/>
      <c r="AA15" s="8"/>
      <c r="AB15" s="8"/>
      <c r="AC15" s="39">
        <f t="shared" si="17"/>
        <v>0</v>
      </c>
      <c r="AD15" s="86"/>
      <c r="AE15" s="88"/>
      <c r="AF15" s="88"/>
      <c r="AG15" s="86"/>
      <c r="AH15" s="86"/>
      <c r="AI15" s="26"/>
      <c r="AJ15" s="39"/>
      <c r="AK15" s="39"/>
      <c r="AL15" s="52"/>
      <c r="AM15" s="52"/>
      <c r="AN15" s="39"/>
    </row>
    <row r="16" spans="1:40">
      <c r="A16" s="1">
        <v>2020</v>
      </c>
      <c r="B16" s="11"/>
      <c r="C16" s="26">
        <v>5123374813.83</v>
      </c>
      <c r="D16" s="26"/>
      <c r="E16" s="8"/>
      <c r="F16" s="39">
        <f t="shared" si="11"/>
        <v>0</v>
      </c>
      <c r="G16" s="39"/>
      <c r="H16" s="39" t="e">
        <f t="shared" si="20"/>
        <v>#DIV/0!</v>
      </c>
      <c r="I16" s="39" t="e">
        <f t="shared" si="21"/>
        <v>#DIV/0!</v>
      </c>
      <c r="J16" s="82"/>
      <c r="K16" s="82"/>
      <c r="L16" s="1"/>
      <c r="M16" s="1"/>
      <c r="N16" s="39"/>
      <c r="O16" s="1"/>
      <c r="P16" s="39"/>
      <c r="Q16" s="8"/>
      <c r="R16" s="39">
        <f t="shared" si="14"/>
        <v>0</v>
      </c>
      <c r="S16" s="39"/>
      <c r="T16" s="39"/>
      <c r="U16" s="39"/>
      <c r="V16" s="82"/>
      <c r="W16" s="82"/>
      <c r="X16" s="1"/>
      <c r="Y16" s="39"/>
      <c r="Z16" s="39"/>
      <c r="AA16" s="8"/>
      <c r="AB16" s="8"/>
      <c r="AC16" s="39">
        <f t="shared" si="17"/>
        <v>0</v>
      </c>
      <c r="AD16" s="86"/>
      <c r="AE16" s="88"/>
      <c r="AF16" s="88"/>
      <c r="AG16" s="86"/>
      <c r="AH16" s="86"/>
      <c r="AI16" s="26"/>
      <c r="AJ16" s="39"/>
      <c r="AK16" s="39"/>
      <c r="AL16" s="52"/>
      <c r="AM16" s="52"/>
      <c r="AN16" s="39"/>
    </row>
    <row r="17" spans="1:40">
      <c r="A17" s="1">
        <v>2019</v>
      </c>
      <c r="B17" s="11"/>
      <c r="C17" s="26">
        <v>4674844437.35</v>
      </c>
      <c r="D17" s="26"/>
      <c r="E17" s="8"/>
      <c r="F17" s="39">
        <f t="shared" si="11"/>
        <v>0</v>
      </c>
      <c r="G17" s="39"/>
      <c r="H17" s="39" t="e">
        <f t="shared" si="20"/>
        <v>#DIV/0!</v>
      </c>
      <c r="I17" s="39" t="e">
        <f t="shared" si="21"/>
        <v>#DIV/0!</v>
      </c>
      <c r="J17" s="82"/>
      <c r="K17" s="82"/>
      <c r="L17" s="1"/>
      <c r="M17" s="1"/>
      <c r="N17" s="39"/>
      <c r="O17" s="1"/>
      <c r="P17" s="39"/>
      <c r="Q17" s="8"/>
      <c r="R17" s="39">
        <f t="shared" si="14"/>
        <v>0</v>
      </c>
      <c r="S17" s="39"/>
      <c r="T17" s="39"/>
      <c r="U17" s="39"/>
      <c r="V17" s="82"/>
      <c r="W17" s="82"/>
      <c r="X17" s="1"/>
      <c r="Y17" s="39"/>
      <c r="Z17" s="39"/>
      <c r="AA17" s="8"/>
      <c r="AB17" s="8"/>
      <c r="AC17" s="39">
        <f t="shared" si="17"/>
        <v>0</v>
      </c>
      <c r="AD17" s="86"/>
      <c r="AE17" s="88"/>
      <c r="AF17" s="88"/>
      <c r="AG17" s="86"/>
      <c r="AH17" s="86"/>
      <c r="AI17" s="26"/>
      <c r="AJ17" s="39"/>
      <c r="AK17" s="39"/>
      <c r="AL17" s="52"/>
      <c r="AM17" s="52"/>
      <c r="AN17" s="39"/>
    </row>
    <row r="18" spans="1:40">
      <c r="A18" s="1">
        <v>2018</v>
      </c>
      <c r="B18" s="11"/>
      <c r="C18" s="26">
        <v>4166464950.31</v>
      </c>
      <c r="D18" s="26"/>
      <c r="E18" s="8"/>
      <c r="F18" s="39">
        <f t="shared" si="11"/>
        <v>0</v>
      </c>
      <c r="G18" s="39"/>
      <c r="H18" s="39" t="e">
        <f t="shared" si="20"/>
        <v>#DIV/0!</v>
      </c>
      <c r="I18" s="39" t="e">
        <f t="shared" si="21"/>
        <v>#DIV/0!</v>
      </c>
      <c r="J18" s="82"/>
      <c r="K18" s="82"/>
      <c r="L18" s="1"/>
      <c r="M18" s="1"/>
      <c r="N18" s="39"/>
      <c r="O18" s="1"/>
      <c r="P18" s="39"/>
      <c r="Q18" s="8"/>
      <c r="R18" s="39">
        <f t="shared" si="14"/>
        <v>0</v>
      </c>
      <c r="S18" s="39"/>
      <c r="T18" s="39"/>
      <c r="U18" s="39"/>
      <c r="V18" s="82"/>
      <c r="W18" s="82"/>
      <c r="X18" s="1"/>
      <c r="Y18" s="39"/>
      <c r="Z18" s="39"/>
      <c r="AA18" s="8"/>
      <c r="AB18" s="8"/>
      <c r="AC18" s="39">
        <f t="shared" si="17"/>
        <v>0</v>
      </c>
      <c r="AD18" s="86"/>
      <c r="AE18" s="88"/>
      <c r="AF18" s="88"/>
      <c r="AG18" s="86"/>
      <c r="AH18" s="86"/>
      <c r="AI18" s="26"/>
      <c r="AJ18" s="39"/>
      <c r="AK18" s="39"/>
      <c r="AL18" s="52"/>
      <c r="AM18" s="52"/>
      <c r="AN18" s="39"/>
    </row>
    <row r="19" spans="1:40">
      <c r="A19" s="1">
        <v>2017</v>
      </c>
      <c r="B19" s="11"/>
      <c r="C19" s="26">
        <v>3609371700.99</v>
      </c>
      <c r="D19" s="26"/>
      <c r="E19" s="8"/>
      <c r="F19" s="39">
        <f t="shared" si="11"/>
        <v>0</v>
      </c>
      <c r="G19" s="39"/>
      <c r="H19" s="39" t="e">
        <f t="shared" si="20"/>
        <v>#DIV/0!</v>
      </c>
      <c r="I19" s="39" t="e">
        <f t="shared" si="21"/>
        <v>#DIV/0!</v>
      </c>
      <c r="J19" s="82"/>
      <c r="K19" s="82"/>
      <c r="L19" s="1"/>
      <c r="M19" s="1"/>
      <c r="N19" s="39"/>
      <c r="O19" s="1"/>
      <c r="P19" s="39"/>
      <c r="Q19" s="8"/>
      <c r="R19" s="39">
        <f t="shared" si="14"/>
        <v>0</v>
      </c>
      <c r="S19" s="39"/>
      <c r="T19" s="39"/>
      <c r="U19" s="39"/>
      <c r="V19" s="82"/>
      <c r="W19" s="82"/>
      <c r="X19" s="1"/>
      <c r="Y19" s="39"/>
      <c r="Z19" s="39"/>
      <c r="AA19" s="8"/>
      <c r="AB19" s="8"/>
      <c r="AC19" s="39">
        <f t="shared" si="17"/>
        <v>0</v>
      </c>
      <c r="AD19" s="86"/>
      <c r="AE19" s="88"/>
      <c r="AF19" s="88"/>
      <c r="AG19" s="86"/>
      <c r="AH19" s="86"/>
      <c r="AI19" s="26"/>
      <c r="AJ19" s="39"/>
      <c r="AK19" s="39"/>
      <c r="AL19" s="52"/>
      <c r="AM19" s="52"/>
      <c r="AN19" s="39"/>
    </row>
    <row r="20" spans="1:40">
      <c r="A20" s="1">
        <v>2016</v>
      </c>
      <c r="B20" s="11"/>
      <c r="C20" s="26">
        <v>3157988862.51</v>
      </c>
      <c r="D20" s="26"/>
      <c r="E20" s="8"/>
      <c r="F20" s="39">
        <f t="shared" si="11"/>
        <v>0</v>
      </c>
      <c r="G20" s="39"/>
      <c r="H20" s="39" t="e">
        <f t="shared" si="20"/>
        <v>#DIV/0!</v>
      </c>
      <c r="I20" s="39" t="e">
        <f t="shared" si="21"/>
        <v>#DIV/0!</v>
      </c>
      <c r="J20" s="82"/>
      <c r="K20" s="82"/>
      <c r="L20" s="1"/>
      <c r="M20" s="1"/>
      <c r="N20" s="39"/>
      <c r="O20" s="1"/>
      <c r="P20" s="39"/>
      <c r="Q20" s="8"/>
      <c r="R20" s="39">
        <f t="shared" si="14"/>
        <v>0</v>
      </c>
      <c r="S20" s="39"/>
      <c r="T20" s="39"/>
      <c r="U20" s="39"/>
      <c r="V20" s="82"/>
      <c r="W20" s="82"/>
      <c r="X20" s="1"/>
      <c r="Y20" s="39"/>
      <c r="Z20" s="39"/>
      <c r="AA20" s="8"/>
      <c r="AB20" s="8"/>
      <c r="AC20" s="39">
        <f t="shared" si="17"/>
        <v>0</v>
      </c>
      <c r="AD20" s="86"/>
      <c r="AE20" s="88"/>
      <c r="AF20" s="88"/>
      <c r="AG20" s="86"/>
      <c r="AH20" s="86"/>
      <c r="AI20" s="26"/>
      <c r="AJ20" s="39"/>
      <c r="AK20" s="39"/>
      <c r="AL20" s="52"/>
      <c r="AM20" s="52"/>
      <c r="AN20" s="39"/>
    </row>
    <row r="21" spans="1:40">
      <c r="A21" s="1">
        <v>2015</v>
      </c>
      <c r="B21" s="11"/>
      <c r="C21" s="26">
        <v>2758585298.86</v>
      </c>
      <c r="D21" s="26"/>
      <c r="E21" s="8"/>
      <c r="F21" s="39">
        <f t="shared" si="11"/>
        <v>0</v>
      </c>
      <c r="G21" s="39"/>
      <c r="H21" s="39" t="e">
        <f t="shared" si="20"/>
        <v>#DIV/0!</v>
      </c>
      <c r="I21" s="39" t="e">
        <f t="shared" si="21"/>
        <v>#DIV/0!</v>
      </c>
      <c r="J21" s="82"/>
      <c r="K21" s="82"/>
      <c r="L21" s="1"/>
      <c r="M21" s="1"/>
      <c r="N21" s="39"/>
      <c r="O21" s="1"/>
      <c r="P21" s="39"/>
      <c r="Q21" s="8"/>
      <c r="R21" s="39">
        <f t="shared" si="14"/>
        <v>0</v>
      </c>
      <c r="S21" s="39"/>
      <c r="T21" s="39"/>
      <c r="U21" s="39"/>
      <c r="V21" s="82"/>
      <c r="W21" s="82"/>
      <c r="X21" s="1"/>
      <c r="Y21" s="39"/>
      <c r="Z21" s="39"/>
      <c r="AA21" s="8"/>
      <c r="AB21" s="8"/>
      <c r="AC21" s="39">
        <f t="shared" si="17"/>
        <v>0</v>
      </c>
      <c r="AD21" s="86"/>
      <c r="AE21" s="88"/>
      <c r="AF21" s="88"/>
      <c r="AG21" s="86"/>
      <c r="AH21" s="86"/>
      <c r="AI21" s="26"/>
      <c r="AJ21" s="39"/>
      <c r="AK21" s="39"/>
      <c r="AL21" s="52"/>
      <c r="AM21" s="52"/>
      <c r="AN21" s="39"/>
    </row>
    <row r="22" spans="1:40">
      <c r="A22" s="1">
        <v>2014</v>
      </c>
      <c r="B22" s="11"/>
      <c r="C22" s="26">
        <v>2641896888.88</v>
      </c>
      <c r="D22" s="26"/>
      <c r="E22" s="8"/>
      <c r="F22" s="39">
        <f t="shared" si="11"/>
        <v>0</v>
      </c>
      <c r="G22" s="39"/>
      <c r="H22" s="39" t="e">
        <f t="shared" si="20"/>
        <v>#DIV/0!</v>
      </c>
      <c r="I22" s="39" t="e">
        <f t="shared" si="21"/>
        <v>#DIV/0!</v>
      </c>
      <c r="J22" s="82"/>
      <c r="K22" s="82"/>
      <c r="L22" s="1"/>
      <c r="M22" s="1"/>
      <c r="N22" s="39"/>
      <c r="O22" s="1"/>
      <c r="P22" s="39"/>
      <c r="Q22" s="8"/>
      <c r="R22" s="39">
        <f t="shared" si="14"/>
        <v>0</v>
      </c>
      <c r="S22" s="39"/>
      <c r="T22" s="39"/>
      <c r="U22" s="39"/>
      <c r="V22" s="82"/>
      <c r="W22" s="82"/>
      <c r="X22" s="1"/>
      <c r="Y22" s="39"/>
      <c r="Z22" s="39"/>
      <c r="AA22" s="8"/>
      <c r="AB22" s="8"/>
      <c r="AC22" s="39">
        <f t="shared" si="17"/>
        <v>0</v>
      </c>
      <c r="AD22" s="86"/>
      <c r="AE22" s="88"/>
      <c r="AF22" s="88"/>
      <c r="AG22" s="86"/>
      <c r="AH22" s="86"/>
      <c r="AI22" s="26"/>
      <c r="AJ22" s="39"/>
      <c r="AK22" s="39"/>
      <c r="AL22" s="52"/>
      <c r="AM22" s="52"/>
      <c r="AN22" s="39"/>
    </row>
    <row r="23" spans="1:40">
      <c r="A23" s="1">
        <v>2013</v>
      </c>
      <c r="B23" s="11"/>
      <c r="C23" s="26">
        <v>2318190695.54</v>
      </c>
      <c r="D23" s="26"/>
      <c r="E23" s="8"/>
      <c r="F23" s="39">
        <f t="shared" si="11"/>
        <v>0</v>
      </c>
      <c r="G23" s="39"/>
      <c r="H23" s="39" t="e">
        <f t="shared" si="20"/>
        <v>#DIV/0!</v>
      </c>
      <c r="I23" s="39" t="e">
        <f t="shared" si="21"/>
        <v>#DIV/0!</v>
      </c>
      <c r="J23" s="82"/>
      <c r="K23" s="82"/>
      <c r="L23" s="1"/>
      <c r="M23" s="1"/>
      <c r="N23" s="39"/>
      <c r="O23" s="1"/>
      <c r="P23" s="39"/>
      <c r="Q23" s="8"/>
      <c r="R23" s="39">
        <f t="shared" si="14"/>
        <v>0</v>
      </c>
      <c r="S23" s="39"/>
      <c r="T23" s="39"/>
      <c r="U23" s="39"/>
      <c r="V23" s="82"/>
      <c r="W23" s="82"/>
      <c r="X23" s="1"/>
      <c r="Y23" s="39"/>
      <c r="Z23" s="39"/>
      <c r="AA23" s="8"/>
      <c r="AB23" s="8"/>
      <c r="AC23" s="39">
        <f t="shared" si="17"/>
        <v>0</v>
      </c>
      <c r="AD23" s="86"/>
      <c r="AE23" s="88"/>
      <c r="AF23" s="88"/>
      <c r="AG23" s="86"/>
      <c r="AH23" s="86"/>
      <c r="AI23" s="26"/>
      <c r="AJ23" s="39"/>
      <c r="AK23" s="39"/>
      <c r="AL23" s="52"/>
      <c r="AM23" s="52"/>
      <c r="AN23" s="39"/>
    </row>
    <row r="24" spans="1:40">
      <c r="A24" s="1">
        <v>2012</v>
      </c>
      <c r="B24" s="12"/>
      <c r="C24" s="26">
        <v>1754338281.65</v>
      </c>
      <c r="D24" s="26"/>
      <c r="E24" s="8"/>
      <c r="F24" s="39">
        <f t="shared" si="11"/>
        <v>0</v>
      </c>
      <c r="G24" s="39"/>
      <c r="H24" s="39" t="e">
        <f t="shared" si="20"/>
        <v>#DIV/0!</v>
      </c>
      <c r="I24" s="39" t="e">
        <f t="shared" si="21"/>
        <v>#DIV/0!</v>
      </c>
      <c r="J24" s="82"/>
      <c r="K24" s="82"/>
      <c r="L24" s="20"/>
      <c r="M24" s="20"/>
      <c r="N24" s="20"/>
      <c r="O24" s="84"/>
      <c r="P24" s="39"/>
      <c r="Q24" s="8"/>
      <c r="R24" s="39">
        <f t="shared" si="14"/>
        <v>0</v>
      </c>
      <c r="S24" s="39"/>
      <c r="T24" s="39"/>
      <c r="U24" s="39"/>
      <c r="V24" s="82"/>
      <c r="W24" s="82"/>
      <c r="X24" s="1"/>
      <c r="Y24" s="39"/>
      <c r="Z24" s="39"/>
      <c r="AA24" s="8"/>
      <c r="AB24" s="8"/>
      <c r="AC24" s="39">
        <f t="shared" si="17"/>
        <v>0</v>
      </c>
      <c r="AD24" s="86"/>
      <c r="AE24" s="88"/>
      <c r="AF24" s="88"/>
      <c r="AG24" s="86"/>
      <c r="AH24" s="86"/>
      <c r="AI24" s="26"/>
      <c r="AJ24" s="39"/>
      <c r="AK24" s="39"/>
      <c r="AL24" s="52"/>
      <c r="AM24" s="52"/>
      <c r="AN24" s="39"/>
    </row>
    <row r="25" spans="1:40">
      <c r="A25" s="1">
        <v>2022</v>
      </c>
      <c r="B25" s="1" t="s">
        <v>76</v>
      </c>
      <c r="C25" s="26">
        <v>2436471672.19</v>
      </c>
      <c r="D25" s="8">
        <v>1545770407.17</v>
      </c>
      <c r="E25" s="8">
        <v>1513144072.56</v>
      </c>
      <c r="F25" s="39">
        <f t="shared" si="11"/>
        <v>0.62103905817215</v>
      </c>
      <c r="G25" s="8">
        <v>950994337.4</v>
      </c>
      <c r="H25" s="39">
        <f t="shared" si="20"/>
        <v>0.615223537071772</v>
      </c>
      <c r="I25" s="39">
        <f>G25/E25</f>
        <v>0.628488955312146</v>
      </c>
      <c r="J25" s="82">
        <v>336024</v>
      </c>
      <c r="K25" s="82">
        <v>345013</v>
      </c>
      <c r="L25" s="20">
        <f t="shared" ref="L25:L30" si="22">E25/J25</f>
        <v>4503.08332904792</v>
      </c>
      <c r="M25" s="20"/>
      <c r="N25" s="20"/>
      <c r="O25" s="84">
        <v>41924</v>
      </c>
      <c r="P25" s="39"/>
      <c r="Q25" s="8"/>
      <c r="R25" s="39">
        <f t="shared" si="14"/>
        <v>0</v>
      </c>
      <c r="S25" s="39"/>
      <c r="T25" s="39"/>
      <c r="U25" s="39"/>
      <c r="V25" s="82"/>
      <c r="W25" s="82"/>
      <c r="X25" s="1"/>
      <c r="Y25" s="39"/>
      <c r="Z25" s="39"/>
      <c r="AA25" s="8"/>
      <c r="AB25" s="8"/>
      <c r="AC25" s="39">
        <f t="shared" si="17"/>
        <v>0</v>
      </c>
      <c r="AD25" s="86"/>
      <c r="AE25" s="88"/>
      <c r="AF25" s="88"/>
      <c r="AG25" s="86"/>
      <c r="AH25" s="86"/>
      <c r="AI25" s="26"/>
      <c r="AJ25" s="39"/>
      <c r="AK25" s="39"/>
      <c r="AL25" s="52"/>
      <c r="AM25" s="52"/>
      <c r="AN25" s="39"/>
    </row>
    <row r="26" spans="1:40">
      <c r="A26" s="1">
        <v>2021</v>
      </c>
      <c r="B26" s="1"/>
      <c r="C26" s="26">
        <v>1925286294.09</v>
      </c>
      <c r="D26" s="8">
        <v>1147871732</v>
      </c>
      <c r="E26" s="8">
        <v>1182064447.78</v>
      </c>
      <c r="F26" s="39">
        <f t="shared" si="11"/>
        <v>0.613968141469947</v>
      </c>
      <c r="G26" s="8">
        <v>662778435.01</v>
      </c>
      <c r="H26" s="39">
        <f t="shared" si="20"/>
        <v>0.577397645166507</v>
      </c>
      <c r="I26" s="39">
        <f t="shared" si="21"/>
        <v>0.560695684786684</v>
      </c>
      <c r="J26" s="82">
        <v>263559</v>
      </c>
      <c r="K26" s="82">
        <v>275340</v>
      </c>
      <c r="L26" s="20">
        <f t="shared" si="22"/>
        <v>4485.00885107319</v>
      </c>
      <c r="M26" s="20"/>
      <c r="N26" s="20"/>
      <c r="O26" s="84">
        <v>32935</v>
      </c>
      <c r="P26" s="39"/>
      <c r="Q26" s="8"/>
      <c r="R26" s="39">
        <f t="shared" si="14"/>
        <v>0</v>
      </c>
      <c r="S26" s="39"/>
      <c r="T26" s="39"/>
      <c r="U26" s="39"/>
      <c r="V26" s="82"/>
      <c r="W26" s="82"/>
      <c r="X26" s="1"/>
      <c r="Y26" s="39"/>
      <c r="Z26" s="39"/>
      <c r="AA26" s="8"/>
      <c r="AB26" s="8"/>
      <c r="AC26" s="39">
        <f t="shared" si="17"/>
        <v>0</v>
      </c>
      <c r="AD26" s="86"/>
      <c r="AE26" s="88"/>
      <c r="AF26" s="88"/>
      <c r="AG26" s="86"/>
      <c r="AH26" s="86"/>
      <c r="AI26" s="26"/>
      <c r="AJ26" s="39"/>
      <c r="AK26" s="39"/>
      <c r="AL26" s="52"/>
      <c r="AM26" s="52"/>
      <c r="AN26" s="39"/>
    </row>
    <row r="27" spans="1:40">
      <c r="A27" s="1">
        <v>2020</v>
      </c>
      <c r="B27" s="1"/>
      <c r="C27" s="26">
        <v>1693273982.03</v>
      </c>
      <c r="D27" s="8">
        <v>950816655.19</v>
      </c>
      <c r="E27" s="8">
        <v>1053969814.05</v>
      </c>
      <c r="F27" s="39">
        <f t="shared" si="11"/>
        <v>0.622444935217416</v>
      </c>
      <c r="G27" s="8">
        <v>544506620.14</v>
      </c>
      <c r="H27" s="39">
        <f t="shared" si="20"/>
        <v>0.572672572748731</v>
      </c>
      <c r="I27" s="39">
        <f t="shared" si="21"/>
        <v>0.51662449235398</v>
      </c>
      <c r="J27" s="82">
        <v>202456.02</v>
      </c>
      <c r="K27" s="82">
        <v>203078.04</v>
      </c>
      <c r="L27" s="20">
        <f t="shared" si="22"/>
        <v>5205.9198538527</v>
      </c>
      <c r="M27" s="20"/>
      <c r="N27" s="20"/>
      <c r="O27" s="20">
        <v>21155.2</v>
      </c>
      <c r="P27" s="39"/>
      <c r="Q27" s="8"/>
      <c r="R27" s="39">
        <f t="shared" si="14"/>
        <v>0</v>
      </c>
      <c r="S27" s="39"/>
      <c r="T27" s="39"/>
      <c r="U27" s="39"/>
      <c r="V27" s="82"/>
      <c r="W27" s="82"/>
      <c r="X27" s="1"/>
      <c r="Y27" s="39"/>
      <c r="Z27" s="39"/>
      <c r="AA27" s="8"/>
      <c r="AB27" s="8"/>
      <c r="AC27" s="39">
        <f t="shared" si="17"/>
        <v>0</v>
      </c>
      <c r="AD27" s="86"/>
      <c r="AE27" s="88"/>
      <c r="AF27" s="88"/>
      <c r="AG27" s="86"/>
      <c r="AH27" s="86"/>
      <c r="AI27" s="26"/>
      <c r="AJ27" s="39"/>
      <c r="AK27" s="39"/>
      <c r="AL27" s="52"/>
      <c r="AM27" s="52"/>
      <c r="AN27" s="39"/>
    </row>
    <row r="28" spans="1:40">
      <c r="A28" s="1">
        <v>2019</v>
      </c>
      <c r="B28" s="1"/>
      <c r="C28" s="26">
        <v>1355147203.67</v>
      </c>
      <c r="D28" s="8">
        <v>728988143.54</v>
      </c>
      <c r="E28" s="80">
        <v>835148173.63</v>
      </c>
      <c r="F28" s="39">
        <f t="shared" si="11"/>
        <v>0.616278564696335</v>
      </c>
      <c r="G28" s="8">
        <v>414874034.26</v>
      </c>
      <c r="H28" s="39">
        <f t="shared" si="20"/>
        <v>0.569109440169154</v>
      </c>
      <c r="I28" s="39">
        <f t="shared" si="21"/>
        <v>0.496766977836682</v>
      </c>
      <c r="J28" s="82">
        <v>151841.23</v>
      </c>
      <c r="K28" s="82">
        <v>158306.88</v>
      </c>
      <c r="L28" s="20">
        <f t="shared" si="22"/>
        <v>5500.1409935233</v>
      </c>
      <c r="M28" s="20"/>
      <c r="N28" s="20"/>
      <c r="O28" s="20">
        <v>20533.18</v>
      </c>
      <c r="P28" s="39"/>
      <c r="Q28" s="8"/>
      <c r="R28" s="39">
        <f t="shared" si="14"/>
        <v>0</v>
      </c>
      <c r="S28" s="39"/>
      <c r="T28" s="39"/>
      <c r="U28" s="39"/>
      <c r="V28" s="82"/>
      <c r="W28" s="82"/>
      <c r="X28" s="1"/>
      <c r="Y28" s="39"/>
      <c r="Z28" s="39"/>
      <c r="AA28" s="8"/>
      <c r="AB28" s="8"/>
      <c r="AC28" s="39">
        <f t="shared" si="17"/>
        <v>0</v>
      </c>
      <c r="AD28" s="86"/>
      <c r="AE28" s="88"/>
      <c r="AF28" s="88"/>
      <c r="AG28" s="86"/>
      <c r="AH28" s="86"/>
      <c r="AI28" s="26"/>
      <c r="AJ28" s="39"/>
      <c r="AK28" s="39"/>
      <c r="AL28" s="52"/>
      <c r="AM28" s="52"/>
      <c r="AN28" s="39"/>
    </row>
    <row r="29" spans="1:40">
      <c r="A29" s="1">
        <v>2018</v>
      </c>
      <c r="B29" s="1"/>
      <c r="C29" s="26">
        <v>1065445794.48</v>
      </c>
      <c r="D29" s="8">
        <v>578058411.02</v>
      </c>
      <c r="E29" s="8">
        <v>608688964</v>
      </c>
      <c r="F29" s="39">
        <f t="shared" si="11"/>
        <v>0.571299795028123</v>
      </c>
      <c r="G29" s="80">
        <v>303308325.77</v>
      </c>
      <c r="H29" s="39">
        <f t="shared" si="20"/>
        <v>0.524701864011985</v>
      </c>
      <c r="I29" s="39">
        <f t="shared" si="21"/>
        <v>0.498297724632313</v>
      </c>
      <c r="J29" s="82">
        <v>111023.73</v>
      </c>
      <c r="K29" s="82">
        <v>114261.34</v>
      </c>
      <c r="L29" s="20">
        <f t="shared" si="22"/>
        <v>5482.51228813876</v>
      </c>
      <c r="M29" s="20"/>
      <c r="N29" s="20"/>
      <c r="O29" s="20">
        <v>14067.53</v>
      </c>
      <c r="P29" s="39"/>
      <c r="Q29" s="8"/>
      <c r="R29" s="39">
        <f t="shared" si="14"/>
        <v>0</v>
      </c>
      <c r="S29" s="39"/>
      <c r="T29" s="39"/>
      <c r="U29" s="39"/>
      <c r="V29" s="82"/>
      <c r="W29" s="82"/>
      <c r="X29" s="1"/>
      <c r="Y29" s="39"/>
      <c r="Z29" s="39"/>
      <c r="AA29" s="8"/>
      <c r="AB29" s="8"/>
      <c r="AC29" s="39">
        <f t="shared" si="17"/>
        <v>0</v>
      </c>
      <c r="AD29" s="86"/>
      <c r="AE29" s="88"/>
      <c r="AF29" s="88"/>
      <c r="AG29" s="86"/>
      <c r="AH29" s="86"/>
      <c r="AI29" s="26"/>
      <c r="AJ29" s="39"/>
      <c r="AK29" s="39"/>
      <c r="AL29" s="52"/>
      <c r="AM29" s="52"/>
      <c r="AN29" s="39"/>
    </row>
    <row r="30" spans="1:40">
      <c r="A30" s="1">
        <v>2017</v>
      </c>
      <c r="B30" s="1"/>
      <c r="C30" s="26">
        <v>948167111.51</v>
      </c>
      <c r="D30" s="8">
        <v>537261639.44</v>
      </c>
      <c r="E30" s="8">
        <v>505576221.65</v>
      </c>
      <c r="F30" s="39">
        <f t="shared" si="11"/>
        <v>0.533214256762024</v>
      </c>
      <c r="G30" s="8">
        <v>258682460.69</v>
      </c>
      <c r="H30" s="39">
        <f t="shared" si="20"/>
        <v>0.481483213578454</v>
      </c>
      <c r="I30" s="39">
        <f t="shared" si="21"/>
        <v>0.511658676995851</v>
      </c>
      <c r="J30" s="72">
        <v>94958.7</v>
      </c>
      <c r="K30" s="82">
        <v>96349.95</v>
      </c>
      <c r="L30" s="20">
        <f t="shared" si="22"/>
        <v>5324.16957740576</v>
      </c>
      <c r="M30" s="20"/>
      <c r="N30" s="20"/>
      <c r="O30" s="20">
        <v>10829.88</v>
      </c>
      <c r="P30" s="39"/>
      <c r="Q30" s="8"/>
      <c r="R30" s="39">
        <f t="shared" si="14"/>
        <v>0</v>
      </c>
      <c r="S30" s="39"/>
      <c r="T30" s="39"/>
      <c r="U30" s="39"/>
      <c r="V30" s="82"/>
      <c r="W30" s="82"/>
      <c r="X30" s="1"/>
      <c r="Y30" s="39"/>
      <c r="Z30" s="39"/>
      <c r="AA30" s="8"/>
      <c r="AB30" s="8"/>
      <c r="AC30" s="39">
        <f t="shared" si="17"/>
        <v>0</v>
      </c>
      <c r="AD30" s="86"/>
      <c r="AE30" s="88"/>
      <c r="AF30" s="88"/>
      <c r="AG30" s="86"/>
      <c r="AH30" s="86"/>
      <c r="AI30" s="26"/>
      <c r="AJ30" s="39"/>
      <c r="AK30" s="39"/>
      <c r="AL30" s="52"/>
      <c r="AM30" s="52"/>
      <c r="AN30" s="39"/>
    </row>
    <row r="31" spans="1:40">
      <c r="A31" s="1">
        <v>2016</v>
      </c>
      <c r="B31" s="1"/>
      <c r="C31" s="26">
        <v>770860990.83</v>
      </c>
      <c r="D31" s="26"/>
      <c r="E31" s="8"/>
      <c r="F31" s="39">
        <f t="shared" si="11"/>
        <v>0</v>
      </c>
      <c r="G31" s="39"/>
      <c r="H31" s="39"/>
      <c r="I31" s="39"/>
      <c r="J31" s="82"/>
      <c r="K31" s="82"/>
      <c r="L31" s="1"/>
      <c r="M31" s="1"/>
      <c r="N31" s="1"/>
      <c r="O31" s="1"/>
      <c r="P31" s="39"/>
      <c r="Q31" s="8"/>
      <c r="R31" s="39">
        <f t="shared" si="14"/>
        <v>0</v>
      </c>
      <c r="S31" s="39"/>
      <c r="T31" s="39"/>
      <c r="U31" s="39"/>
      <c r="V31" s="82"/>
      <c r="W31" s="82"/>
      <c r="X31" s="1"/>
      <c r="Y31" s="39"/>
      <c r="Z31" s="39"/>
      <c r="AA31" s="8"/>
      <c r="AB31" s="8"/>
      <c r="AC31" s="39">
        <f t="shared" ref="AC31:AC46" si="23">AB31/C31</f>
        <v>0</v>
      </c>
      <c r="AD31" s="86"/>
      <c r="AE31" s="88"/>
      <c r="AF31" s="88"/>
      <c r="AG31" s="86"/>
      <c r="AH31" s="86"/>
      <c r="AI31" s="26"/>
      <c r="AJ31" s="39"/>
      <c r="AK31" s="39"/>
      <c r="AL31" s="52"/>
      <c r="AM31" s="52"/>
      <c r="AN31" s="39"/>
    </row>
    <row r="32" spans="1:40">
      <c r="A32" s="1">
        <v>2015</v>
      </c>
      <c r="B32" s="1"/>
      <c r="C32" s="26">
        <v>623585955.63</v>
      </c>
      <c r="D32" s="26"/>
      <c r="E32" s="8"/>
      <c r="F32" s="39">
        <f t="shared" si="11"/>
        <v>0</v>
      </c>
      <c r="G32" s="39"/>
      <c r="H32" s="39"/>
      <c r="I32" s="39"/>
      <c r="J32" s="82"/>
      <c r="K32" s="82"/>
      <c r="L32" s="1"/>
      <c r="M32" s="1"/>
      <c r="N32" s="1"/>
      <c r="O32" s="1"/>
      <c r="P32" s="39"/>
      <c r="Q32" s="8"/>
      <c r="R32" s="39">
        <f t="shared" si="14"/>
        <v>0</v>
      </c>
      <c r="S32" s="39"/>
      <c r="T32" s="39"/>
      <c r="U32" s="39"/>
      <c r="V32" s="82"/>
      <c r="W32" s="82"/>
      <c r="X32" s="1"/>
      <c r="Y32" s="39"/>
      <c r="Z32" s="39"/>
      <c r="AA32" s="8"/>
      <c r="AB32" s="8"/>
      <c r="AC32" s="39">
        <f t="shared" si="23"/>
        <v>0</v>
      </c>
      <c r="AD32" s="86"/>
      <c r="AE32" s="88"/>
      <c r="AF32" s="88"/>
      <c r="AG32" s="86"/>
      <c r="AH32" s="86"/>
      <c r="AI32" s="26"/>
      <c r="AJ32" s="39"/>
      <c r="AK32" s="39"/>
      <c r="AL32" s="52"/>
      <c r="AM32" s="52"/>
      <c r="AN32" s="39"/>
    </row>
    <row r="33" spans="1:40">
      <c r="A33" s="1">
        <v>2014</v>
      </c>
      <c r="B33" s="1"/>
      <c r="C33" s="26"/>
      <c r="D33" s="26"/>
      <c r="E33" s="8"/>
      <c r="F33" s="39" t="e">
        <f t="shared" si="11"/>
        <v>#DIV/0!</v>
      </c>
      <c r="G33" s="39"/>
      <c r="H33" s="39"/>
      <c r="I33" s="39"/>
      <c r="J33" s="82"/>
      <c r="K33" s="82"/>
      <c r="L33" s="1"/>
      <c r="M33" s="1"/>
      <c r="N33" s="1"/>
      <c r="O33" s="1"/>
      <c r="P33" s="39"/>
      <c r="Q33" s="8"/>
      <c r="R33" s="39" t="e">
        <f t="shared" si="14"/>
        <v>#DIV/0!</v>
      </c>
      <c r="S33" s="39"/>
      <c r="T33" s="39"/>
      <c r="U33" s="39"/>
      <c r="V33" s="82"/>
      <c r="W33" s="82"/>
      <c r="X33" s="1"/>
      <c r="Y33" s="39"/>
      <c r="Z33" s="39"/>
      <c r="AA33" s="8"/>
      <c r="AB33" s="8"/>
      <c r="AC33" s="39" t="e">
        <f t="shared" si="23"/>
        <v>#DIV/0!</v>
      </c>
      <c r="AD33" s="86"/>
      <c r="AE33" s="88"/>
      <c r="AF33" s="88"/>
      <c r="AG33" s="86"/>
      <c r="AH33" s="86"/>
      <c r="AI33" s="26"/>
      <c r="AJ33" s="39"/>
      <c r="AK33" s="39"/>
      <c r="AL33" s="52"/>
      <c r="AM33" s="52"/>
      <c r="AN33" s="39"/>
    </row>
    <row r="34" spans="1:40">
      <c r="A34" s="1">
        <v>2013</v>
      </c>
      <c r="B34" s="1"/>
      <c r="C34" s="26"/>
      <c r="D34" s="26"/>
      <c r="E34" s="8"/>
      <c r="F34" s="39" t="e">
        <f t="shared" si="11"/>
        <v>#DIV/0!</v>
      </c>
      <c r="G34" s="39"/>
      <c r="H34" s="39"/>
      <c r="I34" s="39"/>
      <c r="J34" s="82"/>
      <c r="K34" s="82"/>
      <c r="L34" s="1"/>
      <c r="M34" s="1"/>
      <c r="N34" s="1"/>
      <c r="O34" s="1"/>
      <c r="P34" s="39"/>
      <c r="Q34" s="8"/>
      <c r="R34" s="39" t="e">
        <f t="shared" si="14"/>
        <v>#DIV/0!</v>
      </c>
      <c r="S34" s="39"/>
      <c r="T34" s="39"/>
      <c r="U34" s="39"/>
      <c r="V34" s="82"/>
      <c r="W34" s="82"/>
      <c r="X34" s="1"/>
      <c r="Y34" s="39"/>
      <c r="Z34" s="39"/>
      <c r="AA34" s="8"/>
      <c r="AB34" s="8"/>
      <c r="AC34" s="39" t="e">
        <f t="shared" si="23"/>
        <v>#DIV/0!</v>
      </c>
      <c r="AD34" s="86"/>
      <c r="AE34" s="88"/>
      <c r="AF34" s="88"/>
      <c r="AG34" s="86"/>
      <c r="AH34" s="86"/>
      <c r="AI34" s="26"/>
      <c r="AJ34" s="39"/>
      <c r="AK34" s="39"/>
      <c r="AL34" s="52"/>
      <c r="AM34" s="52"/>
      <c r="AN34" s="39"/>
    </row>
    <row r="35" spans="1:40">
      <c r="A35" s="1">
        <v>2012</v>
      </c>
      <c r="B35" s="1"/>
      <c r="C35" s="26"/>
      <c r="D35" s="26"/>
      <c r="E35" s="8"/>
      <c r="F35" s="39" t="e">
        <f t="shared" si="11"/>
        <v>#DIV/0!</v>
      </c>
      <c r="G35" s="39"/>
      <c r="H35" s="39"/>
      <c r="I35" s="39"/>
      <c r="J35" s="82"/>
      <c r="K35" s="82"/>
      <c r="L35" s="1"/>
      <c r="M35" s="1"/>
      <c r="N35" s="1"/>
      <c r="O35" s="1"/>
      <c r="P35" s="39"/>
      <c r="Q35" s="8"/>
      <c r="R35" s="39" t="e">
        <f t="shared" si="14"/>
        <v>#DIV/0!</v>
      </c>
      <c r="S35" s="39"/>
      <c r="T35" s="39"/>
      <c r="U35" s="39"/>
      <c r="V35" s="82"/>
      <c r="W35" s="82"/>
      <c r="X35" s="1"/>
      <c r="Y35" s="39"/>
      <c r="Z35" s="39"/>
      <c r="AA35" s="8"/>
      <c r="AB35" s="8"/>
      <c r="AC35" s="39" t="e">
        <f t="shared" si="23"/>
        <v>#DIV/0!</v>
      </c>
      <c r="AD35" s="86"/>
      <c r="AE35" s="88"/>
      <c r="AF35" s="88"/>
      <c r="AG35" s="86"/>
      <c r="AH35" s="86"/>
      <c r="AI35" s="26"/>
      <c r="AJ35" s="39"/>
      <c r="AK35" s="39"/>
      <c r="AL35" s="52"/>
      <c r="AM35" s="52"/>
      <c r="AN35" s="39"/>
    </row>
    <row r="36" spans="1:40">
      <c r="A36" s="1">
        <v>2022</v>
      </c>
      <c r="B36" s="1" t="s">
        <v>77</v>
      </c>
      <c r="C36" s="26">
        <v>2690710152.71</v>
      </c>
      <c r="D36" s="26"/>
      <c r="E36" s="8"/>
      <c r="F36" s="39">
        <f t="shared" si="11"/>
        <v>0</v>
      </c>
      <c r="G36" s="39"/>
      <c r="H36" s="39"/>
      <c r="I36" s="39"/>
      <c r="J36" s="82"/>
      <c r="K36" s="82"/>
      <c r="L36" s="1"/>
      <c r="M36" s="1"/>
      <c r="N36" s="1"/>
      <c r="O36" s="1"/>
      <c r="P36" s="39"/>
      <c r="Q36" s="8"/>
      <c r="R36" s="39">
        <f t="shared" si="14"/>
        <v>0</v>
      </c>
      <c r="S36" s="39"/>
      <c r="T36" s="39"/>
      <c r="U36" s="39"/>
      <c r="V36" s="82"/>
      <c r="W36" s="82"/>
      <c r="X36" s="1"/>
      <c r="Y36" s="39"/>
      <c r="Z36" s="39"/>
      <c r="AA36" s="8"/>
      <c r="AB36" s="8"/>
      <c r="AC36" s="39">
        <f t="shared" si="23"/>
        <v>0</v>
      </c>
      <c r="AD36" s="86"/>
      <c r="AE36" s="88"/>
      <c r="AF36" s="88"/>
      <c r="AG36" s="86"/>
      <c r="AH36" s="86"/>
      <c r="AI36" s="26"/>
      <c r="AJ36" s="39"/>
      <c r="AK36" s="39"/>
      <c r="AL36" s="52"/>
      <c r="AM36" s="52"/>
      <c r="AN36" s="39"/>
    </row>
    <row r="37" spans="1:40">
      <c r="A37" s="1">
        <v>2021</v>
      </c>
      <c r="B37" s="1"/>
      <c r="C37" s="26">
        <v>2025535449.58</v>
      </c>
      <c r="D37" s="26"/>
      <c r="E37" s="8"/>
      <c r="F37" s="39">
        <f t="shared" si="11"/>
        <v>0</v>
      </c>
      <c r="G37" s="39"/>
      <c r="H37" s="39"/>
      <c r="I37" s="39"/>
      <c r="J37" s="82"/>
      <c r="K37" s="82"/>
      <c r="L37" s="1"/>
      <c r="M37" s="1"/>
      <c r="N37" s="1"/>
      <c r="O37" s="1"/>
      <c r="P37" s="39"/>
      <c r="Q37" s="8"/>
      <c r="R37" s="39">
        <f t="shared" si="14"/>
        <v>0</v>
      </c>
      <c r="S37" s="39"/>
      <c r="T37" s="39"/>
      <c r="U37" s="39"/>
      <c r="V37" s="82"/>
      <c r="W37" s="82"/>
      <c r="X37" s="1"/>
      <c r="Y37" s="39"/>
      <c r="Z37" s="39"/>
      <c r="AA37" s="8"/>
      <c r="AB37" s="8"/>
      <c r="AC37" s="39">
        <f t="shared" si="23"/>
        <v>0</v>
      </c>
      <c r="AD37" s="86"/>
      <c r="AE37" s="88"/>
      <c r="AF37" s="88"/>
      <c r="AG37" s="86"/>
      <c r="AH37" s="86"/>
      <c r="AI37" s="26"/>
      <c r="AJ37" s="39"/>
      <c r="AK37" s="39"/>
      <c r="AL37" s="52"/>
      <c r="AM37" s="52"/>
      <c r="AN37" s="39"/>
    </row>
    <row r="38" spans="1:40">
      <c r="A38" s="1">
        <v>2020</v>
      </c>
      <c r="B38" s="1"/>
      <c r="C38" s="26">
        <v>2364655862.43</v>
      </c>
      <c r="D38" s="26"/>
      <c r="E38" s="8"/>
      <c r="F38" s="39">
        <f t="shared" si="11"/>
        <v>0</v>
      </c>
      <c r="G38" s="39"/>
      <c r="H38" s="39"/>
      <c r="I38" s="39"/>
      <c r="J38" s="82"/>
      <c r="K38" s="82"/>
      <c r="L38" s="1"/>
      <c r="M38" s="1"/>
      <c r="N38" s="1"/>
      <c r="O38" s="1"/>
      <c r="P38" s="39"/>
      <c r="Q38" s="8"/>
      <c r="R38" s="39">
        <f t="shared" si="14"/>
        <v>0</v>
      </c>
      <c r="S38" s="39"/>
      <c r="T38" s="39"/>
      <c r="U38" s="39"/>
      <c r="V38" s="82"/>
      <c r="W38" s="82"/>
      <c r="X38" s="1"/>
      <c r="Y38" s="39"/>
      <c r="Z38" s="39"/>
      <c r="AA38" s="8"/>
      <c r="AB38" s="8"/>
      <c r="AC38" s="39">
        <f t="shared" si="23"/>
        <v>0</v>
      </c>
      <c r="AD38" s="86"/>
      <c r="AE38" s="88"/>
      <c r="AF38" s="88"/>
      <c r="AG38" s="86"/>
      <c r="AH38" s="86"/>
      <c r="AI38" s="26"/>
      <c r="AJ38" s="39"/>
      <c r="AK38" s="39"/>
      <c r="AL38" s="52"/>
      <c r="AM38" s="52"/>
      <c r="AN38" s="39"/>
    </row>
    <row r="39" spans="1:40">
      <c r="A39" s="1">
        <v>2019</v>
      </c>
      <c r="B39" s="1"/>
      <c r="C39" s="26">
        <v>1727329107.54</v>
      </c>
      <c r="D39" s="26"/>
      <c r="E39" s="8"/>
      <c r="F39" s="39">
        <f t="shared" si="11"/>
        <v>0</v>
      </c>
      <c r="G39" s="39"/>
      <c r="H39" s="39"/>
      <c r="I39" s="39"/>
      <c r="J39" s="82"/>
      <c r="K39" s="82"/>
      <c r="L39" s="1"/>
      <c r="M39" s="1"/>
      <c r="N39" s="1"/>
      <c r="O39" s="1"/>
      <c r="P39" s="39"/>
      <c r="Q39" s="8"/>
      <c r="R39" s="39">
        <f t="shared" si="14"/>
        <v>0</v>
      </c>
      <c r="S39" s="39"/>
      <c r="T39" s="39"/>
      <c r="U39" s="39"/>
      <c r="V39" s="82"/>
      <c r="W39" s="82"/>
      <c r="X39" s="1"/>
      <c r="Y39" s="39"/>
      <c r="Z39" s="39"/>
      <c r="AA39" s="8"/>
      <c r="AB39" s="8"/>
      <c r="AC39" s="39">
        <f t="shared" si="23"/>
        <v>0</v>
      </c>
      <c r="AD39" s="86"/>
      <c r="AE39" s="88"/>
      <c r="AF39" s="88"/>
      <c r="AG39" s="86"/>
      <c r="AH39" s="86"/>
      <c r="AI39" s="26"/>
      <c r="AJ39" s="39"/>
      <c r="AK39" s="39"/>
      <c r="AL39" s="52"/>
      <c r="AM39" s="52"/>
      <c r="AN39" s="39"/>
    </row>
    <row r="40" spans="1:40">
      <c r="A40" s="1">
        <v>2018</v>
      </c>
      <c r="B40" s="1"/>
      <c r="C40" s="26">
        <v>1412861058.41</v>
      </c>
      <c r="D40" s="26"/>
      <c r="E40" s="8"/>
      <c r="F40" s="39">
        <f t="shared" si="11"/>
        <v>0</v>
      </c>
      <c r="G40" s="39"/>
      <c r="H40" s="39"/>
      <c r="I40" s="39"/>
      <c r="J40" s="82"/>
      <c r="K40" s="82"/>
      <c r="L40" s="1"/>
      <c r="M40" s="1"/>
      <c r="N40" s="1"/>
      <c r="O40" s="1"/>
      <c r="P40" s="39"/>
      <c r="Q40" s="8"/>
      <c r="R40" s="39">
        <f t="shared" si="14"/>
        <v>0</v>
      </c>
      <c r="S40" s="39"/>
      <c r="T40" s="39"/>
      <c r="U40" s="39"/>
      <c r="V40" s="82"/>
      <c r="W40" s="82"/>
      <c r="X40" s="1"/>
      <c r="Y40" s="39"/>
      <c r="Z40" s="39"/>
      <c r="AA40" s="8"/>
      <c r="AB40" s="8"/>
      <c r="AC40" s="39">
        <f t="shared" si="23"/>
        <v>0</v>
      </c>
      <c r="AD40" s="86"/>
      <c r="AE40" s="88"/>
      <c r="AF40" s="88"/>
      <c r="AG40" s="86"/>
      <c r="AH40" s="86"/>
      <c r="AI40" s="26"/>
      <c r="AJ40" s="39"/>
      <c r="AK40" s="39"/>
      <c r="AL40" s="52"/>
      <c r="AM40" s="52"/>
      <c r="AN40" s="39"/>
    </row>
    <row r="41" spans="1:40">
      <c r="A41" s="1">
        <v>2017</v>
      </c>
      <c r="B41" s="1"/>
      <c r="C41" s="26"/>
      <c r="D41" s="26"/>
      <c r="E41" s="8"/>
      <c r="F41" s="39" t="e">
        <f t="shared" si="11"/>
        <v>#DIV/0!</v>
      </c>
      <c r="G41" s="39"/>
      <c r="H41" s="39"/>
      <c r="I41" s="39"/>
      <c r="J41" s="82"/>
      <c r="K41" s="82"/>
      <c r="L41" s="1"/>
      <c r="M41" s="1"/>
      <c r="N41" s="1"/>
      <c r="O41" s="1"/>
      <c r="P41" s="39"/>
      <c r="Q41" s="8"/>
      <c r="R41" s="39" t="e">
        <f t="shared" si="14"/>
        <v>#DIV/0!</v>
      </c>
      <c r="S41" s="39"/>
      <c r="T41" s="39"/>
      <c r="U41" s="39"/>
      <c r="V41" s="82"/>
      <c r="W41" s="82"/>
      <c r="X41" s="1"/>
      <c r="Y41" s="39"/>
      <c r="Z41" s="39"/>
      <c r="AA41" s="8"/>
      <c r="AB41" s="8"/>
      <c r="AC41" s="39" t="e">
        <f t="shared" si="23"/>
        <v>#DIV/0!</v>
      </c>
      <c r="AD41" s="86"/>
      <c r="AE41" s="88"/>
      <c r="AF41" s="88"/>
      <c r="AG41" s="86"/>
      <c r="AH41" s="86"/>
      <c r="AI41" s="26"/>
      <c r="AJ41" s="39"/>
      <c r="AK41" s="39"/>
      <c r="AL41" s="52"/>
      <c r="AM41" s="52"/>
      <c r="AN41" s="39"/>
    </row>
    <row r="42" spans="1:40">
      <c r="A42" s="1">
        <v>2016</v>
      </c>
      <c r="B42" s="1"/>
      <c r="C42" s="26"/>
      <c r="D42" s="26"/>
      <c r="E42" s="8"/>
      <c r="F42" s="39" t="e">
        <f t="shared" si="11"/>
        <v>#DIV/0!</v>
      </c>
      <c r="G42" s="39"/>
      <c r="H42" s="39"/>
      <c r="I42" s="39"/>
      <c r="J42" s="82"/>
      <c r="K42" s="82"/>
      <c r="L42" s="1"/>
      <c r="M42" s="1"/>
      <c r="N42" s="1"/>
      <c r="O42" s="1"/>
      <c r="P42" s="39"/>
      <c r="Q42" s="8"/>
      <c r="R42" s="39" t="e">
        <f t="shared" si="14"/>
        <v>#DIV/0!</v>
      </c>
      <c r="S42" s="39"/>
      <c r="T42" s="39"/>
      <c r="U42" s="39"/>
      <c r="V42" s="82"/>
      <c r="W42" s="82"/>
      <c r="X42" s="1"/>
      <c r="Y42" s="39"/>
      <c r="Z42" s="39"/>
      <c r="AA42" s="8"/>
      <c r="AB42" s="8"/>
      <c r="AC42" s="39" t="e">
        <f t="shared" si="23"/>
        <v>#DIV/0!</v>
      </c>
      <c r="AD42" s="86"/>
      <c r="AE42" s="88"/>
      <c r="AF42" s="88"/>
      <c r="AG42" s="86"/>
      <c r="AH42" s="86"/>
      <c r="AI42" s="26"/>
      <c r="AJ42" s="39"/>
      <c r="AK42" s="39"/>
      <c r="AL42" s="52"/>
      <c r="AM42" s="52"/>
      <c r="AN42" s="39"/>
    </row>
    <row r="43" spans="1:40">
      <c r="A43" s="1">
        <v>2015</v>
      </c>
      <c r="B43" s="1"/>
      <c r="C43" s="26"/>
      <c r="D43" s="26"/>
      <c r="E43" s="8"/>
      <c r="F43" s="39" t="e">
        <f t="shared" si="11"/>
        <v>#DIV/0!</v>
      </c>
      <c r="G43" s="39"/>
      <c r="H43" s="39"/>
      <c r="I43" s="39"/>
      <c r="J43" s="82"/>
      <c r="K43" s="82"/>
      <c r="L43" s="1"/>
      <c r="M43" s="1"/>
      <c r="N43" s="1"/>
      <c r="O43" s="1"/>
      <c r="P43" s="39"/>
      <c r="Q43" s="8"/>
      <c r="R43" s="39" t="e">
        <f t="shared" si="14"/>
        <v>#DIV/0!</v>
      </c>
      <c r="S43" s="39"/>
      <c r="T43" s="39"/>
      <c r="U43" s="39"/>
      <c r="V43" s="82"/>
      <c r="W43" s="82"/>
      <c r="X43" s="1"/>
      <c r="Y43" s="39"/>
      <c r="Z43" s="39"/>
      <c r="AA43" s="8"/>
      <c r="AB43" s="8"/>
      <c r="AC43" s="39" t="e">
        <f t="shared" si="23"/>
        <v>#DIV/0!</v>
      </c>
      <c r="AD43" s="86"/>
      <c r="AE43" s="88"/>
      <c r="AF43" s="88"/>
      <c r="AG43" s="86"/>
      <c r="AH43" s="86"/>
      <c r="AI43" s="26"/>
      <c r="AJ43" s="39"/>
      <c r="AK43" s="39"/>
      <c r="AL43" s="52"/>
      <c r="AM43" s="52"/>
      <c r="AN43" s="39"/>
    </row>
    <row r="44" spans="1:40">
      <c r="A44" s="1">
        <v>2014</v>
      </c>
      <c r="B44" s="1"/>
      <c r="C44" s="26"/>
      <c r="D44" s="26"/>
      <c r="E44" s="8"/>
      <c r="F44" s="39" t="e">
        <f t="shared" si="11"/>
        <v>#DIV/0!</v>
      </c>
      <c r="G44" s="39"/>
      <c r="H44" s="39"/>
      <c r="I44" s="39"/>
      <c r="J44" s="82"/>
      <c r="K44" s="82"/>
      <c r="L44" s="1"/>
      <c r="M44" s="1"/>
      <c r="N44" s="1"/>
      <c r="O44" s="1"/>
      <c r="P44" s="39"/>
      <c r="Q44" s="8"/>
      <c r="R44" s="39" t="e">
        <f t="shared" si="14"/>
        <v>#DIV/0!</v>
      </c>
      <c r="S44" s="39"/>
      <c r="T44" s="39"/>
      <c r="U44" s="39"/>
      <c r="V44" s="82"/>
      <c r="W44" s="82"/>
      <c r="X44" s="1"/>
      <c r="Y44" s="39"/>
      <c r="Z44" s="39"/>
      <c r="AA44" s="8"/>
      <c r="AB44" s="8"/>
      <c r="AC44" s="39" t="e">
        <f t="shared" si="23"/>
        <v>#DIV/0!</v>
      </c>
      <c r="AD44" s="86"/>
      <c r="AE44" s="88"/>
      <c r="AF44" s="88"/>
      <c r="AG44" s="86"/>
      <c r="AH44" s="86"/>
      <c r="AI44" s="26"/>
      <c r="AJ44" s="39"/>
      <c r="AK44" s="39"/>
      <c r="AL44" s="52"/>
      <c r="AM44" s="52"/>
      <c r="AN44" s="39"/>
    </row>
    <row r="45" spans="1:40">
      <c r="A45" s="1">
        <v>2013</v>
      </c>
      <c r="B45" s="1"/>
      <c r="C45" s="26"/>
      <c r="D45" s="26"/>
      <c r="E45" s="8"/>
      <c r="F45" s="39" t="e">
        <f t="shared" si="11"/>
        <v>#DIV/0!</v>
      </c>
      <c r="G45" s="39"/>
      <c r="H45" s="39"/>
      <c r="I45" s="39"/>
      <c r="J45" s="82"/>
      <c r="K45" s="82"/>
      <c r="L45" s="1"/>
      <c r="M45" s="1"/>
      <c r="N45" s="1"/>
      <c r="O45" s="1"/>
      <c r="P45" s="39"/>
      <c r="Q45" s="8"/>
      <c r="R45" s="39" t="e">
        <f t="shared" si="14"/>
        <v>#DIV/0!</v>
      </c>
      <c r="S45" s="39"/>
      <c r="T45" s="39"/>
      <c r="U45" s="39"/>
      <c r="V45" s="82"/>
      <c r="W45" s="82"/>
      <c r="X45" s="1"/>
      <c r="Y45" s="39"/>
      <c r="Z45" s="39"/>
      <c r="AA45" s="8"/>
      <c r="AB45" s="8"/>
      <c r="AC45" s="39" t="e">
        <f t="shared" si="23"/>
        <v>#DIV/0!</v>
      </c>
      <c r="AD45" s="86"/>
      <c r="AE45" s="88"/>
      <c r="AF45" s="88"/>
      <c r="AG45" s="86"/>
      <c r="AH45" s="86"/>
      <c r="AI45" s="26"/>
      <c r="AJ45" s="39"/>
      <c r="AK45" s="39"/>
      <c r="AL45" s="52"/>
      <c r="AM45" s="52"/>
      <c r="AN45" s="39"/>
    </row>
    <row r="46" spans="1:40">
      <c r="A46" s="1">
        <v>2012</v>
      </c>
      <c r="B46" s="1"/>
      <c r="C46" s="26"/>
      <c r="D46" s="26"/>
      <c r="E46" s="8"/>
      <c r="F46" s="39" t="e">
        <f t="shared" si="11"/>
        <v>#DIV/0!</v>
      </c>
      <c r="G46" s="39"/>
      <c r="H46" s="39"/>
      <c r="I46" s="39"/>
      <c r="J46" s="82"/>
      <c r="K46" s="82"/>
      <c r="L46" s="1"/>
      <c r="M46" s="1"/>
      <c r="N46" s="1"/>
      <c r="O46" s="1"/>
      <c r="P46" s="39"/>
      <c r="Q46" s="8"/>
      <c r="R46" s="39" t="e">
        <f t="shared" si="14"/>
        <v>#DIV/0!</v>
      </c>
      <c r="S46" s="39"/>
      <c r="T46" s="39"/>
      <c r="U46" s="39"/>
      <c r="V46" s="82"/>
      <c r="W46" s="82"/>
      <c r="X46" s="1"/>
      <c r="Y46" s="39"/>
      <c r="Z46" s="39"/>
      <c r="AA46" s="8"/>
      <c r="AB46" s="8"/>
      <c r="AC46" s="39" t="e">
        <f t="shared" si="23"/>
        <v>#DIV/0!</v>
      </c>
      <c r="AD46" s="86"/>
      <c r="AE46" s="88"/>
      <c r="AF46" s="88"/>
      <c r="AG46" s="86"/>
      <c r="AH46" s="86"/>
      <c r="AI46" s="26"/>
      <c r="AJ46" s="39"/>
      <c r="AK46" s="39"/>
      <c r="AL46" s="52"/>
      <c r="AM46" s="52"/>
      <c r="AN46" s="39"/>
    </row>
  </sheetData>
  <mergeCells count="13">
    <mergeCell ref="E1:O1"/>
    <mergeCell ref="Q1:AA1"/>
    <mergeCell ref="AB1:AL1"/>
    <mergeCell ref="A1:A2"/>
    <mergeCell ref="B1:B2"/>
    <mergeCell ref="B3:B13"/>
    <mergeCell ref="B14:B24"/>
    <mergeCell ref="B25:B35"/>
    <mergeCell ref="B36:B46"/>
    <mergeCell ref="C1:C2"/>
    <mergeCell ref="D1:D2"/>
    <mergeCell ref="AM1:AM2"/>
    <mergeCell ref="AN1:AN2"/>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G27" sqref="G27"/>
    </sheetView>
  </sheetViews>
  <sheetFormatPr defaultColWidth="9.23076923076923" defaultRowHeight="16.8"/>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2"/>
  <sheetViews>
    <sheetView workbookViewId="0">
      <pane xSplit="2" ySplit="2" topLeftCell="C27" activePane="bottomRight" state="frozen"/>
      <selection/>
      <selection pane="topRight"/>
      <selection pane="bottomLeft"/>
      <selection pane="bottomRight" activeCell="D28" sqref="D28"/>
    </sheetView>
  </sheetViews>
  <sheetFormatPr defaultColWidth="9.23076923076923" defaultRowHeight="16.8" outlineLevelCol="6"/>
  <cols>
    <col min="1" max="1" width="10.3076923076923" style="57" customWidth="1"/>
    <col min="2" max="3" width="9" style="57"/>
    <col min="4" max="4" width="90.5769230769231" style="58" customWidth="1"/>
    <col min="5" max="5" width="32.8557692307692" style="59" customWidth="1"/>
    <col min="6" max="6" width="138.144230769231" customWidth="1"/>
    <col min="7" max="7" width="116.923076923077" customWidth="1"/>
  </cols>
  <sheetData>
    <row r="1" spans="1:7">
      <c r="A1" s="9" t="s">
        <v>0</v>
      </c>
      <c r="B1" s="60" t="s">
        <v>1</v>
      </c>
      <c r="C1" s="60" t="s">
        <v>103</v>
      </c>
      <c r="D1" s="61"/>
      <c r="E1" s="9" t="s">
        <v>104</v>
      </c>
      <c r="F1" s="1"/>
      <c r="G1" s="65" t="s">
        <v>105</v>
      </c>
    </row>
    <row r="2" spans="1:7">
      <c r="A2" s="9"/>
      <c r="B2" s="60"/>
      <c r="C2" s="60" t="s">
        <v>106</v>
      </c>
      <c r="D2" s="62" t="s">
        <v>107</v>
      </c>
      <c r="E2" s="59" t="s">
        <v>106</v>
      </c>
      <c r="F2" s="52" t="s">
        <v>107</v>
      </c>
      <c r="G2" s="65"/>
    </row>
    <row r="3" ht="409.5" spans="1:7">
      <c r="A3" s="9" t="s">
        <v>63</v>
      </c>
      <c r="B3" s="60">
        <v>2022</v>
      </c>
      <c r="C3" s="60"/>
      <c r="D3" s="62"/>
      <c r="E3" s="66" t="s">
        <v>108</v>
      </c>
      <c r="F3" s="67" t="s">
        <v>109</v>
      </c>
      <c r="G3" t="s">
        <v>110</v>
      </c>
    </row>
    <row r="4" ht="409.5" spans="1:6">
      <c r="A4" s="9"/>
      <c r="B4" s="60">
        <v>2021</v>
      </c>
      <c r="C4" s="60"/>
      <c r="D4" s="63"/>
      <c r="E4" s="66" t="s">
        <v>111</v>
      </c>
      <c r="F4" s="67" t="s">
        <v>112</v>
      </c>
    </row>
    <row r="5" ht="409.5" spans="1:6">
      <c r="A5" s="9"/>
      <c r="B5" s="60">
        <v>2020</v>
      </c>
      <c r="C5" s="60"/>
      <c r="D5" s="62"/>
      <c r="E5" s="66" t="s">
        <v>113</v>
      </c>
      <c r="F5" s="67" t="s">
        <v>114</v>
      </c>
    </row>
    <row r="6" ht="409.5" spans="1:6">
      <c r="A6" s="9"/>
      <c r="B6" s="60">
        <v>2019</v>
      </c>
      <c r="C6" s="60"/>
      <c r="D6" s="62"/>
      <c r="E6" s="66" t="s">
        <v>115</v>
      </c>
      <c r="F6" s="67" t="s">
        <v>116</v>
      </c>
    </row>
    <row r="7" ht="409.5" spans="1:6">
      <c r="A7" s="9"/>
      <c r="B7" s="60">
        <v>2018</v>
      </c>
      <c r="C7" s="60"/>
      <c r="D7" s="62"/>
      <c r="E7" s="66" t="s">
        <v>117</v>
      </c>
      <c r="F7" s="67" t="s">
        <v>118</v>
      </c>
    </row>
    <row r="8" ht="409.5" spans="1:6">
      <c r="A8" s="9"/>
      <c r="B8" s="60">
        <v>2017</v>
      </c>
      <c r="C8" s="60"/>
      <c r="D8" s="62"/>
      <c r="E8" s="66" t="s">
        <v>119</v>
      </c>
      <c r="F8" s="67" t="s">
        <v>120</v>
      </c>
    </row>
    <row r="9" ht="370" spans="1:6">
      <c r="A9" s="9"/>
      <c r="B9" s="60">
        <v>2016</v>
      </c>
      <c r="C9" s="60"/>
      <c r="D9" s="62"/>
      <c r="E9" s="66" t="s">
        <v>121</v>
      </c>
      <c r="F9" s="67" t="s">
        <v>122</v>
      </c>
    </row>
    <row r="10" ht="387" spans="1:6">
      <c r="A10" s="9"/>
      <c r="B10" s="60">
        <v>2015</v>
      </c>
      <c r="C10" s="60"/>
      <c r="D10" s="62"/>
      <c r="E10" s="66" t="s">
        <v>123</v>
      </c>
      <c r="F10" s="67" t="s">
        <v>124</v>
      </c>
    </row>
    <row r="11" ht="404" spans="1:6">
      <c r="A11" s="9"/>
      <c r="B11" s="60">
        <v>2014</v>
      </c>
      <c r="C11" s="60"/>
      <c r="D11" s="62"/>
      <c r="E11" s="66" t="s">
        <v>125</v>
      </c>
      <c r="F11" s="67" t="s">
        <v>126</v>
      </c>
    </row>
    <row r="12" ht="409.5" spans="1:6">
      <c r="A12" s="9"/>
      <c r="B12" s="60">
        <v>2013</v>
      </c>
      <c r="C12" s="60"/>
      <c r="D12" s="62"/>
      <c r="E12" s="66" t="s">
        <v>127</v>
      </c>
      <c r="F12" s="67" t="s">
        <v>128</v>
      </c>
    </row>
    <row r="13" spans="1:6">
      <c r="A13" s="9"/>
      <c r="B13" s="60">
        <v>2012</v>
      </c>
      <c r="C13" s="60"/>
      <c r="D13" s="62"/>
      <c r="F13" s="52"/>
    </row>
    <row r="14" ht="409.5" spans="1:6">
      <c r="A14" s="3" t="s">
        <v>76</v>
      </c>
      <c r="B14" s="60">
        <v>2022</v>
      </c>
      <c r="C14" s="60"/>
      <c r="D14" s="63" t="s">
        <v>129</v>
      </c>
      <c r="F14" s="67" t="s">
        <v>130</v>
      </c>
    </row>
    <row r="15" ht="409.5" spans="1:6">
      <c r="A15" s="64"/>
      <c r="B15" s="60">
        <v>2021</v>
      </c>
      <c r="C15" s="60"/>
      <c r="D15" s="63" t="s">
        <v>131</v>
      </c>
      <c r="F15" s="67" t="s">
        <v>132</v>
      </c>
    </row>
    <row r="16" ht="409.5" spans="1:6">
      <c r="A16" s="64"/>
      <c r="B16" s="60">
        <v>2020</v>
      </c>
      <c r="C16" s="60"/>
      <c r="D16" s="63" t="s">
        <v>133</v>
      </c>
      <c r="F16" s="67" t="s">
        <v>134</v>
      </c>
    </row>
    <row r="17" ht="409.5" spans="1:6">
      <c r="A17" s="64"/>
      <c r="B17" s="60">
        <v>2019</v>
      </c>
      <c r="C17" s="60"/>
      <c r="D17" s="63" t="s">
        <v>133</v>
      </c>
      <c r="F17" s="67" t="s">
        <v>135</v>
      </c>
    </row>
    <row r="18" ht="409.5" spans="1:6">
      <c r="A18" s="64"/>
      <c r="B18" s="60">
        <v>2018</v>
      </c>
      <c r="C18" s="60"/>
      <c r="D18" s="63" t="s">
        <v>133</v>
      </c>
      <c r="F18" s="67" t="s">
        <v>136</v>
      </c>
    </row>
    <row r="19" ht="409.5" spans="1:6">
      <c r="A19" s="64"/>
      <c r="B19" s="60">
        <v>2017</v>
      </c>
      <c r="C19" s="60"/>
      <c r="D19" s="63" t="s">
        <v>137</v>
      </c>
      <c r="F19" s="67" t="s">
        <v>138</v>
      </c>
    </row>
    <row r="20" ht="409.5" spans="1:6">
      <c r="A20" s="64"/>
      <c r="B20" s="60">
        <v>2016</v>
      </c>
      <c r="C20" s="60"/>
      <c r="D20" s="63" t="s">
        <v>139</v>
      </c>
      <c r="F20" s="67" t="s">
        <v>140</v>
      </c>
    </row>
    <row r="21" spans="1:6">
      <c r="A21" s="64"/>
      <c r="B21" s="60">
        <v>2015</v>
      </c>
      <c r="C21" s="60"/>
      <c r="D21" s="62"/>
      <c r="F21" s="52"/>
    </row>
    <row r="22" spans="1:6">
      <c r="A22" s="64"/>
      <c r="B22" s="60">
        <v>2014</v>
      </c>
      <c r="C22" s="60"/>
      <c r="D22" s="62"/>
      <c r="F22" s="52"/>
    </row>
    <row r="23" spans="1:6">
      <c r="A23" s="64"/>
      <c r="B23" s="60">
        <v>2013</v>
      </c>
      <c r="C23" s="60"/>
      <c r="D23" s="62"/>
      <c r="F23" s="52"/>
    </row>
    <row r="24" spans="1:6">
      <c r="A24" s="5"/>
      <c r="B24" s="60">
        <v>2012</v>
      </c>
      <c r="C24" s="60"/>
      <c r="D24" s="62"/>
      <c r="F24" s="52"/>
    </row>
    <row r="25" ht="409.5" spans="1:6">
      <c r="A25" s="9" t="s">
        <v>77</v>
      </c>
      <c r="B25" s="60">
        <v>2022</v>
      </c>
      <c r="C25" s="60"/>
      <c r="D25" s="63" t="s">
        <v>141</v>
      </c>
      <c r="F25" s="67" t="s">
        <v>142</v>
      </c>
    </row>
    <row r="26" ht="409.5" spans="1:6">
      <c r="A26" s="9"/>
      <c r="B26" s="60">
        <v>2021</v>
      </c>
      <c r="C26" s="60"/>
      <c r="D26" s="63" t="s">
        <v>143</v>
      </c>
      <c r="F26" s="67" t="s">
        <v>144</v>
      </c>
    </row>
    <row r="27" ht="409.5" spans="1:6">
      <c r="A27" s="9"/>
      <c r="B27" s="60">
        <v>2020</v>
      </c>
      <c r="C27" s="60"/>
      <c r="D27" s="62"/>
      <c r="F27" s="67" t="s">
        <v>145</v>
      </c>
    </row>
    <row r="28" ht="409.5" spans="1:6">
      <c r="A28" s="9"/>
      <c r="B28" s="60">
        <v>2019</v>
      </c>
      <c r="C28" s="60"/>
      <c r="D28" s="62"/>
      <c r="E28" s="66"/>
      <c r="F28" s="67" t="s">
        <v>146</v>
      </c>
    </row>
    <row r="29" spans="1:6">
      <c r="A29" s="9"/>
      <c r="B29" s="60">
        <v>2018</v>
      </c>
      <c r="C29" s="60"/>
      <c r="D29" s="62"/>
      <c r="F29" s="52"/>
    </row>
    <row r="30" spans="1:6">
      <c r="A30" s="9"/>
      <c r="B30" s="60">
        <v>2017</v>
      </c>
      <c r="C30" s="60"/>
      <c r="D30" s="62"/>
      <c r="F30" s="52"/>
    </row>
    <row r="31" spans="1:6">
      <c r="A31" s="9"/>
      <c r="B31" s="60">
        <v>2016</v>
      </c>
      <c r="C31" s="60"/>
      <c r="D31" s="62"/>
      <c r="F31" s="52"/>
    </row>
    <row r="32" spans="1:6">
      <c r="A32" s="9"/>
      <c r="B32" s="60">
        <v>2015</v>
      </c>
      <c r="C32" s="60"/>
      <c r="D32" s="62"/>
      <c r="F32" s="52"/>
    </row>
    <row r="33" spans="1:6">
      <c r="A33" s="9"/>
      <c r="B33" s="60">
        <v>2014</v>
      </c>
      <c r="C33" s="60"/>
      <c r="D33" s="62"/>
      <c r="F33" s="52"/>
    </row>
    <row r="34" spans="1:6">
      <c r="A34" s="9"/>
      <c r="B34" s="60">
        <v>2013</v>
      </c>
      <c r="C34" s="60"/>
      <c r="D34" s="62"/>
      <c r="F34" s="52"/>
    </row>
    <row r="35" spans="1:6">
      <c r="A35" s="9"/>
      <c r="B35" s="60">
        <v>2012</v>
      </c>
      <c r="C35" s="60"/>
      <c r="D35" s="62"/>
      <c r="F35" s="52"/>
    </row>
    <row r="36" spans="1:6">
      <c r="A36" s="9" t="s">
        <v>74</v>
      </c>
      <c r="B36" s="60">
        <v>2022</v>
      </c>
      <c r="C36" s="60"/>
      <c r="D36" s="62"/>
      <c r="F36" s="52"/>
    </row>
    <row r="37" spans="1:6">
      <c r="A37" s="9"/>
      <c r="B37" s="60">
        <v>2021</v>
      </c>
      <c r="C37" s="60"/>
      <c r="D37" s="62"/>
      <c r="F37" s="52"/>
    </row>
    <row r="38" spans="1:6">
      <c r="A38" s="9"/>
      <c r="B38" s="60">
        <v>2020</v>
      </c>
      <c r="C38" s="60"/>
      <c r="D38" s="62"/>
      <c r="F38" s="52"/>
    </row>
    <row r="39" spans="1:6">
      <c r="A39" s="9"/>
      <c r="B39" s="60">
        <v>2019</v>
      </c>
      <c r="C39" s="60"/>
      <c r="D39" s="62"/>
      <c r="F39" s="52"/>
    </row>
    <row r="40" spans="1:6">
      <c r="A40" s="9"/>
      <c r="B40" s="60">
        <v>2018</v>
      </c>
      <c r="C40" s="60"/>
      <c r="D40" s="62"/>
      <c r="F40" s="52"/>
    </row>
    <row r="41" spans="1:6">
      <c r="A41" s="9"/>
      <c r="B41" s="60">
        <v>2017</v>
      </c>
      <c r="C41" s="60"/>
      <c r="D41" s="62"/>
      <c r="F41" s="52"/>
    </row>
    <row r="42" spans="1:6">
      <c r="A42" s="9"/>
      <c r="B42" s="60">
        <v>2016</v>
      </c>
      <c r="C42" s="60"/>
      <c r="D42" s="62"/>
      <c r="F42" s="52"/>
    </row>
    <row r="43" spans="1:6">
      <c r="A43" s="9"/>
      <c r="B43" s="60">
        <v>2015</v>
      </c>
      <c r="C43" s="60"/>
      <c r="D43" s="62"/>
      <c r="F43" s="52"/>
    </row>
    <row r="44" spans="1:6">
      <c r="A44" s="9"/>
      <c r="B44" s="60">
        <v>2014</v>
      </c>
      <c r="C44" s="60"/>
      <c r="D44" s="62"/>
      <c r="F44" s="52"/>
    </row>
    <row r="45" spans="1:6">
      <c r="A45" s="9"/>
      <c r="B45" s="60">
        <v>2013</v>
      </c>
      <c r="C45" s="60"/>
      <c r="D45" s="62"/>
      <c r="F45" s="52"/>
    </row>
    <row r="46" spans="1:6">
      <c r="A46" s="9"/>
      <c r="B46" s="60">
        <v>2012</v>
      </c>
      <c r="C46" s="60"/>
      <c r="D46" s="62"/>
      <c r="F46" s="52"/>
    </row>
    <row r="47" spans="1:6">
      <c r="A47" s="3" t="s">
        <v>79</v>
      </c>
      <c r="B47" s="60">
        <v>2022</v>
      </c>
      <c r="C47" s="60"/>
      <c r="D47" s="62"/>
      <c r="F47" s="52"/>
    </row>
    <row r="48" spans="1:6">
      <c r="A48" s="64"/>
      <c r="B48" s="60">
        <v>2021</v>
      </c>
      <c r="C48" s="60"/>
      <c r="D48" s="62"/>
      <c r="F48" s="52"/>
    </row>
    <row r="49" spans="1:6">
      <c r="A49" s="64"/>
      <c r="B49" s="60">
        <v>2020</v>
      </c>
      <c r="C49" s="60"/>
      <c r="D49" s="62"/>
      <c r="F49" s="52"/>
    </row>
    <row r="50" spans="1:6">
      <c r="A50" s="64"/>
      <c r="B50" s="60">
        <v>2019</v>
      </c>
      <c r="C50" s="60"/>
      <c r="D50" s="62"/>
      <c r="F50" s="52"/>
    </row>
    <row r="51" spans="1:6">
      <c r="A51" s="64"/>
      <c r="B51" s="60">
        <v>2018</v>
      </c>
      <c r="C51" s="60"/>
      <c r="D51" s="62"/>
      <c r="F51" s="52"/>
    </row>
    <row r="52" spans="1:6">
      <c r="A52" s="64"/>
      <c r="B52" s="60">
        <v>2017</v>
      </c>
      <c r="C52" s="60"/>
      <c r="D52" s="62"/>
      <c r="F52" s="52"/>
    </row>
    <row r="53" spans="1:6">
      <c r="A53" s="64"/>
      <c r="B53" s="60">
        <v>2016</v>
      </c>
      <c r="C53" s="60"/>
      <c r="D53" s="62"/>
      <c r="F53" s="52"/>
    </row>
    <row r="54" spans="1:6">
      <c r="A54" s="64"/>
      <c r="B54" s="60">
        <v>2015</v>
      </c>
      <c r="C54" s="60"/>
      <c r="D54" s="62"/>
      <c r="F54" s="52"/>
    </row>
    <row r="55" spans="1:6">
      <c r="A55" s="64"/>
      <c r="B55" s="60">
        <v>2014</v>
      </c>
      <c r="C55" s="60"/>
      <c r="D55" s="62"/>
      <c r="F55" s="52"/>
    </row>
    <row r="56" spans="1:6">
      <c r="A56" s="64"/>
      <c r="B56" s="60">
        <v>2013</v>
      </c>
      <c r="C56" s="60"/>
      <c r="D56" s="62"/>
      <c r="F56" s="52"/>
    </row>
    <row r="57" spans="1:6">
      <c r="A57" s="5"/>
      <c r="B57" s="60">
        <v>2012</v>
      </c>
      <c r="C57" s="60"/>
      <c r="D57" s="62"/>
      <c r="F57" s="52"/>
    </row>
    <row r="58" spans="1:6">
      <c r="A58" s="9" t="s">
        <v>78</v>
      </c>
      <c r="B58" s="60">
        <v>2022</v>
      </c>
      <c r="C58" s="60"/>
      <c r="D58" s="62"/>
      <c r="F58" s="52"/>
    </row>
    <row r="59" spans="1:6">
      <c r="A59" s="9"/>
      <c r="B59" s="60">
        <v>2021</v>
      </c>
      <c r="C59" s="60"/>
      <c r="D59" s="62"/>
      <c r="F59" s="52"/>
    </row>
    <row r="60" spans="1:6">
      <c r="A60" s="9"/>
      <c r="B60" s="60">
        <v>2020</v>
      </c>
      <c r="C60" s="60"/>
      <c r="D60" s="62"/>
      <c r="F60" s="52"/>
    </row>
    <row r="61" spans="1:6">
      <c r="A61" s="9"/>
      <c r="B61" s="60">
        <v>2019</v>
      </c>
      <c r="C61" s="60"/>
      <c r="D61" s="62"/>
      <c r="F61" s="52"/>
    </row>
    <row r="62" spans="1:6">
      <c r="A62" s="9"/>
      <c r="B62" s="60">
        <v>2018</v>
      </c>
      <c r="C62" s="60"/>
      <c r="D62" s="62"/>
      <c r="F62" s="52"/>
    </row>
    <row r="63" spans="1:6">
      <c r="A63" s="9"/>
      <c r="B63" s="60">
        <v>2017</v>
      </c>
      <c r="C63" s="60"/>
      <c r="D63" s="62"/>
      <c r="F63" s="52"/>
    </row>
    <row r="64" spans="1:6">
      <c r="A64" s="9"/>
      <c r="B64" s="60">
        <v>2016</v>
      </c>
      <c r="C64" s="60"/>
      <c r="D64" s="62"/>
      <c r="F64" s="52"/>
    </row>
    <row r="65" spans="1:6">
      <c r="A65" s="9"/>
      <c r="B65" s="60">
        <v>2015</v>
      </c>
      <c r="C65" s="60"/>
      <c r="D65" s="62"/>
      <c r="F65" s="52"/>
    </row>
    <row r="66" spans="1:6">
      <c r="A66" s="9"/>
      <c r="B66" s="60">
        <v>2014</v>
      </c>
      <c r="C66" s="60"/>
      <c r="D66" s="62"/>
      <c r="F66" s="52"/>
    </row>
    <row r="67" spans="1:6">
      <c r="A67" s="9"/>
      <c r="B67" s="60">
        <v>2013</v>
      </c>
      <c r="C67" s="60"/>
      <c r="D67" s="62"/>
      <c r="F67" s="52"/>
    </row>
    <row r="68" spans="1:6">
      <c r="A68" s="9"/>
      <c r="B68" s="60">
        <v>2012</v>
      </c>
      <c r="C68" s="60"/>
      <c r="D68" s="62"/>
      <c r="F68" s="52"/>
    </row>
    <row r="69" spans="1:6">
      <c r="A69" s="9" t="s">
        <v>80</v>
      </c>
      <c r="B69" s="60">
        <v>2022</v>
      </c>
      <c r="C69" s="60"/>
      <c r="D69" s="62"/>
      <c r="F69" s="52"/>
    </row>
    <row r="70" spans="1:6">
      <c r="A70" s="9"/>
      <c r="B70" s="60">
        <v>2021</v>
      </c>
      <c r="C70" s="60"/>
      <c r="D70" s="62"/>
      <c r="F70" s="52"/>
    </row>
    <row r="71" spans="1:6">
      <c r="A71" s="9"/>
      <c r="B71" s="60">
        <v>2020</v>
      </c>
      <c r="C71" s="60"/>
      <c r="D71" s="62"/>
      <c r="F71" s="52"/>
    </row>
    <row r="72" spans="1:6">
      <c r="A72" s="9"/>
      <c r="B72" s="60">
        <v>2019</v>
      </c>
      <c r="C72" s="60"/>
      <c r="D72" s="62"/>
      <c r="F72" s="52"/>
    </row>
    <row r="73" spans="1:6">
      <c r="A73" s="9"/>
      <c r="B73" s="60">
        <v>2018</v>
      </c>
      <c r="C73" s="60"/>
      <c r="D73" s="62"/>
      <c r="F73" s="52"/>
    </row>
    <row r="74" spans="1:6">
      <c r="A74" s="9"/>
      <c r="B74" s="60">
        <v>2017</v>
      </c>
      <c r="C74" s="60"/>
      <c r="D74" s="62"/>
      <c r="F74" s="52"/>
    </row>
    <row r="75" spans="1:6">
      <c r="A75" s="9"/>
      <c r="B75" s="60">
        <v>2016</v>
      </c>
      <c r="C75" s="60"/>
      <c r="D75" s="62"/>
      <c r="F75" s="52"/>
    </row>
    <row r="76" spans="1:6">
      <c r="A76" s="9"/>
      <c r="B76" s="60">
        <v>2015</v>
      </c>
      <c r="C76" s="60"/>
      <c r="D76" s="62"/>
      <c r="F76" s="52"/>
    </row>
    <row r="77" spans="1:6">
      <c r="A77" s="9"/>
      <c r="B77" s="60">
        <v>2014</v>
      </c>
      <c r="C77" s="60"/>
      <c r="D77" s="62"/>
      <c r="F77" s="52"/>
    </row>
    <row r="78" spans="1:6">
      <c r="A78" s="9"/>
      <c r="B78" s="60">
        <v>2013</v>
      </c>
      <c r="C78" s="60"/>
      <c r="D78" s="62"/>
      <c r="F78" s="52"/>
    </row>
    <row r="79" spans="1:6">
      <c r="A79" s="9"/>
      <c r="B79" s="60">
        <v>2012</v>
      </c>
      <c r="C79" s="60"/>
      <c r="D79" s="62"/>
      <c r="F79" s="52"/>
    </row>
    <row r="80" spans="1:6">
      <c r="A80" s="9" t="s">
        <v>81</v>
      </c>
      <c r="B80" s="60">
        <v>2022</v>
      </c>
      <c r="C80" s="60"/>
      <c r="D80" s="62"/>
      <c r="F80" s="52"/>
    </row>
    <row r="81" spans="1:6">
      <c r="A81" s="9"/>
      <c r="B81" s="60">
        <v>2021</v>
      </c>
      <c r="C81" s="60"/>
      <c r="D81" s="62"/>
      <c r="F81" s="52"/>
    </row>
    <row r="82" spans="1:6">
      <c r="A82" s="9"/>
      <c r="B82" s="60">
        <v>2020</v>
      </c>
      <c r="C82" s="60"/>
      <c r="D82" s="62"/>
      <c r="F82" s="52"/>
    </row>
    <row r="83" spans="1:6">
      <c r="A83" s="9"/>
      <c r="B83" s="60">
        <v>2019</v>
      </c>
      <c r="C83" s="60"/>
      <c r="D83" s="62"/>
      <c r="F83" s="52"/>
    </row>
    <row r="84" spans="1:6">
      <c r="A84" s="9"/>
      <c r="B84" s="60">
        <v>2018</v>
      </c>
      <c r="C84" s="60"/>
      <c r="D84" s="62"/>
      <c r="F84" s="52"/>
    </row>
    <row r="85" spans="1:6">
      <c r="A85" s="9"/>
      <c r="B85" s="60">
        <v>2017</v>
      </c>
      <c r="C85" s="60"/>
      <c r="D85" s="62"/>
      <c r="F85" s="52"/>
    </row>
    <row r="86" spans="1:6">
      <c r="A86" s="9"/>
      <c r="B86" s="60">
        <v>2016</v>
      </c>
      <c r="C86" s="60"/>
      <c r="D86" s="62"/>
      <c r="F86" s="52"/>
    </row>
    <row r="87" spans="1:6">
      <c r="A87" s="9"/>
      <c r="B87" s="60">
        <v>2015</v>
      </c>
      <c r="C87" s="60"/>
      <c r="D87" s="62"/>
      <c r="F87" s="52"/>
    </row>
    <row r="88" spans="1:6">
      <c r="A88" s="9"/>
      <c r="B88" s="60">
        <v>2014</v>
      </c>
      <c r="C88" s="60"/>
      <c r="D88" s="62"/>
      <c r="F88" s="52"/>
    </row>
    <row r="89" spans="1:6">
      <c r="A89" s="9"/>
      <c r="B89" s="60">
        <v>2013</v>
      </c>
      <c r="C89" s="60"/>
      <c r="D89" s="62"/>
      <c r="F89" s="52"/>
    </row>
    <row r="90" spans="1:6">
      <c r="A90" s="9"/>
      <c r="B90" s="60">
        <v>2012</v>
      </c>
      <c r="C90" s="60"/>
      <c r="D90" s="62"/>
      <c r="F90" s="52"/>
    </row>
    <row r="91" spans="1:6">
      <c r="A91" s="9" t="s">
        <v>82</v>
      </c>
      <c r="B91" s="60">
        <v>2022</v>
      </c>
      <c r="C91" s="60"/>
      <c r="D91" s="62"/>
      <c r="F91" s="52"/>
    </row>
    <row r="92" spans="1:6">
      <c r="A92" s="9"/>
      <c r="B92" s="60">
        <v>2021</v>
      </c>
      <c r="C92" s="60"/>
      <c r="D92" s="62"/>
      <c r="F92" s="52"/>
    </row>
    <row r="93" spans="1:6">
      <c r="A93" s="9"/>
      <c r="B93" s="60">
        <v>2020</v>
      </c>
      <c r="C93" s="60"/>
      <c r="D93" s="62"/>
      <c r="F93" s="52"/>
    </row>
    <row r="94" spans="1:6">
      <c r="A94" s="9"/>
      <c r="B94" s="60">
        <v>2019</v>
      </c>
      <c r="C94" s="60"/>
      <c r="D94" s="62"/>
      <c r="F94" s="52"/>
    </row>
    <row r="95" spans="1:6">
      <c r="A95" s="9"/>
      <c r="B95" s="60">
        <v>2018</v>
      </c>
      <c r="C95" s="60"/>
      <c r="D95" s="62"/>
      <c r="F95" s="52"/>
    </row>
    <row r="96" spans="1:6">
      <c r="A96" s="9"/>
      <c r="B96" s="60">
        <v>2017</v>
      </c>
      <c r="C96" s="60"/>
      <c r="D96" s="62"/>
      <c r="F96" s="52"/>
    </row>
    <row r="97" spans="1:6">
      <c r="A97" s="9"/>
      <c r="B97" s="60">
        <v>2016</v>
      </c>
      <c r="C97" s="60"/>
      <c r="D97" s="62"/>
      <c r="F97" s="52"/>
    </row>
    <row r="98" spans="1:6">
      <c r="A98" s="9"/>
      <c r="B98" s="60">
        <v>2015</v>
      </c>
      <c r="C98" s="60"/>
      <c r="D98" s="62"/>
      <c r="F98" s="52"/>
    </row>
    <row r="99" spans="1:6">
      <c r="A99" s="9"/>
      <c r="B99" s="60">
        <v>2014</v>
      </c>
      <c r="C99" s="60"/>
      <c r="D99" s="62"/>
      <c r="F99" s="52"/>
    </row>
    <row r="100" spans="1:6">
      <c r="A100" s="9"/>
      <c r="B100" s="60">
        <v>2013</v>
      </c>
      <c r="C100" s="60"/>
      <c r="D100" s="62"/>
      <c r="F100" s="52"/>
    </row>
    <row r="101" spans="1:6">
      <c r="A101" s="9"/>
      <c r="B101" s="60">
        <v>2012</v>
      </c>
      <c r="C101" s="60"/>
      <c r="D101" s="62"/>
      <c r="F101" s="52"/>
    </row>
    <row r="102" spans="5:5">
      <c r="E102" s="68"/>
    </row>
  </sheetData>
  <mergeCells count="14">
    <mergeCell ref="C1:D1"/>
    <mergeCell ref="E1:F1"/>
    <mergeCell ref="A1:A2"/>
    <mergeCell ref="A3:A13"/>
    <mergeCell ref="A14:A24"/>
    <mergeCell ref="A25:A35"/>
    <mergeCell ref="A36:A46"/>
    <mergeCell ref="A47:A57"/>
    <mergeCell ref="A58:A68"/>
    <mergeCell ref="A69:A79"/>
    <mergeCell ref="A80:A90"/>
    <mergeCell ref="A91:A101"/>
    <mergeCell ref="B1:B2"/>
    <mergeCell ref="G1:G2"/>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01"/>
  <sheetViews>
    <sheetView workbookViewId="0">
      <selection activeCell="E20" sqref="A1:AZ101"/>
    </sheetView>
  </sheetViews>
  <sheetFormatPr defaultColWidth="9.23076923076923" defaultRowHeight="16.8"/>
  <sheetData>
    <row r="1" spans="1:52">
      <c r="A1" s="1" t="s">
        <v>0</v>
      </c>
      <c r="B1" s="1" t="s">
        <v>1</v>
      </c>
      <c r="C1" s="2" t="s">
        <v>2</v>
      </c>
      <c r="D1" s="3" t="s">
        <v>4</v>
      </c>
      <c r="E1" s="3" t="s">
        <v>6</v>
      </c>
      <c r="F1" s="16" t="s">
        <v>7</v>
      </c>
      <c r="G1" s="17" t="s">
        <v>10</v>
      </c>
      <c r="H1" s="18"/>
      <c r="I1" s="18"/>
      <c r="J1" s="18"/>
      <c r="K1" s="18"/>
      <c r="L1" s="18"/>
      <c r="M1" s="18"/>
      <c r="N1" s="22"/>
      <c r="O1" s="23" t="s">
        <v>11</v>
      </c>
      <c r="P1" s="24" t="s">
        <v>12</v>
      </c>
      <c r="Q1" s="24"/>
      <c r="R1" s="24"/>
      <c r="S1" s="24"/>
      <c r="T1" s="24"/>
      <c r="U1" s="24"/>
      <c r="V1" s="24"/>
      <c r="W1" s="24"/>
      <c r="X1" s="24"/>
      <c r="Y1" s="23" t="s">
        <v>13</v>
      </c>
      <c r="Z1" s="27" t="s">
        <v>14</v>
      </c>
      <c r="AA1" s="28" t="s">
        <v>15</v>
      </c>
      <c r="AB1" s="29" t="s">
        <v>16</v>
      </c>
      <c r="AC1" s="33" t="s">
        <v>17</v>
      </c>
      <c r="AD1" s="34" t="s">
        <v>18</v>
      </c>
      <c r="AE1" s="35" t="s">
        <v>19</v>
      </c>
      <c r="AF1" s="36" t="s">
        <v>20</v>
      </c>
      <c r="AG1" s="42" t="s">
        <v>37</v>
      </c>
      <c r="AH1" s="43" t="s">
        <v>147</v>
      </c>
      <c r="AI1" s="44" t="s">
        <v>40</v>
      </c>
      <c r="AJ1" s="7" t="s">
        <v>41</v>
      </c>
      <c r="AK1" s="45" t="s">
        <v>148</v>
      </c>
      <c r="AL1" s="45"/>
      <c r="AM1" s="45"/>
      <c r="AN1" s="45"/>
      <c r="AO1" s="47" t="s">
        <v>149</v>
      </c>
      <c r="AP1" s="48" t="s">
        <v>42</v>
      </c>
      <c r="AQ1" s="49" t="s">
        <v>43</v>
      </c>
      <c r="AR1" s="9" t="s">
        <v>29</v>
      </c>
      <c r="AS1" s="9" t="s">
        <v>30</v>
      </c>
      <c r="AT1" s="9" t="s">
        <v>31</v>
      </c>
      <c r="AU1" s="9" t="s">
        <v>32</v>
      </c>
      <c r="AV1" s="9" t="s">
        <v>33</v>
      </c>
      <c r="AW1" s="9" t="s">
        <v>34</v>
      </c>
      <c r="AX1" s="9" t="s">
        <v>35</v>
      </c>
      <c r="AY1" s="9" t="s">
        <v>36</v>
      </c>
      <c r="AZ1" s="54" t="s">
        <v>45</v>
      </c>
    </row>
    <row r="2" ht="409.5" spans="1:52">
      <c r="A2" s="1"/>
      <c r="B2" s="1"/>
      <c r="C2" s="4"/>
      <c r="D2" s="5"/>
      <c r="E2" s="5"/>
      <c r="F2" s="16"/>
      <c r="G2" s="19" t="s">
        <v>46</v>
      </c>
      <c r="H2" s="19" t="s">
        <v>47</v>
      </c>
      <c r="I2" s="19" t="s">
        <v>48</v>
      </c>
      <c r="J2" s="19" t="s">
        <v>49</v>
      </c>
      <c r="K2" s="19" t="s">
        <v>50</v>
      </c>
      <c r="L2" s="19" t="s">
        <v>51</v>
      </c>
      <c r="M2" s="19" t="s">
        <v>52</v>
      </c>
      <c r="N2" s="19" t="s">
        <v>53</v>
      </c>
      <c r="O2" s="23"/>
      <c r="P2" s="24" t="s">
        <v>54</v>
      </c>
      <c r="Q2" s="24" t="s">
        <v>55</v>
      </c>
      <c r="R2" s="24" t="s">
        <v>56</v>
      </c>
      <c r="S2" s="24" t="s">
        <v>57</v>
      </c>
      <c r="T2" s="25" t="s">
        <v>58</v>
      </c>
      <c r="U2" s="25" t="s">
        <v>59</v>
      </c>
      <c r="V2" s="25" t="s">
        <v>60</v>
      </c>
      <c r="W2" s="25" t="s">
        <v>61</v>
      </c>
      <c r="X2" s="25" t="s">
        <v>62</v>
      </c>
      <c r="Y2" s="23"/>
      <c r="Z2" s="30"/>
      <c r="AA2" s="31"/>
      <c r="AB2" s="32"/>
      <c r="AC2" s="37"/>
      <c r="AD2" s="34"/>
      <c r="AE2" s="35"/>
      <c r="AF2" s="38"/>
      <c r="AG2" s="42"/>
      <c r="AH2" s="43"/>
      <c r="AI2" s="44"/>
      <c r="AJ2" s="7"/>
      <c r="AK2" s="45" t="s">
        <v>150</v>
      </c>
      <c r="AL2" s="46" t="s">
        <v>151</v>
      </c>
      <c r="AM2" s="46" t="s">
        <v>152</v>
      </c>
      <c r="AN2" s="45" t="s">
        <v>153</v>
      </c>
      <c r="AO2" s="47"/>
      <c r="AP2" s="50"/>
      <c r="AQ2" s="49"/>
      <c r="AR2" s="9"/>
      <c r="AS2" s="9"/>
      <c r="AT2" s="9"/>
      <c r="AU2" s="9"/>
      <c r="AV2" s="9"/>
      <c r="AW2" s="9"/>
      <c r="AX2" s="9"/>
      <c r="AY2" s="9"/>
      <c r="AZ2" s="54"/>
    </row>
    <row r="3" spans="1:52">
      <c r="A3" s="6" t="s">
        <v>63</v>
      </c>
      <c r="B3" s="6">
        <v>2022</v>
      </c>
      <c r="C3" s="7">
        <f>3688.53*100000000</f>
        <v>368853000000</v>
      </c>
      <c r="D3" s="8">
        <v>4633833787</v>
      </c>
      <c r="E3" s="20">
        <v>34059175850.3</v>
      </c>
      <c r="F3" s="8">
        <v>26884479411.22</v>
      </c>
      <c r="G3" s="8"/>
      <c r="H3" s="8">
        <v>93653455.89</v>
      </c>
      <c r="I3" s="8"/>
      <c r="J3" s="8">
        <v>29745723.29</v>
      </c>
      <c r="K3" s="8"/>
      <c r="L3" s="8">
        <v>131720077.32</v>
      </c>
      <c r="M3" s="8"/>
      <c r="N3" s="8"/>
      <c r="O3" s="8">
        <f>SUM(G3:N3)</f>
        <v>255119256.5</v>
      </c>
      <c r="P3" s="8"/>
      <c r="Q3" s="8"/>
      <c r="R3" s="8"/>
      <c r="S3" s="8"/>
      <c r="T3" s="26">
        <v>100000</v>
      </c>
      <c r="U3" s="26">
        <v>4131328.25</v>
      </c>
      <c r="V3" s="26">
        <v>18223307402.03</v>
      </c>
      <c r="W3" s="26"/>
      <c r="X3" s="26">
        <v>6081662998.97</v>
      </c>
      <c r="Y3" s="26">
        <f>SUM(P3:X3)</f>
        <v>24309201729.25</v>
      </c>
      <c r="Z3" s="26">
        <f t="shared" ref="Z3:Z13" si="0">SUM(P3:U3)</f>
        <v>4231328.25</v>
      </c>
      <c r="AA3" s="26">
        <f t="shared" ref="AA3:AA13" si="1">SUM(V3:X3)</f>
        <v>24304970401</v>
      </c>
      <c r="AB3" s="26">
        <f t="shared" ref="AB3:AB13" si="2">E3-Y3</f>
        <v>9749974121.05</v>
      </c>
      <c r="AC3" s="8">
        <v>4206780719.87</v>
      </c>
      <c r="AD3" s="8">
        <v>1179878268.77</v>
      </c>
      <c r="AE3" s="8">
        <v>684643779.66</v>
      </c>
      <c r="AF3" s="39">
        <f t="shared" ref="AF3:AF13" si="3">SUM(AC3:AE3)/AB3</f>
        <v>0.622699372626249</v>
      </c>
      <c r="AG3" s="26">
        <f>F3+O3-Y3</f>
        <v>2830396938.47</v>
      </c>
      <c r="AH3" s="26">
        <v>7364206015.29</v>
      </c>
      <c r="AI3" s="26">
        <v>-732179071.06</v>
      </c>
      <c r="AJ3" s="8">
        <f t="shared" ref="AJ3:AJ66" si="4">AH3+AI3</f>
        <v>6632026944.23</v>
      </c>
      <c r="AK3" s="8">
        <v>1190223.85</v>
      </c>
      <c r="AL3" s="8">
        <v>144183702.42</v>
      </c>
      <c r="AM3" s="8">
        <v>134371757.35</v>
      </c>
      <c r="AN3" s="8">
        <v>11925091.07</v>
      </c>
      <c r="AO3" s="8">
        <f t="shared" ref="AO3:AO13" si="5">SUM(AK3:AN3)</f>
        <v>291670774.69</v>
      </c>
      <c r="AP3" s="8">
        <f t="shared" ref="AP3:AP57" si="6">AJ3-AO3</f>
        <v>6340356169.54</v>
      </c>
      <c r="AQ3" s="51">
        <f t="shared" ref="AQ3:AQ24" si="7">AP3/AG3</f>
        <v>2.24009434272754</v>
      </c>
      <c r="AR3" s="52"/>
      <c r="AS3" s="53">
        <v>142498802.39</v>
      </c>
      <c r="AT3" s="52"/>
      <c r="AU3" s="52"/>
      <c r="AV3" s="52"/>
      <c r="AW3" s="53">
        <v>2335492509.4</v>
      </c>
      <c r="AX3" s="52"/>
      <c r="AY3" s="53">
        <v>19285851426.62</v>
      </c>
      <c r="AZ3" s="55" t="s">
        <v>154</v>
      </c>
    </row>
    <row r="4" spans="1:52">
      <c r="A4" s="6"/>
      <c r="B4" s="6">
        <v>2021</v>
      </c>
      <c r="C4" s="7">
        <f>4427.84*100000000</f>
        <v>442784000000</v>
      </c>
      <c r="D4" s="8">
        <v>4212576170</v>
      </c>
      <c r="E4" s="20">
        <v>33337724549.58</v>
      </c>
      <c r="F4" s="8">
        <v>23499848566.38</v>
      </c>
      <c r="G4" s="8"/>
      <c r="H4" s="8"/>
      <c r="I4" s="8"/>
      <c r="J4" s="8">
        <v>54070173.8</v>
      </c>
      <c r="K4" s="8"/>
      <c r="L4" s="8">
        <v>104600000</v>
      </c>
      <c r="M4" s="8"/>
      <c r="N4" s="8"/>
      <c r="O4" s="8">
        <f>SUM(G4:N4)</f>
        <v>158670173.8</v>
      </c>
      <c r="P4" s="8"/>
      <c r="Q4" s="8"/>
      <c r="R4" s="8"/>
      <c r="S4" s="8"/>
      <c r="T4" s="26">
        <v>100000</v>
      </c>
      <c r="U4" s="26">
        <v>4496708</v>
      </c>
      <c r="V4" s="26">
        <v>19813767427.18</v>
      </c>
      <c r="W4" s="26"/>
      <c r="X4" s="26">
        <v>5377818664.42</v>
      </c>
      <c r="Y4" s="26">
        <f>SUM(P4:X4)</f>
        <v>25196182799.6</v>
      </c>
      <c r="Z4" s="26">
        <f t="shared" si="0"/>
        <v>4596708</v>
      </c>
      <c r="AA4" s="26">
        <f t="shared" si="1"/>
        <v>25191586091.6</v>
      </c>
      <c r="AB4" s="26">
        <f t="shared" si="2"/>
        <v>8141541749.98</v>
      </c>
      <c r="AC4" s="8">
        <v>3614222644.29</v>
      </c>
      <c r="AD4" s="8">
        <v>923163979.01</v>
      </c>
      <c r="AE4" s="8">
        <v>376666046.75</v>
      </c>
      <c r="AF4" s="39">
        <f t="shared" si="3"/>
        <v>0.603577654080331</v>
      </c>
      <c r="AG4" s="26">
        <f t="shared" ref="AG4:AG67" si="8">F4+H4+I4+K4+L4+M4+N4-P4-Q4-R4-S4-T4-U4-V4-W4-X4</f>
        <v>-1591734233.22</v>
      </c>
      <c r="AH4" s="26">
        <v>7820740015.8</v>
      </c>
      <c r="AI4" s="26">
        <v>-584217366.43</v>
      </c>
      <c r="AJ4" s="8">
        <f t="shared" si="4"/>
        <v>7236522649.37</v>
      </c>
      <c r="AK4" s="8">
        <v>1185218.28</v>
      </c>
      <c r="AL4" s="8">
        <v>143522595.27</v>
      </c>
      <c r="AM4" s="8">
        <v>167631810.36</v>
      </c>
      <c r="AN4" s="8">
        <v>320719.29</v>
      </c>
      <c r="AO4" s="8">
        <f t="shared" si="5"/>
        <v>312660343.2</v>
      </c>
      <c r="AP4" s="8">
        <f t="shared" si="6"/>
        <v>6923862306.17</v>
      </c>
      <c r="AQ4" s="51">
        <f t="shared" si="7"/>
        <v>-4.3498859053646</v>
      </c>
      <c r="AR4" s="52"/>
      <c r="AS4" s="53">
        <v>142498802.39</v>
      </c>
      <c r="AT4" s="52"/>
      <c r="AU4" s="52"/>
      <c r="AV4" s="52"/>
      <c r="AW4" s="53">
        <v>2124863700.9</v>
      </c>
      <c r="AX4" s="52"/>
      <c r="AY4" s="53">
        <v>16921578797.54</v>
      </c>
      <c r="AZ4" s="55"/>
    </row>
    <row r="5" spans="1:52">
      <c r="A5" s="6"/>
      <c r="B5" s="6">
        <v>2020</v>
      </c>
      <c r="C5" s="7">
        <f>6498.38*100000000</f>
        <v>649838000000</v>
      </c>
      <c r="D5" s="8">
        <v>3240443208</v>
      </c>
      <c r="E5" s="20">
        <v>29533620038.66</v>
      </c>
      <c r="F5" s="8">
        <v>20166034544.96</v>
      </c>
      <c r="G5" s="8"/>
      <c r="H5" s="8"/>
      <c r="I5" s="8"/>
      <c r="J5" s="8"/>
      <c r="K5" s="8"/>
      <c r="L5" s="8">
        <v>92600000</v>
      </c>
      <c r="M5" s="8"/>
      <c r="N5" s="8"/>
      <c r="O5" s="8">
        <f t="shared" ref="O5:O68" si="9">H5+I5+K5+L5+M5+N5</f>
        <v>92600000</v>
      </c>
      <c r="P5" s="8"/>
      <c r="Q5" s="8"/>
      <c r="R5" s="8"/>
      <c r="S5" s="8"/>
      <c r="T5" s="26">
        <v>100000</v>
      </c>
      <c r="U5" s="26">
        <v>4912608.29</v>
      </c>
      <c r="V5" s="26">
        <v>16957675015.45</v>
      </c>
      <c r="W5" s="26"/>
      <c r="X5" s="26">
        <v>5054735186.75</v>
      </c>
      <c r="Y5" s="26">
        <f t="shared" ref="Y5:Y68" si="10">P5+Q5+R5+S5+T5+U5+V5+W5+X5</f>
        <v>22017422810.49</v>
      </c>
      <c r="Z5" s="26">
        <f t="shared" si="0"/>
        <v>5012608.29</v>
      </c>
      <c r="AA5" s="26">
        <f t="shared" si="1"/>
        <v>22012410202.2</v>
      </c>
      <c r="AB5" s="26">
        <f t="shared" si="2"/>
        <v>7516197228.17</v>
      </c>
      <c r="AC5" s="8">
        <v>3913914242.44</v>
      </c>
      <c r="AD5" s="8">
        <v>368803829.98</v>
      </c>
      <c r="AE5" s="8">
        <v>385298787.75</v>
      </c>
      <c r="AF5" s="39">
        <f t="shared" si="3"/>
        <v>0.621060985823351</v>
      </c>
      <c r="AG5" s="26">
        <f t="shared" si="8"/>
        <v>-1758788265.53</v>
      </c>
      <c r="AH5" s="26">
        <v>7642422274.71</v>
      </c>
      <c r="AI5" s="26">
        <v>-392238055.13</v>
      </c>
      <c r="AJ5" s="8">
        <f t="shared" si="4"/>
        <v>7250184219.58</v>
      </c>
      <c r="AK5" s="8">
        <v>-4856278.4</v>
      </c>
      <c r="AL5" s="8">
        <v>122379388.5</v>
      </c>
      <c r="AM5" s="8">
        <v>174713056.45</v>
      </c>
      <c r="AN5" s="8">
        <v>-1446950.2</v>
      </c>
      <c r="AO5" s="8">
        <f t="shared" si="5"/>
        <v>290789216.35</v>
      </c>
      <c r="AP5" s="8">
        <f t="shared" si="6"/>
        <v>6959395003.23</v>
      </c>
      <c r="AQ5" s="51">
        <f t="shared" si="7"/>
        <v>-3.95692599252862</v>
      </c>
      <c r="AR5" s="52"/>
      <c r="AS5" s="53">
        <v>790587443.39</v>
      </c>
      <c r="AT5" s="52"/>
      <c r="AU5" s="52"/>
      <c r="AV5" s="52"/>
      <c r="AW5" s="53">
        <v>1638797219.9</v>
      </c>
      <c r="AX5" s="52"/>
      <c r="AY5" s="53">
        <v>14398588292.06</v>
      </c>
      <c r="AZ5" s="55"/>
    </row>
    <row r="6" spans="1:52">
      <c r="A6" s="6"/>
      <c r="B6" s="6">
        <v>2019</v>
      </c>
      <c r="C6" s="7">
        <f>2903.17*100000000</f>
        <v>290317000000</v>
      </c>
      <c r="D6" s="8">
        <v>2700369340</v>
      </c>
      <c r="E6" s="20">
        <v>24753888098.68</v>
      </c>
      <c r="F6" s="8">
        <v>16597706781.83</v>
      </c>
      <c r="G6" s="8"/>
      <c r="H6" s="8"/>
      <c r="I6" s="8"/>
      <c r="J6" s="8"/>
      <c r="K6" s="8"/>
      <c r="L6" s="8">
        <v>19600000</v>
      </c>
      <c r="M6" s="8"/>
      <c r="N6" s="8"/>
      <c r="O6" s="8">
        <f t="shared" si="9"/>
        <v>19600000</v>
      </c>
      <c r="P6" s="8"/>
      <c r="Q6" s="8"/>
      <c r="R6" s="8"/>
      <c r="S6" s="8"/>
      <c r="T6" s="26">
        <v>100000</v>
      </c>
      <c r="U6" s="26">
        <v>5424533.82</v>
      </c>
      <c r="V6" s="26">
        <v>13455532720.24</v>
      </c>
      <c r="W6" s="26"/>
      <c r="X6" s="26">
        <v>4878142342.48</v>
      </c>
      <c r="Y6" s="26">
        <f t="shared" si="10"/>
        <v>18339199596.54</v>
      </c>
      <c r="Z6" s="26">
        <f t="shared" si="0"/>
        <v>5524533.82</v>
      </c>
      <c r="AA6" s="26">
        <f t="shared" si="1"/>
        <v>18333675062.72</v>
      </c>
      <c r="AB6" s="26">
        <f t="shared" si="2"/>
        <v>6414688502.14</v>
      </c>
      <c r="AC6" s="8">
        <v>3448256519.87</v>
      </c>
      <c r="AD6" s="8">
        <v>493515429.53</v>
      </c>
      <c r="AE6" s="8">
        <v>138370580.99</v>
      </c>
      <c r="AF6" s="39">
        <f t="shared" si="3"/>
        <v>0.636062457129263</v>
      </c>
      <c r="AG6" s="26">
        <f t="shared" si="8"/>
        <v>-1721892814.71</v>
      </c>
      <c r="AH6" s="26">
        <v>6377198678.77</v>
      </c>
      <c r="AI6" s="26">
        <v>-292740159.04</v>
      </c>
      <c r="AJ6" s="8">
        <f t="shared" si="4"/>
        <v>6084458519.73</v>
      </c>
      <c r="AK6" s="8">
        <v>-3538763.86</v>
      </c>
      <c r="AL6" s="8">
        <v>122367594.38</v>
      </c>
      <c r="AM6" s="8">
        <v>232377061.9</v>
      </c>
      <c r="AN6" s="8">
        <v>-2241161.48</v>
      </c>
      <c r="AO6" s="8">
        <f t="shared" si="5"/>
        <v>348964730.94</v>
      </c>
      <c r="AP6" s="8">
        <f t="shared" si="6"/>
        <v>5735493788.79</v>
      </c>
      <c r="AQ6" s="51">
        <f t="shared" si="7"/>
        <v>-3.33092381813323</v>
      </c>
      <c r="AR6" s="52"/>
      <c r="AS6" s="53">
        <v>1330661311.39</v>
      </c>
      <c r="AT6" s="52"/>
      <c r="AU6" s="52"/>
      <c r="AV6" s="52"/>
      <c r="AW6" s="53">
        <v>1368760285.9</v>
      </c>
      <c r="AX6" s="52"/>
      <c r="AY6" s="53">
        <v>11182164121.35</v>
      </c>
      <c r="AZ6" s="55"/>
    </row>
    <row r="7" spans="1:52">
      <c r="A7" s="6"/>
      <c r="B7" s="6">
        <v>2018</v>
      </c>
      <c r="C7" s="7">
        <f>1857.85*100000000</f>
        <v>185785000000</v>
      </c>
      <c r="D7" s="8">
        <v>2700369340</v>
      </c>
      <c r="E7" s="20">
        <v>20143788853.33</v>
      </c>
      <c r="F7" s="8">
        <v>13887826140.51</v>
      </c>
      <c r="G7" s="8"/>
      <c r="H7" s="8"/>
      <c r="I7" s="8"/>
      <c r="J7" s="8"/>
      <c r="K7" s="8"/>
      <c r="L7" s="8">
        <v>19600000</v>
      </c>
      <c r="M7" s="8"/>
      <c r="N7" s="8"/>
      <c r="O7" s="8">
        <f t="shared" si="9"/>
        <v>19600000</v>
      </c>
      <c r="P7" s="8">
        <v>100000</v>
      </c>
      <c r="Q7" s="8"/>
      <c r="R7" s="8"/>
      <c r="S7" s="8"/>
      <c r="T7" s="26"/>
      <c r="U7" s="26">
        <v>6128510.63</v>
      </c>
      <c r="V7" s="26">
        <v>9457209973</v>
      </c>
      <c r="W7" s="26"/>
      <c r="X7" s="26"/>
      <c r="Y7" s="26">
        <f t="shared" si="10"/>
        <v>9463438483.63</v>
      </c>
      <c r="Z7" s="26">
        <f t="shared" si="0"/>
        <v>6228510.63</v>
      </c>
      <c r="AA7" s="26">
        <f t="shared" si="1"/>
        <v>9457209973</v>
      </c>
      <c r="AB7" s="26">
        <f t="shared" si="2"/>
        <v>10680350369.7</v>
      </c>
      <c r="AC7" s="8">
        <v>3745504253.81</v>
      </c>
      <c r="AD7" s="8">
        <v>252302626.51</v>
      </c>
      <c r="AE7" s="8">
        <v>143566603.01</v>
      </c>
      <c r="AF7" s="39">
        <f t="shared" si="3"/>
        <v>0.387756331953212</v>
      </c>
      <c r="AG7" s="26">
        <f t="shared" si="8"/>
        <v>4443987656.88</v>
      </c>
      <c r="AH7" s="26">
        <v>5222806355.86</v>
      </c>
      <c r="AI7" s="26">
        <v>-152621887.7</v>
      </c>
      <c r="AJ7" s="8">
        <f t="shared" si="4"/>
        <v>5070184468.16</v>
      </c>
      <c r="AK7" s="8">
        <v>-3400520.36</v>
      </c>
      <c r="AL7" s="8">
        <v>46370750.36</v>
      </c>
      <c r="AM7" s="8">
        <v>294565763.76</v>
      </c>
      <c r="AN7" s="8">
        <v>-18199495.89</v>
      </c>
      <c r="AO7" s="8">
        <f t="shared" si="5"/>
        <v>319336497.87</v>
      </c>
      <c r="AP7" s="8">
        <f t="shared" si="6"/>
        <v>4750847970.29</v>
      </c>
      <c r="AQ7" s="51">
        <f t="shared" si="7"/>
        <v>1.06905066735164</v>
      </c>
      <c r="AR7" s="52"/>
      <c r="AS7" s="53">
        <v>1330661311.39</v>
      </c>
      <c r="AT7" s="52"/>
      <c r="AU7" s="53">
        <v>39309965.69</v>
      </c>
      <c r="AV7" s="52"/>
      <c r="AW7" s="53">
        <v>1368760285.9</v>
      </c>
      <c r="AX7" s="52"/>
      <c r="AY7" s="53">
        <v>8436031079.51</v>
      </c>
      <c r="AZ7" s="55"/>
    </row>
    <row r="8" spans="1:52">
      <c r="A8" s="6"/>
      <c r="B8" s="6">
        <v>2017</v>
      </c>
      <c r="C8" s="7">
        <f>1453.25*100000000</f>
        <v>145325000000</v>
      </c>
      <c r="D8" s="8">
        <v>2701206700</v>
      </c>
      <c r="E8" s="20">
        <v>16336012255.77</v>
      </c>
      <c r="F8" s="8">
        <v>11764173507.61</v>
      </c>
      <c r="G8" s="8"/>
      <c r="H8" s="8"/>
      <c r="I8" s="8"/>
      <c r="J8" s="8"/>
      <c r="K8" s="8"/>
      <c r="L8" s="8"/>
      <c r="M8" s="8"/>
      <c r="N8" s="8"/>
      <c r="O8" s="8">
        <f t="shared" si="9"/>
        <v>0</v>
      </c>
      <c r="P8" s="8">
        <v>100000</v>
      </c>
      <c r="Q8" s="8"/>
      <c r="R8" s="8"/>
      <c r="S8" s="8"/>
      <c r="T8" s="26"/>
      <c r="U8" s="26">
        <v>4705134.66</v>
      </c>
      <c r="V8" s="26">
        <v>5612919179.01</v>
      </c>
      <c r="W8" s="26"/>
      <c r="X8" s="26"/>
      <c r="Y8" s="26">
        <f t="shared" si="10"/>
        <v>5617724313.67</v>
      </c>
      <c r="Z8" s="26">
        <f t="shared" si="0"/>
        <v>4805134.66</v>
      </c>
      <c r="AA8" s="26">
        <f t="shared" si="1"/>
        <v>5612919179.01</v>
      </c>
      <c r="AB8" s="26">
        <f t="shared" si="2"/>
        <v>10718287942.1</v>
      </c>
      <c r="AC8" s="8">
        <v>3649646780.23</v>
      </c>
      <c r="AD8" s="8">
        <v>615135578.81</v>
      </c>
      <c r="AE8" s="8">
        <v>149567775.08</v>
      </c>
      <c r="AF8" s="39">
        <f t="shared" si="3"/>
        <v>0.411852168738724</v>
      </c>
      <c r="AG8" s="26">
        <f t="shared" si="8"/>
        <v>6146449193.94</v>
      </c>
      <c r="AH8" s="26">
        <v>4215288941.15</v>
      </c>
      <c r="AI8" s="26">
        <v>-82004118.81</v>
      </c>
      <c r="AJ8" s="8">
        <f t="shared" si="4"/>
        <v>4133284822.34</v>
      </c>
      <c r="AK8" s="8">
        <v>861477</v>
      </c>
      <c r="AL8" s="8">
        <v>43088674.62</v>
      </c>
      <c r="AM8" s="8">
        <v>143663576.05</v>
      </c>
      <c r="AN8" s="8">
        <v>4464719.3</v>
      </c>
      <c r="AO8" s="8">
        <f t="shared" si="5"/>
        <v>192078446.97</v>
      </c>
      <c r="AP8" s="8">
        <f t="shared" si="6"/>
        <v>3941206375.37</v>
      </c>
      <c r="AQ8" s="51">
        <f t="shared" si="7"/>
        <v>0.641216782407601</v>
      </c>
      <c r="AR8" s="52"/>
      <c r="AS8" s="53">
        <v>1291572608.6</v>
      </c>
      <c r="AT8" s="53">
        <v>37170173.18</v>
      </c>
      <c r="AU8" s="53">
        <v>61430054.74</v>
      </c>
      <c r="AV8" s="52"/>
      <c r="AW8" s="53">
        <v>1291224237.63</v>
      </c>
      <c r="AX8" s="52"/>
      <c r="AY8" s="53">
        <v>6445076571.28</v>
      </c>
      <c r="AZ8" s="55"/>
    </row>
    <row r="9" spans="1:52">
      <c r="A9" s="6"/>
      <c r="B9" s="6">
        <v>2016</v>
      </c>
      <c r="C9" s="7">
        <f>793.36*100000000</f>
        <v>79336000000</v>
      </c>
      <c r="D9" s="8">
        <v>2704950700</v>
      </c>
      <c r="E9" s="21">
        <v>13463592998.27</v>
      </c>
      <c r="F9" s="8">
        <v>10013769433.03</v>
      </c>
      <c r="G9" s="8"/>
      <c r="H9" s="8"/>
      <c r="I9" s="8"/>
      <c r="J9" s="8"/>
      <c r="K9" s="8"/>
      <c r="L9" s="8"/>
      <c r="M9" s="8"/>
      <c r="N9" s="8"/>
      <c r="O9" s="8">
        <f t="shared" si="9"/>
        <v>0</v>
      </c>
      <c r="P9" s="8">
        <v>100000</v>
      </c>
      <c r="Q9" s="8"/>
      <c r="R9" s="8"/>
      <c r="S9" s="8"/>
      <c r="T9" s="26"/>
      <c r="U9" s="26">
        <v>5314445.51</v>
      </c>
      <c r="V9" s="26">
        <v>5196574520.25</v>
      </c>
      <c r="W9" s="26"/>
      <c r="X9" s="26"/>
      <c r="Y9" s="26">
        <f t="shared" si="10"/>
        <v>5201988965.76</v>
      </c>
      <c r="Z9" s="26">
        <f t="shared" si="0"/>
        <v>5414445.51</v>
      </c>
      <c r="AA9" s="26">
        <f t="shared" si="1"/>
        <v>5196574520.25</v>
      </c>
      <c r="AB9" s="26">
        <f t="shared" si="2"/>
        <v>8261604032.51</v>
      </c>
      <c r="AC9" s="26">
        <v>3830285320.94</v>
      </c>
      <c r="AD9" s="26">
        <v>582415461.85</v>
      </c>
      <c r="AE9" s="26">
        <v>140015729.76</v>
      </c>
      <c r="AF9" s="39">
        <f t="shared" si="3"/>
        <v>0.551069319545543</v>
      </c>
      <c r="AG9" s="26">
        <f t="shared" si="8"/>
        <v>4811780467.27</v>
      </c>
      <c r="AH9" s="26">
        <v>3413378743.95</v>
      </c>
      <c r="AI9" s="26">
        <v>-45681637.22</v>
      </c>
      <c r="AJ9" s="8">
        <f t="shared" si="4"/>
        <v>3367697106.73</v>
      </c>
      <c r="AK9" s="8">
        <v>-365646.16</v>
      </c>
      <c r="AL9" s="8">
        <v>12030155.3</v>
      </c>
      <c r="AM9" s="8">
        <v>87079359.19</v>
      </c>
      <c r="AN9" s="8">
        <v>-254336.38</v>
      </c>
      <c r="AO9" s="8">
        <f t="shared" si="5"/>
        <v>98489531.95</v>
      </c>
      <c r="AP9" s="8">
        <f t="shared" si="6"/>
        <v>3269207574.78</v>
      </c>
      <c r="AQ9" s="51">
        <f t="shared" si="7"/>
        <v>0.679417441634616</v>
      </c>
      <c r="AR9" s="52"/>
      <c r="AS9" s="53">
        <v>1320136410.56</v>
      </c>
      <c r="AT9" s="53">
        <v>75623665.92</v>
      </c>
      <c r="AU9" s="53">
        <v>23734458.9</v>
      </c>
      <c r="AV9" s="52"/>
      <c r="AW9" s="53">
        <v>1041726620.6</v>
      </c>
      <c r="AX9" s="52"/>
      <c r="AY9" s="53">
        <v>4998844908.89</v>
      </c>
      <c r="AZ9" s="55"/>
    </row>
    <row r="10" spans="1:52">
      <c r="A10" s="6"/>
      <c r="B10" s="6">
        <v>2015</v>
      </c>
      <c r="C10" s="7">
        <f>956.66*100000000</f>
        <v>95666000000</v>
      </c>
      <c r="D10" s="8">
        <v>2706246000</v>
      </c>
      <c r="E10" s="21">
        <v>11498002242.84</v>
      </c>
      <c r="F10" s="8">
        <v>8751125601.73</v>
      </c>
      <c r="G10" s="8"/>
      <c r="H10" s="8"/>
      <c r="I10" s="8"/>
      <c r="J10" s="8"/>
      <c r="K10" s="8"/>
      <c r="L10" s="8"/>
      <c r="M10" s="8"/>
      <c r="N10" s="8"/>
      <c r="O10" s="8">
        <f t="shared" si="9"/>
        <v>0</v>
      </c>
      <c r="P10" s="8">
        <v>0.001</v>
      </c>
      <c r="Q10" s="8"/>
      <c r="R10" s="8"/>
      <c r="S10" s="8"/>
      <c r="T10" s="26"/>
      <c r="U10" s="26">
        <v>5923756.26</v>
      </c>
      <c r="V10" s="26">
        <v>4519091067.15</v>
      </c>
      <c r="W10" s="26"/>
      <c r="X10" s="26"/>
      <c r="Y10" s="26">
        <f t="shared" si="10"/>
        <v>4525014823.411</v>
      </c>
      <c r="Z10" s="26">
        <f t="shared" si="0"/>
        <v>5923756.261</v>
      </c>
      <c r="AA10" s="26">
        <f t="shared" si="1"/>
        <v>4519091067.15</v>
      </c>
      <c r="AB10" s="26">
        <f t="shared" si="2"/>
        <v>6972987419.429</v>
      </c>
      <c r="AC10" s="26">
        <v>3263644592.88</v>
      </c>
      <c r="AD10" s="40">
        <v>786640648.16</v>
      </c>
      <c r="AE10" s="26">
        <v>144144932.39</v>
      </c>
      <c r="AF10" s="39">
        <f t="shared" si="3"/>
        <v>0.601525561589708</v>
      </c>
      <c r="AG10" s="26">
        <f t="shared" si="8"/>
        <v>4226110778.319</v>
      </c>
      <c r="AH10" s="26">
        <v>3011302913.95</v>
      </c>
      <c r="AI10" s="26">
        <v>-48786754.34</v>
      </c>
      <c r="AJ10" s="8">
        <f t="shared" si="4"/>
        <v>2962516159.61</v>
      </c>
      <c r="AK10" s="8">
        <v>-497120.36</v>
      </c>
      <c r="AL10" s="8">
        <v>17545043.45</v>
      </c>
      <c r="AM10" s="8">
        <v>70568046.26</v>
      </c>
      <c r="AN10" s="8">
        <v>5114734.99</v>
      </c>
      <c r="AO10" s="8">
        <f t="shared" si="5"/>
        <v>92730704.34</v>
      </c>
      <c r="AP10" s="8">
        <f t="shared" si="6"/>
        <v>2869785455.27</v>
      </c>
      <c r="AQ10" s="51">
        <f t="shared" si="7"/>
        <v>0.679060631820801</v>
      </c>
      <c r="AR10" s="52"/>
      <c r="AS10" s="53">
        <v>1333875444.15</v>
      </c>
      <c r="AT10" s="53">
        <v>109179250</v>
      </c>
      <c r="AU10" s="53">
        <v>5022311.65</v>
      </c>
      <c r="AV10" s="52"/>
      <c r="AW10" s="53">
        <v>827373822.15</v>
      </c>
      <c r="AX10" s="52"/>
      <c r="AY10" s="53">
        <v>3987787273.78</v>
      </c>
      <c r="AZ10" s="55"/>
    </row>
    <row r="11" spans="1:52">
      <c r="A11" s="6"/>
      <c r="B11" s="6">
        <v>2014</v>
      </c>
      <c r="C11" s="7">
        <f>600.68*100000000</f>
        <v>60068000000</v>
      </c>
      <c r="D11" s="8">
        <v>1503580000</v>
      </c>
      <c r="E11" s="21">
        <v>11000594566.17</v>
      </c>
      <c r="F11" s="8">
        <v>7487912155.39</v>
      </c>
      <c r="G11" s="8"/>
      <c r="H11" s="8"/>
      <c r="I11" s="8"/>
      <c r="J11" s="8"/>
      <c r="K11" s="8">
        <v>115873800</v>
      </c>
      <c r="L11" s="8"/>
      <c r="M11" s="8"/>
      <c r="N11" s="8"/>
      <c r="O11" s="8">
        <f t="shared" si="9"/>
        <v>115873800</v>
      </c>
      <c r="P11" s="8">
        <v>100000</v>
      </c>
      <c r="Q11" s="8"/>
      <c r="R11" s="8"/>
      <c r="S11" s="8"/>
      <c r="T11" s="26"/>
      <c r="U11" s="26">
        <v>6533067.14</v>
      </c>
      <c r="V11" s="26">
        <v>5117565091.95</v>
      </c>
      <c r="W11" s="26"/>
      <c r="X11" s="26"/>
      <c r="Y11" s="26">
        <f t="shared" si="10"/>
        <v>5124198159.09</v>
      </c>
      <c r="Z11" s="26">
        <f t="shared" si="0"/>
        <v>6633067.14</v>
      </c>
      <c r="AA11" s="26">
        <f t="shared" si="1"/>
        <v>5117565091.95</v>
      </c>
      <c r="AB11" s="26">
        <f t="shared" si="2"/>
        <v>5876396407.08</v>
      </c>
      <c r="AC11" s="26">
        <v>3198675437.04</v>
      </c>
      <c r="AD11" s="26">
        <v>504653050.44</v>
      </c>
      <c r="AE11" s="26">
        <v>148693946.28</v>
      </c>
      <c r="AF11" s="39">
        <f t="shared" si="3"/>
        <v>0.655507587799728</v>
      </c>
      <c r="AG11" s="26">
        <f t="shared" si="8"/>
        <v>2479587796.3</v>
      </c>
      <c r="AH11" s="26">
        <v>2492226431.36</v>
      </c>
      <c r="AI11" s="26">
        <v>-48633317.83</v>
      </c>
      <c r="AJ11" s="8">
        <f t="shared" si="4"/>
        <v>2443593113.53</v>
      </c>
      <c r="AK11" s="8">
        <v>60161420</v>
      </c>
      <c r="AL11" s="8">
        <v>24224765.61</v>
      </c>
      <c r="AM11" s="8">
        <v>10097094.96</v>
      </c>
      <c r="AN11" s="8">
        <v>2723635.47</v>
      </c>
      <c r="AO11" s="8">
        <f t="shared" si="5"/>
        <v>97206916.04</v>
      </c>
      <c r="AP11" s="8">
        <f t="shared" si="6"/>
        <v>2346386197.49</v>
      </c>
      <c r="AQ11" s="51">
        <f t="shared" si="7"/>
        <v>0.946280749159695</v>
      </c>
      <c r="AR11" s="52"/>
      <c r="AS11" s="53">
        <v>2503954982.27</v>
      </c>
      <c r="AT11" s="53">
        <v>115873800</v>
      </c>
      <c r="AU11" s="53">
        <v>9077439.72</v>
      </c>
      <c r="AV11" s="52"/>
      <c r="AW11" s="53">
        <v>495518007.47</v>
      </c>
      <c r="AX11" s="52"/>
      <c r="AY11" s="53">
        <v>3091655525.93</v>
      </c>
      <c r="AZ11" s="55"/>
    </row>
    <row r="12" spans="1:52">
      <c r="A12" s="6"/>
      <c r="B12" s="6">
        <v>2013</v>
      </c>
      <c r="C12" s="9"/>
      <c r="D12" s="8">
        <f>71100*10000</f>
        <v>711000000</v>
      </c>
      <c r="E12" s="21">
        <v>6722123294.35</v>
      </c>
      <c r="F12" s="8">
        <v>3914438998.01</v>
      </c>
      <c r="G12" s="8"/>
      <c r="H12" s="8"/>
      <c r="I12" s="8"/>
      <c r="J12" s="8"/>
      <c r="K12" s="8"/>
      <c r="L12" s="8"/>
      <c r="M12" s="8"/>
      <c r="N12" s="8"/>
      <c r="O12" s="8">
        <f t="shared" si="9"/>
        <v>0</v>
      </c>
      <c r="P12" s="8">
        <v>100000</v>
      </c>
      <c r="Q12" s="8"/>
      <c r="R12" s="8"/>
      <c r="S12" s="8"/>
      <c r="T12" s="26"/>
      <c r="U12" s="26">
        <v>7142377.97</v>
      </c>
      <c r="V12" s="26">
        <v>2264838665.1</v>
      </c>
      <c r="W12" s="26"/>
      <c r="X12" s="26"/>
      <c r="Y12" s="26">
        <f t="shared" si="10"/>
        <v>2272081043.07</v>
      </c>
      <c r="Z12" s="26">
        <f t="shared" si="0"/>
        <v>7242377.97</v>
      </c>
      <c r="AA12" s="26">
        <f t="shared" si="1"/>
        <v>2264838665.1</v>
      </c>
      <c r="AB12" s="26">
        <f t="shared" si="2"/>
        <v>4450042251.28</v>
      </c>
      <c r="AC12" s="26">
        <v>2360669866.84</v>
      </c>
      <c r="AD12" s="26">
        <v>743177863.42</v>
      </c>
      <c r="AE12" s="26">
        <v>81874709.37</v>
      </c>
      <c r="AF12" s="39">
        <f t="shared" si="3"/>
        <v>0.715885885962918</v>
      </c>
      <c r="AG12" s="26">
        <f t="shared" si="8"/>
        <v>1642357954.94</v>
      </c>
      <c r="AH12" s="26">
        <v>1975619151.91</v>
      </c>
      <c r="AI12" s="26">
        <v>-14983980.52</v>
      </c>
      <c r="AJ12" s="8">
        <f t="shared" si="4"/>
        <v>1960635171.39</v>
      </c>
      <c r="AK12" s="8">
        <v>61229926.04</v>
      </c>
      <c r="AL12" s="8">
        <v>16474848.24</v>
      </c>
      <c r="AM12" s="8"/>
      <c r="AN12" s="8">
        <v>1761842.17</v>
      </c>
      <c r="AO12" s="8">
        <f t="shared" si="5"/>
        <v>79466616.45</v>
      </c>
      <c r="AP12" s="8">
        <f t="shared" si="6"/>
        <v>1881168554.94</v>
      </c>
      <c r="AQ12" s="51">
        <f t="shared" si="7"/>
        <v>1.14540715638859</v>
      </c>
      <c r="AR12" s="52"/>
      <c r="AS12" s="53">
        <v>1336719988.55</v>
      </c>
      <c r="AT12" s="52"/>
      <c r="AU12" s="53">
        <v>-4428833.65</v>
      </c>
      <c r="AV12" s="52"/>
      <c r="AW12" s="53">
        <v>327830534.63</v>
      </c>
      <c r="AX12" s="52"/>
      <c r="AY12" s="53">
        <v>1543317308.48</v>
      </c>
      <c r="AZ12" s="55"/>
    </row>
    <row r="13" spans="1:52">
      <c r="A13" s="6"/>
      <c r="B13" s="6">
        <v>2012</v>
      </c>
      <c r="C13" s="9"/>
      <c r="D13" s="8">
        <f>71100*10000</f>
        <v>711000000</v>
      </c>
      <c r="E13" s="21">
        <v>6110204366.74</v>
      </c>
      <c r="F13" s="8">
        <f>36.59*100000000</f>
        <v>3659000000</v>
      </c>
      <c r="G13" s="8"/>
      <c r="H13" s="8"/>
      <c r="I13" s="8"/>
      <c r="J13" s="8"/>
      <c r="K13" s="8"/>
      <c r="L13" s="8"/>
      <c r="M13" s="8"/>
      <c r="N13" s="8"/>
      <c r="O13" s="8">
        <f t="shared" si="9"/>
        <v>0</v>
      </c>
      <c r="P13" s="8"/>
      <c r="Q13" s="8"/>
      <c r="R13" s="8">
        <f>0.001*100000000</f>
        <v>100000</v>
      </c>
      <c r="S13" s="8"/>
      <c r="T13" s="26"/>
      <c r="U13" s="26">
        <f>0.060445*100000000</f>
        <v>6044500</v>
      </c>
      <c r="V13" s="26">
        <f>25.03*100000000</f>
        <v>2503000000</v>
      </c>
      <c r="W13" s="26"/>
      <c r="X13" s="26"/>
      <c r="Y13" s="26">
        <f t="shared" si="10"/>
        <v>2509144500</v>
      </c>
      <c r="Z13" s="26">
        <f t="shared" si="0"/>
        <v>6144500</v>
      </c>
      <c r="AA13" s="26">
        <f t="shared" si="1"/>
        <v>2503000000</v>
      </c>
      <c r="AB13" s="26">
        <f t="shared" si="2"/>
        <v>3601059866.74</v>
      </c>
      <c r="AC13" s="26">
        <v>2087720527.68</v>
      </c>
      <c r="AD13" s="26">
        <v>373939518.64</v>
      </c>
      <c r="AE13" s="26">
        <v>136055410.59</v>
      </c>
      <c r="AF13" s="39">
        <f t="shared" si="3"/>
        <v>0.721375248688016</v>
      </c>
      <c r="AG13" s="26">
        <f t="shared" si="8"/>
        <v>1149855500</v>
      </c>
      <c r="AH13" s="26">
        <f>14.9*100000000</f>
        <v>1490000000</v>
      </c>
      <c r="AI13" s="26">
        <f>-0.120058*100000000</f>
        <v>-12005800</v>
      </c>
      <c r="AJ13" s="8">
        <f t="shared" si="4"/>
        <v>1477994200</v>
      </c>
      <c r="AK13" s="8">
        <v>600599.61</v>
      </c>
      <c r="AL13" s="8">
        <v>5211796.24</v>
      </c>
      <c r="AM13" s="8"/>
      <c r="AN13" s="8">
        <v>755942.96</v>
      </c>
      <c r="AO13" s="8">
        <f t="shared" si="5"/>
        <v>6568338.81</v>
      </c>
      <c r="AP13" s="8">
        <f t="shared" si="6"/>
        <v>1471425861.19</v>
      </c>
      <c r="AQ13" s="51">
        <f t="shared" si="7"/>
        <v>1.27966154111538</v>
      </c>
      <c r="AR13" s="52"/>
      <c r="AS13" s="53">
        <v>1336719988.55</v>
      </c>
      <c r="AT13" s="52"/>
      <c r="AU13" s="52"/>
      <c r="AV13" s="52"/>
      <c r="AW13" s="53">
        <v>221020719.29</v>
      </c>
      <c r="AX13" s="52"/>
      <c r="AY13" s="53">
        <v>1394608332.15</v>
      </c>
      <c r="AZ13" s="55"/>
    </row>
    <row r="14" spans="1:43">
      <c r="A14" s="10" t="s">
        <v>155</v>
      </c>
      <c r="B14" s="1">
        <v>2022</v>
      </c>
      <c r="C14" s="9"/>
      <c r="D14" s="9"/>
      <c r="E14" s="9"/>
      <c r="F14" s="8">
        <v>221.82</v>
      </c>
      <c r="G14" s="8"/>
      <c r="H14" s="8">
        <v>0.122855</v>
      </c>
      <c r="I14" s="8"/>
      <c r="J14" s="8"/>
      <c r="K14" s="8"/>
      <c r="L14" s="8">
        <v>31.47</v>
      </c>
      <c r="M14" s="8"/>
      <c r="N14" s="8"/>
      <c r="O14" s="8">
        <f t="shared" si="9"/>
        <v>31.592855</v>
      </c>
      <c r="P14" s="8"/>
      <c r="Q14" s="8"/>
      <c r="R14" s="8">
        <v>1.82</v>
      </c>
      <c r="S14" s="8"/>
      <c r="T14" s="26">
        <v>0.636525</v>
      </c>
      <c r="U14" s="26"/>
      <c r="V14" s="26">
        <v>57.69</v>
      </c>
      <c r="W14" s="26">
        <v>1</v>
      </c>
      <c r="X14" s="26">
        <v>10.31</v>
      </c>
      <c r="Y14" s="26">
        <f t="shared" si="10"/>
        <v>71.456525</v>
      </c>
      <c r="Z14" s="26"/>
      <c r="AA14" s="26"/>
      <c r="AB14" s="26"/>
      <c r="AC14" s="26"/>
      <c r="AD14" s="26"/>
      <c r="AE14" s="26"/>
      <c r="AF14" s="41"/>
      <c r="AG14" s="26">
        <f t="shared" si="8"/>
        <v>181.95633</v>
      </c>
      <c r="AH14" s="26">
        <v>71.6</v>
      </c>
      <c r="AI14" s="26">
        <v>-0.60585</v>
      </c>
      <c r="AJ14" s="8">
        <f t="shared" si="4"/>
        <v>70.99415</v>
      </c>
      <c r="AK14" s="8"/>
      <c r="AL14" s="8"/>
      <c r="AM14" s="8"/>
      <c r="AN14" s="8"/>
      <c r="AO14" s="8"/>
      <c r="AP14" s="8">
        <f t="shared" si="6"/>
        <v>70.99415</v>
      </c>
      <c r="AQ14" s="51">
        <f t="shared" si="7"/>
        <v>0.390171366942826</v>
      </c>
    </row>
    <row r="15" spans="1:43">
      <c r="A15" s="11"/>
      <c r="B15" s="1">
        <v>2021</v>
      </c>
      <c r="C15" s="9"/>
      <c r="D15" s="9"/>
      <c r="E15" s="9"/>
      <c r="F15" s="8">
        <v>231.5</v>
      </c>
      <c r="G15" s="8"/>
      <c r="H15" s="8">
        <v>0.128303</v>
      </c>
      <c r="I15" s="8"/>
      <c r="J15" s="8"/>
      <c r="K15" s="8">
        <v>0.655159</v>
      </c>
      <c r="L15" s="8">
        <v>23.38</v>
      </c>
      <c r="M15" s="8"/>
      <c r="N15" s="8"/>
      <c r="O15" s="8">
        <f t="shared" si="9"/>
        <v>24.163462</v>
      </c>
      <c r="P15" s="8"/>
      <c r="Q15" s="8"/>
      <c r="R15" s="8">
        <v>3.39</v>
      </c>
      <c r="S15" s="8"/>
      <c r="T15" s="26">
        <v>0.774316</v>
      </c>
      <c r="U15" s="26"/>
      <c r="V15" s="26">
        <v>78.39</v>
      </c>
      <c r="W15" s="26"/>
      <c r="X15" s="26">
        <v>14.64</v>
      </c>
      <c r="Y15" s="26">
        <f t="shared" si="10"/>
        <v>97.194316</v>
      </c>
      <c r="Z15" s="26"/>
      <c r="AA15" s="26"/>
      <c r="AB15" s="26"/>
      <c r="AC15" s="26"/>
      <c r="AD15" s="26"/>
      <c r="AE15" s="26"/>
      <c r="AF15" s="41"/>
      <c r="AG15" s="26">
        <f t="shared" si="8"/>
        <v>158.469146</v>
      </c>
      <c r="AH15" s="26">
        <v>62.16</v>
      </c>
      <c r="AI15" s="26">
        <v>-0.107136</v>
      </c>
      <c r="AJ15" s="8">
        <f t="shared" si="4"/>
        <v>62.052864</v>
      </c>
      <c r="AK15" s="8"/>
      <c r="AL15" s="8"/>
      <c r="AM15" s="8"/>
      <c r="AN15" s="8"/>
      <c r="AO15" s="8"/>
      <c r="AP15" s="8">
        <f t="shared" si="6"/>
        <v>62.052864</v>
      </c>
      <c r="AQ15" s="51">
        <f t="shared" si="7"/>
        <v>0.391576944574435</v>
      </c>
    </row>
    <row r="16" spans="1:43">
      <c r="A16" s="11"/>
      <c r="B16" s="1">
        <v>2020</v>
      </c>
      <c r="C16" s="9"/>
      <c r="D16" s="9"/>
      <c r="E16" s="9"/>
      <c r="F16" s="8">
        <v>241.33</v>
      </c>
      <c r="G16" s="8"/>
      <c r="H16" s="8">
        <v>0.150985</v>
      </c>
      <c r="I16" s="8"/>
      <c r="J16" s="8"/>
      <c r="K16" s="8">
        <v>0.662161</v>
      </c>
      <c r="L16" s="8">
        <v>23.83</v>
      </c>
      <c r="M16" s="8"/>
      <c r="N16" s="8"/>
      <c r="O16" s="8">
        <f t="shared" si="9"/>
        <v>24.643146</v>
      </c>
      <c r="P16" s="8"/>
      <c r="Q16" s="8"/>
      <c r="R16" s="8">
        <v>2.62</v>
      </c>
      <c r="S16" s="8"/>
      <c r="T16" s="26">
        <v>0.677014</v>
      </c>
      <c r="U16" s="26"/>
      <c r="V16" s="26">
        <v>84.86</v>
      </c>
      <c r="W16" s="26">
        <v>3</v>
      </c>
      <c r="X16" s="26">
        <v>57.36</v>
      </c>
      <c r="Y16" s="26">
        <f t="shared" si="10"/>
        <v>148.517014</v>
      </c>
      <c r="Z16" s="26"/>
      <c r="AA16" s="26"/>
      <c r="AB16" s="26"/>
      <c r="AC16" s="26"/>
      <c r="AD16" s="26"/>
      <c r="AE16" s="26"/>
      <c r="AF16" s="41"/>
      <c r="AG16" s="26">
        <f t="shared" si="8"/>
        <v>117.456132</v>
      </c>
      <c r="AH16" s="26">
        <v>79.73</v>
      </c>
      <c r="AI16" s="26">
        <v>0.325132</v>
      </c>
      <c r="AJ16" s="8">
        <f t="shared" si="4"/>
        <v>80.055132</v>
      </c>
      <c r="AK16" s="8"/>
      <c r="AL16" s="8"/>
      <c r="AM16" s="8"/>
      <c r="AN16" s="8"/>
      <c r="AO16" s="8"/>
      <c r="AP16" s="8">
        <f t="shared" si="6"/>
        <v>80.055132</v>
      </c>
      <c r="AQ16" s="51">
        <f t="shared" si="7"/>
        <v>0.681574734642207</v>
      </c>
    </row>
    <row r="17" spans="1:43">
      <c r="A17" s="11"/>
      <c r="B17" s="1">
        <v>2019</v>
      </c>
      <c r="C17" s="9"/>
      <c r="D17" s="9"/>
      <c r="E17" s="9"/>
      <c r="F17" s="8">
        <v>171.15</v>
      </c>
      <c r="G17" s="8"/>
      <c r="H17" s="8">
        <v>0.161886</v>
      </c>
      <c r="I17" s="8"/>
      <c r="J17" s="8"/>
      <c r="K17" s="8"/>
      <c r="L17" s="8">
        <v>32.77</v>
      </c>
      <c r="M17" s="8"/>
      <c r="N17" s="8"/>
      <c r="O17" s="8">
        <f t="shared" si="9"/>
        <v>32.931886</v>
      </c>
      <c r="P17" s="8"/>
      <c r="Q17" s="8"/>
      <c r="R17" s="8">
        <v>1.78</v>
      </c>
      <c r="S17" s="8"/>
      <c r="T17" s="26">
        <v>0.6637</v>
      </c>
      <c r="U17" s="26"/>
      <c r="V17" s="26">
        <v>34.55</v>
      </c>
      <c r="W17" s="26">
        <v>1</v>
      </c>
      <c r="X17" s="26">
        <v>30.53</v>
      </c>
      <c r="Y17" s="26">
        <f t="shared" si="10"/>
        <v>68.5237</v>
      </c>
      <c r="Z17" s="26"/>
      <c r="AA17" s="26"/>
      <c r="AB17" s="26"/>
      <c r="AC17" s="26"/>
      <c r="AD17" s="26"/>
      <c r="AE17" s="26"/>
      <c r="AF17" s="41"/>
      <c r="AG17" s="26">
        <f t="shared" si="8"/>
        <v>135.558186</v>
      </c>
      <c r="AH17" s="26">
        <v>68.38</v>
      </c>
      <c r="AI17" s="26">
        <v>0.974472</v>
      </c>
      <c r="AJ17" s="8">
        <f t="shared" si="4"/>
        <v>69.354472</v>
      </c>
      <c r="AK17" s="8"/>
      <c r="AL17" s="8"/>
      <c r="AM17" s="8"/>
      <c r="AN17" s="8"/>
      <c r="AO17" s="8"/>
      <c r="AP17" s="8">
        <f t="shared" si="6"/>
        <v>69.354472</v>
      </c>
      <c r="AQ17" s="51">
        <f t="shared" si="7"/>
        <v>0.511621422847898</v>
      </c>
    </row>
    <row r="18" spans="1:43">
      <c r="A18" s="11"/>
      <c r="B18" s="1">
        <v>2018</v>
      </c>
      <c r="C18" s="9"/>
      <c r="D18" s="9"/>
      <c r="E18" s="9"/>
      <c r="F18" s="8">
        <v>137.05</v>
      </c>
      <c r="G18" s="8"/>
      <c r="H18" s="8">
        <v>0.173381</v>
      </c>
      <c r="I18" s="8"/>
      <c r="J18" s="8"/>
      <c r="K18" s="8">
        <v>0.6795</v>
      </c>
      <c r="L18" s="8">
        <v>31.31</v>
      </c>
      <c r="M18" s="8"/>
      <c r="N18" s="8"/>
      <c r="O18" s="8">
        <f t="shared" si="9"/>
        <v>32.162881</v>
      </c>
      <c r="P18" s="8">
        <v>0.466866</v>
      </c>
      <c r="Q18" s="8"/>
      <c r="R18" s="8">
        <v>1.78</v>
      </c>
      <c r="S18" s="8"/>
      <c r="T18" s="26"/>
      <c r="U18" s="26"/>
      <c r="V18" s="26">
        <v>28.01</v>
      </c>
      <c r="W18" s="26">
        <v>4.5</v>
      </c>
      <c r="X18" s="26">
        <v>21.71</v>
      </c>
      <c r="Y18" s="26">
        <f t="shared" si="10"/>
        <v>56.466866</v>
      </c>
      <c r="Z18" s="26"/>
      <c r="AA18" s="26"/>
      <c r="AB18" s="26"/>
      <c r="AC18" s="26"/>
      <c r="AD18" s="26"/>
      <c r="AE18" s="26"/>
      <c r="AF18" s="41"/>
      <c r="AG18" s="26">
        <f t="shared" si="8"/>
        <v>112.746015</v>
      </c>
      <c r="AH18" s="26">
        <v>62.8</v>
      </c>
      <c r="AI18" s="26">
        <v>1.63</v>
      </c>
      <c r="AJ18" s="8">
        <f t="shared" si="4"/>
        <v>64.43</v>
      </c>
      <c r="AK18" s="8"/>
      <c r="AL18" s="8"/>
      <c r="AM18" s="8"/>
      <c r="AN18" s="8"/>
      <c r="AO18" s="8"/>
      <c r="AP18" s="8">
        <f t="shared" si="6"/>
        <v>64.43</v>
      </c>
      <c r="AQ18" s="51">
        <f t="shared" si="7"/>
        <v>0.57146143923579</v>
      </c>
    </row>
    <row r="19" spans="1:43">
      <c r="A19" s="11"/>
      <c r="B19" s="1">
        <v>2017</v>
      </c>
      <c r="C19" s="9"/>
      <c r="D19" s="9"/>
      <c r="E19" s="9"/>
      <c r="F19" s="8">
        <v>154.67</v>
      </c>
      <c r="G19" s="8"/>
      <c r="H19" s="8">
        <v>0.051352</v>
      </c>
      <c r="I19" s="8"/>
      <c r="J19" s="8"/>
      <c r="K19" s="8">
        <v>0.683</v>
      </c>
      <c r="L19" s="8">
        <v>19.42</v>
      </c>
      <c r="M19" s="8"/>
      <c r="N19" s="8"/>
      <c r="O19" s="8">
        <f t="shared" si="9"/>
        <v>20.154352</v>
      </c>
      <c r="P19" s="8">
        <v>0.446866</v>
      </c>
      <c r="Q19" s="8"/>
      <c r="R19" s="8">
        <v>1.76</v>
      </c>
      <c r="S19" s="8"/>
      <c r="T19" s="26"/>
      <c r="U19" s="26"/>
      <c r="V19" s="26">
        <v>61.63</v>
      </c>
      <c r="W19" s="26"/>
      <c r="X19" s="26"/>
      <c r="Y19" s="26">
        <f t="shared" si="10"/>
        <v>63.836866</v>
      </c>
      <c r="Z19" s="26"/>
      <c r="AA19" s="26"/>
      <c r="AB19" s="26"/>
      <c r="AC19" s="26"/>
      <c r="AD19" s="26"/>
      <c r="AE19" s="26"/>
      <c r="AF19" s="41"/>
      <c r="AG19" s="26">
        <f t="shared" si="8"/>
        <v>110.987486</v>
      </c>
      <c r="AH19" s="26">
        <v>57.59</v>
      </c>
      <c r="AI19" s="26">
        <v>0.551203</v>
      </c>
      <c r="AJ19" s="8">
        <f t="shared" si="4"/>
        <v>58.141203</v>
      </c>
      <c r="AK19" s="8"/>
      <c r="AL19" s="8"/>
      <c r="AM19" s="8"/>
      <c r="AN19" s="8"/>
      <c r="AO19" s="8"/>
      <c r="AP19" s="8">
        <f t="shared" si="6"/>
        <v>58.141203</v>
      </c>
      <c r="AQ19" s="51">
        <f t="shared" si="7"/>
        <v>0.523853680224814</v>
      </c>
    </row>
    <row r="20" spans="1:43">
      <c r="A20" s="11"/>
      <c r="B20" s="1">
        <v>2016</v>
      </c>
      <c r="C20" s="9"/>
      <c r="D20" s="9"/>
      <c r="E20" s="9"/>
      <c r="F20" s="8">
        <v>150.69</v>
      </c>
      <c r="G20" s="8"/>
      <c r="H20" s="8">
        <v>0.05826</v>
      </c>
      <c r="I20" s="8"/>
      <c r="J20" s="8"/>
      <c r="K20" s="8"/>
      <c r="L20" s="8">
        <v>10.55</v>
      </c>
      <c r="M20" s="8"/>
      <c r="N20" s="8">
        <v>0.041446</v>
      </c>
      <c r="O20" s="8">
        <f t="shared" si="9"/>
        <v>10.649706</v>
      </c>
      <c r="P20" s="8">
        <v>0.340389</v>
      </c>
      <c r="Q20" s="8"/>
      <c r="R20" s="8">
        <v>1.77</v>
      </c>
      <c r="S20" s="8"/>
      <c r="T20" s="26"/>
      <c r="U20" s="26"/>
      <c r="V20" s="26">
        <v>33.04</v>
      </c>
      <c r="W20" s="26"/>
      <c r="X20" s="26"/>
      <c r="Y20" s="26">
        <f t="shared" si="10"/>
        <v>35.150389</v>
      </c>
      <c r="Z20" s="26"/>
      <c r="AA20" s="26"/>
      <c r="AB20" s="26"/>
      <c r="AC20" s="26"/>
      <c r="AD20" s="26"/>
      <c r="AE20" s="26"/>
      <c r="AF20" s="41"/>
      <c r="AG20" s="26">
        <f t="shared" si="8"/>
        <v>126.189317</v>
      </c>
      <c r="AH20" s="26">
        <v>58.62</v>
      </c>
      <c r="AI20" s="26">
        <v>-0.177634</v>
      </c>
      <c r="AJ20" s="8">
        <f t="shared" si="4"/>
        <v>58.442366</v>
      </c>
      <c r="AK20" s="8"/>
      <c r="AL20" s="8"/>
      <c r="AM20" s="8"/>
      <c r="AN20" s="8"/>
      <c r="AO20" s="8"/>
      <c r="AP20" s="8">
        <f t="shared" si="6"/>
        <v>58.442366</v>
      </c>
      <c r="AQ20" s="51">
        <f t="shared" si="7"/>
        <v>0.463132437748276</v>
      </c>
    </row>
    <row r="21" spans="1:43">
      <c r="A21" s="11"/>
      <c r="B21" s="1">
        <v>2015</v>
      </c>
      <c r="C21" s="9"/>
      <c r="D21" s="9"/>
      <c r="E21" s="9"/>
      <c r="F21" s="8">
        <v>176.87</v>
      </c>
      <c r="G21" s="8"/>
      <c r="H21" s="8">
        <v>0.057583</v>
      </c>
      <c r="I21" s="8"/>
      <c r="J21" s="8"/>
      <c r="K21" s="8"/>
      <c r="L21" s="8">
        <v>6</v>
      </c>
      <c r="M21" s="8"/>
      <c r="N21" s="8"/>
      <c r="O21" s="8">
        <f t="shared" si="9"/>
        <v>6.057583</v>
      </c>
      <c r="P21" s="8"/>
      <c r="Q21" s="8"/>
      <c r="R21" s="8">
        <v>1.62</v>
      </c>
      <c r="S21" s="8"/>
      <c r="T21" s="26"/>
      <c r="U21" s="26"/>
      <c r="V21" s="26">
        <v>24.27</v>
      </c>
      <c r="W21" s="26"/>
      <c r="X21" s="26"/>
      <c r="Y21" s="26">
        <f t="shared" si="10"/>
        <v>25.89</v>
      </c>
      <c r="Z21" s="26"/>
      <c r="AA21" s="26"/>
      <c r="AB21" s="26"/>
      <c r="AC21" s="26"/>
      <c r="AD21" s="26"/>
      <c r="AE21" s="26"/>
      <c r="AF21" s="41"/>
      <c r="AG21" s="26">
        <f t="shared" si="8"/>
        <v>157.037583</v>
      </c>
      <c r="AH21" s="26">
        <v>56.75</v>
      </c>
      <c r="AI21" s="26">
        <v>-0.037862</v>
      </c>
      <c r="AJ21" s="8">
        <f t="shared" si="4"/>
        <v>56.712138</v>
      </c>
      <c r="AK21" s="8"/>
      <c r="AL21" s="8"/>
      <c r="AM21" s="8"/>
      <c r="AN21" s="8"/>
      <c r="AO21" s="8"/>
      <c r="AP21" s="8">
        <f t="shared" si="6"/>
        <v>56.712138</v>
      </c>
      <c r="AQ21" s="51">
        <f t="shared" si="7"/>
        <v>0.361137359074101</v>
      </c>
    </row>
    <row r="22" spans="1:43">
      <c r="A22" s="11"/>
      <c r="B22" s="1">
        <v>2014</v>
      </c>
      <c r="C22" s="9"/>
      <c r="D22" s="9"/>
      <c r="E22" s="9"/>
      <c r="F22" s="8">
        <v>163.61</v>
      </c>
      <c r="G22" s="8"/>
      <c r="H22" s="8">
        <v>0.0557293</v>
      </c>
      <c r="I22" s="8"/>
      <c r="J22" s="8"/>
      <c r="K22" s="8"/>
      <c r="L22" s="8">
        <v>2.99</v>
      </c>
      <c r="M22" s="8"/>
      <c r="N22" s="8"/>
      <c r="O22" s="8">
        <f t="shared" si="9"/>
        <v>3.0457293</v>
      </c>
      <c r="P22" s="8"/>
      <c r="Q22" s="8"/>
      <c r="R22" s="8">
        <v>1.62</v>
      </c>
      <c r="S22" s="8"/>
      <c r="T22" s="26"/>
      <c r="U22" s="26"/>
      <c r="V22" s="26">
        <v>29.29</v>
      </c>
      <c r="W22" s="26"/>
      <c r="X22" s="26"/>
      <c r="Y22" s="26">
        <f t="shared" si="10"/>
        <v>30.91</v>
      </c>
      <c r="Z22" s="26"/>
      <c r="AA22" s="26"/>
      <c r="AB22" s="26"/>
      <c r="AC22" s="26"/>
      <c r="AD22" s="26"/>
      <c r="AE22" s="26"/>
      <c r="AF22" s="41"/>
      <c r="AG22" s="26">
        <f t="shared" si="8"/>
        <v>135.7457293</v>
      </c>
      <c r="AH22" s="26">
        <v>53.73</v>
      </c>
      <c r="AI22" s="26">
        <v>-0.394685</v>
      </c>
      <c r="AJ22" s="8">
        <f t="shared" si="4"/>
        <v>53.335315</v>
      </c>
      <c r="AK22" s="8"/>
      <c r="AL22" s="8"/>
      <c r="AM22" s="8"/>
      <c r="AN22" s="8"/>
      <c r="AO22" s="8"/>
      <c r="AP22" s="8">
        <f t="shared" si="6"/>
        <v>53.335315</v>
      </c>
      <c r="AQ22" s="51">
        <f t="shared" si="7"/>
        <v>0.392906025663085</v>
      </c>
    </row>
    <row r="23" spans="1:43">
      <c r="A23" s="11"/>
      <c r="B23" s="1">
        <v>2013</v>
      </c>
      <c r="C23" s="9"/>
      <c r="D23" s="9"/>
      <c r="E23" s="9"/>
      <c r="F23" s="8">
        <v>150.03</v>
      </c>
      <c r="G23" s="8"/>
      <c r="H23" s="8">
        <v>0.060091</v>
      </c>
      <c r="I23" s="8"/>
      <c r="J23" s="8"/>
      <c r="K23" s="8"/>
      <c r="L23" s="8">
        <v>1.89</v>
      </c>
      <c r="M23" s="8"/>
      <c r="N23" s="8"/>
      <c r="O23" s="8">
        <f t="shared" si="9"/>
        <v>1.950091</v>
      </c>
      <c r="P23" s="8"/>
      <c r="Q23" s="8"/>
      <c r="R23" s="8">
        <v>1.69</v>
      </c>
      <c r="S23" s="8"/>
      <c r="T23" s="26"/>
      <c r="U23" s="26"/>
      <c r="V23" s="26">
        <v>38.46</v>
      </c>
      <c r="W23" s="26"/>
      <c r="X23" s="26"/>
      <c r="Y23" s="26">
        <f t="shared" si="10"/>
        <v>40.15</v>
      </c>
      <c r="Z23" s="26"/>
      <c r="AA23" s="26"/>
      <c r="AB23" s="26"/>
      <c r="AC23" s="26"/>
      <c r="AD23" s="26"/>
      <c r="AE23" s="26"/>
      <c r="AF23" s="41"/>
      <c r="AG23" s="26">
        <f t="shared" si="8"/>
        <v>111.830091</v>
      </c>
      <c r="AH23" s="26">
        <v>51.48</v>
      </c>
      <c r="AI23" s="26">
        <v>-0.439045</v>
      </c>
      <c r="AJ23" s="8">
        <f t="shared" si="4"/>
        <v>51.040955</v>
      </c>
      <c r="AK23" s="8"/>
      <c r="AL23" s="8"/>
      <c r="AM23" s="8"/>
      <c r="AN23" s="8"/>
      <c r="AO23" s="8"/>
      <c r="AP23" s="8">
        <f t="shared" si="6"/>
        <v>51.040955</v>
      </c>
      <c r="AQ23" s="51">
        <f t="shared" si="7"/>
        <v>0.456415214756465</v>
      </c>
    </row>
    <row r="24" spans="1:43">
      <c r="A24" s="12"/>
      <c r="B24" s="1">
        <v>2012</v>
      </c>
      <c r="C24" s="9"/>
      <c r="D24" s="9"/>
      <c r="E24" s="9"/>
      <c r="F24" s="8">
        <v>125.54</v>
      </c>
      <c r="G24" s="8"/>
      <c r="H24" s="8">
        <v>1.78</v>
      </c>
      <c r="I24" s="8"/>
      <c r="J24" s="8"/>
      <c r="K24" s="8"/>
      <c r="L24" s="8">
        <v>2</v>
      </c>
      <c r="M24" s="8"/>
      <c r="N24" s="8"/>
      <c r="O24" s="8">
        <f t="shared" si="9"/>
        <v>3.78</v>
      </c>
      <c r="P24" s="8"/>
      <c r="Q24" s="8"/>
      <c r="R24" s="8">
        <v>1.69</v>
      </c>
      <c r="S24" s="8"/>
      <c r="T24" s="26"/>
      <c r="U24" s="26">
        <v>0.010113</v>
      </c>
      <c r="V24" s="26">
        <v>40.75</v>
      </c>
      <c r="W24" s="26"/>
      <c r="X24" s="26"/>
      <c r="Y24" s="26">
        <f t="shared" si="10"/>
        <v>42.450113</v>
      </c>
      <c r="Z24" s="26"/>
      <c r="AA24" s="26"/>
      <c r="AB24" s="26"/>
      <c r="AC24" s="26"/>
      <c r="AD24" s="26"/>
      <c r="AE24" s="26"/>
      <c r="AF24" s="41"/>
      <c r="AG24" s="26">
        <f t="shared" si="8"/>
        <v>86.869887</v>
      </c>
      <c r="AH24" s="26">
        <v>39.11</v>
      </c>
      <c r="AI24" s="26">
        <v>0.103632</v>
      </c>
      <c r="AJ24" s="8">
        <f t="shared" si="4"/>
        <v>39.213632</v>
      </c>
      <c r="AK24" s="8"/>
      <c r="AL24" s="8"/>
      <c r="AM24" s="8"/>
      <c r="AN24" s="8"/>
      <c r="AO24" s="8"/>
      <c r="AP24" s="8">
        <f t="shared" si="6"/>
        <v>39.213632</v>
      </c>
      <c r="AQ24" s="51">
        <f t="shared" si="7"/>
        <v>0.451406504074306</v>
      </c>
    </row>
    <row r="25" spans="1:43">
      <c r="A25" s="1" t="s">
        <v>156</v>
      </c>
      <c r="B25" s="1">
        <v>2022</v>
      </c>
      <c r="C25" s="9"/>
      <c r="D25" s="9"/>
      <c r="E25" s="9"/>
      <c r="F25" s="8">
        <v>70.73</v>
      </c>
      <c r="G25" s="8"/>
      <c r="H25" s="8"/>
      <c r="I25" s="8"/>
      <c r="J25" s="8"/>
      <c r="K25" s="8"/>
      <c r="L25" s="8"/>
      <c r="M25" s="8"/>
      <c r="N25" s="8"/>
      <c r="O25" s="8">
        <f t="shared" si="9"/>
        <v>0</v>
      </c>
      <c r="P25" s="8"/>
      <c r="Q25" s="8"/>
      <c r="R25" s="8">
        <v>0.621961</v>
      </c>
      <c r="S25" s="8"/>
      <c r="T25" s="26"/>
      <c r="U25" s="26"/>
      <c r="V25" s="26">
        <v>35.63</v>
      </c>
      <c r="W25" s="26"/>
      <c r="X25" s="26">
        <v>4.31</v>
      </c>
      <c r="Y25" s="26">
        <f t="shared" si="10"/>
        <v>40.561961</v>
      </c>
      <c r="Z25" s="26"/>
      <c r="AA25" s="26"/>
      <c r="AB25" s="26"/>
      <c r="AC25" s="26"/>
      <c r="AD25" s="26"/>
      <c r="AE25" s="26"/>
      <c r="AF25" s="41"/>
      <c r="AG25" s="26">
        <f t="shared" si="8"/>
        <v>30.168039</v>
      </c>
      <c r="AH25" s="26">
        <v>25.45</v>
      </c>
      <c r="AI25" s="26">
        <v>-0.974233</v>
      </c>
      <c r="AJ25" s="8">
        <f t="shared" si="4"/>
        <v>24.475767</v>
      </c>
      <c r="AK25" s="8"/>
      <c r="AL25" s="8"/>
      <c r="AM25" s="8"/>
      <c r="AN25" s="8"/>
      <c r="AO25" s="8"/>
      <c r="AP25" s="8">
        <f t="shared" si="6"/>
        <v>24.475767</v>
      </c>
      <c r="AQ25" s="51">
        <f t="shared" ref="AQ25:AQ46" si="11">AJ25/AG25</f>
        <v>0.811314484179764</v>
      </c>
    </row>
    <row r="26" spans="1:43">
      <c r="A26" s="1"/>
      <c r="B26" s="1">
        <v>2021</v>
      </c>
      <c r="C26" s="9"/>
      <c r="D26" s="9"/>
      <c r="E26" s="9"/>
      <c r="F26" s="8">
        <v>76.58</v>
      </c>
      <c r="G26" s="8"/>
      <c r="H26" s="8"/>
      <c r="I26" s="8"/>
      <c r="J26" s="8"/>
      <c r="K26" s="8"/>
      <c r="L26" s="8"/>
      <c r="M26" s="8"/>
      <c r="N26" s="8"/>
      <c r="O26" s="8">
        <f t="shared" si="9"/>
        <v>0</v>
      </c>
      <c r="P26" s="8"/>
      <c r="Q26" s="8"/>
      <c r="R26" s="8">
        <v>0.656006</v>
      </c>
      <c r="S26" s="8"/>
      <c r="T26" s="26"/>
      <c r="U26" s="26"/>
      <c r="V26" s="26">
        <v>26.54</v>
      </c>
      <c r="W26" s="26"/>
      <c r="X26" s="26">
        <v>1.8</v>
      </c>
      <c r="Y26" s="26">
        <f t="shared" si="10"/>
        <v>28.996006</v>
      </c>
      <c r="Z26" s="26"/>
      <c r="AA26" s="26"/>
      <c r="AB26" s="26"/>
      <c r="AC26" s="26"/>
      <c r="AD26" s="26"/>
      <c r="AE26" s="26"/>
      <c r="AF26" s="41"/>
      <c r="AG26" s="26">
        <f t="shared" si="8"/>
        <v>47.583994</v>
      </c>
      <c r="AH26" s="26">
        <v>23.86</v>
      </c>
      <c r="AI26" s="26">
        <v>-0.064823</v>
      </c>
      <c r="AJ26" s="8">
        <f t="shared" si="4"/>
        <v>23.795177</v>
      </c>
      <c r="AK26" s="8"/>
      <c r="AL26" s="8"/>
      <c r="AM26" s="8"/>
      <c r="AN26" s="8"/>
      <c r="AO26" s="8"/>
      <c r="AP26" s="8">
        <f t="shared" si="6"/>
        <v>23.795177</v>
      </c>
      <c r="AQ26" s="51">
        <f t="shared" si="11"/>
        <v>0.500066829194708</v>
      </c>
    </row>
    <row r="27" spans="1:43">
      <c r="A27" s="1"/>
      <c r="B27" s="1">
        <v>2020</v>
      </c>
      <c r="C27" s="9"/>
      <c r="D27" s="9"/>
      <c r="E27" s="9"/>
      <c r="F27" s="8">
        <v>72.37</v>
      </c>
      <c r="G27" s="8"/>
      <c r="H27" s="8"/>
      <c r="I27" s="8"/>
      <c r="J27" s="8"/>
      <c r="K27" s="8"/>
      <c r="L27" s="8"/>
      <c r="M27" s="8"/>
      <c r="N27" s="8"/>
      <c r="O27" s="8">
        <f t="shared" si="9"/>
        <v>0</v>
      </c>
      <c r="P27" s="8"/>
      <c r="Q27" s="8"/>
      <c r="R27" s="8">
        <v>0.644483</v>
      </c>
      <c r="S27" s="8"/>
      <c r="T27" s="26"/>
      <c r="U27" s="26"/>
      <c r="V27" s="26">
        <v>17.2</v>
      </c>
      <c r="W27" s="26"/>
      <c r="X27" s="26">
        <v>1.16</v>
      </c>
      <c r="Y27" s="26">
        <f t="shared" si="10"/>
        <v>19.004483</v>
      </c>
      <c r="Z27" s="26"/>
      <c r="AA27" s="26"/>
      <c r="AB27" s="26"/>
      <c r="AC27" s="26"/>
      <c r="AD27" s="26"/>
      <c r="AE27" s="26"/>
      <c r="AF27" s="41"/>
      <c r="AG27" s="26">
        <f t="shared" si="8"/>
        <v>53.365517</v>
      </c>
      <c r="AH27" s="26">
        <v>22</v>
      </c>
      <c r="AI27" s="26">
        <v>-0.090278</v>
      </c>
      <c r="AJ27" s="8">
        <f t="shared" si="4"/>
        <v>21.909722</v>
      </c>
      <c r="AK27" s="8"/>
      <c r="AL27" s="8"/>
      <c r="AM27" s="8"/>
      <c r="AN27" s="8"/>
      <c r="AO27" s="8"/>
      <c r="AP27" s="8">
        <f t="shared" si="6"/>
        <v>21.909722</v>
      </c>
      <c r="AQ27" s="51">
        <f t="shared" si="11"/>
        <v>0.410559537912843</v>
      </c>
    </row>
    <row r="28" spans="1:43">
      <c r="A28" s="1"/>
      <c r="B28" s="1">
        <v>2019</v>
      </c>
      <c r="C28" s="9"/>
      <c r="D28" s="9"/>
      <c r="E28" s="9"/>
      <c r="F28" s="8">
        <v>68.45</v>
      </c>
      <c r="G28" s="8"/>
      <c r="H28" s="8"/>
      <c r="I28" s="8"/>
      <c r="J28" s="8"/>
      <c r="K28" s="8"/>
      <c r="L28" s="8"/>
      <c r="M28" s="8"/>
      <c r="N28" s="8"/>
      <c r="O28" s="8">
        <f t="shared" si="9"/>
        <v>0</v>
      </c>
      <c r="P28" s="8"/>
      <c r="Q28" s="8"/>
      <c r="R28" s="8">
        <v>0.619177</v>
      </c>
      <c r="S28" s="8"/>
      <c r="T28" s="26"/>
      <c r="U28" s="26"/>
      <c r="V28" s="26">
        <v>13.08</v>
      </c>
      <c r="W28" s="26"/>
      <c r="X28" s="26">
        <v>12.65</v>
      </c>
      <c r="Y28" s="26">
        <f t="shared" si="10"/>
        <v>26.349177</v>
      </c>
      <c r="Z28" s="26"/>
      <c r="AA28" s="26"/>
      <c r="AB28" s="26"/>
      <c r="AC28" s="26"/>
      <c r="AD28" s="26"/>
      <c r="AE28" s="26"/>
      <c r="AF28" s="41"/>
      <c r="AG28" s="26">
        <f t="shared" si="8"/>
        <v>42.100823</v>
      </c>
      <c r="AH28" s="26">
        <v>22.73</v>
      </c>
      <c r="AI28" s="26">
        <v>-0.433257</v>
      </c>
      <c r="AJ28" s="8">
        <f t="shared" si="4"/>
        <v>22.296743</v>
      </c>
      <c r="AK28" s="8"/>
      <c r="AL28" s="8"/>
      <c r="AM28" s="8"/>
      <c r="AN28" s="8"/>
      <c r="AO28" s="8"/>
      <c r="AP28" s="8">
        <f t="shared" si="6"/>
        <v>22.296743</v>
      </c>
      <c r="AQ28" s="51">
        <f t="shared" si="11"/>
        <v>0.529603494924553</v>
      </c>
    </row>
    <row r="29" spans="1:43">
      <c r="A29" s="1"/>
      <c r="B29" s="1">
        <v>2018</v>
      </c>
      <c r="C29" s="9"/>
      <c r="D29" s="9"/>
      <c r="E29" s="9"/>
      <c r="F29" s="8">
        <v>59.07</v>
      </c>
      <c r="G29" s="8"/>
      <c r="H29" s="8"/>
      <c r="I29" s="8"/>
      <c r="J29" s="8"/>
      <c r="K29" s="8"/>
      <c r="L29" s="8"/>
      <c r="M29" s="8"/>
      <c r="N29" s="8"/>
      <c r="O29" s="8">
        <f t="shared" si="9"/>
        <v>0</v>
      </c>
      <c r="P29" s="8"/>
      <c r="Q29" s="8"/>
      <c r="R29" s="8">
        <v>0.606464</v>
      </c>
      <c r="S29" s="8"/>
      <c r="T29" s="26"/>
      <c r="U29" s="26"/>
      <c r="V29" s="26">
        <v>14.17</v>
      </c>
      <c r="W29" s="26"/>
      <c r="X29" s="26">
        <v>4.35</v>
      </c>
      <c r="Y29" s="26">
        <f t="shared" si="10"/>
        <v>19.126464</v>
      </c>
      <c r="Z29" s="26"/>
      <c r="AA29" s="26"/>
      <c r="AB29" s="26"/>
      <c r="AC29" s="26"/>
      <c r="AD29" s="26"/>
      <c r="AE29" s="26"/>
      <c r="AF29" s="41"/>
      <c r="AG29" s="26">
        <f t="shared" si="8"/>
        <v>39.943536</v>
      </c>
      <c r="AH29" s="26">
        <v>19.82</v>
      </c>
      <c r="AI29" s="26">
        <v>-0.055448</v>
      </c>
      <c r="AJ29" s="8">
        <f t="shared" si="4"/>
        <v>19.764552</v>
      </c>
      <c r="AK29" s="8"/>
      <c r="AL29" s="8"/>
      <c r="AM29" s="8"/>
      <c r="AN29" s="8"/>
      <c r="AO29" s="8"/>
      <c r="AP29" s="8">
        <f t="shared" si="6"/>
        <v>19.764552</v>
      </c>
      <c r="AQ29" s="51">
        <f t="shared" si="11"/>
        <v>0.494812277010228</v>
      </c>
    </row>
    <row r="30" spans="1:43">
      <c r="A30" s="1"/>
      <c r="B30" s="1">
        <v>2017</v>
      </c>
      <c r="C30" s="9"/>
      <c r="D30" s="9"/>
      <c r="E30" s="9"/>
      <c r="F30" s="8">
        <v>54.08</v>
      </c>
      <c r="G30" s="8"/>
      <c r="H30" s="8"/>
      <c r="I30" s="8"/>
      <c r="J30" s="8"/>
      <c r="K30" s="8"/>
      <c r="L30" s="8"/>
      <c r="M30" s="8"/>
      <c r="N30" s="8"/>
      <c r="O30" s="8">
        <f t="shared" si="9"/>
        <v>0</v>
      </c>
      <c r="P30" s="8"/>
      <c r="Q30" s="8"/>
      <c r="R30" s="8">
        <v>0.578281</v>
      </c>
      <c r="S30" s="8"/>
      <c r="T30" s="26"/>
      <c r="U30" s="26"/>
      <c r="V30" s="26">
        <v>8.7</v>
      </c>
      <c r="W30" s="26"/>
      <c r="X30" s="26">
        <v>13.06</v>
      </c>
      <c r="Y30" s="26">
        <f t="shared" si="10"/>
        <v>22.338281</v>
      </c>
      <c r="Z30" s="26"/>
      <c r="AA30" s="26"/>
      <c r="AB30" s="26"/>
      <c r="AC30" s="26"/>
      <c r="AD30" s="26"/>
      <c r="AE30" s="26"/>
      <c r="AF30" s="41"/>
      <c r="AG30" s="26">
        <f t="shared" si="8"/>
        <v>31.741719</v>
      </c>
      <c r="AH30" s="26">
        <v>15.89</v>
      </c>
      <c r="AI30" s="26">
        <v>-0.014025</v>
      </c>
      <c r="AJ30" s="8">
        <f t="shared" si="4"/>
        <v>15.875975</v>
      </c>
      <c r="AK30" s="8"/>
      <c r="AL30" s="8"/>
      <c r="AM30" s="8"/>
      <c r="AN30" s="8"/>
      <c r="AO30" s="8"/>
      <c r="AP30" s="8">
        <f t="shared" si="6"/>
        <v>15.875975</v>
      </c>
      <c r="AQ30" s="51">
        <f t="shared" si="11"/>
        <v>0.500161160143847</v>
      </c>
    </row>
    <row r="31" spans="1:43">
      <c r="A31" s="1"/>
      <c r="B31" s="1">
        <v>2016</v>
      </c>
      <c r="C31" s="9"/>
      <c r="D31" s="9"/>
      <c r="E31" s="9"/>
      <c r="F31" s="8">
        <v>45.62</v>
      </c>
      <c r="G31" s="8"/>
      <c r="H31" s="8"/>
      <c r="I31" s="8"/>
      <c r="J31" s="8"/>
      <c r="K31" s="8"/>
      <c r="L31" s="8"/>
      <c r="M31" s="8"/>
      <c r="N31" s="8"/>
      <c r="O31" s="8">
        <f t="shared" si="9"/>
        <v>0</v>
      </c>
      <c r="P31" s="8"/>
      <c r="Q31" s="8"/>
      <c r="R31" s="8">
        <v>0.538779</v>
      </c>
      <c r="S31" s="8"/>
      <c r="T31" s="26"/>
      <c r="U31" s="26"/>
      <c r="V31" s="26">
        <v>7.54</v>
      </c>
      <c r="W31" s="26"/>
      <c r="X31" s="26">
        <v>8.57</v>
      </c>
      <c r="Y31" s="26">
        <f t="shared" si="10"/>
        <v>16.648779</v>
      </c>
      <c r="Z31" s="26"/>
      <c r="AA31" s="26"/>
      <c r="AB31" s="26"/>
      <c r="AC31" s="26"/>
      <c r="AD31" s="26"/>
      <c r="AE31" s="26"/>
      <c r="AF31" s="41"/>
      <c r="AG31" s="26">
        <f t="shared" si="8"/>
        <v>28.971221</v>
      </c>
      <c r="AH31" s="26">
        <v>13.67</v>
      </c>
      <c r="AI31" s="26">
        <v>-0.214382</v>
      </c>
      <c r="AJ31" s="8">
        <f t="shared" si="4"/>
        <v>13.455618</v>
      </c>
      <c r="AK31" s="8"/>
      <c r="AL31" s="8"/>
      <c r="AM31" s="8"/>
      <c r="AN31" s="8"/>
      <c r="AO31" s="8"/>
      <c r="AP31" s="8">
        <f t="shared" si="6"/>
        <v>13.455618</v>
      </c>
      <c r="AQ31" s="51">
        <f t="shared" si="11"/>
        <v>0.46444773591006</v>
      </c>
    </row>
    <row r="32" spans="1:43">
      <c r="A32" s="1"/>
      <c r="B32" s="1">
        <v>2015</v>
      </c>
      <c r="C32" s="9"/>
      <c r="D32" s="9"/>
      <c r="E32" s="9"/>
      <c r="F32" s="8">
        <v>50.1</v>
      </c>
      <c r="G32" s="8"/>
      <c r="H32" s="8"/>
      <c r="I32" s="8"/>
      <c r="J32" s="8"/>
      <c r="K32" s="8"/>
      <c r="L32" s="8"/>
      <c r="M32" s="8"/>
      <c r="N32" s="8"/>
      <c r="O32" s="8">
        <f t="shared" si="9"/>
        <v>0</v>
      </c>
      <c r="P32" s="8"/>
      <c r="Q32" s="8"/>
      <c r="R32" s="8">
        <v>0.513288</v>
      </c>
      <c r="S32" s="8"/>
      <c r="T32" s="26"/>
      <c r="U32" s="26"/>
      <c r="V32" s="26">
        <v>10.41</v>
      </c>
      <c r="W32" s="26"/>
      <c r="X32" s="26">
        <v>4.02</v>
      </c>
      <c r="Y32" s="26">
        <f t="shared" si="10"/>
        <v>14.943288</v>
      </c>
      <c r="Z32" s="26"/>
      <c r="AA32" s="26"/>
      <c r="AB32" s="26"/>
      <c r="AC32" s="26"/>
      <c r="AD32" s="26"/>
      <c r="AE32" s="26"/>
      <c r="AF32" s="41"/>
      <c r="AG32" s="26">
        <f t="shared" si="8"/>
        <v>35.156712</v>
      </c>
      <c r="AH32" s="26">
        <v>11.74</v>
      </c>
      <c r="AI32" s="26">
        <v>-0.230512</v>
      </c>
      <c r="AJ32" s="8">
        <f t="shared" si="4"/>
        <v>11.509488</v>
      </c>
      <c r="AK32" s="8"/>
      <c r="AL32" s="8"/>
      <c r="AM32" s="8"/>
      <c r="AN32" s="8"/>
      <c r="AO32" s="8"/>
      <c r="AP32" s="8">
        <f t="shared" si="6"/>
        <v>11.509488</v>
      </c>
      <c r="AQ32" s="51">
        <f t="shared" si="11"/>
        <v>0.327376689833793</v>
      </c>
    </row>
    <row r="33" spans="1:43">
      <c r="A33" s="1"/>
      <c r="B33" s="1">
        <v>2014</v>
      </c>
      <c r="C33" s="9"/>
      <c r="D33" s="9"/>
      <c r="E33" s="9"/>
      <c r="F33" s="8">
        <v>42.79</v>
      </c>
      <c r="G33" s="8"/>
      <c r="H33" s="8"/>
      <c r="I33" s="8"/>
      <c r="J33" s="8"/>
      <c r="K33" s="8"/>
      <c r="L33" s="8"/>
      <c r="M33" s="8"/>
      <c r="N33" s="8"/>
      <c r="O33" s="8">
        <f t="shared" si="9"/>
        <v>0</v>
      </c>
      <c r="P33" s="8"/>
      <c r="Q33" s="8"/>
      <c r="R33" s="8">
        <v>0.484808</v>
      </c>
      <c r="S33" s="8"/>
      <c r="T33" s="26"/>
      <c r="U33" s="26"/>
      <c r="V33" s="26">
        <v>6.21</v>
      </c>
      <c r="W33" s="26"/>
      <c r="X33" s="26">
        <v>9.14</v>
      </c>
      <c r="Y33" s="26">
        <f t="shared" si="10"/>
        <v>15.834808</v>
      </c>
      <c r="Z33" s="26"/>
      <c r="AA33" s="26"/>
      <c r="AB33" s="26"/>
      <c r="AC33" s="26"/>
      <c r="AD33" s="26"/>
      <c r="AE33" s="26"/>
      <c r="AF33" s="41"/>
      <c r="AG33" s="26">
        <f t="shared" si="8"/>
        <v>26.955192</v>
      </c>
      <c r="AH33" s="26">
        <v>9.08</v>
      </c>
      <c r="AI33" s="26">
        <v>-0.192806</v>
      </c>
      <c r="AJ33" s="8">
        <f t="shared" si="4"/>
        <v>8.887194</v>
      </c>
      <c r="AK33" s="8"/>
      <c r="AL33" s="8"/>
      <c r="AM33" s="8"/>
      <c r="AN33" s="8"/>
      <c r="AO33" s="8"/>
      <c r="AP33" s="8">
        <f t="shared" si="6"/>
        <v>8.887194</v>
      </c>
      <c r="AQ33" s="51">
        <f t="shared" si="11"/>
        <v>0.329702492937168</v>
      </c>
    </row>
    <row r="34" spans="1:43">
      <c r="A34" s="1"/>
      <c r="B34" s="1">
        <v>2013</v>
      </c>
      <c r="C34" s="9"/>
      <c r="D34" s="9"/>
      <c r="E34" s="9"/>
      <c r="F34" s="8">
        <v>37.33</v>
      </c>
      <c r="G34" s="8"/>
      <c r="H34" s="8"/>
      <c r="I34" s="8"/>
      <c r="J34" s="8"/>
      <c r="K34" s="8"/>
      <c r="L34" s="8"/>
      <c r="M34" s="8"/>
      <c r="N34" s="8">
        <v>0.000128</v>
      </c>
      <c r="O34" s="8">
        <f t="shared" si="9"/>
        <v>0.000128</v>
      </c>
      <c r="P34" s="8"/>
      <c r="Q34" s="8"/>
      <c r="R34" s="8">
        <v>0.444952</v>
      </c>
      <c r="S34" s="8"/>
      <c r="T34" s="26"/>
      <c r="U34" s="26"/>
      <c r="V34" s="26">
        <v>14.05</v>
      </c>
      <c r="W34" s="26"/>
      <c r="X34" s="26"/>
      <c r="Y34" s="26">
        <f t="shared" si="10"/>
        <v>14.494952</v>
      </c>
      <c r="Z34" s="26"/>
      <c r="AA34" s="26"/>
      <c r="AB34" s="26"/>
      <c r="AC34" s="26"/>
      <c r="AD34" s="26"/>
      <c r="AE34" s="26"/>
      <c r="AF34" s="41"/>
      <c r="AG34" s="26">
        <f t="shared" si="8"/>
        <v>22.835176</v>
      </c>
      <c r="AH34" s="26">
        <v>7.49</v>
      </c>
      <c r="AI34" s="26">
        <v>-0.117882</v>
      </c>
      <c r="AJ34" s="8">
        <f t="shared" si="4"/>
        <v>7.372118</v>
      </c>
      <c r="AK34" s="8"/>
      <c r="AL34" s="8"/>
      <c r="AM34" s="8"/>
      <c r="AN34" s="8"/>
      <c r="AO34" s="8"/>
      <c r="AP34" s="8">
        <f t="shared" si="6"/>
        <v>7.372118</v>
      </c>
      <c r="AQ34" s="51">
        <f t="shared" si="11"/>
        <v>0.322840428293612</v>
      </c>
    </row>
    <row r="35" spans="1:43">
      <c r="A35" s="1"/>
      <c r="B35" s="1">
        <v>2012</v>
      </c>
      <c r="C35" s="9"/>
      <c r="D35" s="9"/>
      <c r="E35" s="9"/>
      <c r="F35" s="8">
        <v>33.95</v>
      </c>
      <c r="G35" s="8"/>
      <c r="H35" s="8"/>
      <c r="I35" s="8"/>
      <c r="J35" s="8"/>
      <c r="K35" s="8"/>
      <c r="L35" s="8"/>
      <c r="M35" s="8">
        <v>0.00146</v>
      </c>
      <c r="N35" s="8"/>
      <c r="O35" s="8">
        <f t="shared" si="9"/>
        <v>0.00146</v>
      </c>
      <c r="P35" s="8"/>
      <c r="Q35" s="8"/>
      <c r="R35" s="8">
        <v>0.413655</v>
      </c>
      <c r="S35" s="8"/>
      <c r="T35" s="26"/>
      <c r="U35" s="26"/>
      <c r="V35" s="26">
        <v>11.15</v>
      </c>
      <c r="W35" s="26"/>
      <c r="X35" s="26"/>
      <c r="Y35" s="26">
        <f t="shared" si="10"/>
        <v>11.563655</v>
      </c>
      <c r="Z35" s="26"/>
      <c r="AA35" s="26"/>
      <c r="AB35" s="26"/>
      <c r="AC35" s="26"/>
      <c r="AD35" s="26"/>
      <c r="AE35" s="26"/>
      <c r="AF35" s="41"/>
      <c r="AG35" s="26">
        <f t="shared" si="8"/>
        <v>22.387805</v>
      </c>
      <c r="AH35" s="26">
        <v>5.93</v>
      </c>
      <c r="AI35" s="26">
        <v>-0.035843</v>
      </c>
      <c r="AJ35" s="8">
        <f t="shared" si="4"/>
        <v>5.894157</v>
      </c>
      <c r="AK35" s="8"/>
      <c r="AL35" s="8"/>
      <c r="AM35" s="8"/>
      <c r="AN35" s="8"/>
      <c r="AO35" s="8"/>
      <c r="AP35" s="8">
        <f t="shared" si="6"/>
        <v>5.894157</v>
      </c>
      <c r="AQ35" s="51">
        <f t="shared" si="11"/>
        <v>0.263275341195798</v>
      </c>
    </row>
    <row r="36" spans="1:43">
      <c r="A36" s="6" t="s">
        <v>157</v>
      </c>
      <c r="B36" s="6">
        <v>2022</v>
      </c>
      <c r="C36" s="9"/>
      <c r="D36" s="9"/>
      <c r="E36" s="9"/>
      <c r="F36" s="8">
        <v>19.67</v>
      </c>
      <c r="G36" s="8"/>
      <c r="H36" s="8"/>
      <c r="I36" s="8"/>
      <c r="J36" s="8"/>
      <c r="K36" s="8"/>
      <c r="L36" s="8"/>
      <c r="M36" s="8"/>
      <c r="N36" s="8"/>
      <c r="O36" s="8">
        <f t="shared" si="9"/>
        <v>0</v>
      </c>
      <c r="P36" s="8"/>
      <c r="Q36" s="8"/>
      <c r="R36" s="8">
        <v>0.598204</v>
      </c>
      <c r="S36" s="8">
        <v>0.144286</v>
      </c>
      <c r="T36" s="26"/>
      <c r="U36" s="26">
        <v>0.151893</v>
      </c>
      <c r="V36" s="26">
        <v>10.99</v>
      </c>
      <c r="W36" s="26"/>
      <c r="X36" s="26"/>
      <c r="Y36" s="26">
        <f t="shared" si="10"/>
        <v>11.884383</v>
      </c>
      <c r="Z36" s="26"/>
      <c r="AA36" s="26"/>
      <c r="AB36" s="26"/>
      <c r="AC36" s="26"/>
      <c r="AD36" s="26"/>
      <c r="AE36" s="26"/>
      <c r="AF36" s="41"/>
      <c r="AG36" s="26">
        <f t="shared" si="8"/>
        <v>7.785617</v>
      </c>
      <c r="AH36" s="26">
        <v>5.25</v>
      </c>
      <c r="AI36" s="26">
        <v>-0.170996</v>
      </c>
      <c r="AJ36" s="8">
        <f t="shared" si="4"/>
        <v>5.079004</v>
      </c>
      <c r="AK36" s="8"/>
      <c r="AL36" s="8"/>
      <c r="AM36" s="8"/>
      <c r="AN36" s="8"/>
      <c r="AO36" s="8"/>
      <c r="AP36" s="8">
        <f t="shared" si="6"/>
        <v>5.079004</v>
      </c>
      <c r="AQ36" s="51">
        <f t="shared" si="11"/>
        <v>0.652357289088328</v>
      </c>
    </row>
    <row r="37" spans="1:43">
      <c r="A37" s="6"/>
      <c r="B37" s="6">
        <v>2021</v>
      </c>
      <c r="C37" s="9"/>
      <c r="D37" s="9"/>
      <c r="E37" s="9"/>
      <c r="F37" s="8">
        <v>19.5</v>
      </c>
      <c r="G37" s="8"/>
      <c r="H37" s="8"/>
      <c r="I37" s="8"/>
      <c r="J37" s="8"/>
      <c r="K37" s="8"/>
      <c r="L37" s="8"/>
      <c r="M37" s="8"/>
      <c r="N37" s="8"/>
      <c r="O37" s="8">
        <f t="shared" si="9"/>
        <v>0</v>
      </c>
      <c r="P37" s="8"/>
      <c r="Q37" s="8"/>
      <c r="R37" s="8">
        <v>0.598357</v>
      </c>
      <c r="S37" s="8">
        <v>0.255816</v>
      </c>
      <c r="T37" s="26"/>
      <c r="U37" s="26">
        <v>0.053659</v>
      </c>
      <c r="V37" s="26">
        <v>6.47</v>
      </c>
      <c r="W37" s="26"/>
      <c r="X37" s="26">
        <v>5</v>
      </c>
      <c r="Y37" s="26">
        <f t="shared" si="10"/>
        <v>12.377832</v>
      </c>
      <c r="Z37" s="26"/>
      <c r="AA37" s="26"/>
      <c r="AB37" s="26"/>
      <c r="AC37" s="26"/>
      <c r="AD37" s="26"/>
      <c r="AE37" s="26"/>
      <c r="AF37" s="41"/>
      <c r="AG37" s="26">
        <f t="shared" si="8"/>
        <v>7.122168</v>
      </c>
      <c r="AH37" s="26">
        <v>7.74</v>
      </c>
      <c r="AI37" s="26">
        <v>-0.149433</v>
      </c>
      <c r="AJ37" s="8">
        <f t="shared" si="4"/>
        <v>7.590567</v>
      </c>
      <c r="AK37" s="8"/>
      <c r="AL37" s="8"/>
      <c r="AM37" s="8"/>
      <c r="AN37" s="8"/>
      <c r="AO37" s="8"/>
      <c r="AP37" s="8">
        <f t="shared" si="6"/>
        <v>7.590567</v>
      </c>
      <c r="AQ37" s="51">
        <f t="shared" si="11"/>
        <v>1.06576635092011</v>
      </c>
    </row>
    <row r="38" spans="1:43">
      <c r="A38" s="6"/>
      <c r="B38" s="6">
        <v>2020</v>
      </c>
      <c r="C38" s="9"/>
      <c r="D38" s="9"/>
      <c r="E38" s="9"/>
      <c r="F38" s="8">
        <v>17.04</v>
      </c>
      <c r="G38" s="8"/>
      <c r="H38" s="8"/>
      <c r="I38" s="8"/>
      <c r="J38" s="8"/>
      <c r="K38" s="8"/>
      <c r="L38" s="8"/>
      <c r="M38" s="8"/>
      <c r="N38" s="8"/>
      <c r="O38" s="8">
        <f t="shared" si="9"/>
        <v>0</v>
      </c>
      <c r="P38" s="8"/>
      <c r="Q38" s="8"/>
      <c r="R38" s="8"/>
      <c r="S38" s="8">
        <v>0.614942</v>
      </c>
      <c r="T38" s="26"/>
      <c r="U38" s="26"/>
      <c r="V38" s="26">
        <v>5.1</v>
      </c>
      <c r="W38" s="26"/>
      <c r="X38" s="26">
        <v>5</v>
      </c>
      <c r="Y38" s="26">
        <f t="shared" si="10"/>
        <v>10.714942</v>
      </c>
      <c r="Z38" s="26"/>
      <c r="AA38" s="26"/>
      <c r="AB38" s="26"/>
      <c r="AC38" s="26"/>
      <c r="AD38" s="26"/>
      <c r="AE38" s="26"/>
      <c r="AF38" s="41"/>
      <c r="AG38" s="26">
        <f t="shared" si="8"/>
        <v>6.325058</v>
      </c>
      <c r="AH38" s="26">
        <v>6.34</v>
      </c>
      <c r="AI38" s="26">
        <v>-0.218757</v>
      </c>
      <c r="AJ38" s="8">
        <f t="shared" si="4"/>
        <v>6.121243</v>
      </c>
      <c r="AK38" s="8"/>
      <c r="AL38" s="8"/>
      <c r="AM38" s="8"/>
      <c r="AN38" s="8"/>
      <c r="AO38" s="8"/>
      <c r="AP38" s="8">
        <f t="shared" si="6"/>
        <v>6.121243</v>
      </c>
      <c r="AQ38" s="51">
        <f t="shared" si="11"/>
        <v>0.967776580072467</v>
      </c>
    </row>
    <row r="39" spans="1:43">
      <c r="A39" s="6"/>
      <c r="B39" s="6">
        <v>2019</v>
      </c>
      <c r="C39" s="9"/>
      <c r="D39" s="9"/>
      <c r="E39" s="9"/>
      <c r="F39" s="8">
        <v>15.19</v>
      </c>
      <c r="G39" s="8"/>
      <c r="H39" s="8"/>
      <c r="I39" s="8"/>
      <c r="J39" s="8"/>
      <c r="K39" s="8"/>
      <c r="L39" s="8"/>
      <c r="M39" s="8"/>
      <c r="N39" s="8"/>
      <c r="O39" s="8">
        <f t="shared" si="9"/>
        <v>0</v>
      </c>
      <c r="P39" s="8"/>
      <c r="Q39" s="8"/>
      <c r="R39" s="8"/>
      <c r="S39" s="8">
        <v>0.720642</v>
      </c>
      <c r="T39" s="26"/>
      <c r="U39" s="26"/>
      <c r="V39" s="26">
        <v>7.99</v>
      </c>
      <c r="W39" s="26"/>
      <c r="X39" s="26"/>
      <c r="Y39" s="26">
        <f t="shared" si="10"/>
        <v>8.710642</v>
      </c>
      <c r="Z39" s="26"/>
      <c r="AA39" s="26"/>
      <c r="AB39" s="26"/>
      <c r="AC39" s="26"/>
      <c r="AD39" s="26"/>
      <c r="AE39" s="26"/>
      <c r="AF39" s="41"/>
      <c r="AG39" s="26">
        <f t="shared" si="8"/>
        <v>6.479358</v>
      </c>
      <c r="AH39" s="26">
        <v>5.34</v>
      </c>
      <c r="AI39" s="26">
        <v>-0.130924</v>
      </c>
      <c r="AJ39" s="8">
        <f t="shared" si="4"/>
        <v>5.209076</v>
      </c>
      <c r="AK39" s="8"/>
      <c r="AL39" s="8"/>
      <c r="AM39" s="8"/>
      <c r="AN39" s="8"/>
      <c r="AO39" s="8"/>
      <c r="AP39" s="8">
        <f t="shared" si="6"/>
        <v>5.209076</v>
      </c>
      <c r="AQ39" s="51">
        <f t="shared" si="11"/>
        <v>0.803949403629187</v>
      </c>
    </row>
    <row r="40" spans="1:43">
      <c r="A40" s="6"/>
      <c r="B40" s="6">
        <v>2018</v>
      </c>
      <c r="C40" s="9"/>
      <c r="D40" s="9"/>
      <c r="E40" s="9"/>
      <c r="F40" s="8">
        <v>13.65</v>
      </c>
      <c r="G40" s="8"/>
      <c r="H40" s="8"/>
      <c r="I40" s="8"/>
      <c r="J40" s="8"/>
      <c r="K40" s="8"/>
      <c r="L40" s="8"/>
      <c r="M40" s="8"/>
      <c r="N40" s="8"/>
      <c r="O40" s="8">
        <f t="shared" si="9"/>
        <v>0</v>
      </c>
      <c r="P40" s="8">
        <v>0.795962</v>
      </c>
      <c r="Q40" s="8"/>
      <c r="R40" s="8"/>
      <c r="S40" s="8"/>
      <c r="T40" s="26"/>
      <c r="U40" s="26"/>
      <c r="V40" s="26">
        <v>8.39</v>
      </c>
      <c r="W40" s="26"/>
      <c r="X40" s="26"/>
      <c r="Y40" s="26">
        <f t="shared" si="10"/>
        <v>9.185962</v>
      </c>
      <c r="Z40" s="26"/>
      <c r="AA40" s="26"/>
      <c r="AB40" s="26"/>
      <c r="AC40" s="26"/>
      <c r="AD40" s="26"/>
      <c r="AE40" s="26"/>
      <c r="AF40" s="41"/>
      <c r="AG40" s="26">
        <f t="shared" si="8"/>
        <v>4.464038</v>
      </c>
      <c r="AH40" s="26">
        <v>4.44</v>
      </c>
      <c r="AI40" s="26">
        <v>-0.039898</v>
      </c>
      <c r="AJ40" s="8">
        <f t="shared" si="4"/>
        <v>4.400102</v>
      </c>
      <c r="AK40" s="8"/>
      <c r="AL40" s="8"/>
      <c r="AM40" s="8"/>
      <c r="AN40" s="8"/>
      <c r="AO40" s="8"/>
      <c r="AP40" s="8">
        <f t="shared" si="6"/>
        <v>4.400102</v>
      </c>
      <c r="AQ40" s="51">
        <f t="shared" si="11"/>
        <v>0.98567754127541</v>
      </c>
    </row>
    <row r="41" spans="1:43">
      <c r="A41" s="6"/>
      <c r="B41" s="6">
        <v>2017</v>
      </c>
      <c r="C41" s="9"/>
      <c r="D41" s="9"/>
      <c r="E41" s="9"/>
      <c r="F41" s="8">
        <v>13.08</v>
      </c>
      <c r="G41" s="8"/>
      <c r="H41" s="8"/>
      <c r="I41" s="8"/>
      <c r="J41" s="8"/>
      <c r="K41" s="8"/>
      <c r="L41" s="8"/>
      <c r="M41" s="8"/>
      <c r="N41" s="8"/>
      <c r="O41" s="8">
        <f t="shared" si="9"/>
        <v>0</v>
      </c>
      <c r="P41" s="8">
        <v>2.46</v>
      </c>
      <c r="Q41" s="8"/>
      <c r="R41" s="8"/>
      <c r="S41" s="8"/>
      <c r="T41" s="26"/>
      <c r="U41" s="26"/>
      <c r="V41" s="26">
        <v>8.65</v>
      </c>
      <c r="W41" s="26"/>
      <c r="X41" s="26"/>
      <c r="Y41" s="26">
        <f t="shared" si="10"/>
        <v>11.11</v>
      </c>
      <c r="Z41" s="26"/>
      <c r="AA41" s="26"/>
      <c r="AB41" s="26"/>
      <c r="AC41" s="26"/>
      <c r="AD41" s="26"/>
      <c r="AE41" s="26"/>
      <c r="AF41" s="41"/>
      <c r="AG41" s="26">
        <f t="shared" si="8"/>
        <v>1.97</v>
      </c>
      <c r="AH41" s="26">
        <v>3.59</v>
      </c>
      <c r="AI41" s="26">
        <v>-0.022374</v>
      </c>
      <c r="AJ41" s="8">
        <f t="shared" si="4"/>
        <v>3.567626</v>
      </c>
      <c r="AK41" s="8"/>
      <c r="AL41" s="8"/>
      <c r="AM41" s="8"/>
      <c r="AN41" s="8"/>
      <c r="AO41" s="8"/>
      <c r="AP41" s="8">
        <f t="shared" si="6"/>
        <v>3.567626</v>
      </c>
      <c r="AQ41" s="51">
        <f t="shared" si="11"/>
        <v>1.81097766497462</v>
      </c>
    </row>
    <row r="42" spans="1:43">
      <c r="A42" s="6"/>
      <c r="B42" s="1">
        <v>2016</v>
      </c>
      <c r="C42" s="9"/>
      <c r="D42" s="9"/>
      <c r="E42" s="9"/>
      <c r="F42" s="8">
        <v>11.51</v>
      </c>
      <c r="G42" s="8"/>
      <c r="H42" s="8"/>
      <c r="I42" s="8"/>
      <c r="J42" s="8"/>
      <c r="K42" s="8"/>
      <c r="L42" s="8"/>
      <c r="M42" s="8"/>
      <c r="N42" s="8"/>
      <c r="O42" s="8">
        <f t="shared" si="9"/>
        <v>0</v>
      </c>
      <c r="P42" s="8"/>
      <c r="Q42" s="8"/>
      <c r="R42" s="8"/>
      <c r="S42" s="8"/>
      <c r="T42" s="26"/>
      <c r="U42" s="26"/>
      <c r="V42" s="26">
        <v>3.7</v>
      </c>
      <c r="W42" s="26"/>
      <c r="X42" s="26"/>
      <c r="Y42" s="26">
        <f t="shared" si="10"/>
        <v>3.7</v>
      </c>
      <c r="Z42" s="26"/>
      <c r="AA42" s="26"/>
      <c r="AB42" s="26"/>
      <c r="AC42" s="26"/>
      <c r="AD42" s="26"/>
      <c r="AE42" s="26"/>
      <c r="AF42" s="41"/>
      <c r="AG42" s="26">
        <f t="shared" si="8"/>
        <v>7.81</v>
      </c>
      <c r="AH42" s="26">
        <v>2.37</v>
      </c>
      <c r="AI42" s="26">
        <v>-0.023179</v>
      </c>
      <c r="AJ42" s="8">
        <f t="shared" si="4"/>
        <v>2.346821</v>
      </c>
      <c r="AK42" s="8"/>
      <c r="AL42" s="8"/>
      <c r="AM42" s="8"/>
      <c r="AN42" s="8"/>
      <c r="AO42" s="8"/>
      <c r="AP42" s="8">
        <f t="shared" si="6"/>
        <v>2.346821</v>
      </c>
      <c r="AQ42" s="51">
        <f t="shared" si="11"/>
        <v>0.300489244558259</v>
      </c>
    </row>
    <row r="43" spans="1:43">
      <c r="A43" s="6"/>
      <c r="B43" s="1">
        <v>2015</v>
      </c>
      <c r="C43" s="9"/>
      <c r="D43" s="9"/>
      <c r="E43" s="9"/>
      <c r="F43" s="8">
        <v>10.43</v>
      </c>
      <c r="G43" s="8"/>
      <c r="H43" s="8"/>
      <c r="I43" s="8"/>
      <c r="J43" s="8"/>
      <c r="K43" s="8"/>
      <c r="L43" s="8"/>
      <c r="M43" s="8"/>
      <c r="N43" s="8"/>
      <c r="O43" s="8">
        <f t="shared" si="9"/>
        <v>0</v>
      </c>
      <c r="P43" s="8"/>
      <c r="Q43" s="8"/>
      <c r="R43" s="8"/>
      <c r="S43" s="8"/>
      <c r="T43" s="26"/>
      <c r="U43" s="26"/>
      <c r="V43" s="26">
        <v>3.72</v>
      </c>
      <c r="W43" s="26"/>
      <c r="X43" s="26"/>
      <c r="Y43" s="26">
        <f t="shared" si="10"/>
        <v>3.72</v>
      </c>
      <c r="Z43" s="26"/>
      <c r="AA43" s="26"/>
      <c r="AB43" s="26"/>
      <c r="AC43" s="26"/>
      <c r="AD43" s="26"/>
      <c r="AE43" s="26"/>
      <c r="AF43" s="41"/>
      <c r="AG43" s="26">
        <f t="shared" si="8"/>
        <v>6.71</v>
      </c>
      <c r="AH43" s="26">
        <v>1.81</v>
      </c>
      <c r="AI43" s="26">
        <v>-0.025872</v>
      </c>
      <c r="AJ43" s="8">
        <f t="shared" si="4"/>
        <v>1.784128</v>
      </c>
      <c r="AK43" s="8"/>
      <c r="AL43" s="8"/>
      <c r="AM43" s="8"/>
      <c r="AN43" s="8"/>
      <c r="AO43" s="8"/>
      <c r="AP43" s="8">
        <f t="shared" si="6"/>
        <v>1.784128</v>
      </c>
      <c r="AQ43" s="51">
        <f t="shared" si="11"/>
        <v>0.265890909090909</v>
      </c>
    </row>
    <row r="44" spans="1:43">
      <c r="A44" s="6"/>
      <c r="B44" s="1">
        <v>2014</v>
      </c>
      <c r="C44" s="9"/>
      <c r="D44" s="9"/>
      <c r="E44" s="9"/>
      <c r="F44" s="8">
        <v>9.88</v>
      </c>
      <c r="G44" s="8"/>
      <c r="H44" s="8"/>
      <c r="I44" s="8"/>
      <c r="J44" s="8"/>
      <c r="K44" s="8"/>
      <c r="L44" s="8"/>
      <c r="M44" s="8"/>
      <c r="N44" s="8"/>
      <c r="O44" s="8">
        <f t="shared" si="9"/>
        <v>0</v>
      </c>
      <c r="P44" s="8"/>
      <c r="Q44" s="8"/>
      <c r="R44" s="8"/>
      <c r="S44" s="8"/>
      <c r="T44" s="26"/>
      <c r="U44" s="26"/>
      <c r="V44" s="26">
        <v>3.68</v>
      </c>
      <c r="W44" s="26"/>
      <c r="X44" s="26"/>
      <c r="Y44" s="26">
        <f t="shared" si="10"/>
        <v>3.68</v>
      </c>
      <c r="Z44" s="26"/>
      <c r="AA44" s="26"/>
      <c r="AB44" s="26"/>
      <c r="AC44" s="26"/>
      <c r="AD44" s="26"/>
      <c r="AE44" s="26"/>
      <c r="AF44" s="41"/>
      <c r="AG44" s="26">
        <f t="shared" si="8"/>
        <v>6.2</v>
      </c>
      <c r="AH44" s="26">
        <v>1.56</v>
      </c>
      <c r="AI44" s="26">
        <v>-0.013925</v>
      </c>
      <c r="AJ44" s="8">
        <f t="shared" si="4"/>
        <v>1.546075</v>
      </c>
      <c r="AK44" s="8"/>
      <c r="AL44" s="8"/>
      <c r="AM44" s="8"/>
      <c r="AN44" s="8"/>
      <c r="AO44" s="8"/>
      <c r="AP44" s="8">
        <f t="shared" si="6"/>
        <v>1.546075</v>
      </c>
      <c r="AQ44" s="51">
        <f t="shared" si="11"/>
        <v>0.249366935483871</v>
      </c>
    </row>
    <row r="45" spans="1:43">
      <c r="A45" s="6"/>
      <c r="B45" s="1">
        <v>2013</v>
      </c>
      <c r="C45" s="9"/>
      <c r="D45" s="9"/>
      <c r="E45" s="9"/>
      <c r="F45" s="8">
        <v>9.2</v>
      </c>
      <c r="G45" s="8"/>
      <c r="H45" s="8"/>
      <c r="I45" s="8"/>
      <c r="J45" s="8"/>
      <c r="K45" s="8"/>
      <c r="L45" s="8"/>
      <c r="M45" s="8"/>
      <c r="N45" s="8"/>
      <c r="O45" s="8">
        <f t="shared" si="9"/>
        <v>0</v>
      </c>
      <c r="P45" s="8"/>
      <c r="Q45" s="8">
        <v>0.9945</v>
      </c>
      <c r="R45" s="8"/>
      <c r="S45" s="8"/>
      <c r="T45" s="26"/>
      <c r="U45" s="26"/>
      <c r="V45" s="26">
        <v>0.643667</v>
      </c>
      <c r="W45" s="26"/>
      <c r="X45" s="26"/>
      <c r="Y45" s="26">
        <f t="shared" si="10"/>
        <v>1.638167</v>
      </c>
      <c r="Z45" s="26"/>
      <c r="AA45" s="26"/>
      <c r="AB45" s="26"/>
      <c r="AC45" s="26"/>
      <c r="AD45" s="26"/>
      <c r="AE45" s="26"/>
      <c r="AF45" s="41"/>
      <c r="AG45" s="26">
        <f t="shared" si="8"/>
        <v>7.561833</v>
      </c>
      <c r="AH45" s="26">
        <v>1.28</v>
      </c>
      <c r="AI45" s="26">
        <v>-0.045395</v>
      </c>
      <c r="AJ45" s="8">
        <f t="shared" si="4"/>
        <v>1.234605</v>
      </c>
      <c r="AK45" s="8"/>
      <c r="AL45" s="8"/>
      <c r="AM45" s="8"/>
      <c r="AN45" s="8"/>
      <c r="AO45" s="8"/>
      <c r="AP45" s="8">
        <f t="shared" si="6"/>
        <v>1.234605</v>
      </c>
      <c r="AQ45" s="51">
        <f t="shared" si="11"/>
        <v>0.163267953682659</v>
      </c>
    </row>
    <row r="46" spans="1:43">
      <c r="A46" s="6"/>
      <c r="B46" s="1">
        <v>2012</v>
      </c>
      <c r="C46" s="9"/>
      <c r="D46" s="9"/>
      <c r="E46" s="9"/>
      <c r="F46" s="8">
        <v>8.62</v>
      </c>
      <c r="G46" s="8"/>
      <c r="H46" s="8"/>
      <c r="I46" s="8"/>
      <c r="J46" s="8"/>
      <c r="K46" s="8"/>
      <c r="L46" s="8"/>
      <c r="M46" s="8"/>
      <c r="N46" s="8"/>
      <c r="O46" s="8">
        <f t="shared" si="9"/>
        <v>0</v>
      </c>
      <c r="P46" s="8"/>
      <c r="Q46" s="8"/>
      <c r="R46" s="8"/>
      <c r="S46" s="8"/>
      <c r="T46" s="26"/>
      <c r="U46" s="26"/>
      <c r="V46" s="26">
        <v>6.87</v>
      </c>
      <c r="W46" s="26"/>
      <c r="X46" s="26"/>
      <c r="Y46" s="26">
        <f t="shared" si="10"/>
        <v>6.87</v>
      </c>
      <c r="Z46" s="26"/>
      <c r="AA46" s="26"/>
      <c r="AB46" s="26"/>
      <c r="AC46" s="26"/>
      <c r="AD46" s="26"/>
      <c r="AE46" s="26"/>
      <c r="AF46" s="41"/>
      <c r="AG46" s="26">
        <f t="shared" si="8"/>
        <v>1.75</v>
      </c>
      <c r="AH46" s="26">
        <v>1.05</v>
      </c>
      <c r="AI46" s="26">
        <v>-0.078588</v>
      </c>
      <c r="AJ46" s="8">
        <f t="shared" si="4"/>
        <v>0.971412</v>
      </c>
      <c r="AK46" s="8"/>
      <c r="AL46" s="8"/>
      <c r="AM46" s="8"/>
      <c r="AN46" s="8"/>
      <c r="AO46" s="8"/>
      <c r="AP46" s="8">
        <f t="shared" si="6"/>
        <v>0.971412</v>
      </c>
      <c r="AQ46" s="51">
        <f t="shared" si="11"/>
        <v>0.555092571428572</v>
      </c>
    </row>
    <row r="47" spans="1:43">
      <c r="A47" s="13" t="s">
        <v>158</v>
      </c>
      <c r="B47" s="6">
        <v>2022</v>
      </c>
      <c r="C47" s="9"/>
      <c r="D47" s="9"/>
      <c r="E47" s="9"/>
      <c r="F47" s="8">
        <v>1018.76</v>
      </c>
      <c r="G47" s="8"/>
      <c r="H47" s="8">
        <v>307.84</v>
      </c>
      <c r="I47" s="8"/>
      <c r="J47" s="8"/>
      <c r="K47" s="8">
        <v>1.05</v>
      </c>
      <c r="L47" s="8">
        <v>528.96</v>
      </c>
      <c r="M47" s="8"/>
      <c r="N47" s="8">
        <v>1.85</v>
      </c>
      <c r="O47" s="8">
        <f t="shared" si="9"/>
        <v>839.7</v>
      </c>
      <c r="P47" s="8"/>
      <c r="Q47" s="8"/>
      <c r="R47" s="8">
        <v>58.92</v>
      </c>
      <c r="S47" s="8">
        <v>46.69</v>
      </c>
      <c r="T47" s="26">
        <v>44.28</v>
      </c>
      <c r="U47" s="26">
        <v>6.35</v>
      </c>
      <c r="V47" s="26">
        <v>1574.84</v>
      </c>
      <c r="W47" s="26"/>
      <c r="X47" s="26">
        <v>38.67</v>
      </c>
      <c r="Y47" s="26">
        <f t="shared" si="10"/>
        <v>1769.75</v>
      </c>
      <c r="Z47" s="26"/>
      <c r="AA47" s="26"/>
      <c r="AB47" s="26"/>
      <c r="AC47" s="26"/>
      <c r="AD47" s="26"/>
      <c r="AE47" s="26"/>
      <c r="AF47" s="41"/>
      <c r="AG47" s="26">
        <f t="shared" si="8"/>
        <v>88.7099999999999</v>
      </c>
      <c r="AH47" s="26">
        <v>272.17</v>
      </c>
      <c r="AI47" s="26">
        <v>-22.07</v>
      </c>
      <c r="AJ47" s="8">
        <f t="shared" si="4"/>
        <v>250.1</v>
      </c>
      <c r="AK47" s="8"/>
      <c r="AL47" s="8"/>
      <c r="AM47" s="8"/>
      <c r="AN47" s="8"/>
      <c r="AO47" s="8"/>
      <c r="AP47" s="8">
        <f t="shared" si="6"/>
        <v>250.1</v>
      </c>
      <c r="AQ47" s="51">
        <f t="shared" ref="AQ47:AQ57" si="12">AP47/AG47</f>
        <v>2.81929883891332</v>
      </c>
    </row>
    <row r="48" spans="1:43">
      <c r="A48" s="14"/>
      <c r="B48" s="6">
        <v>2021</v>
      </c>
      <c r="C48" s="9"/>
      <c r="D48" s="9"/>
      <c r="E48" s="9"/>
      <c r="F48" s="8">
        <v>1079.25</v>
      </c>
      <c r="G48" s="8"/>
      <c r="H48" s="8">
        <v>89.61</v>
      </c>
      <c r="I48" s="8"/>
      <c r="J48" s="8"/>
      <c r="K48" s="8">
        <v>4.46</v>
      </c>
      <c r="L48" s="8">
        <v>276.18</v>
      </c>
      <c r="M48" s="8"/>
      <c r="N48" s="8"/>
      <c r="O48" s="8">
        <f t="shared" si="9"/>
        <v>370.25</v>
      </c>
      <c r="P48" s="8"/>
      <c r="Q48" s="8"/>
      <c r="R48" s="8">
        <v>103.37</v>
      </c>
      <c r="S48" s="8">
        <v>101.14</v>
      </c>
      <c r="T48" s="26">
        <v>0.813093</v>
      </c>
      <c r="U48" s="26">
        <v>4.55</v>
      </c>
      <c r="V48" s="26">
        <v>1169.39</v>
      </c>
      <c r="W48" s="26"/>
      <c r="X48" s="26"/>
      <c r="Y48" s="26">
        <f t="shared" si="10"/>
        <v>1379.263093</v>
      </c>
      <c r="Z48" s="26"/>
      <c r="AA48" s="26"/>
      <c r="AB48" s="26"/>
      <c r="AC48" s="26"/>
      <c r="AD48" s="26"/>
      <c r="AE48" s="26"/>
      <c r="AF48" s="41"/>
      <c r="AG48" s="26">
        <f t="shared" si="8"/>
        <v>70.236907</v>
      </c>
      <c r="AH48" s="26">
        <v>268.03</v>
      </c>
      <c r="AI48" s="26">
        <v>-22.6</v>
      </c>
      <c r="AJ48" s="8">
        <f t="shared" si="4"/>
        <v>245.43</v>
      </c>
      <c r="AK48" s="8"/>
      <c r="AL48" s="8"/>
      <c r="AM48" s="8"/>
      <c r="AN48" s="8"/>
      <c r="AO48" s="8"/>
      <c r="AP48" s="8">
        <f t="shared" si="6"/>
        <v>245.43</v>
      </c>
      <c r="AQ48" s="51">
        <f t="shared" si="12"/>
        <v>3.4943167414818</v>
      </c>
    </row>
    <row r="49" spans="1:43">
      <c r="A49" s="14"/>
      <c r="B49" s="6">
        <v>2020</v>
      </c>
      <c r="C49" s="9"/>
      <c r="D49" s="9"/>
      <c r="E49" s="9"/>
      <c r="F49" s="8">
        <v>1168.8</v>
      </c>
      <c r="G49" s="8"/>
      <c r="H49" s="8">
        <v>18.61</v>
      </c>
      <c r="I49" s="8"/>
      <c r="J49" s="8"/>
      <c r="K49" s="8"/>
      <c r="L49" s="8">
        <v>203.04</v>
      </c>
      <c r="M49" s="8"/>
      <c r="N49" s="8"/>
      <c r="O49" s="8">
        <f t="shared" si="9"/>
        <v>221.65</v>
      </c>
      <c r="P49" s="8"/>
      <c r="Q49" s="8"/>
      <c r="R49" s="8">
        <v>81.2</v>
      </c>
      <c r="S49" s="8">
        <v>77.88</v>
      </c>
      <c r="T49" s="26">
        <v>20.03</v>
      </c>
      <c r="U49" s="26">
        <v>4.63</v>
      </c>
      <c r="V49" s="26">
        <v>1364.13</v>
      </c>
      <c r="W49" s="26"/>
      <c r="X49" s="26">
        <v>3.71</v>
      </c>
      <c r="Y49" s="26">
        <f t="shared" si="10"/>
        <v>1551.58</v>
      </c>
      <c r="Z49" s="26"/>
      <c r="AA49" s="26"/>
      <c r="AB49" s="26"/>
      <c r="AC49" s="26"/>
      <c r="AD49" s="26"/>
      <c r="AE49" s="26"/>
      <c r="AF49" s="41"/>
      <c r="AG49" s="26">
        <f t="shared" si="8"/>
        <v>-161.13</v>
      </c>
      <c r="AH49" s="26">
        <v>263.09</v>
      </c>
      <c r="AI49" s="26">
        <v>-19.38</v>
      </c>
      <c r="AJ49" s="8">
        <f t="shared" si="4"/>
        <v>243.71</v>
      </c>
      <c r="AK49" s="8"/>
      <c r="AL49" s="8"/>
      <c r="AM49" s="8"/>
      <c r="AN49" s="8"/>
      <c r="AO49" s="8"/>
      <c r="AP49" s="8">
        <f t="shared" si="6"/>
        <v>243.71</v>
      </c>
      <c r="AQ49" s="51">
        <f t="shared" si="12"/>
        <v>-1.51250543039781</v>
      </c>
    </row>
    <row r="50" spans="1:43">
      <c r="A50" s="14"/>
      <c r="B50" s="6">
        <v>2019</v>
      </c>
      <c r="C50" s="9"/>
      <c r="D50" s="9"/>
      <c r="E50" s="9"/>
      <c r="F50" s="8">
        <v>1120.48</v>
      </c>
      <c r="G50" s="8"/>
      <c r="H50" s="8">
        <v>0.468859</v>
      </c>
      <c r="I50" s="8"/>
      <c r="J50" s="8"/>
      <c r="K50" s="8"/>
      <c r="L50" s="8">
        <v>159.44</v>
      </c>
      <c r="M50" s="8"/>
      <c r="N50" s="8"/>
      <c r="O50" s="8">
        <f t="shared" si="9"/>
        <v>159.908859</v>
      </c>
      <c r="P50" s="8"/>
      <c r="Q50" s="8"/>
      <c r="R50" s="8">
        <v>70.64</v>
      </c>
      <c r="S50" s="8">
        <v>46.45</v>
      </c>
      <c r="T50" s="26">
        <v>20.03</v>
      </c>
      <c r="U50" s="26">
        <v>4.99</v>
      </c>
      <c r="V50" s="26">
        <v>1254.01</v>
      </c>
      <c r="W50" s="26"/>
      <c r="X50" s="26">
        <v>9.55</v>
      </c>
      <c r="Y50" s="26">
        <f t="shared" si="10"/>
        <v>1405.67</v>
      </c>
      <c r="Z50" s="26"/>
      <c r="AA50" s="26"/>
      <c r="AB50" s="26"/>
      <c r="AC50" s="26"/>
      <c r="AD50" s="26"/>
      <c r="AE50" s="26"/>
      <c r="AF50" s="41"/>
      <c r="AG50" s="26">
        <f t="shared" si="8"/>
        <v>-125.281141</v>
      </c>
      <c r="AH50" s="26">
        <v>293.53</v>
      </c>
      <c r="AI50" s="26">
        <v>-24.27</v>
      </c>
      <c r="AJ50" s="8">
        <f t="shared" si="4"/>
        <v>269.26</v>
      </c>
      <c r="AK50" s="8"/>
      <c r="AL50" s="8"/>
      <c r="AM50" s="8"/>
      <c r="AN50" s="8"/>
      <c r="AO50" s="8"/>
      <c r="AP50" s="8">
        <f t="shared" si="6"/>
        <v>269.26</v>
      </c>
      <c r="AQ50" s="51">
        <f t="shared" si="12"/>
        <v>-2.14924607048398</v>
      </c>
    </row>
    <row r="51" spans="1:43">
      <c r="A51" s="14"/>
      <c r="B51" s="6">
        <v>2018</v>
      </c>
      <c r="C51" s="9"/>
      <c r="D51" s="9"/>
      <c r="E51" s="9"/>
      <c r="F51" s="8">
        <v>927.15</v>
      </c>
      <c r="G51" s="8"/>
      <c r="H51" s="8"/>
      <c r="I51" s="8"/>
      <c r="J51" s="8"/>
      <c r="K51" s="8"/>
      <c r="L51" s="8">
        <v>220.68</v>
      </c>
      <c r="M51" s="8"/>
      <c r="N51" s="8">
        <v>2.57</v>
      </c>
      <c r="O51" s="8">
        <f t="shared" si="9"/>
        <v>223.25</v>
      </c>
      <c r="P51" s="8">
        <v>22.16</v>
      </c>
      <c r="Q51" s="8"/>
      <c r="R51" s="8">
        <v>22.51</v>
      </c>
      <c r="S51" s="8"/>
      <c r="T51" s="26"/>
      <c r="U51" s="26">
        <v>5.38</v>
      </c>
      <c r="V51" s="26">
        <v>1130.79</v>
      </c>
      <c r="W51" s="26"/>
      <c r="X51" s="26">
        <v>10.12</v>
      </c>
      <c r="Y51" s="26">
        <f t="shared" si="10"/>
        <v>1190.96</v>
      </c>
      <c r="Z51" s="26"/>
      <c r="AA51" s="26"/>
      <c r="AB51" s="26"/>
      <c r="AC51" s="26"/>
      <c r="AD51" s="26"/>
      <c r="AE51" s="26"/>
      <c r="AF51" s="41"/>
      <c r="AG51" s="26">
        <f t="shared" si="8"/>
        <v>-40.5600000000003</v>
      </c>
      <c r="AH51" s="26">
        <v>312.74</v>
      </c>
      <c r="AI51" s="26">
        <v>-9.48</v>
      </c>
      <c r="AJ51" s="8">
        <f t="shared" si="4"/>
        <v>303.26</v>
      </c>
      <c r="AK51" s="8"/>
      <c r="AL51" s="8"/>
      <c r="AM51" s="8"/>
      <c r="AN51" s="8"/>
      <c r="AO51" s="8"/>
      <c r="AP51" s="8">
        <f t="shared" si="6"/>
        <v>303.26</v>
      </c>
      <c r="AQ51" s="51">
        <f t="shared" si="12"/>
        <v>-7.47682445759364</v>
      </c>
    </row>
    <row r="52" spans="1:43">
      <c r="A52" s="14"/>
      <c r="B52" s="6">
        <v>2017</v>
      </c>
      <c r="C52" s="9"/>
      <c r="D52" s="9"/>
      <c r="E52" s="9"/>
      <c r="F52" s="8">
        <v>668.55</v>
      </c>
      <c r="G52" s="8"/>
      <c r="H52" s="8"/>
      <c r="I52" s="8"/>
      <c r="J52" s="8"/>
      <c r="K52" s="8"/>
      <c r="L52" s="8">
        <v>186.46</v>
      </c>
      <c r="M52" s="8"/>
      <c r="N52" s="8">
        <v>6.16</v>
      </c>
      <c r="O52" s="8">
        <f t="shared" si="9"/>
        <v>192.62</v>
      </c>
      <c r="P52" s="8">
        <v>21.75</v>
      </c>
      <c r="Q52" s="8"/>
      <c r="R52" s="8">
        <v>1.1</v>
      </c>
      <c r="S52" s="8"/>
      <c r="T52" s="26"/>
      <c r="U52" s="26">
        <v>5.17</v>
      </c>
      <c r="V52" s="26">
        <v>996.11</v>
      </c>
      <c r="W52" s="26"/>
      <c r="X52" s="26">
        <v>6.02</v>
      </c>
      <c r="Y52" s="26">
        <f t="shared" si="10"/>
        <v>1030.15</v>
      </c>
      <c r="Z52" s="26"/>
      <c r="AA52" s="26"/>
      <c r="AB52" s="26"/>
      <c r="AC52" s="26"/>
      <c r="AD52" s="26"/>
      <c r="AE52" s="26"/>
      <c r="AF52" s="41"/>
      <c r="AG52" s="26">
        <f t="shared" si="8"/>
        <v>-168.98</v>
      </c>
      <c r="AH52" s="26">
        <v>266.16</v>
      </c>
      <c r="AI52" s="26">
        <v>4.31</v>
      </c>
      <c r="AJ52" s="8">
        <f t="shared" si="4"/>
        <v>270.47</v>
      </c>
      <c r="AK52" s="8"/>
      <c r="AL52" s="8"/>
      <c r="AM52" s="8"/>
      <c r="AN52" s="8"/>
      <c r="AO52" s="8"/>
      <c r="AP52" s="8">
        <f t="shared" si="6"/>
        <v>270.47</v>
      </c>
      <c r="AQ52" s="51">
        <f t="shared" si="12"/>
        <v>-1.60060362173038</v>
      </c>
    </row>
    <row r="53" spans="1:43">
      <c r="A53" s="14"/>
      <c r="B53" s="6">
        <v>2016</v>
      </c>
      <c r="C53" s="9"/>
      <c r="D53" s="9"/>
      <c r="E53" s="9"/>
      <c r="F53" s="8">
        <v>549.52</v>
      </c>
      <c r="G53" s="8"/>
      <c r="H53" s="8"/>
      <c r="I53" s="8"/>
      <c r="J53" s="8"/>
      <c r="K53" s="8"/>
      <c r="L53" s="8">
        <v>107.01</v>
      </c>
      <c r="M53" s="8"/>
      <c r="N53" s="8">
        <v>3.95</v>
      </c>
      <c r="O53" s="8">
        <f t="shared" si="9"/>
        <v>110.96</v>
      </c>
      <c r="P53" s="8">
        <v>13.84</v>
      </c>
      <c r="Q53" s="8"/>
      <c r="R53" s="8">
        <v>1.04</v>
      </c>
      <c r="S53" s="8"/>
      <c r="T53" s="26"/>
      <c r="U53" s="26">
        <v>5.98</v>
      </c>
      <c r="V53" s="26">
        <v>957.54</v>
      </c>
      <c r="W53" s="26"/>
      <c r="X53" s="26"/>
      <c r="Y53" s="26">
        <f t="shared" si="10"/>
        <v>978.4</v>
      </c>
      <c r="Z53" s="26"/>
      <c r="AA53" s="26"/>
      <c r="AB53" s="26"/>
      <c r="AC53" s="26"/>
      <c r="AD53" s="26"/>
      <c r="AE53" s="26"/>
      <c r="AF53" s="41"/>
      <c r="AG53" s="26">
        <f t="shared" si="8"/>
        <v>-317.92</v>
      </c>
      <c r="AH53" s="26">
        <v>185.73</v>
      </c>
      <c r="AI53" s="26">
        <v>-48.45</v>
      </c>
      <c r="AJ53" s="8">
        <f t="shared" si="4"/>
        <v>137.28</v>
      </c>
      <c r="AK53" s="8"/>
      <c r="AL53" s="8"/>
      <c r="AM53" s="8"/>
      <c r="AN53" s="8"/>
      <c r="AO53" s="8"/>
      <c r="AP53" s="8">
        <f t="shared" si="6"/>
        <v>137.28</v>
      </c>
      <c r="AQ53" s="51">
        <f t="shared" si="12"/>
        <v>-0.431806743834927</v>
      </c>
    </row>
    <row r="54" spans="1:43">
      <c r="A54" s="14"/>
      <c r="B54" s="6">
        <v>2015</v>
      </c>
      <c r="C54" s="9"/>
      <c r="D54" s="9"/>
      <c r="E54" s="9"/>
      <c r="F54" s="8">
        <v>485.67</v>
      </c>
      <c r="G54" s="8"/>
      <c r="H54" s="8"/>
      <c r="I54" s="8"/>
      <c r="J54" s="8"/>
      <c r="K54" s="8"/>
      <c r="L54" s="8">
        <v>62.77</v>
      </c>
      <c r="M54" s="8"/>
      <c r="N54" s="8">
        <v>11.89</v>
      </c>
      <c r="O54" s="8">
        <f t="shared" si="9"/>
        <v>74.66</v>
      </c>
      <c r="P54" s="8">
        <v>27.05</v>
      </c>
      <c r="Q54" s="8"/>
      <c r="R54" s="8">
        <v>0.954592</v>
      </c>
      <c r="S54" s="8"/>
      <c r="T54" s="26"/>
      <c r="U54" s="26">
        <v>4.92</v>
      </c>
      <c r="V54" s="26">
        <v>888.2</v>
      </c>
      <c r="W54" s="26"/>
      <c r="X54" s="26"/>
      <c r="Y54" s="26">
        <f t="shared" si="10"/>
        <v>921.124592</v>
      </c>
      <c r="Z54" s="26"/>
      <c r="AA54" s="26"/>
      <c r="AB54" s="26"/>
      <c r="AC54" s="26"/>
      <c r="AD54" s="26"/>
      <c r="AE54" s="26"/>
      <c r="AF54" s="41"/>
      <c r="AG54" s="26">
        <f t="shared" si="8"/>
        <v>-360.794592</v>
      </c>
      <c r="AH54" s="26">
        <v>149.09</v>
      </c>
      <c r="AI54" s="26">
        <v>-19.29</v>
      </c>
      <c r="AJ54" s="8">
        <f t="shared" si="4"/>
        <v>129.8</v>
      </c>
      <c r="AK54" s="8"/>
      <c r="AL54" s="8"/>
      <c r="AM54" s="8"/>
      <c r="AN54" s="8"/>
      <c r="AO54" s="8"/>
      <c r="AP54" s="8">
        <f t="shared" si="6"/>
        <v>129.8</v>
      </c>
      <c r="AQ54" s="51">
        <f t="shared" si="12"/>
        <v>-0.359761489994839</v>
      </c>
    </row>
    <row r="55" spans="1:43">
      <c r="A55" s="14"/>
      <c r="B55" s="6">
        <v>2014</v>
      </c>
      <c r="C55" s="9"/>
      <c r="D55" s="9"/>
      <c r="E55" s="9"/>
      <c r="F55" s="8">
        <v>451.31</v>
      </c>
      <c r="G55" s="8"/>
      <c r="H55" s="8">
        <v>22.59</v>
      </c>
      <c r="I55" s="8"/>
      <c r="J55" s="8"/>
      <c r="K55" s="8"/>
      <c r="L55" s="8">
        <v>35.79</v>
      </c>
      <c r="M55" s="8"/>
      <c r="N55" s="8">
        <v>2.16</v>
      </c>
      <c r="O55" s="8">
        <f t="shared" si="9"/>
        <v>60.54</v>
      </c>
      <c r="P55" s="8">
        <v>21.5</v>
      </c>
      <c r="Q55" s="8"/>
      <c r="R55" s="8">
        <v>0.922131</v>
      </c>
      <c r="S55" s="8"/>
      <c r="T55" s="26"/>
      <c r="U55" s="26">
        <v>5.08</v>
      </c>
      <c r="V55" s="26">
        <v>545.46</v>
      </c>
      <c r="W55" s="26"/>
      <c r="X55" s="26"/>
      <c r="Y55" s="26">
        <f t="shared" si="10"/>
        <v>572.962131</v>
      </c>
      <c r="Z55" s="26"/>
      <c r="AA55" s="26"/>
      <c r="AB55" s="26"/>
      <c r="AC55" s="26"/>
      <c r="AD55" s="26"/>
      <c r="AE55" s="26"/>
      <c r="AF55" s="41"/>
      <c r="AG55" s="26">
        <f t="shared" si="8"/>
        <v>-61.112131</v>
      </c>
      <c r="AH55" s="26">
        <v>167.52</v>
      </c>
      <c r="AI55" s="26">
        <v>-9.42</v>
      </c>
      <c r="AJ55" s="8">
        <f t="shared" si="4"/>
        <v>158.1</v>
      </c>
      <c r="AK55" s="8"/>
      <c r="AL55" s="8"/>
      <c r="AM55" s="8"/>
      <c r="AN55" s="8"/>
      <c r="AO55" s="8"/>
      <c r="AP55" s="8">
        <f t="shared" si="6"/>
        <v>158.1</v>
      </c>
      <c r="AQ55" s="51">
        <f t="shared" si="12"/>
        <v>-2.5870477336161</v>
      </c>
    </row>
    <row r="56" spans="1:43">
      <c r="A56" s="14"/>
      <c r="B56" s="6">
        <v>2013</v>
      </c>
      <c r="C56" s="9"/>
      <c r="D56" s="9"/>
      <c r="E56" s="9"/>
      <c r="F56" s="8">
        <v>353.74</v>
      </c>
      <c r="G56" s="8"/>
      <c r="H56" s="8">
        <v>13.75</v>
      </c>
      <c r="I56" s="8"/>
      <c r="J56" s="8"/>
      <c r="K56" s="8"/>
      <c r="L56" s="8">
        <v>33.17</v>
      </c>
      <c r="M56" s="8"/>
      <c r="N56" s="8"/>
      <c r="O56" s="8">
        <f t="shared" si="9"/>
        <v>46.92</v>
      </c>
      <c r="P56" s="8">
        <v>8.06</v>
      </c>
      <c r="Q56" s="8"/>
      <c r="R56" s="8">
        <v>0.975685</v>
      </c>
      <c r="S56" s="8"/>
      <c r="T56" s="26"/>
      <c r="U56" s="26">
        <v>5.03</v>
      </c>
      <c r="V56" s="26">
        <v>385.42</v>
      </c>
      <c r="W56" s="26"/>
      <c r="X56" s="26"/>
      <c r="Y56" s="26">
        <f t="shared" si="10"/>
        <v>399.485685</v>
      </c>
      <c r="Z56" s="26"/>
      <c r="AA56" s="26"/>
      <c r="AB56" s="26"/>
      <c r="AC56" s="26"/>
      <c r="AD56" s="26"/>
      <c r="AE56" s="26"/>
      <c r="AF56" s="41"/>
      <c r="AG56" s="26">
        <f t="shared" si="8"/>
        <v>1.17431500000004</v>
      </c>
      <c r="AH56" s="26">
        <v>128.91</v>
      </c>
      <c r="AI56" s="26">
        <v>-1.33</v>
      </c>
      <c r="AJ56" s="8">
        <f t="shared" si="4"/>
        <v>127.58</v>
      </c>
      <c r="AK56" s="8"/>
      <c r="AL56" s="8"/>
      <c r="AM56" s="8"/>
      <c r="AN56" s="8"/>
      <c r="AO56" s="8"/>
      <c r="AP56" s="8">
        <f t="shared" si="6"/>
        <v>127.58</v>
      </c>
      <c r="AQ56" s="51">
        <f t="shared" si="12"/>
        <v>108.642059413357</v>
      </c>
    </row>
    <row r="57" spans="1:43">
      <c r="A57" s="15"/>
      <c r="B57" s="6">
        <v>2012</v>
      </c>
      <c r="C57" s="9"/>
      <c r="D57" s="9"/>
      <c r="E57" s="9"/>
      <c r="F57" s="8">
        <v>275.8</v>
      </c>
      <c r="G57" s="8"/>
      <c r="H57" s="8">
        <v>9.84</v>
      </c>
      <c r="I57" s="8"/>
      <c r="J57" s="8"/>
      <c r="K57" s="8"/>
      <c r="L57" s="8">
        <v>35.21</v>
      </c>
      <c r="M57" s="8"/>
      <c r="N57" s="8"/>
      <c r="O57" s="8">
        <f t="shared" si="9"/>
        <v>45.05</v>
      </c>
      <c r="P57" s="8">
        <v>5.55</v>
      </c>
      <c r="Q57" s="8"/>
      <c r="R57" s="8">
        <v>0.2816</v>
      </c>
      <c r="S57" s="8"/>
      <c r="T57" s="26"/>
      <c r="U57" s="26">
        <v>2.08</v>
      </c>
      <c r="V57" s="26">
        <v>289.44</v>
      </c>
      <c r="W57" s="26"/>
      <c r="X57" s="26">
        <v>2.63</v>
      </c>
      <c r="Y57" s="26">
        <f t="shared" si="10"/>
        <v>299.9816</v>
      </c>
      <c r="Z57" s="26"/>
      <c r="AA57" s="26"/>
      <c r="AB57" s="26"/>
      <c r="AC57" s="26"/>
      <c r="AD57" s="26"/>
      <c r="AE57" s="26"/>
      <c r="AF57" s="41"/>
      <c r="AG57" s="26">
        <f t="shared" si="8"/>
        <v>20.8683999999999</v>
      </c>
      <c r="AH57" s="26">
        <v>87.63</v>
      </c>
      <c r="AI57" s="26">
        <v>-4.61</v>
      </c>
      <c r="AJ57" s="8">
        <f t="shared" si="4"/>
        <v>83.02</v>
      </c>
      <c r="AK57" s="8"/>
      <c r="AL57" s="8"/>
      <c r="AM57" s="8"/>
      <c r="AN57" s="8"/>
      <c r="AO57" s="8"/>
      <c r="AP57" s="8">
        <f t="shared" si="6"/>
        <v>83.02</v>
      </c>
      <c r="AQ57" s="51">
        <f t="shared" si="12"/>
        <v>3.97826378639475</v>
      </c>
    </row>
    <row r="58" spans="1:43">
      <c r="A58" s="1" t="s">
        <v>159</v>
      </c>
      <c r="B58" s="1">
        <v>2022</v>
      </c>
      <c r="C58" s="9"/>
      <c r="D58" s="9"/>
      <c r="E58" s="9"/>
      <c r="F58" s="8">
        <v>729.7</v>
      </c>
      <c r="G58" s="8"/>
      <c r="H58" s="8">
        <v>75.22</v>
      </c>
      <c r="I58" s="8"/>
      <c r="J58" s="8"/>
      <c r="K58" s="8">
        <v>0.075699</v>
      </c>
      <c r="L58" s="8">
        <v>33.43</v>
      </c>
      <c r="M58" s="8">
        <v>0.682997</v>
      </c>
      <c r="N58" s="8"/>
      <c r="O58" s="8">
        <f t="shared" si="9"/>
        <v>109.408696</v>
      </c>
      <c r="P58" s="8"/>
      <c r="Q58" s="8"/>
      <c r="R58" s="8">
        <v>12.52</v>
      </c>
      <c r="S58" s="8"/>
      <c r="T58" s="26">
        <v>4.24</v>
      </c>
      <c r="U58" s="26"/>
      <c r="V58" s="26">
        <v>400.12</v>
      </c>
      <c r="W58" s="26"/>
      <c r="X58" s="26">
        <v>0.128074</v>
      </c>
      <c r="Y58" s="26">
        <f t="shared" si="10"/>
        <v>417.008074</v>
      </c>
      <c r="Z58" s="26"/>
      <c r="AA58" s="26"/>
      <c r="AB58" s="26"/>
      <c r="AC58" s="26"/>
      <c r="AD58" s="26"/>
      <c r="AE58" s="26"/>
      <c r="AF58" s="41"/>
      <c r="AG58" s="26">
        <f t="shared" si="8"/>
        <v>422.100622</v>
      </c>
      <c r="AH58" s="26">
        <v>148.55</v>
      </c>
      <c r="AI58" s="26">
        <v>-9.9</v>
      </c>
      <c r="AJ58" s="8">
        <f t="shared" si="4"/>
        <v>138.65</v>
      </c>
      <c r="AK58" s="8"/>
      <c r="AL58" s="8"/>
      <c r="AM58" s="8"/>
      <c r="AN58" s="8"/>
      <c r="AO58" s="8"/>
      <c r="AP58" s="8"/>
      <c r="AQ58" s="51">
        <f t="shared" ref="AQ58:AQ68" si="13">AJ58/AG58</f>
        <v>0.328476180260166</v>
      </c>
    </row>
    <row r="59" spans="1:43">
      <c r="A59" s="1"/>
      <c r="B59" s="1">
        <v>2021</v>
      </c>
      <c r="C59" s="9"/>
      <c r="D59" s="9"/>
      <c r="E59" s="9"/>
      <c r="F59" s="8">
        <v>653.95</v>
      </c>
      <c r="G59" s="8"/>
      <c r="H59" s="8">
        <v>32.84</v>
      </c>
      <c r="I59" s="8"/>
      <c r="J59" s="8"/>
      <c r="K59" s="8">
        <v>0.090093</v>
      </c>
      <c r="L59" s="8">
        <v>40.75</v>
      </c>
      <c r="M59" s="8">
        <v>0.040623</v>
      </c>
      <c r="N59" s="8"/>
      <c r="O59" s="8">
        <f t="shared" si="9"/>
        <v>73.720716</v>
      </c>
      <c r="P59" s="8"/>
      <c r="Q59" s="8"/>
      <c r="R59" s="8">
        <v>9.82</v>
      </c>
      <c r="S59" s="8"/>
      <c r="T59" s="26">
        <v>4.39</v>
      </c>
      <c r="U59" s="26"/>
      <c r="V59" s="26">
        <v>347.22</v>
      </c>
      <c r="W59" s="26"/>
      <c r="X59" s="26">
        <v>0.3432</v>
      </c>
      <c r="Y59" s="26">
        <f t="shared" si="10"/>
        <v>361.7732</v>
      </c>
      <c r="Z59" s="26"/>
      <c r="AA59" s="26"/>
      <c r="AB59" s="26"/>
      <c r="AC59" s="26"/>
      <c r="AD59" s="26"/>
      <c r="AE59" s="26"/>
      <c r="AF59" s="41"/>
      <c r="AG59" s="26">
        <f t="shared" si="8"/>
        <v>365.897516</v>
      </c>
      <c r="AH59" s="26">
        <v>184.68</v>
      </c>
      <c r="AI59" s="26">
        <v>-1.33</v>
      </c>
      <c r="AJ59" s="8">
        <f t="shared" si="4"/>
        <v>183.35</v>
      </c>
      <c r="AK59" s="8"/>
      <c r="AL59" s="8"/>
      <c r="AM59" s="8"/>
      <c r="AN59" s="8"/>
      <c r="AO59" s="8"/>
      <c r="AP59" s="8"/>
      <c r="AQ59" s="51">
        <f t="shared" si="13"/>
        <v>0.50109659667654</v>
      </c>
    </row>
    <row r="60" spans="1:43">
      <c r="A60" s="1"/>
      <c r="B60" s="1">
        <v>2020</v>
      </c>
      <c r="C60" s="9"/>
      <c r="D60" s="9"/>
      <c r="E60" s="9"/>
      <c r="F60" s="8">
        <v>544.8</v>
      </c>
      <c r="G60" s="8"/>
      <c r="H60" s="8">
        <v>19.61</v>
      </c>
      <c r="I60" s="8"/>
      <c r="J60" s="8"/>
      <c r="K60" s="8">
        <v>0.395955</v>
      </c>
      <c r="L60" s="8">
        <v>39.99</v>
      </c>
      <c r="M60" s="8">
        <v>0.074058</v>
      </c>
      <c r="N60" s="8"/>
      <c r="O60" s="8">
        <f t="shared" si="9"/>
        <v>60.070013</v>
      </c>
      <c r="P60" s="8"/>
      <c r="Q60" s="8"/>
      <c r="R60" s="8">
        <v>8.64</v>
      </c>
      <c r="S60" s="8"/>
      <c r="T60" s="26">
        <v>4.92</v>
      </c>
      <c r="U60" s="26"/>
      <c r="V60" s="26">
        <v>354.6</v>
      </c>
      <c r="W60" s="26"/>
      <c r="X60" s="26">
        <v>0.226798</v>
      </c>
      <c r="Y60" s="26">
        <f t="shared" si="10"/>
        <v>368.386798</v>
      </c>
      <c r="Z60" s="26"/>
      <c r="AA60" s="26"/>
      <c r="AB60" s="26"/>
      <c r="AC60" s="26"/>
      <c r="AD60" s="26"/>
      <c r="AE60" s="26"/>
      <c r="AF60" s="41"/>
      <c r="AG60" s="26">
        <f t="shared" si="8"/>
        <v>236.483215</v>
      </c>
      <c r="AH60" s="26">
        <v>152.73</v>
      </c>
      <c r="AI60" s="26">
        <v>3.96</v>
      </c>
      <c r="AJ60" s="8">
        <f t="shared" si="4"/>
        <v>156.69</v>
      </c>
      <c r="AK60" s="8"/>
      <c r="AL60" s="8"/>
      <c r="AM60" s="8"/>
      <c r="AN60" s="8"/>
      <c r="AO60" s="8"/>
      <c r="AP60" s="8"/>
      <c r="AQ60" s="51">
        <f t="shared" si="13"/>
        <v>0.662584023140924</v>
      </c>
    </row>
    <row r="61" spans="1:43">
      <c r="A61" s="1"/>
      <c r="B61" s="1">
        <v>2019</v>
      </c>
      <c r="C61" s="9"/>
      <c r="D61" s="9"/>
      <c r="E61" s="9"/>
      <c r="F61" s="8">
        <v>454.73</v>
      </c>
      <c r="G61" s="8"/>
      <c r="H61" s="8">
        <v>46.04</v>
      </c>
      <c r="I61" s="8"/>
      <c r="J61" s="8"/>
      <c r="K61" s="8">
        <v>0.501814</v>
      </c>
      <c r="L61" s="8">
        <v>26.4</v>
      </c>
      <c r="M61" s="8">
        <v>0.006524</v>
      </c>
      <c r="N61" s="8"/>
      <c r="O61" s="8">
        <f t="shared" si="9"/>
        <v>72.948338</v>
      </c>
      <c r="P61" s="8"/>
      <c r="Q61" s="8"/>
      <c r="R61" s="8">
        <v>2.52</v>
      </c>
      <c r="S61" s="8"/>
      <c r="T61" s="26">
        <v>3.12</v>
      </c>
      <c r="U61" s="26"/>
      <c r="V61" s="26">
        <v>270.72</v>
      </c>
      <c r="W61" s="26"/>
      <c r="X61" s="26">
        <v>2e-6</v>
      </c>
      <c r="Y61" s="26">
        <f t="shared" si="10"/>
        <v>276.360002</v>
      </c>
      <c r="Z61" s="26"/>
      <c r="AA61" s="26"/>
      <c r="AB61" s="26"/>
      <c r="AC61" s="26"/>
      <c r="AD61" s="26"/>
      <c r="AE61" s="26"/>
      <c r="AF61" s="41"/>
      <c r="AG61" s="26">
        <f t="shared" si="8"/>
        <v>251.318336</v>
      </c>
      <c r="AH61" s="26">
        <v>137.55</v>
      </c>
      <c r="AI61" s="26">
        <v>-6.4</v>
      </c>
      <c r="AJ61" s="8">
        <f t="shared" si="4"/>
        <v>131.15</v>
      </c>
      <c r="AK61" s="8"/>
      <c r="AL61" s="8"/>
      <c r="AM61" s="8"/>
      <c r="AN61" s="8"/>
      <c r="AO61" s="8"/>
      <c r="AP61" s="8"/>
      <c r="AQ61" s="51">
        <f t="shared" si="13"/>
        <v>0.521848115371892</v>
      </c>
    </row>
    <row r="62" spans="1:43">
      <c r="A62" s="1"/>
      <c r="B62" s="1">
        <v>2018</v>
      </c>
      <c r="C62" s="9"/>
      <c r="D62" s="9"/>
      <c r="E62" s="9"/>
      <c r="F62" s="8">
        <v>379.63</v>
      </c>
      <c r="G62" s="8"/>
      <c r="H62" s="8">
        <v>4.4</v>
      </c>
      <c r="I62" s="8"/>
      <c r="J62" s="8"/>
      <c r="K62" s="8">
        <v>0.08</v>
      </c>
      <c r="L62" s="8">
        <v>34.66</v>
      </c>
      <c r="M62" s="8">
        <v>0.00291</v>
      </c>
      <c r="N62" s="8"/>
      <c r="O62" s="8">
        <f t="shared" si="9"/>
        <v>39.14291</v>
      </c>
      <c r="P62" s="8">
        <v>2.91</v>
      </c>
      <c r="Q62" s="8"/>
      <c r="R62" s="8">
        <v>1.63</v>
      </c>
      <c r="S62" s="8"/>
      <c r="T62" s="26"/>
      <c r="U62" s="26"/>
      <c r="V62" s="26">
        <v>265.6</v>
      </c>
      <c r="W62" s="26"/>
      <c r="X62" s="26">
        <v>0.018601</v>
      </c>
      <c r="Y62" s="26">
        <f t="shared" si="10"/>
        <v>270.158601</v>
      </c>
      <c r="Z62" s="26"/>
      <c r="AA62" s="26"/>
      <c r="AB62" s="26"/>
      <c r="AC62" s="26"/>
      <c r="AD62" s="26"/>
      <c r="AE62" s="26"/>
      <c r="AF62" s="41"/>
      <c r="AG62" s="26">
        <f t="shared" si="8"/>
        <v>148.614309</v>
      </c>
      <c r="AH62" s="26">
        <v>124.37</v>
      </c>
      <c r="AI62" s="26">
        <v>-4.24</v>
      </c>
      <c r="AJ62" s="8">
        <f t="shared" si="4"/>
        <v>120.13</v>
      </c>
      <c r="AK62" s="8"/>
      <c r="AL62" s="8"/>
      <c r="AM62" s="8"/>
      <c r="AN62" s="8"/>
      <c r="AO62" s="8"/>
      <c r="AP62" s="8"/>
      <c r="AQ62" s="51">
        <f t="shared" si="13"/>
        <v>0.808334007730037</v>
      </c>
    </row>
    <row r="63" spans="1:43">
      <c r="A63" s="1"/>
      <c r="B63" s="1">
        <v>2017</v>
      </c>
      <c r="C63" s="9"/>
      <c r="D63" s="9"/>
      <c r="E63" s="9"/>
      <c r="F63" s="8">
        <v>306.04</v>
      </c>
      <c r="G63" s="8"/>
      <c r="H63" s="8">
        <v>4.9</v>
      </c>
      <c r="I63" s="8">
        <v>31.21</v>
      </c>
      <c r="J63" s="8"/>
      <c r="K63" s="8">
        <v>0.0243</v>
      </c>
      <c r="L63" s="8">
        <v>0.971147</v>
      </c>
      <c r="M63" s="8">
        <v>0.159468</v>
      </c>
      <c r="N63" s="8"/>
      <c r="O63" s="8">
        <f t="shared" si="9"/>
        <v>37.264915</v>
      </c>
      <c r="P63" s="8">
        <v>2.87</v>
      </c>
      <c r="Q63" s="8"/>
      <c r="R63" s="8">
        <v>1.3</v>
      </c>
      <c r="S63" s="8"/>
      <c r="T63" s="26"/>
      <c r="U63" s="26"/>
      <c r="V63" s="26">
        <v>164.68</v>
      </c>
      <c r="W63" s="26"/>
      <c r="X63" s="26">
        <v>0.041007</v>
      </c>
      <c r="Y63" s="26">
        <f t="shared" si="10"/>
        <v>168.891007</v>
      </c>
      <c r="Z63" s="26"/>
      <c r="AA63" s="26"/>
      <c r="AB63" s="26"/>
      <c r="AC63" s="26"/>
      <c r="AD63" s="26"/>
      <c r="AE63" s="26"/>
      <c r="AF63" s="41"/>
      <c r="AG63" s="26">
        <f t="shared" si="8"/>
        <v>174.413908</v>
      </c>
      <c r="AH63" s="26">
        <v>104.87</v>
      </c>
      <c r="AI63" s="26">
        <v>2.65</v>
      </c>
      <c r="AJ63" s="8">
        <f t="shared" si="4"/>
        <v>107.52</v>
      </c>
      <c r="AK63" s="8"/>
      <c r="AL63" s="8"/>
      <c r="AM63" s="8"/>
      <c r="AN63" s="8"/>
      <c r="AO63" s="8"/>
      <c r="AP63" s="8"/>
      <c r="AQ63" s="51">
        <f t="shared" si="13"/>
        <v>0.616464599829963</v>
      </c>
    </row>
    <row r="64" spans="1:43">
      <c r="A64" s="1"/>
      <c r="B64" s="1">
        <v>2016</v>
      </c>
      <c r="C64" s="9"/>
      <c r="D64" s="9"/>
      <c r="E64" s="9"/>
      <c r="F64" s="8">
        <v>244.79</v>
      </c>
      <c r="G64" s="8"/>
      <c r="H64" s="8">
        <v>17.22</v>
      </c>
      <c r="I64" s="8">
        <v>29.54</v>
      </c>
      <c r="J64" s="8"/>
      <c r="K64" s="8">
        <v>0.07</v>
      </c>
      <c r="L64" s="8">
        <v>0.322913</v>
      </c>
      <c r="M64" s="8">
        <v>0.697895</v>
      </c>
      <c r="N64" s="8"/>
      <c r="O64" s="8">
        <f t="shared" si="9"/>
        <v>47.850808</v>
      </c>
      <c r="P64" s="8">
        <v>2.84</v>
      </c>
      <c r="Q64" s="8"/>
      <c r="R64" s="8">
        <v>0.35</v>
      </c>
      <c r="S64" s="8"/>
      <c r="T64" s="26"/>
      <c r="U64" s="26"/>
      <c r="V64" s="26">
        <v>136.38</v>
      </c>
      <c r="W64" s="26"/>
      <c r="X64" s="26">
        <v>0.155475</v>
      </c>
      <c r="Y64" s="26">
        <f t="shared" si="10"/>
        <v>139.725475</v>
      </c>
      <c r="Z64" s="26"/>
      <c r="AA64" s="26"/>
      <c r="AB64" s="26"/>
      <c r="AC64" s="26"/>
      <c r="AD64" s="26"/>
      <c r="AE64" s="26"/>
      <c r="AF64" s="41"/>
      <c r="AG64" s="26">
        <f t="shared" si="8"/>
        <v>152.915333</v>
      </c>
      <c r="AH64" s="26">
        <v>83.14</v>
      </c>
      <c r="AI64" s="26">
        <v>-2.25</v>
      </c>
      <c r="AJ64" s="8">
        <f t="shared" si="4"/>
        <v>80.89</v>
      </c>
      <c r="AK64" s="8"/>
      <c r="AL64" s="8"/>
      <c r="AM64" s="8"/>
      <c r="AN64" s="8"/>
      <c r="AO64" s="8"/>
      <c r="AP64" s="8"/>
      <c r="AQ64" s="51">
        <f t="shared" si="13"/>
        <v>0.528985539991598</v>
      </c>
    </row>
    <row r="65" spans="1:43">
      <c r="A65" s="1"/>
      <c r="B65" s="1">
        <v>2015</v>
      </c>
      <c r="C65" s="9"/>
      <c r="D65" s="9"/>
      <c r="E65" s="9"/>
      <c r="F65" s="8">
        <v>192.97</v>
      </c>
      <c r="G65" s="8"/>
      <c r="H65" s="8">
        <v>6.76</v>
      </c>
      <c r="I65" s="8"/>
      <c r="J65" s="8"/>
      <c r="K65" s="8">
        <v>0.07</v>
      </c>
      <c r="L65" s="8">
        <v>8.77</v>
      </c>
      <c r="M65" s="8">
        <v>0.19282</v>
      </c>
      <c r="N65" s="8"/>
      <c r="O65" s="8">
        <f t="shared" si="9"/>
        <v>15.79282</v>
      </c>
      <c r="P65" s="8">
        <v>0.560335</v>
      </c>
      <c r="Q65" s="8"/>
      <c r="R65" s="8"/>
      <c r="S65" s="8"/>
      <c r="T65" s="26"/>
      <c r="U65" s="26"/>
      <c r="V65" s="26">
        <v>101.07</v>
      </c>
      <c r="W65" s="26"/>
      <c r="X65" s="26">
        <v>0.061603</v>
      </c>
      <c r="Y65" s="26">
        <f t="shared" si="10"/>
        <v>101.691938</v>
      </c>
      <c r="Z65" s="26"/>
      <c r="AA65" s="26"/>
      <c r="AB65" s="26"/>
      <c r="AC65" s="26"/>
      <c r="AD65" s="26"/>
      <c r="AE65" s="26"/>
      <c r="AF65" s="41"/>
      <c r="AG65" s="26">
        <f t="shared" si="8"/>
        <v>107.070882</v>
      </c>
      <c r="AH65" s="26">
        <v>67.5</v>
      </c>
      <c r="AI65" s="26">
        <v>-1.53</v>
      </c>
      <c r="AJ65" s="8">
        <f t="shared" si="4"/>
        <v>65.97</v>
      </c>
      <c r="AK65" s="8"/>
      <c r="AL65" s="8"/>
      <c r="AM65" s="8"/>
      <c r="AN65" s="8"/>
      <c r="AO65" s="8"/>
      <c r="AP65" s="8"/>
      <c r="AQ65" s="51">
        <f t="shared" si="13"/>
        <v>0.616133899037088</v>
      </c>
    </row>
    <row r="66" spans="1:43">
      <c r="A66" s="1"/>
      <c r="B66" s="1">
        <v>2014</v>
      </c>
      <c r="C66" s="9"/>
      <c r="D66" s="9"/>
      <c r="E66" s="9"/>
      <c r="F66" s="8">
        <v>148.79</v>
      </c>
      <c r="G66" s="8"/>
      <c r="H66" s="8">
        <v>2.45</v>
      </c>
      <c r="I66" s="8"/>
      <c r="J66" s="8"/>
      <c r="K66" s="8">
        <v>0.03</v>
      </c>
      <c r="L66" s="8">
        <v>3.62</v>
      </c>
      <c r="M66" s="8"/>
      <c r="N66" s="8"/>
      <c r="O66" s="8">
        <f t="shared" si="9"/>
        <v>6.1</v>
      </c>
      <c r="P66" s="8">
        <v>0.006043</v>
      </c>
      <c r="Q66" s="8"/>
      <c r="R66" s="8"/>
      <c r="S66" s="8"/>
      <c r="T66" s="26"/>
      <c r="U66" s="26"/>
      <c r="V66" s="26">
        <v>72</v>
      </c>
      <c r="W66" s="26"/>
      <c r="X66" s="26">
        <v>0.030329</v>
      </c>
      <c r="Y66" s="26">
        <f t="shared" si="10"/>
        <v>72.036372</v>
      </c>
      <c r="Z66" s="26"/>
      <c r="AA66" s="26"/>
      <c r="AB66" s="26"/>
      <c r="AC66" s="26"/>
      <c r="AD66" s="26"/>
      <c r="AE66" s="26"/>
      <c r="AF66" s="41"/>
      <c r="AG66" s="26">
        <f t="shared" si="8"/>
        <v>82.853628</v>
      </c>
      <c r="AH66" s="26">
        <v>52.06</v>
      </c>
      <c r="AI66" s="26">
        <v>-0.820294</v>
      </c>
      <c r="AJ66" s="8">
        <f t="shared" si="4"/>
        <v>51.239706</v>
      </c>
      <c r="AK66" s="8"/>
      <c r="AL66" s="8"/>
      <c r="AM66" s="8"/>
      <c r="AN66" s="8"/>
      <c r="AO66" s="8"/>
      <c r="AP66" s="8"/>
      <c r="AQ66" s="51">
        <f t="shared" si="13"/>
        <v>0.618436479329547</v>
      </c>
    </row>
    <row r="67" spans="1:43">
      <c r="A67" s="1"/>
      <c r="B67" s="1">
        <v>2013</v>
      </c>
      <c r="C67" s="9"/>
      <c r="D67" s="9"/>
      <c r="E67" s="9"/>
      <c r="F67" s="8">
        <v>111.13</v>
      </c>
      <c r="G67" s="8"/>
      <c r="H67" s="8"/>
      <c r="I67" s="8"/>
      <c r="J67" s="8"/>
      <c r="K67" s="8"/>
      <c r="L67" s="8">
        <v>1.81</v>
      </c>
      <c r="M67" s="8"/>
      <c r="N67" s="8"/>
      <c r="O67" s="8">
        <f t="shared" si="9"/>
        <v>1.81</v>
      </c>
      <c r="P67" s="8">
        <v>0.006043</v>
      </c>
      <c r="Q67" s="8"/>
      <c r="R67" s="8">
        <v>0.004037</v>
      </c>
      <c r="S67" s="8"/>
      <c r="T67" s="26"/>
      <c r="U67" s="26"/>
      <c r="V67" s="26">
        <v>45.93</v>
      </c>
      <c r="W67" s="26"/>
      <c r="X67" s="26"/>
      <c r="Y67" s="26">
        <f t="shared" si="10"/>
        <v>45.94008</v>
      </c>
      <c r="Z67" s="26"/>
      <c r="AA67" s="26"/>
      <c r="AB67" s="26"/>
      <c r="AC67" s="26"/>
      <c r="AD67" s="26"/>
      <c r="AE67" s="26"/>
      <c r="AF67" s="41"/>
      <c r="AG67" s="26">
        <f t="shared" si="8"/>
        <v>66.99992</v>
      </c>
      <c r="AH67" s="26">
        <v>33.86</v>
      </c>
      <c r="AI67" s="26">
        <v>-0.865579</v>
      </c>
      <c r="AJ67" s="8">
        <f t="shared" ref="AJ67:AJ89" si="14">AH67+AI67</f>
        <v>32.994421</v>
      </c>
      <c r="AK67" s="8"/>
      <c r="AL67" s="8"/>
      <c r="AM67" s="8"/>
      <c r="AN67" s="8"/>
      <c r="AO67" s="8"/>
      <c r="AP67" s="8"/>
      <c r="AQ67" s="51">
        <f t="shared" si="13"/>
        <v>0.492454632781651</v>
      </c>
    </row>
    <row r="68" spans="1:43">
      <c r="A68" s="1"/>
      <c r="B68" s="1">
        <v>2012</v>
      </c>
      <c r="C68" s="9"/>
      <c r="D68" s="9"/>
      <c r="E68" s="9"/>
      <c r="F68" s="8">
        <v>86.71</v>
      </c>
      <c r="G68" s="8"/>
      <c r="H68" s="8"/>
      <c r="I68" s="8"/>
      <c r="J68" s="8"/>
      <c r="K68" s="8">
        <v>0.03</v>
      </c>
      <c r="L68" s="8"/>
      <c r="M68" s="8"/>
      <c r="N68" s="8"/>
      <c r="O68" s="8">
        <f t="shared" si="9"/>
        <v>0.03</v>
      </c>
      <c r="P68" s="8"/>
      <c r="Q68" s="8">
        <v>3</v>
      </c>
      <c r="R68" s="8">
        <v>0.014627</v>
      </c>
      <c r="S68" s="8"/>
      <c r="T68" s="26"/>
      <c r="U68" s="26"/>
      <c r="V68" s="26">
        <v>55.35</v>
      </c>
      <c r="W68" s="26"/>
      <c r="X68" s="26"/>
      <c r="Y68" s="26">
        <f t="shared" si="10"/>
        <v>58.364627</v>
      </c>
      <c r="Z68" s="26"/>
      <c r="AA68" s="26"/>
      <c r="AB68" s="26"/>
      <c r="AC68" s="26"/>
      <c r="AD68" s="26"/>
      <c r="AE68" s="26"/>
      <c r="AF68" s="41"/>
      <c r="AG68" s="26">
        <f>F68+H68+I68+K68+L68+M68+N68-P68-Q68-R68-S68-T68-U68-V68-W68-X68</f>
        <v>28.375373</v>
      </c>
      <c r="AH68" s="26">
        <v>23.14</v>
      </c>
      <c r="AI68" s="26">
        <v>-0.717242</v>
      </c>
      <c r="AJ68" s="8">
        <f t="shared" si="14"/>
        <v>22.422758</v>
      </c>
      <c r="AK68" s="8"/>
      <c r="AL68" s="8"/>
      <c r="AM68" s="8"/>
      <c r="AN68" s="8"/>
      <c r="AO68" s="8"/>
      <c r="AP68" s="8"/>
      <c r="AQ68" s="51">
        <f t="shared" si="13"/>
        <v>0.790218969103948</v>
      </c>
    </row>
    <row r="69" spans="1:43">
      <c r="A69" s="6" t="s">
        <v>160</v>
      </c>
      <c r="B69" s="6">
        <v>2022</v>
      </c>
      <c r="C69" s="9"/>
      <c r="D69" s="9"/>
      <c r="E69" s="9"/>
      <c r="F69" s="8">
        <v>25.97</v>
      </c>
      <c r="G69" s="8"/>
      <c r="H69" s="8">
        <v>0.385</v>
      </c>
      <c r="I69" s="8"/>
      <c r="J69" s="8"/>
      <c r="K69" s="8"/>
      <c r="L69" s="8">
        <v>3.8</v>
      </c>
      <c r="M69" s="8"/>
      <c r="N69" s="8"/>
      <c r="O69" s="8">
        <f t="shared" ref="O69:O89" si="15">SUM(G69:N69)</f>
        <v>4.185</v>
      </c>
      <c r="P69" s="8"/>
      <c r="Q69" s="8"/>
      <c r="R69" s="8"/>
      <c r="S69" s="8"/>
      <c r="T69" s="26">
        <v>10.35</v>
      </c>
      <c r="U69" s="26"/>
      <c r="V69" s="26">
        <v>5.59</v>
      </c>
      <c r="W69" s="26"/>
      <c r="X69" s="26"/>
      <c r="Y69" s="26">
        <f t="shared" ref="Y69:Y89" si="16">SUM(P69:X69)</f>
        <v>15.94</v>
      </c>
      <c r="Z69" s="26"/>
      <c r="AA69" s="26"/>
      <c r="AB69" s="26"/>
      <c r="AC69" s="26"/>
      <c r="AD69" s="26"/>
      <c r="AE69" s="26"/>
      <c r="AF69" s="41"/>
      <c r="AG69" s="26">
        <f t="shared" ref="AG69:AG89" si="17">F69+O69-Y69</f>
        <v>14.215</v>
      </c>
      <c r="AH69" s="26">
        <v>8.39</v>
      </c>
      <c r="AI69" s="26">
        <v>0.147836</v>
      </c>
      <c r="AJ69" s="8">
        <f t="shared" si="14"/>
        <v>8.537836</v>
      </c>
      <c r="AK69" s="8"/>
      <c r="AL69" s="8"/>
      <c r="AM69" s="8"/>
      <c r="AN69" s="8"/>
      <c r="AO69" s="8"/>
      <c r="AP69" s="8">
        <f t="shared" ref="AP69:AP101" si="18">AJ69-AO69</f>
        <v>8.537836</v>
      </c>
      <c r="AQ69" s="51">
        <f t="shared" ref="AQ69:AQ101" si="19">AP69/AG69</f>
        <v>0.600621596904678</v>
      </c>
    </row>
    <row r="70" spans="1:43">
      <c r="A70" s="6"/>
      <c r="B70" s="6">
        <v>2021</v>
      </c>
      <c r="C70" s="9"/>
      <c r="D70" s="9"/>
      <c r="E70" s="9"/>
      <c r="F70" s="8">
        <v>20.07</v>
      </c>
      <c r="G70" s="8"/>
      <c r="H70" s="8"/>
      <c r="I70" s="8"/>
      <c r="J70" s="8"/>
      <c r="K70" s="8"/>
      <c r="L70" s="8">
        <v>1</v>
      </c>
      <c r="M70" s="8"/>
      <c r="N70" s="8"/>
      <c r="O70" s="8">
        <f t="shared" si="15"/>
        <v>1</v>
      </c>
      <c r="P70" s="8"/>
      <c r="Q70" s="8"/>
      <c r="R70" s="8"/>
      <c r="S70" s="8"/>
      <c r="T70" s="26">
        <v>5.68</v>
      </c>
      <c r="U70" s="26"/>
      <c r="V70" s="26">
        <v>7.8</v>
      </c>
      <c r="W70" s="26"/>
      <c r="X70" s="26"/>
      <c r="Y70" s="26">
        <f t="shared" si="16"/>
        <v>13.48</v>
      </c>
      <c r="Z70" s="26"/>
      <c r="AA70" s="26"/>
      <c r="AB70" s="26"/>
      <c r="AC70" s="26"/>
      <c r="AD70" s="26"/>
      <c r="AE70" s="26"/>
      <c r="AF70" s="41"/>
      <c r="AG70" s="26">
        <f t="shared" si="17"/>
        <v>7.59</v>
      </c>
      <c r="AH70" s="26">
        <v>5.8</v>
      </c>
      <c r="AI70" s="26">
        <v>-0.05616</v>
      </c>
      <c r="AJ70" s="8">
        <f t="shared" si="14"/>
        <v>5.74384</v>
      </c>
      <c r="AK70" s="8"/>
      <c r="AL70" s="8"/>
      <c r="AM70" s="8"/>
      <c r="AN70" s="8"/>
      <c r="AO70" s="8"/>
      <c r="AP70" s="8">
        <f t="shared" si="18"/>
        <v>5.74384</v>
      </c>
      <c r="AQ70" s="51">
        <f t="shared" si="19"/>
        <v>0.756764163372859</v>
      </c>
    </row>
    <row r="71" spans="1:43">
      <c r="A71" s="6"/>
      <c r="B71" s="6">
        <v>2020</v>
      </c>
      <c r="C71" s="9"/>
      <c r="D71" s="9"/>
      <c r="E71" s="9"/>
      <c r="F71" s="8">
        <v>16.9</v>
      </c>
      <c r="G71" s="8"/>
      <c r="H71" s="8"/>
      <c r="I71" s="8"/>
      <c r="J71" s="8"/>
      <c r="K71" s="8"/>
      <c r="L71" s="8">
        <v>0.2</v>
      </c>
      <c r="M71" s="8"/>
      <c r="N71" s="8"/>
      <c r="O71" s="8">
        <f t="shared" si="15"/>
        <v>0.2</v>
      </c>
      <c r="P71" s="8"/>
      <c r="Q71" s="8"/>
      <c r="R71" s="8"/>
      <c r="S71" s="8"/>
      <c r="T71" s="26">
        <v>1.18</v>
      </c>
      <c r="U71" s="26"/>
      <c r="V71" s="26">
        <v>11.04</v>
      </c>
      <c r="W71" s="26"/>
      <c r="X71" s="26">
        <v>0.9</v>
      </c>
      <c r="Y71" s="26">
        <f t="shared" si="16"/>
        <v>13.12</v>
      </c>
      <c r="Z71" s="26"/>
      <c r="AA71" s="26"/>
      <c r="AB71" s="26"/>
      <c r="AC71" s="26"/>
      <c r="AD71" s="26"/>
      <c r="AE71" s="26"/>
      <c r="AF71" s="41"/>
      <c r="AG71" s="26">
        <f t="shared" si="17"/>
        <v>3.98</v>
      </c>
      <c r="AH71" s="26">
        <v>4.21</v>
      </c>
      <c r="AI71" s="26">
        <v>-0.035568</v>
      </c>
      <c r="AJ71" s="8">
        <f t="shared" si="14"/>
        <v>4.174432</v>
      </c>
      <c r="AK71" s="8"/>
      <c r="AL71" s="8"/>
      <c r="AM71" s="8"/>
      <c r="AN71" s="8"/>
      <c r="AO71" s="8"/>
      <c r="AP71" s="8">
        <f t="shared" si="18"/>
        <v>4.174432</v>
      </c>
      <c r="AQ71" s="51">
        <f t="shared" si="19"/>
        <v>1.04885226130653</v>
      </c>
    </row>
    <row r="72" spans="1:43">
      <c r="A72" s="6"/>
      <c r="B72" s="6">
        <v>2019</v>
      </c>
      <c r="C72" s="9"/>
      <c r="D72" s="9"/>
      <c r="E72" s="9"/>
      <c r="F72" s="8">
        <v>3.76</v>
      </c>
      <c r="G72" s="8"/>
      <c r="H72" s="8"/>
      <c r="I72" s="8"/>
      <c r="J72" s="8"/>
      <c r="K72" s="8">
        <v>0.14</v>
      </c>
      <c r="L72" s="8">
        <v>0.67</v>
      </c>
      <c r="M72" s="8"/>
      <c r="N72" s="8"/>
      <c r="O72" s="8">
        <f t="shared" si="15"/>
        <v>0.81</v>
      </c>
      <c r="P72" s="8"/>
      <c r="Q72" s="8"/>
      <c r="R72" s="8"/>
      <c r="S72" s="8"/>
      <c r="T72" s="26"/>
      <c r="U72" s="26"/>
      <c r="V72" s="26">
        <v>3.22</v>
      </c>
      <c r="W72" s="26"/>
      <c r="X72" s="26"/>
      <c r="Y72" s="26">
        <f t="shared" si="16"/>
        <v>3.22</v>
      </c>
      <c r="Z72" s="26"/>
      <c r="AA72" s="26"/>
      <c r="AB72" s="26"/>
      <c r="AC72" s="26"/>
      <c r="AD72" s="26"/>
      <c r="AE72" s="26"/>
      <c r="AF72" s="41"/>
      <c r="AG72" s="26">
        <f t="shared" si="17"/>
        <v>1.35</v>
      </c>
      <c r="AH72" s="26">
        <v>2.28</v>
      </c>
      <c r="AI72" s="26">
        <v>0.033454</v>
      </c>
      <c r="AJ72" s="8">
        <f t="shared" si="14"/>
        <v>2.313454</v>
      </c>
      <c r="AK72" s="8"/>
      <c r="AL72" s="8"/>
      <c r="AM72" s="8"/>
      <c r="AN72" s="8"/>
      <c r="AO72" s="8"/>
      <c r="AP72" s="8">
        <f t="shared" si="18"/>
        <v>2.313454</v>
      </c>
      <c r="AQ72" s="51">
        <f t="shared" si="19"/>
        <v>1.71366962962963</v>
      </c>
    </row>
    <row r="73" spans="1:43">
      <c r="A73" s="6"/>
      <c r="B73" s="6">
        <v>2018</v>
      </c>
      <c r="C73" s="9"/>
      <c r="D73" s="9"/>
      <c r="E73" s="9"/>
      <c r="F73" s="8">
        <v>2.6</v>
      </c>
      <c r="G73" s="8"/>
      <c r="H73" s="8"/>
      <c r="I73" s="8"/>
      <c r="J73" s="8"/>
      <c r="K73" s="8">
        <v>0.04</v>
      </c>
      <c r="L73" s="8">
        <v>0.39</v>
      </c>
      <c r="M73" s="8"/>
      <c r="N73" s="8"/>
      <c r="O73" s="8">
        <f t="shared" si="15"/>
        <v>0.43</v>
      </c>
      <c r="P73" s="8"/>
      <c r="Q73" s="8"/>
      <c r="R73" s="8"/>
      <c r="S73" s="8"/>
      <c r="T73" s="26"/>
      <c r="U73" s="26"/>
      <c r="V73" s="26">
        <v>2.43</v>
      </c>
      <c r="W73" s="26"/>
      <c r="X73" s="26"/>
      <c r="Y73" s="26">
        <f t="shared" si="16"/>
        <v>2.43</v>
      </c>
      <c r="Z73" s="26"/>
      <c r="AA73" s="26"/>
      <c r="AB73" s="26"/>
      <c r="AC73" s="26"/>
      <c r="AD73" s="26"/>
      <c r="AE73" s="26"/>
      <c r="AF73" s="41"/>
      <c r="AG73" s="26">
        <f t="shared" si="17"/>
        <v>0.6</v>
      </c>
      <c r="AH73" s="26">
        <v>1.47</v>
      </c>
      <c r="AI73" s="26">
        <v>0.022263</v>
      </c>
      <c r="AJ73" s="8">
        <f t="shared" si="14"/>
        <v>1.492263</v>
      </c>
      <c r="AK73" s="8"/>
      <c r="AL73" s="8"/>
      <c r="AM73" s="8"/>
      <c r="AN73" s="8"/>
      <c r="AO73" s="8"/>
      <c r="AP73" s="8">
        <f t="shared" si="18"/>
        <v>1.492263</v>
      </c>
      <c r="AQ73" s="51">
        <f t="shared" si="19"/>
        <v>2.487105</v>
      </c>
    </row>
    <row r="74" spans="1:43">
      <c r="A74" s="6"/>
      <c r="B74" s="6">
        <v>2017</v>
      </c>
      <c r="C74" s="9"/>
      <c r="D74" s="9"/>
      <c r="E74" s="9"/>
      <c r="F74" s="8">
        <v>1.88</v>
      </c>
      <c r="G74" s="8"/>
      <c r="H74" s="8">
        <v>0.1</v>
      </c>
      <c r="I74" s="8"/>
      <c r="J74" s="8"/>
      <c r="K74" s="8">
        <v>0.04</v>
      </c>
      <c r="L74" s="8">
        <v>0.305</v>
      </c>
      <c r="M74" s="8"/>
      <c r="N74" s="8"/>
      <c r="O74" s="8">
        <f t="shared" si="15"/>
        <v>0.445</v>
      </c>
      <c r="P74" s="8"/>
      <c r="Q74" s="8"/>
      <c r="R74" s="8"/>
      <c r="S74" s="8"/>
      <c r="T74" s="26"/>
      <c r="U74" s="26"/>
      <c r="V74" s="26">
        <v>2.11</v>
      </c>
      <c r="W74" s="26"/>
      <c r="X74" s="26"/>
      <c r="Y74" s="26">
        <f t="shared" si="16"/>
        <v>2.11</v>
      </c>
      <c r="Z74" s="26"/>
      <c r="AA74" s="26"/>
      <c r="AB74" s="26"/>
      <c r="AC74" s="26"/>
      <c r="AD74" s="26"/>
      <c r="AE74" s="26"/>
      <c r="AF74" s="41"/>
      <c r="AG74" s="26">
        <f t="shared" si="17"/>
        <v>0.215</v>
      </c>
      <c r="AH74" s="26">
        <v>1.18</v>
      </c>
      <c r="AI74" s="26">
        <v>0.024315</v>
      </c>
      <c r="AJ74" s="8">
        <f t="shared" si="14"/>
        <v>1.204315</v>
      </c>
      <c r="AK74" s="8"/>
      <c r="AL74" s="8"/>
      <c r="AM74" s="8"/>
      <c r="AN74" s="8"/>
      <c r="AO74" s="8"/>
      <c r="AP74" s="8">
        <f t="shared" si="18"/>
        <v>1.204315</v>
      </c>
      <c r="AQ74" s="51">
        <f t="shared" si="19"/>
        <v>5.60146511627907</v>
      </c>
    </row>
    <row r="75" spans="1:43">
      <c r="A75" s="6"/>
      <c r="B75" s="6">
        <v>2016</v>
      </c>
      <c r="C75" s="9"/>
      <c r="D75" s="9"/>
      <c r="E75" s="9"/>
      <c r="F75" s="8">
        <v>1.4</v>
      </c>
      <c r="G75" s="8"/>
      <c r="H75" s="8"/>
      <c r="I75" s="8"/>
      <c r="J75" s="8"/>
      <c r="K75" s="8">
        <v>0.04</v>
      </c>
      <c r="L75" s="8">
        <v>0.17</v>
      </c>
      <c r="M75" s="8"/>
      <c r="N75" s="8"/>
      <c r="O75" s="8">
        <f t="shared" si="15"/>
        <v>0.21</v>
      </c>
      <c r="P75" s="8"/>
      <c r="Q75" s="8"/>
      <c r="R75" s="8"/>
      <c r="S75" s="8"/>
      <c r="T75" s="26"/>
      <c r="U75" s="26"/>
      <c r="V75" s="26">
        <v>1.03</v>
      </c>
      <c r="W75" s="26"/>
      <c r="X75" s="26"/>
      <c r="Y75" s="26">
        <f t="shared" si="16"/>
        <v>1.03</v>
      </c>
      <c r="Z75" s="26"/>
      <c r="AA75" s="26"/>
      <c r="AB75" s="26"/>
      <c r="AC75" s="26"/>
      <c r="AD75" s="26"/>
      <c r="AE75" s="26"/>
      <c r="AF75" s="41"/>
      <c r="AG75" s="26">
        <f t="shared" si="17"/>
        <v>0.58</v>
      </c>
      <c r="AH75" s="26">
        <v>0.947209</v>
      </c>
      <c r="AI75" s="26">
        <v>0.014747</v>
      </c>
      <c r="AJ75" s="8">
        <f t="shared" si="14"/>
        <v>0.961956</v>
      </c>
      <c r="AK75" s="8"/>
      <c r="AL75" s="8"/>
      <c r="AM75" s="8"/>
      <c r="AN75" s="8"/>
      <c r="AO75" s="8"/>
      <c r="AP75" s="8">
        <f t="shared" si="18"/>
        <v>0.961956</v>
      </c>
      <c r="AQ75" s="51">
        <f t="shared" si="19"/>
        <v>1.65854482758621</v>
      </c>
    </row>
    <row r="76" spans="1:43">
      <c r="A76" s="6"/>
      <c r="B76" s="6">
        <v>2015</v>
      </c>
      <c r="C76" s="9"/>
      <c r="D76" s="9"/>
      <c r="E76" s="9"/>
      <c r="F76" s="8">
        <v>0.988138</v>
      </c>
      <c r="G76" s="8"/>
      <c r="H76" s="8"/>
      <c r="I76" s="8"/>
      <c r="J76" s="8"/>
      <c r="K76" s="8"/>
      <c r="L76" s="8">
        <v>0.31</v>
      </c>
      <c r="M76" s="8"/>
      <c r="N76" s="8"/>
      <c r="O76" s="8">
        <f t="shared" si="15"/>
        <v>0.31</v>
      </c>
      <c r="P76" s="8"/>
      <c r="Q76" s="8"/>
      <c r="R76" s="8"/>
      <c r="S76" s="8"/>
      <c r="T76" s="26"/>
      <c r="U76" s="26"/>
      <c r="V76" s="26">
        <v>0.7447413</v>
      </c>
      <c r="W76" s="26"/>
      <c r="X76" s="26"/>
      <c r="Y76" s="26">
        <f t="shared" si="16"/>
        <v>0.7447413</v>
      </c>
      <c r="Z76" s="26"/>
      <c r="AA76" s="26"/>
      <c r="AB76" s="26"/>
      <c r="AC76" s="26"/>
      <c r="AD76" s="26"/>
      <c r="AE76" s="26"/>
      <c r="AF76" s="41"/>
      <c r="AG76" s="26">
        <f t="shared" si="17"/>
        <v>0.5533967</v>
      </c>
      <c r="AH76" s="26">
        <v>0.308605</v>
      </c>
      <c r="AI76" s="26">
        <v>0.011</v>
      </c>
      <c r="AJ76" s="8">
        <f t="shared" si="14"/>
        <v>0.319605</v>
      </c>
      <c r="AK76" s="8"/>
      <c r="AL76" s="8"/>
      <c r="AM76" s="8"/>
      <c r="AN76" s="8"/>
      <c r="AO76" s="8"/>
      <c r="AP76" s="8">
        <f t="shared" si="18"/>
        <v>0.319605</v>
      </c>
      <c r="AQ76" s="51">
        <f t="shared" si="19"/>
        <v>0.57753325959479</v>
      </c>
    </row>
    <row r="77" spans="1:43">
      <c r="A77" s="6"/>
      <c r="B77" s="1">
        <v>2014</v>
      </c>
      <c r="C77" s="9"/>
      <c r="D77" s="9"/>
      <c r="E77" s="9"/>
      <c r="F77" s="8">
        <v>0.434745</v>
      </c>
      <c r="G77" s="8"/>
      <c r="H77" s="8"/>
      <c r="I77" s="8"/>
      <c r="J77" s="8"/>
      <c r="K77" s="8"/>
      <c r="L77" s="8">
        <v>0.21</v>
      </c>
      <c r="M77" s="8"/>
      <c r="N77" s="8"/>
      <c r="O77" s="8">
        <f t="shared" si="15"/>
        <v>0.21</v>
      </c>
      <c r="P77" s="8"/>
      <c r="Q77" s="8"/>
      <c r="R77" s="8"/>
      <c r="S77" s="8"/>
      <c r="T77" s="26"/>
      <c r="U77" s="26"/>
      <c r="V77" s="26">
        <v>0.193579</v>
      </c>
      <c r="W77" s="26"/>
      <c r="X77" s="26"/>
      <c r="Y77" s="26">
        <f t="shared" si="16"/>
        <v>0.193579</v>
      </c>
      <c r="Z77" s="26"/>
      <c r="AA77" s="26"/>
      <c r="AB77" s="26"/>
      <c r="AC77" s="26"/>
      <c r="AD77" s="26"/>
      <c r="AE77" s="26"/>
      <c r="AF77" s="41"/>
      <c r="AG77" s="26">
        <f t="shared" si="17"/>
        <v>0.451166</v>
      </c>
      <c r="AH77" s="26">
        <v>0.165881</v>
      </c>
      <c r="AI77" s="26">
        <v>0.016533</v>
      </c>
      <c r="AJ77" s="8">
        <f t="shared" si="14"/>
        <v>0.182414</v>
      </c>
      <c r="AK77" s="8"/>
      <c r="AL77" s="8"/>
      <c r="AM77" s="8"/>
      <c r="AN77" s="8"/>
      <c r="AO77" s="8"/>
      <c r="AP77" s="8">
        <f t="shared" si="18"/>
        <v>0.182414</v>
      </c>
      <c r="AQ77" s="51">
        <f t="shared" si="19"/>
        <v>0.404316814653586</v>
      </c>
    </row>
    <row r="78" spans="1:43">
      <c r="A78" s="6"/>
      <c r="B78" s="1">
        <v>2013</v>
      </c>
      <c r="C78" s="9"/>
      <c r="D78" s="9"/>
      <c r="E78" s="9"/>
      <c r="F78" s="8">
        <v>0.308839</v>
      </c>
      <c r="G78" s="8"/>
      <c r="H78" s="8"/>
      <c r="I78" s="8"/>
      <c r="J78" s="8"/>
      <c r="K78" s="8"/>
      <c r="L78" s="8">
        <v>0.23</v>
      </c>
      <c r="M78" s="8"/>
      <c r="N78" s="8"/>
      <c r="O78" s="8">
        <f t="shared" si="15"/>
        <v>0.23</v>
      </c>
      <c r="P78" s="8"/>
      <c r="Q78" s="8"/>
      <c r="R78" s="8"/>
      <c r="S78" s="8"/>
      <c r="T78" s="26"/>
      <c r="U78" s="26"/>
      <c r="V78" s="26">
        <v>0.044665</v>
      </c>
      <c r="W78" s="26"/>
      <c r="X78" s="26"/>
      <c r="Y78" s="26">
        <f t="shared" si="16"/>
        <v>0.044665</v>
      </c>
      <c r="Z78" s="26"/>
      <c r="AA78" s="26"/>
      <c r="AB78" s="26"/>
      <c r="AC78" s="26"/>
      <c r="AD78" s="26"/>
      <c r="AE78" s="26"/>
      <c r="AF78" s="41"/>
      <c r="AG78" s="26">
        <f t="shared" si="17"/>
        <v>0.494174</v>
      </c>
      <c r="AH78" s="26">
        <v>0.127962</v>
      </c>
      <c r="AI78" s="26">
        <v>0.016517</v>
      </c>
      <c r="AJ78" s="8">
        <f t="shared" si="14"/>
        <v>0.144479</v>
      </c>
      <c r="AK78" s="8"/>
      <c r="AL78" s="8"/>
      <c r="AM78" s="8"/>
      <c r="AN78" s="8"/>
      <c r="AO78" s="8"/>
      <c r="AP78" s="8">
        <f t="shared" si="18"/>
        <v>0.144479</v>
      </c>
      <c r="AQ78" s="51">
        <f t="shared" si="19"/>
        <v>0.292364632700223</v>
      </c>
    </row>
    <row r="79" spans="1:43">
      <c r="A79" s="6"/>
      <c r="B79" s="1">
        <v>2012</v>
      </c>
      <c r="C79" s="9"/>
      <c r="D79" s="9"/>
      <c r="E79" s="9"/>
      <c r="F79" s="8">
        <v>0.158067</v>
      </c>
      <c r="G79" s="8"/>
      <c r="H79" s="8"/>
      <c r="I79" s="8"/>
      <c r="J79" s="8"/>
      <c r="K79" s="8"/>
      <c r="L79" s="8">
        <v>0.139</v>
      </c>
      <c r="M79" s="8"/>
      <c r="N79" s="8"/>
      <c r="O79" s="8">
        <f t="shared" si="15"/>
        <v>0.139</v>
      </c>
      <c r="P79" s="8"/>
      <c r="Q79" s="8"/>
      <c r="R79" s="8"/>
      <c r="S79" s="8"/>
      <c r="T79" s="26"/>
      <c r="U79" s="26"/>
      <c r="V79" s="26"/>
      <c r="W79" s="26"/>
      <c r="X79" s="26"/>
      <c r="Y79" s="26">
        <f t="shared" si="16"/>
        <v>0</v>
      </c>
      <c r="Z79" s="26"/>
      <c r="AA79" s="26"/>
      <c r="AB79" s="26"/>
      <c r="AC79" s="26"/>
      <c r="AD79" s="26"/>
      <c r="AE79" s="26"/>
      <c r="AF79" s="41"/>
      <c r="AG79" s="26">
        <f t="shared" si="17"/>
        <v>0.297067</v>
      </c>
      <c r="AH79" s="26">
        <v>0.085188</v>
      </c>
      <c r="AI79" s="26">
        <v>0.006712</v>
      </c>
      <c r="AJ79" s="8">
        <f t="shared" si="14"/>
        <v>0.0919</v>
      </c>
      <c r="AK79" s="8"/>
      <c r="AL79" s="8"/>
      <c r="AM79" s="8"/>
      <c r="AN79" s="8"/>
      <c r="AO79" s="8"/>
      <c r="AP79" s="8">
        <f t="shared" si="18"/>
        <v>0.0919</v>
      </c>
      <c r="AQ79" s="51">
        <f t="shared" si="19"/>
        <v>0.309357821636197</v>
      </c>
    </row>
    <row r="80" spans="1:43">
      <c r="A80" s="1" t="s">
        <v>161</v>
      </c>
      <c r="B80" s="6">
        <v>2022</v>
      </c>
      <c r="C80" s="9"/>
      <c r="D80" s="9"/>
      <c r="E80" s="9"/>
      <c r="F80" s="8">
        <v>93.36</v>
      </c>
      <c r="G80" s="8"/>
      <c r="H80" s="8">
        <v>27.2</v>
      </c>
      <c r="I80" s="8"/>
      <c r="J80" s="8"/>
      <c r="K80" s="8">
        <v>6.12</v>
      </c>
      <c r="L80" s="8">
        <v>3</v>
      </c>
      <c r="M80" s="8"/>
      <c r="N80" s="8"/>
      <c r="O80" s="8">
        <f t="shared" si="15"/>
        <v>36.32</v>
      </c>
      <c r="P80" s="8"/>
      <c r="Q80" s="8"/>
      <c r="R80" s="8">
        <v>10.8</v>
      </c>
      <c r="S80" s="8"/>
      <c r="T80" s="26"/>
      <c r="U80" s="26"/>
      <c r="V80" s="26">
        <v>47.61</v>
      </c>
      <c r="W80" s="26"/>
      <c r="X80" s="26">
        <v>45.5</v>
      </c>
      <c r="Y80" s="26">
        <f t="shared" si="16"/>
        <v>103.91</v>
      </c>
      <c r="Z80" s="26"/>
      <c r="AA80" s="26"/>
      <c r="AB80" s="26"/>
      <c r="AC80" s="26"/>
      <c r="AD80" s="26"/>
      <c r="AE80" s="26"/>
      <c r="AF80" s="41"/>
      <c r="AG80" s="26">
        <f t="shared" si="17"/>
        <v>25.77</v>
      </c>
      <c r="AH80" s="26">
        <v>36.69</v>
      </c>
      <c r="AI80" s="26">
        <v>0.447657</v>
      </c>
      <c r="AJ80" s="8">
        <f t="shared" si="14"/>
        <v>37.137657</v>
      </c>
      <c r="AK80" s="8"/>
      <c r="AL80" s="8"/>
      <c r="AM80" s="8"/>
      <c r="AN80" s="8"/>
      <c r="AO80" s="8"/>
      <c r="AP80" s="8">
        <f t="shared" si="18"/>
        <v>37.137657</v>
      </c>
      <c r="AQ80" s="51">
        <f t="shared" si="19"/>
        <v>1.44111979045402</v>
      </c>
    </row>
    <row r="81" spans="1:43">
      <c r="A81" s="1"/>
      <c r="B81" s="6">
        <v>2021</v>
      </c>
      <c r="C81" s="9"/>
      <c r="D81" s="9"/>
      <c r="E81" s="9"/>
      <c r="F81" s="8">
        <v>97.34</v>
      </c>
      <c r="G81" s="8"/>
      <c r="H81" s="8">
        <v>14.91</v>
      </c>
      <c r="I81" s="8"/>
      <c r="J81" s="8"/>
      <c r="K81" s="8">
        <v>7.22</v>
      </c>
      <c r="L81" s="8"/>
      <c r="M81" s="8"/>
      <c r="N81" s="8"/>
      <c r="O81" s="8">
        <f t="shared" si="15"/>
        <v>22.13</v>
      </c>
      <c r="P81" s="8"/>
      <c r="Q81" s="8"/>
      <c r="R81" s="8">
        <v>3.8</v>
      </c>
      <c r="S81" s="8"/>
      <c r="T81" s="26"/>
      <c r="U81" s="26"/>
      <c r="V81" s="26">
        <v>28.02</v>
      </c>
      <c r="W81" s="26"/>
      <c r="X81" s="26">
        <v>71.04</v>
      </c>
      <c r="Y81" s="26">
        <f t="shared" si="16"/>
        <v>102.86</v>
      </c>
      <c r="Z81" s="26"/>
      <c r="AA81" s="26"/>
      <c r="AB81" s="26"/>
      <c r="AC81" s="26"/>
      <c r="AD81" s="26"/>
      <c r="AE81" s="26"/>
      <c r="AF81" s="41"/>
      <c r="AG81" s="26">
        <f t="shared" si="17"/>
        <v>16.61</v>
      </c>
      <c r="AH81" s="26">
        <v>32.16</v>
      </c>
      <c r="AI81" s="26">
        <v>2.1</v>
      </c>
      <c r="AJ81" s="8">
        <f t="shared" si="14"/>
        <v>34.26</v>
      </c>
      <c r="AK81" s="8"/>
      <c r="AL81" s="8"/>
      <c r="AM81" s="8"/>
      <c r="AN81" s="8"/>
      <c r="AO81" s="8"/>
      <c r="AP81" s="8">
        <f t="shared" si="18"/>
        <v>34.26</v>
      </c>
      <c r="AQ81" s="51">
        <f t="shared" si="19"/>
        <v>2.06261288380494</v>
      </c>
    </row>
    <row r="82" spans="1:43">
      <c r="A82" s="1"/>
      <c r="B82" s="6">
        <v>2020</v>
      </c>
      <c r="C82" s="9"/>
      <c r="D82" s="9"/>
      <c r="E82" s="9"/>
      <c r="F82" s="8">
        <v>52.02</v>
      </c>
      <c r="G82" s="8"/>
      <c r="H82" s="8">
        <v>13.51</v>
      </c>
      <c r="I82" s="8"/>
      <c r="J82" s="8"/>
      <c r="K82" s="8">
        <v>15.36</v>
      </c>
      <c r="L82" s="8"/>
      <c r="M82" s="8"/>
      <c r="N82" s="8"/>
      <c r="O82" s="8">
        <f t="shared" si="15"/>
        <v>28.87</v>
      </c>
      <c r="P82" s="8"/>
      <c r="Q82" s="8"/>
      <c r="R82" s="8">
        <v>3.85</v>
      </c>
      <c r="S82" s="8"/>
      <c r="T82" s="26"/>
      <c r="U82" s="26"/>
      <c r="V82" s="26">
        <v>34.15</v>
      </c>
      <c r="W82" s="26"/>
      <c r="X82" s="26">
        <v>11.3</v>
      </c>
      <c r="Y82" s="26">
        <f t="shared" si="16"/>
        <v>49.3</v>
      </c>
      <c r="Z82" s="26"/>
      <c r="AA82" s="26"/>
      <c r="AB82" s="26"/>
      <c r="AC82" s="26"/>
      <c r="AD82" s="26"/>
      <c r="AE82" s="26"/>
      <c r="AF82" s="41"/>
      <c r="AG82" s="26">
        <f t="shared" si="17"/>
        <v>31.59</v>
      </c>
      <c r="AH82" s="26">
        <v>13.67</v>
      </c>
      <c r="AI82" s="26">
        <v>2.1</v>
      </c>
      <c r="AJ82" s="8">
        <f t="shared" si="14"/>
        <v>15.77</v>
      </c>
      <c r="AK82" s="8"/>
      <c r="AL82" s="8"/>
      <c r="AM82" s="8"/>
      <c r="AN82" s="8"/>
      <c r="AO82" s="8"/>
      <c r="AP82" s="8">
        <f t="shared" si="18"/>
        <v>15.77</v>
      </c>
      <c r="AQ82" s="51">
        <f t="shared" si="19"/>
        <v>0.499208610319721</v>
      </c>
    </row>
    <row r="83" spans="1:43">
      <c r="A83" s="1"/>
      <c r="B83" s="1">
        <v>2019</v>
      </c>
      <c r="C83" s="9"/>
      <c r="D83" s="9"/>
      <c r="E83" s="9"/>
      <c r="F83" s="8">
        <v>29.72</v>
      </c>
      <c r="G83" s="8"/>
      <c r="H83" s="8">
        <v>8.7</v>
      </c>
      <c r="I83" s="8"/>
      <c r="J83" s="8"/>
      <c r="K83" s="8">
        <v>16.15</v>
      </c>
      <c r="L83" s="8"/>
      <c r="M83" s="8"/>
      <c r="N83" s="8"/>
      <c r="O83" s="8">
        <f t="shared" si="15"/>
        <v>24.85</v>
      </c>
      <c r="P83" s="8"/>
      <c r="Q83" s="8"/>
      <c r="R83" s="8">
        <v>0.397721</v>
      </c>
      <c r="S83" s="8"/>
      <c r="T83" s="26"/>
      <c r="U83" s="26"/>
      <c r="V83" s="26">
        <v>22.83</v>
      </c>
      <c r="W83" s="26"/>
      <c r="X83" s="26"/>
      <c r="Y83" s="26">
        <f t="shared" si="16"/>
        <v>23.227721</v>
      </c>
      <c r="Z83" s="26"/>
      <c r="AA83" s="26"/>
      <c r="AB83" s="26"/>
      <c r="AC83" s="26"/>
      <c r="AD83" s="26"/>
      <c r="AE83" s="26"/>
      <c r="AF83" s="41"/>
      <c r="AG83" s="26">
        <f t="shared" si="17"/>
        <v>31.342279</v>
      </c>
      <c r="AH83" s="26">
        <v>11.5</v>
      </c>
      <c r="AI83" s="26">
        <v>1.73</v>
      </c>
      <c r="AJ83" s="8">
        <f t="shared" si="14"/>
        <v>13.23</v>
      </c>
      <c r="AK83" s="8"/>
      <c r="AL83" s="8"/>
      <c r="AM83" s="8"/>
      <c r="AN83" s="8"/>
      <c r="AO83" s="8"/>
      <c r="AP83" s="8">
        <f t="shared" si="18"/>
        <v>13.23</v>
      </c>
      <c r="AQ83" s="51">
        <f t="shared" si="19"/>
        <v>0.422113529140622</v>
      </c>
    </row>
    <row r="84" spans="1:43">
      <c r="A84" s="1"/>
      <c r="B84" s="1">
        <v>2018</v>
      </c>
      <c r="C84" s="9"/>
      <c r="D84" s="9"/>
      <c r="E84" s="9"/>
      <c r="F84" s="8">
        <v>22.08</v>
      </c>
      <c r="G84" s="8"/>
      <c r="H84" s="8">
        <v>6.16</v>
      </c>
      <c r="I84" s="8"/>
      <c r="J84" s="8"/>
      <c r="K84" s="8">
        <v>13.68</v>
      </c>
      <c r="L84" s="8">
        <v>0.6</v>
      </c>
      <c r="M84" s="8"/>
      <c r="N84" s="8"/>
      <c r="O84" s="8">
        <f t="shared" si="15"/>
        <v>20.44</v>
      </c>
      <c r="P84" s="8"/>
      <c r="Q84" s="8"/>
      <c r="R84" s="8">
        <v>0.383641</v>
      </c>
      <c r="S84" s="8"/>
      <c r="T84" s="26"/>
      <c r="U84" s="26"/>
      <c r="V84" s="26">
        <v>14.79</v>
      </c>
      <c r="W84" s="26"/>
      <c r="X84" s="26"/>
      <c r="Y84" s="26">
        <f t="shared" si="16"/>
        <v>15.173641</v>
      </c>
      <c r="Z84" s="26"/>
      <c r="AA84" s="26"/>
      <c r="AB84" s="26"/>
      <c r="AC84" s="26"/>
      <c r="AD84" s="26"/>
      <c r="AE84" s="26"/>
      <c r="AF84" s="41"/>
      <c r="AG84" s="26">
        <f t="shared" si="17"/>
        <v>27.346359</v>
      </c>
      <c r="AH84" s="26">
        <v>7.38</v>
      </c>
      <c r="AI84" s="26">
        <v>1.16</v>
      </c>
      <c r="AJ84" s="8">
        <f t="shared" si="14"/>
        <v>8.54</v>
      </c>
      <c r="AK84" s="8"/>
      <c r="AL84" s="8"/>
      <c r="AM84" s="8"/>
      <c r="AN84" s="8"/>
      <c r="AO84" s="8"/>
      <c r="AP84" s="8">
        <f t="shared" si="18"/>
        <v>8.54</v>
      </c>
      <c r="AQ84" s="51">
        <f t="shared" si="19"/>
        <v>0.312290202874906</v>
      </c>
    </row>
    <row r="85" spans="1:43">
      <c r="A85" s="1"/>
      <c r="B85" s="6">
        <v>2017</v>
      </c>
      <c r="C85" s="9"/>
      <c r="D85" s="9"/>
      <c r="E85" s="9"/>
      <c r="F85" s="8">
        <v>17.3</v>
      </c>
      <c r="G85" s="8"/>
      <c r="H85" s="8">
        <v>1.67</v>
      </c>
      <c r="I85" s="8"/>
      <c r="J85" s="8"/>
      <c r="K85" s="8">
        <v>6.04</v>
      </c>
      <c r="L85" s="8">
        <v>1.1</v>
      </c>
      <c r="M85" s="8"/>
      <c r="N85" s="8"/>
      <c r="O85" s="8">
        <f t="shared" si="15"/>
        <v>8.81</v>
      </c>
      <c r="P85" s="8"/>
      <c r="Q85" s="8"/>
      <c r="R85" s="8"/>
      <c r="S85" s="8"/>
      <c r="T85" s="26"/>
      <c r="U85" s="26"/>
      <c r="V85" s="26">
        <v>13.95</v>
      </c>
      <c r="W85" s="26"/>
      <c r="X85" s="26"/>
      <c r="Y85" s="26">
        <f t="shared" si="16"/>
        <v>13.95</v>
      </c>
      <c r="Z85" s="26"/>
      <c r="AA85" s="26"/>
      <c r="AB85" s="26"/>
      <c r="AC85" s="26"/>
      <c r="AD85" s="26"/>
      <c r="AE85" s="26"/>
      <c r="AF85" s="41"/>
      <c r="AG85" s="26">
        <f t="shared" si="17"/>
        <v>12.16</v>
      </c>
      <c r="AH85" s="26">
        <v>5.99</v>
      </c>
      <c r="AI85" s="26">
        <v>0.394885</v>
      </c>
      <c r="AJ85" s="8">
        <f t="shared" si="14"/>
        <v>6.384885</v>
      </c>
      <c r="AK85" s="8"/>
      <c r="AL85" s="8"/>
      <c r="AM85" s="8"/>
      <c r="AN85" s="8"/>
      <c r="AO85" s="8"/>
      <c r="AP85" s="8">
        <f t="shared" si="18"/>
        <v>6.384885</v>
      </c>
      <c r="AQ85" s="51">
        <f t="shared" si="19"/>
        <v>0.525072779605263</v>
      </c>
    </row>
    <row r="86" spans="1:43">
      <c r="A86" s="1"/>
      <c r="B86" s="6">
        <v>2016</v>
      </c>
      <c r="C86" s="9"/>
      <c r="D86" s="9"/>
      <c r="E86" s="9"/>
      <c r="F86" s="8">
        <v>8.44</v>
      </c>
      <c r="G86" s="8"/>
      <c r="H86" s="8">
        <v>1.15</v>
      </c>
      <c r="I86" s="8"/>
      <c r="J86" s="8"/>
      <c r="K86" s="8">
        <v>4.23</v>
      </c>
      <c r="L86" s="8">
        <v>0.396</v>
      </c>
      <c r="M86" s="8"/>
      <c r="N86" s="8"/>
      <c r="O86" s="8">
        <f t="shared" si="15"/>
        <v>5.776</v>
      </c>
      <c r="P86" s="8"/>
      <c r="Q86" s="8"/>
      <c r="R86" s="8"/>
      <c r="S86" s="8"/>
      <c r="T86" s="26"/>
      <c r="U86" s="26"/>
      <c r="V86" s="26">
        <v>4.88</v>
      </c>
      <c r="W86" s="26"/>
      <c r="X86" s="26"/>
      <c r="Y86" s="26">
        <f t="shared" si="16"/>
        <v>4.88</v>
      </c>
      <c r="Z86" s="26"/>
      <c r="AA86" s="26"/>
      <c r="AB86" s="26"/>
      <c r="AC86" s="26"/>
      <c r="AD86" s="26"/>
      <c r="AE86" s="26"/>
      <c r="AF86" s="41"/>
      <c r="AG86" s="26">
        <f t="shared" si="17"/>
        <v>9.336</v>
      </c>
      <c r="AH86" s="26">
        <v>6.13</v>
      </c>
      <c r="AI86" s="26">
        <v>0.367139</v>
      </c>
      <c r="AJ86" s="8">
        <f t="shared" si="14"/>
        <v>6.497139</v>
      </c>
      <c r="AK86" s="8"/>
      <c r="AL86" s="8"/>
      <c r="AM86" s="8"/>
      <c r="AN86" s="8"/>
      <c r="AO86" s="8"/>
      <c r="AP86" s="8">
        <f t="shared" si="18"/>
        <v>6.497139</v>
      </c>
      <c r="AQ86" s="51">
        <f t="shared" si="19"/>
        <v>0.695923200514139</v>
      </c>
    </row>
    <row r="87" spans="1:43">
      <c r="A87" s="1"/>
      <c r="B87" s="1">
        <v>2015</v>
      </c>
      <c r="C87" s="9"/>
      <c r="D87" s="9"/>
      <c r="E87" s="9"/>
      <c r="F87" s="8">
        <v>3.74</v>
      </c>
      <c r="G87" s="8"/>
      <c r="H87" s="8">
        <v>0.7934</v>
      </c>
      <c r="I87" s="8"/>
      <c r="J87" s="8"/>
      <c r="K87" s="8">
        <v>3.03</v>
      </c>
      <c r="L87" s="8">
        <v>0.5</v>
      </c>
      <c r="M87" s="8"/>
      <c r="N87" s="8"/>
      <c r="O87" s="8">
        <f t="shared" si="15"/>
        <v>4.3234</v>
      </c>
      <c r="P87" s="8"/>
      <c r="Q87" s="8"/>
      <c r="R87" s="8">
        <v>0.3614</v>
      </c>
      <c r="S87" s="8"/>
      <c r="T87" s="26"/>
      <c r="U87" s="26"/>
      <c r="V87" s="26">
        <v>2.22</v>
      </c>
      <c r="W87" s="26"/>
      <c r="X87" s="26"/>
      <c r="Y87" s="26">
        <f t="shared" si="16"/>
        <v>2.5814</v>
      </c>
      <c r="Z87" s="26"/>
      <c r="AA87" s="26"/>
      <c r="AB87" s="26"/>
      <c r="AC87" s="26"/>
      <c r="AD87" s="26"/>
      <c r="AE87" s="26"/>
      <c r="AF87" s="41"/>
      <c r="AG87" s="26">
        <f t="shared" si="17"/>
        <v>5.482</v>
      </c>
      <c r="AH87" s="26">
        <v>1.81</v>
      </c>
      <c r="AI87" s="26">
        <v>0.260896</v>
      </c>
      <c r="AJ87" s="8">
        <f t="shared" si="14"/>
        <v>2.070896</v>
      </c>
      <c r="AK87" s="8"/>
      <c r="AL87" s="8"/>
      <c r="AM87" s="8"/>
      <c r="AN87" s="8"/>
      <c r="AO87" s="8"/>
      <c r="AP87" s="8">
        <f t="shared" si="18"/>
        <v>2.070896</v>
      </c>
      <c r="AQ87" s="51">
        <f t="shared" si="19"/>
        <v>0.377762860269975</v>
      </c>
    </row>
    <row r="88" spans="1:43">
      <c r="A88" s="1"/>
      <c r="B88" s="6">
        <v>2014</v>
      </c>
      <c r="C88" s="9"/>
      <c r="D88" s="9"/>
      <c r="E88" s="9"/>
      <c r="F88" s="8">
        <v>2.86</v>
      </c>
      <c r="G88" s="8"/>
      <c r="H88" s="8">
        <v>0.36</v>
      </c>
      <c r="I88" s="8"/>
      <c r="J88" s="8"/>
      <c r="K88" s="8">
        <v>0.69149</v>
      </c>
      <c r="L88" s="8">
        <v>0.2</v>
      </c>
      <c r="M88" s="8"/>
      <c r="N88" s="8"/>
      <c r="O88" s="8">
        <f t="shared" si="15"/>
        <v>1.25149</v>
      </c>
      <c r="P88" s="8"/>
      <c r="Q88" s="8"/>
      <c r="R88" s="8">
        <v>0.410396</v>
      </c>
      <c r="S88" s="8"/>
      <c r="T88" s="26"/>
      <c r="U88" s="26"/>
      <c r="V88" s="26">
        <v>3.45</v>
      </c>
      <c r="W88" s="26"/>
      <c r="X88" s="26"/>
      <c r="Y88" s="26">
        <f t="shared" si="16"/>
        <v>3.860396</v>
      </c>
      <c r="Z88" s="26"/>
      <c r="AA88" s="26"/>
      <c r="AB88" s="26"/>
      <c r="AC88" s="26"/>
      <c r="AD88" s="26"/>
      <c r="AE88" s="26"/>
      <c r="AF88" s="41"/>
      <c r="AG88" s="26">
        <f t="shared" si="17"/>
        <v>0.251094</v>
      </c>
      <c r="AH88" s="26">
        <v>0.7264</v>
      </c>
      <c r="AI88" s="26">
        <v>0.068143</v>
      </c>
      <c r="AJ88" s="8">
        <f t="shared" si="14"/>
        <v>0.794543</v>
      </c>
      <c r="AK88" s="8"/>
      <c r="AL88" s="8"/>
      <c r="AM88" s="8"/>
      <c r="AN88" s="8"/>
      <c r="AO88" s="8"/>
      <c r="AP88" s="8">
        <f t="shared" si="18"/>
        <v>0.794543</v>
      </c>
      <c r="AQ88" s="51">
        <f t="shared" si="19"/>
        <v>3.16432491417557</v>
      </c>
    </row>
    <row r="89" spans="1:43">
      <c r="A89" s="1"/>
      <c r="B89" s="1">
        <v>2013</v>
      </c>
      <c r="C89" s="9"/>
      <c r="D89" s="9"/>
      <c r="E89" s="9"/>
      <c r="F89" s="8">
        <v>1.72</v>
      </c>
      <c r="G89" s="8"/>
      <c r="H89" s="8">
        <v>0.4</v>
      </c>
      <c r="I89" s="8"/>
      <c r="J89" s="8"/>
      <c r="K89" s="8"/>
      <c r="L89" s="8">
        <v>0.37</v>
      </c>
      <c r="M89" s="8"/>
      <c r="N89" s="8"/>
      <c r="O89" s="8">
        <f t="shared" si="15"/>
        <v>0.77</v>
      </c>
      <c r="P89" s="8"/>
      <c r="Q89" s="8"/>
      <c r="R89" s="8">
        <v>0.470792</v>
      </c>
      <c r="S89" s="8"/>
      <c r="T89" s="26"/>
      <c r="U89" s="26"/>
      <c r="V89" s="26">
        <v>2.67</v>
      </c>
      <c r="W89" s="26"/>
      <c r="X89" s="26"/>
      <c r="Y89" s="26">
        <f t="shared" si="16"/>
        <v>3.140792</v>
      </c>
      <c r="Z89" s="26"/>
      <c r="AA89" s="26"/>
      <c r="AB89" s="26"/>
      <c r="AC89" s="26"/>
      <c r="AD89" s="26"/>
      <c r="AE89" s="26"/>
      <c r="AF89" s="41"/>
      <c r="AG89" s="26">
        <f t="shared" si="17"/>
        <v>-0.650792</v>
      </c>
      <c r="AH89" s="26">
        <v>0.853794</v>
      </c>
      <c r="AI89" s="26">
        <v>0.064462</v>
      </c>
      <c r="AJ89" s="8">
        <f t="shared" si="14"/>
        <v>0.918256</v>
      </c>
      <c r="AK89" s="8"/>
      <c r="AL89" s="8"/>
      <c r="AM89" s="8"/>
      <c r="AN89" s="8"/>
      <c r="AO89" s="8"/>
      <c r="AP89" s="8">
        <f t="shared" si="18"/>
        <v>0.918256</v>
      </c>
      <c r="AQ89" s="51">
        <f t="shared" si="19"/>
        <v>-1.4109823107844</v>
      </c>
    </row>
    <row r="90" spans="1:43">
      <c r="A90" s="1"/>
      <c r="B90" s="1">
        <v>2012</v>
      </c>
      <c r="C90" s="9"/>
      <c r="D90" s="9"/>
      <c r="E90" s="9"/>
      <c r="F90" s="8"/>
      <c r="G90" s="8"/>
      <c r="H90" s="8"/>
      <c r="I90" s="8"/>
      <c r="J90" s="8"/>
      <c r="K90" s="8"/>
      <c r="L90" s="8"/>
      <c r="M90" s="8"/>
      <c r="N90" s="8"/>
      <c r="O90" s="8"/>
      <c r="P90" s="8"/>
      <c r="Q90" s="8"/>
      <c r="R90" s="8"/>
      <c r="S90" s="8"/>
      <c r="T90" s="26"/>
      <c r="U90" s="26"/>
      <c r="V90" s="26"/>
      <c r="W90" s="26"/>
      <c r="X90" s="26"/>
      <c r="Y90" s="26"/>
      <c r="Z90" s="26"/>
      <c r="AA90" s="26"/>
      <c r="AB90" s="26"/>
      <c r="AC90" s="26"/>
      <c r="AD90" s="26"/>
      <c r="AE90" s="26"/>
      <c r="AF90" s="41"/>
      <c r="AG90" s="26"/>
      <c r="AH90" s="26"/>
      <c r="AI90" s="26"/>
      <c r="AJ90" s="8"/>
      <c r="AK90" s="8"/>
      <c r="AL90" s="8"/>
      <c r="AM90" s="8"/>
      <c r="AN90" s="8"/>
      <c r="AO90" s="8"/>
      <c r="AP90" s="8">
        <f t="shared" si="18"/>
        <v>0</v>
      </c>
      <c r="AQ90" s="51" t="e">
        <f t="shared" si="19"/>
        <v>#DIV/0!</v>
      </c>
    </row>
    <row r="91" spans="1:43">
      <c r="A91" s="1" t="s">
        <v>162</v>
      </c>
      <c r="B91" s="1">
        <v>2022</v>
      </c>
      <c r="C91" s="9"/>
      <c r="D91" s="9"/>
      <c r="E91" s="9"/>
      <c r="F91" s="8">
        <v>54.5</v>
      </c>
      <c r="G91" s="8"/>
      <c r="H91" s="8"/>
      <c r="I91" s="8"/>
      <c r="J91" s="8"/>
      <c r="K91" s="8"/>
      <c r="L91" s="8">
        <v>0.140164</v>
      </c>
      <c r="M91" s="8"/>
      <c r="N91" s="8"/>
      <c r="O91" s="8">
        <f t="shared" ref="O91:O101" si="20">SUM(G91:N91)</f>
        <v>0.140164</v>
      </c>
      <c r="P91" s="8"/>
      <c r="Q91" s="8"/>
      <c r="R91" s="8">
        <v>2.78</v>
      </c>
      <c r="S91" s="8"/>
      <c r="T91" s="26"/>
      <c r="U91" s="26">
        <v>0.053124</v>
      </c>
      <c r="V91" s="26">
        <v>31.77</v>
      </c>
      <c r="W91" s="26"/>
      <c r="X91" s="26"/>
      <c r="Y91" s="26">
        <f t="shared" ref="Y91:Y101" si="21">SUM(P91:X91)</f>
        <v>34.603124</v>
      </c>
      <c r="Z91" s="26"/>
      <c r="AA91" s="26"/>
      <c r="AB91" s="26"/>
      <c r="AC91" s="26"/>
      <c r="AD91" s="26"/>
      <c r="AE91" s="26"/>
      <c r="AF91" s="41"/>
      <c r="AG91" s="26">
        <f t="shared" ref="AG91:AG101" si="22">F91+O91-Y91</f>
        <v>20.03704</v>
      </c>
      <c r="AH91" s="26">
        <v>15.35</v>
      </c>
      <c r="AI91" s="26">
        <v>-0.604749</v>
      </c>
      <c r="AJ91" s="8">
        <f t="shared" ref="AJ91:AJ101" si="23">AH91+AI91</f>
        <v>14.745251</v>
      </c>
      <c r="AK91" s="8"/>
      <c r="AL91" s="8"/>
      <c r="AM91" s="8"/>
      <c r="AN91" s="8"/>
      <c r="AO91" s="8"/>
      <c r="AP91" s="8">
        <f t="shared" si="18"/>
        <v>14.745251</v>
      </c>
      <c r="AQ91" s="56">
        <f t="shared" si="19"/>
        <v>0.735899663822601</v>
      </c>
    </row>
    <row r="92" spans="1:43">
      <c r="A92" s="1"/>
      <c r="B92" s="1">
        <v>2021</v>
      </c>
      <c r="C92" s="9"/>
      <c r="D92" s="9"/>
      <c r="E92" s="9"/>
      <c r="F92" s="8">
        <v>49.35</v>
      </c>
      <c r="G92" s="8"/>
      <c r="H92" s="8"/>
      <c r="I92" s="8"/>
      <c r="J92" s="8"/>
      <c r="K92" s="8"/>
      <c r="L92" s="8"/>
      <c r="M92" s="8"/>
      <c r="N92" s="8"/>
      <c r="O92" s="8">
        <f t="shared" si="20"/>
        <v>0</v>
      </c>
      <c r="P92" s="8"/>
      <c r="Q92" s="8"/>
      <c r="R92" s="8">
        <v>4.83</v>
      </c>
      <c r="S92" s="8"/>
      <c r="T92" s="26"/>
      <c r="U92" s="26">
        <v>0.059501</v>
      </c>
      <c r="V92" s="26">
        <v>24.1</v>
      </c>
      <c r="W92" s="26"/>
      <c r="X92" s="26">
        <v>1.64</v>
      </c>
      <c r="Y92" s="26">
        <f t="shared" si="21"/>
        <v>30.629501</v>
      </c>
      <c r="Z92" s="26"/>
      <c r="AA92" s="26"/>
      <c r="AB92" s="26"/>
      <c r="AC92" s="26"/>
      <c r="AD92" s="26"/>
      <c r="AE92" s="26"/>
      <c r="AF92" s="41"/>
      <c r="AG92" s="26">
        <f t="shared" si="22"/>
        <v>18.720499</v>
      </c>
      <c r="AH92" s="26">
        <v>14.4</v>
      </c>
      <c r="AI92" s="26">
        <v>-0.459111</v>
      </c>
      <c r="AJ92" s="8">
        <f t="shared" si="23"/>
        <v>13.940889</v>
      </c>
      <c r="AK92" s="8"/>
      <c r="AL92" s="8"/>
      <c r="AM92" s="8"/>
      <c r="AN92" s="8"/>
      <c r="AO92" s="8"/>
      <c r="AP92" s="8">
        <f t="shared" si="18"/>
        <v>13.940889</v>
      </c>
      <c r="AQ92" s="56">
        <f t="shared" si="19"/>
        <v>0.744685758643506</v>
      </c>
    </row>
    <row r="93" spans="1:43">
      <c r="A93" s="1"/>
      <c r="B93" s="1">
        <v>2020</v>
      </c>
      <c r="C93" s="9"/>
      <c r="D93" s="9"/>
      <c r="E93" s="9"/>
      <c r="F93" s="8">
        <v>43.47</v>
      </c>
      <c r="G93" s="8"/>
      <c r="H93" s="8"/>
      <c r="I93" s="8"/>
      <c r="J93" s="8"/>
      <c r="K93" s="8"/>
      <c r="L93" s="8"/>
      <c r="M93" s="8"/>
      <c r="N93" s="8"/>
      <c r="O93" s="8">
        <f t="shared" si="20"/>
        <v>0</v>
      </c>
      <c r="P93" s="8"/>
      <c r="Q93" s="8"/>
      <c r="R93" s="8">
        <v>5.22</v>
      </c>
      <c r="S93" s="8"/>
      <c r="T93" s="26"/>
      <c r="U93" s="26">
        <v>0.050724</v>
      </c>
      <c r="V93" s="26">
        <v>20.24</v>
      </c>
      <c r="W93" s="26"/>
      <c r="X93" s="26">
        <v>1.13</v>
      </c>
      <c r="Y93" s="26">
        <f t="shared" si="21"/>
        <v>26.640724</v>
      </c>
      <c r="Z93" s="26"/>
      <c r="AA93" s="26"/>
      <c r="AB93" s="26"/>
      <c r="AC93" s="26"/>
      <c r="AD93" s="26"/>
      <c r="AE93" s="26"/>
      <c r="AF93" s="41"/>
      <c r="AG93" s="26">
        <f t="shared" si="22"/>
        <v>16.829276</v>
      </c>
      <c r="AH93" s="26">
        <v>13.84</v>
      </c>
      <c r="AI93" s="26">
        <v>-0.425993</v>
      </c>
      <c r="AJ93" s="8">
        <f t="shared" si="23"/>
        <v>13.414007</v>
      </c>
      <c r="AK93" s="8"/>
      <c r="AL93" s="8"/>
      <c r="AM93" s="8"/>
      <c r="AN93" s="8"/>
      <c r="AO93" s="8"/>
      <c r="AP93" s="8">
        <f t="shared" si="18"/>
        <v>13.414007</v>
      </c>
      <c r="AQ93" s="56">
        <f t="shared" si="19"/>
        <v>0.797063819025845</v>
      </c>
    </row>
    <row r="94" spans="1:43">
      <c r="A94" s="1"/>
      <c r="B94" s="1">
        <v>2019</v>
      </c>
      <c r="C94" s="9"/>
      <c r="D94" s="9"/>
      <c r="E94" s="9"/>
      <c r="F94" s="8">
        <v>39.06</v>
      </c>
      <c r="G94" s="8"/>
      <c r="H94" s="8"/>
      <c r="I94" s="8"/>
      <c r="J94" s="8"/>
      <c r="K94" s="8"/>
      <c r="L94" s="8"/>
      <c r="M94" s="8"/>
      <c r="N94" s="8"/>
      <c r="O94" s="8">
        <f t="shared" si="20"/>
        <v>0</v>
      </c>
      <c r="P94" s="8"/>
      <c r="Q94" s="8"/>
      <c r="R94" s="8">
        <v>2</v>
      </c>
      <c r="S94" s="8"/>
      <c r="T94" s="26"/>
      <c r="U94" s="26">
        <v>0.055052</v>
      </c>
      <c r="V94" s="26">
        <v>15.9</v>
      </c>
      <c r="W94" s="26"/>
      <c r="X94" s="26"/>
      <c r="Y94" s="26">
        <f t="shared" si="21"/>
        <v>17.955052</v>
      </c>
      <c r="Z94" s="26"/>
      <c r="AA94" s="26"/>
      <c r="AB94" s="26"/>
      <c r="AC94" s="26"/>
      <c r="AD94" s="26"/>
      <c r="AE94" s="26"/>
      <c r="AF94" s="41"/>
      <c r="AG94" s="26">
        <f t="shared" si="22"/>
        <v>21.104948</v>
      </c>
      <c r="AH94" s="26">
        <v>11.96</v>
      </c>
      <c r="AI94" s="26">
        <v>-0.336439</v>
      </c>
      <c r="AJ94" s="8">
        <f t="shared" si="23"/>
        <v>11.623561</v>
      </c>
      <c r="AK94" s="8"/>
      <c r="AL94" s="8"/>
      <c r="AM94" s="8"/>
      <c r="AN94" s="8"/>
      <c r="AO94" s="8"/>
      <c r="AP94" s="8">
        <f t="shared" si="18"/>
        <v>11.623561</v>
      </c>
      <c r="AQ94" s="56">
        <f t="shared" si="19"/>
        <v>0.55075051594536</v>
      </c>
    </row>
    <row r="95" spans="1:43">
      <c r="A95" s="1"/>
      <c r="B95" s="1">
        <v>2018</v>
      </c>
      <c r="C95" s="9"/>
      <c r="D95" s="9"/>
      <c r="E95" s="9"/>
      <c r="F95" s="8">
        <v>36.57</v>
      </c>
      <c r="G95" s="8"/>
      <c r="H95" s="8"/>
      <c r="I95" s="8"/>
      <c r="J95" s="8"/>
      <c r="K95" s="8"/>
      <c r="L95" s="8"/>
      <c r="M95" s="8"/>
      <c r="N95" s="8"/>
      <c r="O95" s="8">
        <f t="shared" si="20"/>
        <v>0</v>
      </c>
      <c r="P95" s="8"/>
      <c r="Q95" s="8"/>
      <c r="R95" s="8">
        <v>3.17</v>
      </c>
      <c r="S95" s="8"/>
      <c r="T95" s="26"/>
      <c r="U95" s="26">
        <v>0.164144</v>
      </c>
      <c r="V95" s="26">
        <v>10.1</v>
      </c>
      <c r="W95" s="26"/>
      <c r="X95" s="26"/>
      <c r="Y95" s="26">
        <f t="shared" si="21"/>
        <v>13.434144</v>
      </c>
      <c r="Z95" s="26"/>
      <c r="AA95" s="26"/>
      <c r="AB95" s="26"/>
      <c r="AC95" s="26"/>
      <c r="AD95" s="26"/>
      <c r="AE95" s="26"/>
      <c r="AF95" s="41"/>
      <c r="AG95" s="26">
        <f t="shared" si="22"/>
        <v>23.135856</v>
      </c>
      <c r="AH95" s="26">
        <v>11.65</v>
      </c>
      <c r="AI95" s="26">
        <v>-0.15335</v>
      </c>
      <c r="AJ95" s="8">
        <f t="shared" si="23"/>
        <v>11.49665</v>
      </c>
      <c r="AK95" s="8"/>
      <c r="AL95" s="8"/>
      <c r="AM95" s="8"/>
      <c r="AN95" s="8"/>
      <c r="AO95" s="8"/>
      <c r="AP95" s="8">
        <f t="shared" si="18"/>
        <v>11.49665</v>
      </c>
      <c r="AQ95" s="56">
        <f t="shared" si="19"/>
        <v>0.496919154406908</v>
      </c>
    </row>
    <row r="96" spans="1:43">
      <c r="A96" s="1"/>
      <c r="B96" s="1">
        <v>2017</v>
      </c>
      <c r="C96" s="9"/>
      <c r="D96" s="9"/>
      <c r="E96" s="9"/>
      <c r="F96" s="8">
        <v>32.11</v>
      </c>
      <c r="G96" s="8"/>
      <c r="H96" s="8"/>
      <c r="I96" s="8"/>
      <c r="J96" s="8"/>
      <c r="K96" s="8"/>
      <c r="L96" s="8"/>
      <c r="M96" s="8"/>
      <c r="N96" s="8"/>
      <c r="O96" s="8">
        <f t="shared" si="20"/>
        <v>0</v>
      </c>
      <c r="P96" s="8"/>
      <c r="Q96" s="8"/>
      <c r="R96" s="8">
        <v>0.775087</v>
      </c>
      <c r="S96" s="8"/>
      <c r="T96" s="26"/>
      <c r="U96" s="26">
        <v>0.201677</v>
      </c>
      <c r="V96" s="26">
        <v>14.3</v>
      </c>
      <c r="W96" s="26"/>
      <c r="X96" s="26"/>
      <c r="Y96" s="26">
        <f t="shared" si="21"/>
        <v>15.276764</v>
      </c>
      <c r="Z96" s="26"/>
      <c r="AA96" s="26"/>
      <c r="AB96" s="26"/>
      <c r="AC96" s="26"/>
      <c r="AD96" s="26"/>
      <c r="AE96" s="26"/>
      <c r="AF96" s="41"/>
      <c r="AG96" s="26">
        <f t="shared" si="22"/>
        <v>16.833236</v>
      </c>
      <c r="AH96" s="26">
        <v>9.63</v>
      </c>
      <c r="AI96" s="26">
        <v>-0.081596</v>
      </c>
      <c r="AJ96" s="8">
        <f t="shared" si="23"/>
        <v>9.548404</v>
      </c>
      <c r="AK96" s="8"/>
      <c r="AL96" s="8"/>
      <c r="AM96" s="8"/>
      <c r="AN96" s="8"/>
      <c r="AO96" s="8"/>
      <c r="AP96" s="8">
        <f t="shared" si="18"/>
        <v>9.548404</v>
      </c>
      <c r="AQ96" s="56">
        <f t="shared" si="19"/>
        <v>0.567235200647101</v>
      </c>
    </row>
    <row r="97" spans="1:43">
      <c r="A97" s="1"/>
      <c r="B97" s="1">
        <v>2016</v>
      </c>
      <c r="C97" s="9"/>
      <c r="D97" s="9"/>
      <c r="E97" s="9"/>
      <c r="F97" s="8">
        <v>27.47</v>
      </c>
      <c r="G97" s="8"/>
      <c r="H97" s="8"/>
      <c r="I97" s="8"/>
      <c r="J97" s="8"/>
      <c r="K97" s="8"/>
      <c r="L97" s="8"/>
      <c r="M97" s="8"/>
      <c r="N97" s="8"/>
      <c r="O97" s="8">
        <f t="shared" si="20"/>
        <v>0</v>
      </c>
      <c r="P97" s="8"/>
      <c r="Q97" s="8"/>
      <c r="R97" s="8">
        <v>2.47</v>
      </c>
      <c r="S97" s="8"/>
      <c r="T97" s="26"/>
      <c r="U97" s="26">
        <v>0.212782</v>
      </c>
      <c r="V97" s="26">
        <v>10.14</v>
      </c>
      <c r="W97" s="26"/>
      <c r="X97" s="26"/>
      <c r="Y97" s="26">
        <f t="shared" si="21"/>
        <v>12.822782</v>
      </c>
      <c r="Z97" s="26"/>
      <c r="AA97" s="26"/>
      <c r="AB97" s="26"/>
      <c r="AC97" s="26"/>
      <c r="AD97" s="26"/>
      <c r="AE97" s="26"/>
      <c r="AF97" s="41"/>
      <c r="AG97" s="26">
        <f t="shared" si="22"/>
        <v>14.647218</v>
      </c>
      <c r="AH97" s="26">
        <v>7.95</v>
      </c>
      <c r="AI97" s="26">
        <v>-0.088164</v>
      </c>
      <c r="AJ97" s="8">
        <f t="shared" si="23"/>
        <v>7.861836</v>
      </c>
      <c r="AK97" s="8"/>
      <c r="AL97" s="8"/>
      <c r="AM97" s="8"/>
      <c r="AN97" s="8"/>
      <c r="AO97" s="8"/>
      <c r="AP97" s="8">
        <f t="shared" si="18"/>
        <v>7.861836</v>
      </c>
      <c r="AQ97" s="56">
        <f t="shared" si="19"/>
        <v>0.536746022350456</v>
      </c>
    </row>
    <row r="98" spans="1:43">
      <c r="A98" s="1"/>
      <c r="B98" s="1">
        <v>2015</v>
      </c>
      <c r="C98" s="9"/>
      <c r="D98" s="9"/>
      <c r="E98" s="9"/>
      <c r="F98" s="8">
        <v>23.93</v>
      </c>
      <c r="G98" s="8"/>
      <c r="H98" s="8"/>
      <c r="I98" s="8"/>
      <c r="J98" s="8"/>
      <c r="K98" s="8"/>
      <c r="L98" s="8"/>
      <c r="M98" s="8"/>
      <c r="N98" s="8"/>
      <c r="O98" s="8">
        <f t="shared" si="20"/>
        <v>0</v>
      </c>
      <c r="P98" s="8"/>
      <c r="Q98" s="8"/>
      <c r="R98" s="8"/>
      <c r="S98" s="8"/>
      <c r="T98" s="26"/>
      <c r="U98" s="26">
        <v>0.223838</v>
      </c>
      <c r="V98" s="26">
        <v>7.41</v>
      </c>
      <c r="W98" s="26"/>
      <c r="X98" s="26"/>
      <c r="Y98" s="26">
        <f t="shared" si="21"/>
        <v>7.633838</v>
      </c>
      <c r="Z98" s="26"/>
      <c r="AA98" s="26"/>
      <c r="AB98" s="26"/>
      <c r="AC98" s="26"/>
      <c r="AD98" s="26"/>
      <c r="AE98" s="26"/>
      <c r="AF98" s="41"/>
      <c r="AG98" s="26">
        <f t="shared" si="22"/>
        <v>16.296162</v>
      </c>
      <c r="AH98" s="26">
        <v>5.78</v>
      </c>
      <c r="AI98" s="26">
        <v>-0.05442</v>
      </c>
      <c r="AJ98" s="8">
        <f t="shared" si="23"/>
        <v>5.72558</v>
      </c>
      <c r="AK98" s="8"/>
      <c r="AL98" s="8"/>
      <c r="AM98" s="8"/>
      <c r="AN98" s="8"/>
      <c r="AO98" s="8"/>
      <c r="AP98" s="8">
        <f t="shared" si="18"/>
        <v>5.72558</v>
      </c>
      <c r="AQ98" s="51">
        <f t="shared" si="19"/>
        <v>0.351345304495623</v>
      </c>
    </row>
    <row r="99" spans="1:43">
      <c r="A99" s="1"/>
      <c r="B99" s="1">
        <v>2014</v>
      </c>
      <c r="C99" s="9"/>
      <c r="D99" s="9"/>
      <c r="E99" s="9"/>
      <c r="F99" s="8">
        <v>21.17</v>
      </c>
      <c r="G99" s="8"/>
      <c r="H99" s="8"/>
      <c r="I99" s="8"/>
      <c r="J99" s="8"/>
      <c r="K99" s="8"/>
      <c r="L99" s="8"/>
      <c r="M99" s="8"/>
      <c r="N99" s="8"/>
      <c r="O99" s="8">
        <f t="shared" si="20"/>
        <v>0</v>
      </c>
      <c r="P99" s="8"/>
      <c r="Q99" s="8"/>
      <c r="R99" s="8"/>
      <c r="S99" s="8"/>
      <c r="T99" s="26"/>
      <c r="U99" s="26">
        <v>0.234992</v>
      </c>
      <c r="V99" s="26">
        <v>5.49</v>
      </c>
      <c r="W99" s="26"/>
      <c r="X99" s="26"/>
      <c r="Y99" s="26">
        <f t="shared" si="21"/>
        <v>5.724992</v>
      </c>
      <c r="Z99" s="26"/>
      <c r="AA99" s="26"/>
      <c r="AB99" s="26"/>
      <c r="AC99" s="26"/>
      <c r="AD99" s="26"/>
      <c r="AE99" s="26"/>
      <c r="AF99" s="41"/>
      <c r="AG99" s="26">
        <f t="shared" si="22"/>
        <v>15.445008</v>
      </c>
      <c r="AH99" s="26">
        <v>4.55</v>
      </c>
      <c r="AI99" s="26">
        <v>-0.074331</v>
      </c>
      <c r="AJ99" s="8">
        <f t="shared" si="23"/>
        <v>4.475669</v>
      </c>
      <c r="AK99" s="8"/>
      <c r="AL99" s="8"/>
      <c r="AM99" s="8"/>
      <c r="AN99" s="8"/>
      <c r="AO99" s="8"/>
      <c r="AP99" s="8">
        <f t="shared" si="18"/>
        <v>4.475669</v>
      </c>
      <c r="AQ99" s="51">
        <f t="shared" si="19"/>
        <v>0.289780944108284</v>
      </c>
    </row>
    <row r="100" spans="1:43">
      <c r="A100" s="1"/>
      <c r="B100" s="1">
        <v>2013</v>
      </c>
      <c r="C100" s="9"/>
      <c r="D100" s="9"/>
      <c r="E100" s="9"/>
      <c r="F100" s="8">
        <v>19.45</v>
      </c>
      <c r="G100" s="8"/>
      <c r="H100" s="8"/>
      <c r="I100" s="8"/>
      <c r="J100" s="8"/>
      <c r="K100" s="8"/>
      <c r="L100" s="8"/>
      <c r="M100" s="8"/>
      <c r="N100" s="8"/>
      <c r="O100" s="8">
        <f t="shared" si="20"/>
        <v>0</v>
      </c>
      <c r="P100" s="8"/>
      <c r="Q100" s="8"/>
      <c r="R100" s="8"/>
      <c r="S100" s="8"/>
      <c r="T100" s="26"/>
      <c r="U100" s="26">
        <v>0.244915</v>
      </c>
      <c r="V100" s="26">
        <v>6.49</v>
      </c>
      <c r="W100" s="26"/>
      <c r="X100" s="26"/>
      <c r="Y100" s="26">
        <f t="shared" si="21"/>
        <v>6.734915</v>
      </c>
      <c r="Z100" s="26"/>
      <c r="AA100" s="26"/>
      <c r="AB100" s="26"/>
      <c r="AC100" s="26"/>
      <c r="AD100" s="26"/>
      <c r="AE100" s="26"/>
      <c r="AF100" s="41"/>
      <c r="AG100" s="26">
        <f t="shared" si="22"/>
        <v>12.715085</v>
      </c>
      <c r="AH100" s="26">
        <v>3.8</v>
      </c>
      <c r="AI100" s="26">
        <v>-0.104395</v>
      </c>
      <c r="AJ100" s="8">
        <f t="shared" si="23"/>
        <v>3.695605</v>
      </c>
      <c r="AK100" s="8"/>
      <c r="AL100" s="8"/>
      <c r="AM100" s="8"/>
      <c r="AN100" s="8"/>
      <c r="AO100" s="8"/>
      <c r="AP100" s="8">
        <f t="shared" si="18"/>
        <v>3.695605</v>
      </c>
      <c r="AQ100" s="51">
        <f t="shared" si="19"/>
        <v>0.290647290206868</v>
      </c>
    </row>
    <row r="101" spans="1:43">
      <c r="A101" s="1"/>
      <c r="B101" s="1">
        <v>2012</v>
      </c>
      <c r="C101" s="9"/>
      <c r="D101" s="9"/>
      <c r="E101" s="9"/>
      <c r="F101" s="8">
        <v>17.72</v>
      </c>
      <c r="G101" s="8"/>
      <c r="H101" s="8"/>
      <c r="I101" s="8"/>
      <c r="J101" s="8"/>
      <c r="K101" s="8"/>
      <c r="L101" s="8">
        <v>0.200475</v>
      </c>
      <c r="M101" s="8"/>
      <c r="N101" s="8"/>
      <c r="O101" s="8">
        <f t="shared" si="20"/>
        <v>0.200475</v>
      </c>
      <c r="P101" s="8"/>
      <c r="Q101" s="8"/>
      <c r="R101" s="8"/>
      <c r="S101" s="8"/>
      <c r="T101" s="26"/>
      <c r="U101" s="26"/>
      <c r="V101" s="26">
        <v>6.6</v>
      </c>
      <c r="W101" s="26"/>
      <c r="X101" s="26"/>
      <c r="Y101" s="26">
        <f t="shared" si="21"/>
        <v>6.6</v>
      </c>
      <c r="Z101" s="26"/>
      <c r="AA101" s="26"/>
      <c r="AB101" s="26"/>
      <c r="AC101" s="26"/>
      <c r="AD101" s="26"/>
      <c r="AE101" s="26"/>
      <c r="AF101" s="41"/>
      <c r="AG101" s="26">
        <f t="shared" si="22"/>
        <v>11.320475</v>
      </c>
      <c r="AH101" s="26">
        <v>2.93</v>
      </c>
      <c r="AI101" s="26">
        <v>-0.058719</v>
      </c>
      <c r="AJ101" s="8">
        <f t="shared" si="23"/>
        <v>2.871281</v>
      </c>
      <c r="AK101" s="8"/>
      <c r="AL101" s="8"/>
      <c r="AM101" s="8"/>
      <c r="AN101" s="8"/>
      <c r="AO101" s="8"/>
      <c r="AP101" s="8">
        <f t="shared" si="18"/>
        <v>2.871281</v>
      </c>
      <c r="AQ101" s="51">
        <f t="shared" si="19"/>
        <v>0.253636088591689</v>
      </c>
    </row>
  </sheetData>
  <mergeCells count="44">
    <mergeCell ref="G1:N1"/>
    <mergeCell ref="P1:X1"/>
    <mergeCell ref="AK1:AN1"/>
    <mergeCell ref="A1:A2"/>
    <mergeCell ref="A3:A13"/>
    <mergeCell ref="A14:A24"/>
    <mergeCell ref="A25:A35"/>
    <mergeCell ref="A36:A46"/>
    <mergeCell ref="A47:A57"/>
    <mergeCell ref="A58:A68"/>
    <mergeCell ref="A69:A79"/>
    <mergeCell ref="A80:A90"/>
    <mergeCell ref="A91:A101"/>
    <mergeCell ref="B1:B2"/>
    <mergeCell ref="C1:C2"/>
    <mergeCell ref="D1:D2"/>
    <mergeCell ref="E1:E2"/>
    <mergeCell ref="F1:F2"/>
    <mergeCell ref="O1:O2"/>
    <mergeCell ref="Y1:Y2"/>
    <mergeCell ref="Z1:Z2"/>
    <mergeCell ref="AA1:AA2"/>
    <mergeCell ref="AB1:AB2"/>
    <mergeCell ref="AC1:AC2"/>
    <mergeCell ref="AD1:AD2"/>
    <mergeCell ref="AE1:AE2"/>
    <mergeCell ref="AF1:AF2"/>
    <mergeCell ref="AG1:AG2"/>
    <mergeCell ref="AH1:AH2"/>
    <mergeCell ref="AI1:AI2"/>
    <mergeCell ref="AJ1:AJ2"/>
    <mergeCell ref="AO1:AO2"/>
    <mergeCell ref="AP1:AP2"/>
    <mergeCell ref="AQ1:AQ2"/>
    <mergeCell ref="AR1:AR2"/>
    <mergeCell ref="AS1:AS2"/>
    <mergeCell ref="AT1:AT2"/>
    <mergeCell ref="AU1:AU2"/>
    <mergeCell ref="AV1:AV2"/>
    <mergeCell ref="AW1:AW2"/>
    <mergeCell ref="AX1:AX2"/>
    <mergeCell ref="AY1:AY2"/>
    <mergeCell ref="AZ1:AZ2"/>
    <mergeCell ref="AZ3:AZ1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5</vt:i4>
      </vt:variant>
    </vt:vector>
  </HeadingPairs>
  <TitlesOfParts>
    <vt:vector size="5" baseType="lpstr">
      <vt:lpstr>资产表分析</vt:lpstr>
      <vt:lpstr>利润表分析</vt:lpstr>
      <vt:lpstr>利润分配情况</vt:lpstr>
      <vt:lpstr>经营政策和竞争优势分析</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冬阳</cp:lastModifiedBy>
  <dcterms:created xsi:type="dcterms:W3CDTF">2023-05-01T09:56:00Z</dcterms:created>
  <dcterms:modified xsi:type="dcterms:W3CDTF">2023-06-10T10:14:14Z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BD49586A69B041EAA06F4AF0CA1C4894_11</vt:lpwstr>
  </property>
  <property fmtid="{D5CDD505-2E9C-101B-9397-08002B2CF9AE}" pid="3" name="KSOProductBuildVer">
    <vt:lpwstr>2052-5.1.1.7662</vt:lpwstr>
  </property>
</Properties>
</file>