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40" activeTab="3"/>
  </bookViews>
  <sheets>
    <sheet name="资产表分析" sheetId="1" r:id="rId1"/>
    <sheet name="利润表分析" sheetId="4" r:id="rId2"/>
    <sheet name="利润分配情况" sheetId="5" r:id="rId3"/>
    <sheet name="收购情况" sheetId="9" r:id="rId4"/>
    <sheet name="经营政策和竞争优势分析" sheetId="3" r:id="rId5"/>
    <sheet name="Sheet2" sheetId="2" r:id="rId6"/>
    <sheet name="Sheet1" sheetId="6" r:id="rId7"/>
    <sheet name="Sheet3" sheetId="7" r:id="rId8"/>
    <sheet name="Sheet4" sheetId="8" r:id="rId9"/>
  </sheets>
  <calcPr calcId="144525"/>
</workbook>
</file>

<file path=xl/sharedStrings.xml><?xml version="1.0" encoding="utf-8"?>
<sst xmlns="http://schemas.openxmlformats.org/spreadsheetml/2006/main" count="541" uniqueCount="327">
  <si>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</si>
  <si>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</si>
  <si>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</si>
  <si>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</si>
  <si>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</si>
  <si>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</si>
  <si>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</si>
  <si>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</si>
  <si>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</si>
  <si>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</si>
  <si>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</si>
  <si>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</si>
  <si>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</si>
  <si>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</si>
  <si>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</si>
  <si>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</si>
  <si>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</si>
  <si>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</si>
  <si>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</si>
  <si>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</si>
  <si>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</si>
  <si>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</si>
  <si>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</si>
  <si>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</si>
  <si>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</si>
  <si>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</si>
  <si>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</si>
  <si>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</si>
  <si>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</si>
  <si>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</si>
  <si>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</si>
  <si>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</si>
  <si>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</si>
  <si>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</si>
  <si>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</si>
  <si>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</si>
  <si>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</si>
  <si>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</si>
  <si>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</si>
  <si>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</si>
  <si>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经营性业务投入资本</t>
  </si>
  <si>
    <t>营业利润</t>
  </si>
  <si>
    <t>利润总额</t>
  </si>
  <si>
    <t>财务费用</t>
  </si>
  <si>
    <t>息税前利润</t>
  </si>
  <si>
    <t>经营性息税前利润</t>
  </si>
  <si>
    <t>投入资本回报率</t>
  </si>
  <si>
    <t>扣非投入资本回报率</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</si>
  <si>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</si>
  <si>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</si>
  <si>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</si>
  <si>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</si>
  <si>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</si>
  <si>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</si>
  <si>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</si>
  <si>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</si>
  <si>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</si>
  <si>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</si>
  <si>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</si>
  <si>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</si>
  <si>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</si>
  <si>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</si>
  <si>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</si>
  <si>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</si>
  <si>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</si>
  <si>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</si>
  <si>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</si>
  <si>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</si>
  <si>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</si>
  <si>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</si>
  <si>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</si>
  <si>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</si>
  <si>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</si>
  <si>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</si>
  <si>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</si>
  <si>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</si>
  <si>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</si>
  <si>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</si>
  <si>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</si>
  <si>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</si>
  <si>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</si>
  <si>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</si>
  <si>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</si>
  <si>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</si>
  <si>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</si>
  <si>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</si>
  <si>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</si>
  <si>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</si>
  <si>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</si>
  <si>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</si>
  <si>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</si>
  <si>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</si>
  <si>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</si>
  <si>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</si>
  <si>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</si>
  <si>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</si>
  <si>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</si>
  <si>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</si>
  <si>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</si>
  <si>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</si>
  <si>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</si>
  <si>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</si>
  <si>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</si>
  <si>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</si>
  <si>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</si>
  <si>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</si>
  <si>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</si>
  <si>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</si>
  <si>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</si>
  <si>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</si>
  <si>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</si>
  <si>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</si>
  <si>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</si>
  <si>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</si>
  <si>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</si>
  <si>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</si>
  <si>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</si>
  <si>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</si>
  <si>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</si>
  <si>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</si>
  <si>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</si>
  <si>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</si>
  <si>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</si>
  <si>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</si>
  <si>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</si>
  <si>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</si>
  <si>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</si>
  <si>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</si>
  <si>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</si>
  <si>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</si>
  <si>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</si>
  <si>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</si>
  <si>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</si>
  <si>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</si>
  <si>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</si>
  <si>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</si>
  <si>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</si>
  <si>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</si>
  <si>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</si>
  <si>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</si>
  <si>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</si>
  <si>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</si>
  <si>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</si>
  <si>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</si>
  <si>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</si>
  <si>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</si>
  <si>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</si>
  <si>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</si>
  <si>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</si>
  <si>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</si>
  <si>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</si>
  <si>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</si>
  <si>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</si>
  <si>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</si>
  <si>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</si>
  <si>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</si>
  <si>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</si>
  <si>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</si>
  <si>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</si>
  <si>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</si>
  <si>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</si>
  <si>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</si>
  <si>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</si>
  <si>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</si>
  <si>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</si>
  <si>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</si>
  <si>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</si>
  <si>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</si>
  <si>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</si>
  <si>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</si>
  <si>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</si>
  <si>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</si>
  <si>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</si>
  <si>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</si>
  <si>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</si>
  <si>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</si>
  <si>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</si>
  <si>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</si>
  <si>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</si>
  <si>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</si>
  <si>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</si>
  <si>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</si>
  <si>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</si>
  <si>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</si>
  <si>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</si>
  <si>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</si>
  <si>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</si>
  <si>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</si>
  <si>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</si>
  <si>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</si>
  <si>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</si>
  <si>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</si>
  <si>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t>
  </si>
  <si>
    <t>现金34509447.38</t>
  </si>
  <si>
    <t>-</t>
  </si>
  <si>
    <t>27% - 30%</t>
  </si>
  <si>
    <t>70% - 22%</t>
  </si>
  <si>
    <t>丹和醋业70%股权</t>
  </si>
  <si>
    <t>现金40271000</t>
  </si>
  <si>
    <t>35% - 40%</t>
  </si>
  <si>
    <t>25% -
20%</t>
  </si>
  <si>
    <t>31%-34%</t>
  </si>
  <si>
    <t>20%-28%</t>
  </si>
  <si>
    <t>38%-40%</t>
  </si>
  <si>
    <t>18%-23%</t>
  </si>
  <si>
    <t>31% - 40%</t>
  </si>
  <si>
    <t>32% - 33%</t>
  </si>
  <si>
    <t>合肥燕庄食用油</t>
  </si>
  <si>
    <t>29% - 30%</t>
  </si>
  <si>
    <t>16% - 17%</t>
  </si>
  <si>
    <t>31%-37%</t>
  </si>
  <si>
    <t>5%-26%</t>
  </si>
  <si>
    <t>15%-27%</t>
  </si>
  <si>
    <t>12%-15%</t>
  </si>
  <si>
    <t>14% - 59%</t>
  </si>
  <si>
    <t>12% - 20%</t>
  </si>
  <si>
    <t>8% - 24%</t>
  </si>
  <si>
    <t>浙江久晟67%股权</t>
  </si>
  <si>
    <t>39% - 41%</t>
  </si>
  <si>
    <t>18% - 24%</t>
  </si>
  <si>
    <t>红河宏斌67%股权</t>
  </si>
  <si>
    <t>现金532808000</t>
  </si>
  <si>
    <t>19% - 23%</t>
  </si>
  <si>
    <t>15% - 48%</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</si>
  <si>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</si>
  <si>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</si>
  <si>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</si>
  <si>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</si>
  <si>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</si>
  <si>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</si>
  <si>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</si>
  <si>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</si>
  <si>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</si>
  <si>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</si>
  <si>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</si>
  <si>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</si>
  <si>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</si>
  <si>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</si>
  <si>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</si>
  <si>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</si>
  <si>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</si>
  <si>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</si>
  <si>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</si>
  <si>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</si>
  <si>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</si>
  <si>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</si>
  <si>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</si>
  <si>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</si>
  <si>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</si>
  <si>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</si>
  <si>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</si>
  <si>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</si>
  <si>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</si>
  <si>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</si>
  <si>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</si>
  <si>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</si>
  <si>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</si>
  <si>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</si>
  <si>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</si>
  <si>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</si>
  <si>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</si>
  <si>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</si>
  <si>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</si>
  <si>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</si>
  <si>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</si>
  <si>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</si>
  <si>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</si>
  <si>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</si>
  <si>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</si>
  <si>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</si>
  <si>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投入资本</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</si>
  <si>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</si>
  <si>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</si>
  <si>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</si>
  <si>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</si>
  <si>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</si>
  <si>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</si>
  <si>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</si>
  <si>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</si>
  <si>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</si>
  <si>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</si>
  <si>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</si>
  <si>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</si>
  <si>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</si>
  <si>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</si>
  <si>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</si>
  <si>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</si>
  <si>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</si>
  <si>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</si>
  <si>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</si>
  <si>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</si>
  <si>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</si>
  <si>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</si>
  <si>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</si>
  <si>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</si>
  <si>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</si>
  <si>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</si>
  <si>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</si>
  <si>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</si>
  <si>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</si>
  <si>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</si>
  <si>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</si>
  <si>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</si>
  <si>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</si>
  <si>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</si>
  <si>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</si>
  <si>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</si>
  <si>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现金流</t>
  </si>
  <si>
    <t>公式</t>
  </si>
  <si>
    <t>f0*(1+G2)</t>
  </si>
  <si>
    <t>f0*(1+G2)/(1+W)+f0*(1+G2)^2/(1+W)^2+...</t>
  </si>
  <si>
    <t>a1+a2+a3+...</t>
  </si>
  <si>
    <t>f0*(1+G2)^2</t>
  </si>
  <si>
    <t>f0*((1+g2)/(1+w))+f0*((1+G2)/(1+W))^2+...</t>
  </si>
  <si>
    <t>a1+a1*q^(2-1)+a1*q^(3-1)+...</t>
  </si>
  <si>
    <t>f0*(1+G2)^3</t>
  </si>
  <si>
    <t>f0*((1+g2)/(1+w)+((1+g2)/(1+w))^2+...)</t>
  </si>
  <si>
    <t>a1*(1+q^(2-1)+q^(3-1)+...)</t>
  </si>
  <si>
    <t>f0*(1+G2)^4</t>
  </si>
  <si>
    <t>a1*(1-q^n)/1-q</t>
  </si>
  <si>
    <t>f0*(1+G2)^5</t>
  </si>
  <si>
    <t>f0*(1+G2)^6</t>
  </si>
  <si>
    <t>f0*(1+G2)^7</t>
  </si>
  <si>
    <t>f0*(1+G2)^8</t>
  </si>
  <si>
    <t>f0*(1+G2)^9</t>
  </si>
  <si>
    <t>f0*(1+G2)^10</t>
  </si>
  <si>
    <t>f0*(1+G2)^11</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</si>
</sst>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sz val="11"/>
      <color rgb="FFFF0000"/>
      <name val="宋体"/>
      <charset val="0"/>
      <scheme val="minor"/>
    </font>
    <font>
      <b/>
      <sz val="18"/>
      <color theme="3"/>
      <name val="宋体"/>
      <charset val="134"/>
      <scheme val="minor"/>
    </font>
    <font>
      <sz val="11"/>
      <color rgb="FFFA7D00"/>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9C0006"/>
      <name val="宋体"/>
      <charset val="0"/>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s>
  <fills count="50">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rgb="FFFFC000"/>
        <bgColor indexed="64"/>
      </patternFill>
    </fill>
    <fill>
      <patternFill patternType="solid">
        <fgColor theme="4" tint="0.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42" borderId="0" applyNumberFormat="0" applyBorder="0" applyAlignment="0" applyProtection="0">
      <alignment vertical="center"/>
    </xf>
    <xf numFmtId="0" fontId="7" fillId="39" borderId="0" applyNumberFormat="0" applyBorder="0" applyAlignment="0" applyProtection="0">
      <alignment vertical="center"/>
    </xf>
    <xf numFmtId="0" fontId="5" fillId="10" borderId="0" applyNumberFormat="0" applyBorder="0" applyAlignment="0" applyProtection="0">
      <alignment vertical="center"/>
    </xf>
    <xf numFmtId="0" fontId="22" fillId="47" borderId="15" applyNumberFormat="0" applyAlignment="0" applyProtection="0">
      <alignment vertical="center"/>
    </xf>
    <xf numFmtId="0" fontId="7" fillId="28" borderId="0" applyNumberFormat="0" applyBorder="0" applyAlignment="0" applyProtection="0">
      <alignment vertical="center"/>
    </xf>
    <xf numFmtId="0" fontId="7" fillId="38" borderId="0" applyNumberFormat="0" applyBorder="0" applyAlignment="0" applyProtection="0">
      <alignment vertical="center"/>
    </xf>
    <xf numFmtId="44" fontId="0" fillId="0" borderId="0" applyFont="0" applyFill="0" applyBorder="0" applyAlignment="0" applyProtection="0">
      <alignment vertical="center"/>
    </xf>
    <xf numFmtId="0" fontId="5" fillId="26" borderId="0" applyNumberFormat="0" applyBorder="0" applyAlignment="0" applyProtection="0">
      <alignment vertical="center"/>
    </xf>
    <xf numFmtId="9" fontId="0" fillId="0" borderId="0" applyFont="0" applyFill="0" applyBorder="0" applyAlignment="0" applyProtection="0">
      <alignment vertical="center"/>
    </xf>
    <xf numFmtId="0" fontId="5" fillId="43"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48" borderId="0" applyNumberFormat="0" applyBorder="0" applyAlignment="0" applyProtection="0">
      <alignment vertical="center"/>
    </xf>
    <xf numFmtId="0" fontId="5" fillId="25" borderId="0" applyNumberFormat="0" applyBorder="0" applyAlignment="0" applyProtection="0">
      <alignment vertical="center"/>
    </xf>
    <xf numFmtId="0" fontId="17" fillId="36" borderId="15" applyNumberFormat="0" applyAlignment="0" applyProtection="0">
      <alignment vertical="center"/>
    </xf>
    <xf numFmtId="0" fontId="5" fillId="32" borderId="0" applyNumberFormat="0" applyBorder="0" applyAlignment="0" applyProtection="0">
      <alignment vertical="center"/>
    </xf>
    <xf numFmtId="0" fontId="21" fillId="45" borderId="0" applyNumberFormat="0" applyBorder="0" applyAlignment="0" applyProtection="0">
      <alignment vertical="center"/>
    </xf>
    <xf numFmtId="0" fontId="7" fillId="33" borderId="0" applyNumberFormat="0" applyBorder="0" applyAlignment="0" applyProtection="0">
      <alignment vertical="center"/>
    </xf>
    <xf numFmtId="0" fontId="15" fillId="34" borderId="0" applyNumberFormat="0" applyBorder="0" applyAlignment="0" applyProtection="0">
      <alignment vertical="center"/>
    </xf>
    <xf numFmtId="0" fontId="7" fillId="35" borderId="0" applyNumberFormat="0" applyBorder="0" applyAlignment="0" applyProtection="0">
      <alignment vertical="center"/>
    </xf>
    <xf numFmtId="0" fontId="14" fillId="0" borderId="14" applyNumberFormat="0" applyFill="0" applyAlignment="0" applyProtection="0">
      <alignment vertical="center"/>
    </xf>
    <xf numFmtId="0" fontId="19" fillId="41" borderId="0" applyNumberFormat="0" applyBorder="0" applyAlignment="0" applyProtection="0">
      <alignment vertical="center"/>
    </xf>
    <xf numFmtId="0" fontId="18" fillId="37" borderId="16" applyNumberFormat="0" applyAlignment="0" applyProtection="0">
      <alignment vertical="center"/>
    </xf>
    <xf numFmtId="0" fontId="23" fillId="36" borderId="17" applyNumberFormat="0" applyAlignment="0" applyProtection="0">
      <alignment vertical="center"/>
    </xf>
    <xf numFmtId="0" fontId="13" fillId="0" borderId="13" applyNumberFormat="0" applyFill="0" applyAlignment="0" applyProtection="0">
      <alignment vertical="center"/>
    </xf>
    <xf numFmtId="0" fontId="12" fillId="0" borderId="0" applyNumberFormat="0" applyFill="0" applyBorder="0" applyAlignment="0" applyProtection="0">
      <alignment vertical="center"/>
    </xf>
    <xf numFmtId="0" fontId="7" fillId="31"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40"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29" borderId="0" applyNumberFormat="0" applyBorder="0" applyAlignment="0" applyProtection="0">
      <alignment vertical="center"/>
    </xf>
    <xf numFmtId="0" fontId="8" fillId="0" borderId="0" applyNumberFormat="0" applyFill="0" applyBorder="0" applyAlignment="0" applyProtection="0">
      <alignment vertical="center"/>
    </xf>
    <xf numFmtId="0" fontId="5" fillId="30" borderId="0" applyNumberFormat="0" applyBorder="0" applyAlignment="0" applyProtection="0">
      <alignment vertical="center"/>
    </xf>
    <xf numFmtId="0" fontId="0" fillId="27" borderId="11" applyNumberFormat="0" applyFont="0" applyAlignment="0" applyProtection="0">
      <alignment vertical="center"/>
    </xf>
    <xf numFmtId="0" fontId="7" fillId="23" borderId="0" applyNumberFormat="0" applyBorder="0" applyAlignment="0" applyProtection="0">
      <alignment vertical="center"/>
    </xf>
    <xf numFmtId="0" fontId="5" fillId="46" borderId="0" applyNumberFormat="0" applyBorder="0" applyAlignment="0" applyProtection="0">
      <alignment vertical="center"/>
    </xf>
    <xf numFmtId="0" fontId="7" fillId="49"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3" applyNumberFormat="0" applyFill="0" applyAlignment="0" applyProtection="0">
      <alignment vertical="center"/>
    </xf>
    <xf numFmtId="0" fontId="7" fillId="22" borderId="0" applyNumberFormat="0" applyBorder="0" applyAlignment="0" applyProtection="0">
      <alignment vertical="center"/>
    </xf>
    <xf numFmtId="0" fontId="6" fillId="0" borderId="10" applyNumberFormat="0" applyFill="0" applyAlignment="0" applyProtection="0">
      <alignment vertical="center"/>
    </xf>
    <xf numFmtId="0" fontId="5" fillId="21" borderId="0" applyNumberFormat="0" applyBorder="0" applyAlignment="0" applyProtection="0">
      <alignment vertical="center"/>
    </xf>
    <xf numFmtId="0" fontId="7" fillId="44" borderId="0" applyNumberFormat="0" applyBorder="0" applyAlignment="0" applyProtection="0">
      <alignment vertical="center"/>
    </xf>
    <xf numFmtId="0" fontId="10" fillId="0" borderId="12" applyNumberFormat="0" applyFill="0" applyAlignment="0" applyProtection="0">
      <alignment vertical="center"/>
    </xf>
  </cellStyleXfs>
  <cellXfs count="14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wrapText="1"/>
    </xf>
    <xf numFmtId="10" fontId="3" fillId="0" borderId="0" xfId="0" applyNumberFormat="1" applyFon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 fontId="0" fillId="0" borderId="1" xfId="9" applyNumberFormat="1" applyFont="1" applyFill="1" applyBorder="1" applyAlignment="1" applyProtection="1">
      <alignment horizontal="center" vertical="center"/>
    </xf>
    <xf numFmtId="10" fontId="0" fillId="4"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0" borderId="1" xfId="9" applyNumberFormat="1" applyBorder="1" applyAlignment="1">
      <alignment horizontal="center" vertical="center"/>
    </xf>
    <xf numFmtId="10" fontId="0" fillId="0" borderId="7" xfId="9" applyNumberFormat="1" applyBorder="1" applyAlignment="1">
      <alignment horizontal="center" vertical="center"/>
    </xf>
    <xf numFmtId="10" fontId="0" fillId="4" borderId="7" xfId="9" applyNumberFormat="1" applyFill="1" applyBorder="1" applyAlignment="1">
      <alignment horizontal="center" vertical="center"/>
    </xf>
    <xf numFmtId="44" fontId="0" fillId="0" borderId="7" xfId="9" applyNumberFormat="1" applyBorder="1" applyAlignment="1">
      <alignment horizontal="center" vertical="center"/>
    </xf>
    <xf numFmtId="44" fontId="0" fillId="4"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9" borderId="1" xfId="0" applyNumberFormat="1" applyFill="1" applyBorder="1" applyAlignment="1">
      <alignment horizontal="center" vertical="center" wrapText="1"/>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0" fontId="0" fillId="0" borderId="1" xfId="0" applyBorder="1" applyAlignment="1">
      <alignment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20" borderId="2" xfId="0" applyNumberFormat="1" applyFill="1" applyBorder="1" applyAlignment="1">
      <alignment horizontal="center" vertical="center"/>
    </xf>
    <xf numFmtId="44" fontId="0" fillId="20"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02"/>
  <sheetViews>
    <sheetView workbookViewId="0">
      <pane xSplit="2" ySplit="2" topLeftCell="BL3" activePane="bottomRight" state="frozen"/>
      <selection/>
      <selection pane="topRight"/>
      <selection pane="bottomLeft"/>
      <selection pane="bottomRight" activeCell="BO1" sqref="BO1:BO2"/>
    </sheetView>
  </sheetViews>
  <sheetFormatPr defaultColWidth="9" defaultRowHeight="16.8"/>
  <cols>
    <col min="1" max="1" width="10.3076923076923" style="1" customWidth="1"/>
    <col min="2" max="2" width="9" style="1"/>
    <col min="3" max="3" width="22.0769230769231" style="118" customWidth="1"/>
    <col min="4" max="5" width="22.0769230769231" style="60" customWidth="1"/>
    <col min="6" max="6" width="17.3076923076923" style="60" customWidth="1"/>
    <col min="7" max="7" width="19.8461538461538" style="118" customWidth="1"/>
    <col min="8" max="9" width="23.625" style="3" customWidth="1"/>
    <col min="10" max="10" width="23.625" style="83" customWidth="1"/>
    <col min="11" max="11" width="23.625" style="3" customWidth="1"/>
    <col min="12" max="12" width="19.125" style="3" customWidth="1"/>
    <col min="13" max="13" width="18.1538461538462" style="3" customWidth="1"/>
    <col min="14" max="14" width="19.125" style="3" customWidth="1"/>
    <col min="15" max="16" width="20.25" style="3" customWidth="1"/>
    <col min="17" max="17" width="46.375" style="3" customWidth="1"/>
    <col min="18" max="18" width="15.125" style="3" customWidth="1"/>
    <col min="19" max="20" width="19.375" style="3" customWidth="1"/>
    <col min="21" max="21" width="17.25" style="3" customWidth="1"/>
    <col min="22" max="22" width="18.1538461538462" style="3" customWidth="1"/>
    <col min="23" max="23" width="19.375" style="3" customWidth="1"/>
    <col min="24" max="24" width="21.375" style="90" customWidth="1"/>
    <col min="25" max="25" width="18.125" style="90" customWidth="1"/>
    <col min="26" max="26" width="23.625" style="90" customWidth="1"/>
    <col min="27" max="27" width="11" style="90" customWidth="1"/>
    <col min="28" max="28" width="22.5" style="90" customWidth="1"/>
    <col min="29" max="35" width="23.625" style="90" customWidth="1"/>
    <col min="36" max="38" width="28.4615384615385" style="119" customWidth="1"/>
    <col min="39" max="45" width="28.4615384615385" style="120"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5" width="17.3076923076923" customWidth="1"/>
    <col min="56" max="57" width="23.625" style="90" customWidth="1"/>
    <col min="58" max="58" width="22.5" style="90" customWidth="1"/>
    <col min="59" max="59" width="21.375" style="90" customWidth="1"/>
    <col min="60" max="61" width="22.5" style="3" customWidth="1"/>
    <col min="62" max="62" width="22.5" style="83" customWidth="1"/>
    <col min="63" max="63" width="20.375" style="121" customWidth="1"/>
    <col min="64" max="64" width="98.5576923076923" customWidth="1"/>
    <col min="65" max="65" width="20" customWidth="1"/>
    <col min="66" max="66" width="47.5961538461538" customWidth="1"/>
  </cols>
  <sheetData>
    <row r="1" spans="1:67">
      <c r="A1" s="4" t="s">
        <v>0</v>
      </c>
      <c r="B1" s="4" t="s">
        <v>1</v>
      </c>
      <c r="C1" s="51" t="s">
        <v>2</v>
      </c>
      <c r="D1" s="5" t="s">
        <v>3</v>
      </c>
      <c r="E1" s="6" t="s">
        <v>4</v>
      </c>
      <c r="F1" s="6" t="s">
        <v>5</v>
      </c>
      <c r="G1" s="125" t="s">
        <v>6</v>
      </c>
      <c r="H1" s="19" t="s">
        <v>7</v>
      </c>
      <c r="I1" s="127" t="s">
        <v>8</v>
      </c>
      <c r="J1" s="128" t="s">
        <v>9</v>
      </c>
      <c r="K1" s="21" t="s">
        <v>10</v>
      </c>
      <c r="L1" s="21"/>
      <c r="M1" s="21"/>
      <c r="N1" s="21"/>
      <c r="O1" s="21"/>
      <c r="P1" s="21"/>
      <c r="Q1" s="21"/>
      <c r="R1" s="25"/>
      <c r="S1" s="26" t="s">
        <v>11</v>
      </c>
      <c r="T1" s="27" t="s">
        <v>12</v>
      </c>
      <c r="U1" s="27"/>
      <c r="V1" s="27"/>
      <c r="W1" s="27"/>
      <c r="X1" s="27"/>
      <c r="Y1" s="27"/>
      <c r="Z1" s="27"/>
      <c r="AA1" s="27"/>
      <c r="AB1" s="27"/>
      <c r="AC1" s="26" t="s">
        <v>13</v>
      </c>
      <c r="AD1" s="30" t="s">
        <v>14</v>
      </c>
      <c r="AE1" s="31" t="s">
        <v>15</v>
      </c>
      <c r="AF1" s="32" t="s">
        <v>16</v>
      </c>
      <c r="AG1" s="36" t="s">
        <v>17</v>
      </c>
      <c r="AH1" s="37" t="s">
        <v>18</v>
      </c>
      <c r="AI1" s="38" t="s">
        <v>19</v>
      </c>
      <c r="AJ1" s="39" t="s">
        <v>20</v>
      </c>
      <c r="AK1" s="39" t="s">
        <v>21</v>
      </c>
      <c r="AL1" s="39" t="s">
        <v>22</v>
      </c>
      <c r="AM1" s="130" t="s">
        <v>23</v>
      </c>
      <c r="AN1" s="130" t="s">
        <v>24</v>
      </c>
      <c r="AO1" s="130" t="s">
        <v>25</v>
      </c>
      <c r="AP1" s="133" t="s">
        <v>26</v>
      </c>
      <c r="AQ1" s="133" t="s">
        <v>27</v>
      </c>
      <c r="AR1" s="130" t="s">
        <v>28</v>
      </c>
      <c r="AS1" s="130" t="s">
        <v>29</v>
      </c>
      <c r="AT1" s="135" t="s">
        <v>30</v>
      </c>
      <c r="AU1" s="12" t="s">
        <v>31</v>
      </c>
      <c r="AV1" s="12" t="s">
        <v>32</v>
      </c>
      <c r="AW1" s="12" t="s">
        <v>33</v>
      </c>
      <c r="AX1" s="12" t="s">
        <v>34</v>
      </c>
      <c r="AY1" s="12" t="s">
        <v>35</v>
      </c>
      <c r="AZ1" s="12" t="s">
        <v>36</v>
      </c>
      <c r="BA1" s="12" t="s">
        <v>37</v>
      </c>
      <c r="BB1" s="12" t="s">
        <v>38</v>
      </c>
      <c r="BC1" s="6" t="s">
        <v>39</v>
      </c>
      <c r="BD1" s="45" t="s">
        <v>40</v>
      </c>
      <c r="BE1" s="137" t="s">
        <v>41</v>
      </c>
      <c r="BF1" s="46" t="s">
        <v>42</v>
      </c>
      <c r="BG1" s="47" t="s">
        <v>43</v>
      </c>
      <c r="BH1" s="10" t="s">
        <v>44</v>
      </c>
      <c r="BI1" s="51" t="s">
        <v>45</v>
      </c>
      <c r="BJ1" s="140" t="s">
        <v>46</v>
      </c>
      <c r="BK1" s="52" t="s">
        <v>47</v>
      </c>
      <c r="BL1" s="9" t="s">
        <v>48</v>
      </c>
      <c r="BM1" s="1" t="s">
        <v>49</v>
      </c>
      <c r="BN1" s="2" t="s">
        <v>50</v>
      </c>
      <c r="BO1" s="72"/>
    </row>
    <row r="2" ht="41" customHeight="1" spans="1:67">
      <c r="A2" s="4"/>
      <c r="B2" s="4"/>
      <c r="C2" s="53"/>
      <c r="D2" s="7"/>
      <c r="E2" s="8"/>
      <c r="F2" s="8"/>
      <c r="G2" s="126"/>
      <c r="H2" s="19"/>
      <c r="I2" s="129"/>
      <c r="J2" s="128"/>
      <c r="K2" s="25" t="s">
        <v>51</v>
      </c>
      <c r="L2" s="22" t="s">
        <v>52</v>
      </c>
      <c r="M2" s="22" t="s">
        <v>53</v>
      </c>
      <c r="N2" s="22" t="s">
        <v>54</v>
      </c>
      <c r="O2" s="22" t="s">
        <v>55</v>
      </c>
      <c r="P2" s="22" t="s">
        <v>56</v>
      </c>
      <c r="Q2" s="22" t="s">
        <v>57</v>
      </c>
      <c r="R2" s="22" t="s">
        <v>58</v>
      </c>
      <c r="S2" s="26"/>
      <c r="T2" s="27" t="s">
        <v>59</v>
      </c>
      <c r="U2" s="27" t="s">
        <v>60</v>
      </c>
      <c r="V2" s="27" t="s">
        <v>61</v>
      </c>
      <c r="W2" s="27" t="s">
        <v>62</v>
      </c>
      <c r="X2" s="28" t="s">
        <v>63</v>
      </c>
      <c r="Y2" s="28" t="s">
        <v>64</v>
      </c>
      <c r="Z2" s="28" t="s">
        <v>65</v>
      </c>
      <c r="AA2" s="28" t="s">
        <v>66</v>
      </c>
      <c r="AB2" s="28" t="s">
        <v>67</v>
      </c>
      <c r="AC2" s="26"/>
      <c r="AD2" s="33"/>
      <c r="AE2" s="34"/>
      <c r="AF2" s="35"/>
      <c r="AG2" s="40"/>
      <c r="AH2" s="37"/>
      <c r="AI2" s="38"/>
      <c r="AJ2" s="41"/>
      <c r="AK2" s="41"/>
      <c r="AL2" s="41"/>
      <c r="AM2" s="131"/>
      <c r="AN2" s="131"/>
      <c r="AO2" s="131"/>
      <c r="AP2" s="134"/>
      <c r="AQ2" s="134"/>
      <c r="AR2" s="131"/>
      <c r="AS2" s="131"/>
      <c r="AT2" s="136"/>
      <c r="AU2" s="12"/>
      <c r="AV2" s="12"/>
      <c r="AW2" s="12"/>
      <c r="AX2" s="12"/>
      <c r="AY2" s="12"/>
      <c r="AZ2" s="12"/>
      <c r="BA2" s="12"/>
      <c r="BB2" s="12"/>
      <c r="BC2" s="8"/>
      <c r="BD2" s="45"/>
      <c r="BE2" s="138"/>
      <c r="BF2" s="46"/>
      <c r="BG2" s="47"/>
      <c r="BH2" s="10"/>
      <c r="BI2" s="53"/>
      <c r="BJ2" s="141"/>
      <c r="BK2" s="52"/>
      <c r="BL2" s="9"/>
      <c r="BM2" s="1"/>
      <c r="BN2" s="1"/>
      <c r="BO2" s="72"/>
    </row>
    <row r="3" spans="1:64">
      <c r="A3" s="9" t="s">
        <v>68</v>
      </c>
      <c r="B3" s="9">
        <v>2022</v>
      </c>
      <c r="C3" s="10">
        <f>3688.53*100000000</f>
        <v>368853000000</v>
      </c>
      <c r="D3" s="10" t="s">
        <v>69</v>
      </c>
      <c r="E3" s="11">
        <v>4633833787</v>
      </c>
      <c r="F3" s="23"/>
      <c r="G3" s="11">
        <v>34059175850.3</v>
      </c>
      <c r="H3" s="11">
        <v>26884479411.22</v>
      </c>
      <c r="I3" s="11"/>
      <c r="J3" s="42"/>
      <c r="K3" s="11"/>
      <c r="L3" s="11">
        <v>93653455.89</v>
      </c>
      <c r="M3" s="11"/>
      <c r="N3" s="11">
        <v>29745723.29</v>
      </c>
      <c r="O3" s="11"/>
      <c r="P3" s="11">
        <v>131720077.32</v>
      </c>
      <c r="Q3" s="11"/>
      <c r="R3" s="11"/>
      <c r="S3" s="11">
        <f>SUM(K3:R3)</f>
        <v>255119256.5</v>
      </c>
      <c r="T3" s="11"/>
      <c r="U3" s="11"/>
      <c r="V3" s="11"/>
      <c r="W3" s="11"/>
      <c r="X3" s="29">
        <v>100000</v>
      </c>
      <c r="Y3" s="29">
        <v>4131328.25</v>
      </c>
      <c r="Z3" s="29">
        <v>18223307402.03</v>
      </c>
      <c r="AA3" s="29"/>
      <c r="AB3" s="29">
        <v>6081662998.97</v>
      </c>
      <c r="AC3" s="29">
        <f>SUM(T3:AB3)</f>
        <v>24309201729.25</v>
      </c>
      <c r="AD3" s="29">
        <f>SUM(T3:Y3)</f>
        <v>4231328.25</v>
      </c>
      <c r="AE3" s="29">
        <f>SUM(Z3:AB3)</f>
        <v>24304970401</v>
      </c>
      <c r="AF3" s="29">
        <f>G3-AC3</f>
        <v>9749974121.05</v>
      </c>
      <c r="AG3" s="11">
        <v>4206780719.87</v>
      </c>
      <c r="AH3" s="11">
        <v>1179878268.77</v>
      </c>
      <c r="AI3" s="11">
        <v>684643779.66</v>
      </c>
      <c r="AJ3" s="42">
        <f t="shared" ref="AJ3:AJ13" si="0">SUM(AG3:AI3)/AF3</f>
        <v>0.622699372626249</v>
      </c>
      <c r="AK3" s="42">
        <f t="shared" ref="AK3:AK12" si="1">(AG3-AG4)/AG4</f>
        <v>0.163951735656397</v>
      </c>
      <c r="AL3" s="42">
        <f t="shared" ref="AL3:AL12" si="2">(AH3-AH4)/AH4</f>
        <v>0.278080921263089</v>
      </c>
      <c r="AM3" s="100"/>
      <c r="AN3" s="100">
        <v>188395321.48</v>
      </c>
      <c r="AO3" s="100">
        <v>25303923.79</v>
      </c>
      <c r="AP3" s="100"/>
      <c r="AQ3" s="100"/>
      <c r="AR3" s="100">
        <v>10738064.59</v>
      </c>
      <c r="AS3" s="100">
        <v>2391641182.47</v>
      </c>
      <c r="AT3" s="56">
        <v>52539515.27</v>
      </c>
      <c r="AU3" s="55"/>
      <c r="AV3" s="56">
        <v>142498802.39</v>
      </c>
      <c r="AW3" s="55"/>
      <c r="AX3" s="55"/>
      <c r="AY3" s="55"/>
      <c r="AZ3" s="56">
        <v>2335492509.4</v>
      </c>
      <c r="BA3" s="55"/>
      <c r="BB3" s="56">
        <v>19285851426.62</v>
      </c>
      <c r="BC3" s="56">
        <f>H3+S3</f>
        <v>27139598667.72</v>
      </c>
      <c r="BD3" s="29">
        <f>H3+S3-AC3</f>
        <v>2830396938.47</v>
      </c>
      <c r="BE3" s="29">
        <v>7352280924.22</v>
      </c>
      <c r="BF3" s="29">
        <v>7364206015.29</v>
      </c>
      <c r="BG3" s="29">
        <v>-732179071.06</v>
      </c>
      <c r="BH3" s="11">
        <f t="shared" ref="BH3:BH13" si="3">BF3+BG3</f>
        <v>6632026944.23</v>
      </c>
      <c r="BI3" s="11">
        <f>BE3+BG3</f>
        <v>6620101853.16</v>
      </c>
      <c r="BJ3" s="42">
        <f>BH3/BD3</f>
        <v>2.34314376690041</v>
      </c>
      <c r="BK3" s="54">
        <f>BI3/BD3</f>
        <v>2.33893054475199</v>
      </c>
      <c r="BL3" s="58" t="s">
        <v>70</v>
      </c>
    </row>
    <row r="4" spans="1:64">
      <c r="A4" s="9"/>
      <c r="B4" s="9">
        <v>2021</v>
      </c>
      <c r="C4" s="10">
        <f>4427.84*100000000</f>
        <v>442784000000</v>
      </c>
      <c r="D4" s="10" t="s">
        <v>71</v>
      </c>
      <c r="E4" s="11">
        <v>4212576170</v>
      </c>
      <c r="F4" s="23"/>
      <c r="G4" s="11">
        <v>33337724549.58</v>
      </c>
      <c r="H4" s="11">
        <v>23499848566.38</v>
      </c>
      <c r="I4" s="11"/>
      <c r="J4" s="42"/>
      <c r="K4" s="11"/>
      <c r="L4" s="11"/>
      <c r="M4" s="11"/>
      <c r="N4" s="11">
        <v>54070173.8</v>
      </c>
      <c r="O4" s="11"/>
      <c r="P4" s="11">
        <v>104600000</v>
      </c>
      <c r="Q4" s="11"/>
      <c r="R4" s="11"/>
      <c r="S4" s="11">
        <f>SUM(K4:R4)</f>
        <v>158670173.8</v>
      </c>
      <c r="T4" s="11"/>
      <c r="U4" s="11"/>
      <c r="V4" s="11"/>
      <c r="W4" s="11"/>
      <c r="X4" s="29">
        <v>100000</v>
      </c>
      <c r="Y4" s="29">
        <v>4496708</v>
      </c>
      <c r="Z4" s="29">
        <v>19813767427.18</v>
      </c>
      <c r="AA4" s="29"/>
      <c r="AB4" s="29">
        <v>5377818664.42</v>
      </c>
      <c r="AC4" s="29">
        <f>SUM(T4:AB4)</f>
        <v>25196182799.6</v>
      </c>
      <c r="AD4" s="29">
        <f t="shared" ref="AD4:AD13" si="4">SUM(T4:Y4)</f>
        <v>4596708</v>
      </c>
      <c r="AE4" s="29">
        <f t="shared" ref="AE4:AE13" si="5">SUM(Z4:AB4)</f>
        <v>25191586091.6</v>
      </c>
      <c r="AF4" s="29">
        <f t="shared" ref="AF4:AF13" si="6">G4-AC4</f>
        <v>8141541749.98</v>
      </c>
      <c r="AG4" s="11">
        <v>3614222644.29</v>
      </c>
      <c r="AH4" s="11">
        <v>923163979.01</v>
      </c>
      <c r="AI4" s="11">
        <v>376666046.75</v>
      </c>
      <c r="AJ4" s="42">
        <f t="shared" si="0"/>
        <v>0.603577654080331</v>
      </c>
      <c r="AK4" s="42">
        <f t="shared" si="1"/>
        <v>-0.0765708136627867</v>
      </c>
      <c r="AL4" s="42">
        <f t="shared" si="2"/>
        <v>1.50313013034616</v>
      </c>
      <c r="AM4" s="100"/>
      <c r="AN4" s="100">
        <v>56045139.23</v>
      </c>
      <c r="AO4" s="100">
        <v>16294323.24</v>
      </c>
      <c r="AP4" s="100"/>
      <c r="AQ4" s="100"/>
      <c r="AR4" s="100">
        <v>16216013.8</v>
      </c>
      <c r="AS4" s="100">
        <v>2226818960.68</v>
      </c>
      <c r="AT4" s="56">
        <v>71912733.17</v>
      </c>
      <c r="AU4" s="55"/>
      <c r="AV4" s="56">
        <v>142498802.39</v>
      </c>
      <c r="AW4" s="55"/>
      <c r="AX4" s="55"/>
      <c r="AY4" s="55"/>
      <c r="AZ4" s="56">
        <v>2124863700.9</v>
      </c>
      <c r="BA4" s="55"/>
      <c r="BB4" s="56">
        <v>16921578797.54</v>
      </c>
      <c r="BC4" s="56">
        <f t="shared" ref="BC4:BC24" si="7">H4+S4</f>
        <v>23658518740.18</v>
      </c>
      <c r="BD4" s="29">
        <f t="shared" ref="BD3:BD13" si="8">H4+L4+M4+O4+P4+Q4+R4-T4-U4-V4-W4-X4-Y4-Z4-AA4-AB4</f>
        <v>-1591734233.22</v>
      </c>
      <c r="BE4" s="29">
        <v>7820419296.51</v>
      </c>
      <c r="BF4" s="29">
        <v>7820740015.8</v>
      </c>
      <c r="BG4" s="29">
        <v>-584217366.43</v>
      </c>
      <c r="BH4" s="11">
        <f t="shared" si="3"/>
        <v>7236522649.37</v>
      </c>
      <c r="BI4" s="11">
        <f t="shared" ref="BI4:BI13" si="9">BE4+BG4</f>
        <v>7236201930.08</v>
      </c>
      <c r="BJ4" s="42">
        <f t="shared" ref="BJ4:BJ24" si="10">BH4/BD4</f>
        <v>-4.54631338469794</v>
      </c>
      <c r="BK4" s="54">
        <f t="shared" ref="BK4:BK11" si="11">BI4/BD4</f>
        <v>-4.54611189422088</v>
      </c>
      <c r="BL4" s="58"/>
    </row>
    <row r="5" spans="1:64">
      <c r="A5" s="9"/>
      <c r="B5" s="9">
        <v>2020</v>
      </c>
      <c r="C5" s="10">
        <f>6498.38*100000000</f>
        <v>649838000000</v>
      </c>
      <c r="D5" s="10" t="s">
        <v>72</v>
      </c>
      <c r="E5" s="11">
        <v>3240443208</v>
      </c>
      <c r="F5" s="23"/>
      <c r="G5" s="11">
        <v>29533620038.66</v>
      </c>
      <c r="H5" s="11">
        <v>20166034544.96</v>
      </c>
      <c r="I5" s="11"/>
      <c r="J5" s="42"/>
      <c r="K5" s="11"/>
      <c r="L5" s="11"/>
      <c r="M5" s="11"/>
      <c r="N5" s="11"/>
      <c r="O5" s="11"/>
      <c r="P5" s="11">
        <v>92600000</v>
      </c>
      <c r="Q5" s="11"/>
      <c r="R5" s="11"/>
      <c r="S5" s="11">
        <f>L5+M5+O5+P5+Q5+R5</f>
        <v>92600000</v>
      </c>
      <c r="T5" s="11"/>
      <c r="U5" s="11"/>
      <c r="V5" s="11"/>
      <c r="W5" s="11"/>
      <c r="X5" s="29">
        <v>100000</v>
      </c>
      <c r="Y5" s="29">
        <v>4912608.29</v>
      </c>
      <c r="Z5" s="29">
        <v>16957675015.45</v>
      </c>
      <c r="AA5" s="29"/>
      <c r="AB5" s="29">
        <v>5054735186.75</v>
      </c>
      <c r="AC5" s="29">
        <f t="shared" ref="AC5:AC13" si="12">T5+U5+V5+W5+X5+Y5+Z5+AA5+AB5</f>
        <v>22017422810.49</v>
      </c>
      <c r="AD5" s="29">
        <f t="shared" si="4"/>
        <v>5012608.29</v>
      </c>
      <c r="AE5" s="29">
        <f t="shared" si="5"/>
        <v>22012410202.2</v>
      </c>
      <c r="AF5" s="29">
        <f t="shared" si="6"/>
        <v>7516197228.17</v>
      </c>
      <c r="AG5" s="11">
        <v>3913914242.44</v>
      </c>
      <c r="AH5" s="11">
        <v>368803829.98</v>
      </c>
      <c r="AI5" s="11">
        <v>385298787.75</v>
      </c>
      <c r="AJ5" s="42">
        <f t="shared" si="0"/>
        <v>0.621060985823351</v>
      </c>
      <c r="AK5" s="42">
        <f t="shared" si="1"/>
        <v>0.135041497025156</v>
      </c>
      <c r="AL5" s="42">
        <f t="shared" si="2"/>
        <v>-0.252700507598656</v>
      </c>
      <c r="AM5" s="100"/>
      <c r="AN5" s="100">
        <v>41492650.3</v>
      </c>
      <c r="AO5" s="100">
        <v>15623255.46</v>
      </c>
      <c r="AP5" s="100"/>
      <c r="AQ5" s="100"/>
      <c r="AR5" s="100">
        <v>11185829.2</v>
      </c>
      <c r="AS5" s="100">
        <v>2099920921.86</v>
      </c>
      <c r="AT5" s="56">
        <v>19503828.31</v>
      </c>
      <c r="AU5" s="55"/>
      <c r="AV5" s="56">
        <v>790587443.39</v>
      </c>
      <c r="AW5" s="55"/>
      <c r="AX5" s="55"/>
      <c r="AY5" s="55"/>
      <c r="AZ5" s="56">
        <v>1638797219.9</v>
      </c>
      <c r="BA5" s="55"/>
      <c r="BB5" s="56">
        <v>14398588292.06</v>
      </c>
      <c r="BC5" s="56">
        <f t="shared" si="7"/>
        <v>20258634544.96</v>
      </c>
      <c r="BD5" s="29">
        <f t="shared" si="8"/>
        <v>-1758788265.53</v>
      </c>
      <c r="BE5" s="29">
        <v>7643869224.91</v>
      </c>
      <c r="BF5" s="29">
        <v>7642422274.71</v>
      </c>
      <c r="BG5" s="29">
        <v>-392238055.13</v>
      </c>
      <c r="BH5" s="11">
        <f t="shared" si="3"/>
        <v>7250184219.58</v>
      </c>
      <c r="BI5" s="11">
        <f t="shared" si="9"/>
        <v>7251631169.78</v>
      </c>
      <c r="BJ5" s="42">
        <f t="shared" si="10"/>
        <v>-4.12226096891498</v>
      </c>
      <c r="BK5" s="54">
        <f t="shared" si="11"/>
        <v>-4.12308366612553</v>
      </c>
      <c r="BL5" s="58"/>
    </row>
    <row r="6" spans="1:64">
      <c r="A6" s="9"/>
      <c r="B6" s="9">
        <v>2019</v>
      </c>
      <c r="C6" s="10">
        <f>2903.17*100000000</f>
        <v>290317000000</v>
      </c>
      <c r="D6" s="10" t="s">
        <v>73</v>
      </c>
      <c r="E6" s="11">
        <v>2700369340</v>
      </c>
      <c r="F6" s="23"/>
      <c r="G6" s="11">
        <v>24753888098.68</v>
      </c>
      <c r="H6" s="11">
        <v>16597706781.83</v>
      </c>
      <c r="I6" s="11"/>
      <c r="J6" s="42"/>
      <c r="K6" s="11"/>
      <c r="L6" s="11"/>
      <c r="M6" s="11"/>
      <c r="N6" s="11"/>
      <c r="O6" s="11"/>
      <c r="P6" s="11">
        <v>19600000</v>
      </c>
      <c r="Q6" s="11"/>
      <c r="R6" s="11"/>
      <c r="S6" s="11">
        <f>L6+M6+O6+P6+Q6+R6</f>
        <v>19600000</v>
      </c>
      <c r="T6" s="11"/>
      <c r="U6" s="11"/>
      <c r="V6" s="11"/>
      <c r="W6" s="11"/>
      <c r="X6" s="29">
        <v>100000</v>
      </c>
      <c r="Y6" s="29">
        <v>5424533.82</v>
      </c>
      <c r="Z6" s="29">
        <v>13455532720.24</v>
      </c>
      <c r="AA6" s="29"/>
      <c r="AB6" s="29">
        <v>4878142342.48</v>
      </c>
      <c r="AC6" s="29">
        <f t="shared" si="12"/>
        <v>18339199596.54</v>
      </c>
      <c r="AD6" s="29">
        <f t="shared" si="4"/>
        <v>5524533.82</v>
      </c>
      <c r="AE6" s="29">
        <f t="shared" si="5"/>
        <v>18333675062.72</v>
      </c>
      <c r="AF6" s="29">
        <f t="shared" si="6"/>
        <v>6414688502.14</v>
      </c>
      <c r="AG6" s="11">
        <v>3448256519.87</v>
      </c>
      <c r="AH6" s="11">
        <v>493515429.53</v>
      </c>
      <c r="AI6" s="11">
        <v>138370580.99</v>
      </c>
      <c r="AJ6" s="42">
        <f t="shared" si="0"/>
        <v>0.636062457129263</v>
      </c>
      <c r="AK6" s="42">
        <f t="shared" si="1"/>
        <v>-0.0793612058076383</v>
      </c>
      <c r="AL6" s="42">
        <f t="shared" si="2"/>
        <v>0.956045548778461</v>
      </c>
      <c r="AM6" s="100"/>
      <c r="AN6" s="100">
        <v>2463315.07</v>
      </c>
      <c r="AO6" s="100">
        <v>18577720.22</v>
      </c>
      <c r="AP6" s="100"/>
      <c r="AQ6" s="100"/>
      <c r="AR6" s="100">
        <v>89751214.54</v>
      </c>
      <c r="AS6" s="100">
        <v>1802760746.44</v>
      </c>
      <c r="AT6" s="56">
        <v>22139073.03</v>
      </c>
      <c r="AU6" s="55"/>
      <c r="AV6" s="56">
        <v>1330661311.39</v>
      </c>
      <c r="AW6" s="55"/>
      <c r="AX6" s="55"/>
      <c r="AY6" s="55"/>
      <c r="AZ6" s="56">
        <v>1368760285.9</v>
      </c>
      <c r="BA6" s="55"/>
      <c r="BB6" s="56">
        <v>11182164121.35</v>
      </c>
      <c r="BC6" s="56">
        <f t="shared" si="7"/>
        <v>16617306781.83</v>
      </c>
      <c r="BD6" s="29">
        <f t="shared" si="8"/>
        <v>-1721892814.71</v>
      </c>
      <c r="BE6" s="29">
        <v>6379439840.25</v>
      </c>
      <c r="BF6" s="29">
        <v>6377198678.77</v>
      </c>
      <c r="BG6" s="29">
        <v>-292740159.04</v>
      </c>
      <c r="BH6" s="11">
        <f t="shared" si="3"/>
        <v>6084458519.73</v>
      </c>
      <c r="BI6" s="11">
        <f t="shared" si="9"/>
        <v>6086699681.21</v>
      </c>
      <c r="BJ6" s="42">
        <f t="shared" si="10"/>
        <v>-3.5335872638244</v>
      </c>
      <c r="BK6" s="54">
        <f t="shared" si="11"/>
        <v>-3.53488883234298</v>
      </c>
      <c r="BL6" s="58"/>
    </row>
    <row r="7" spans="1:64">
      <c r="A7" s="9"/>
      <c r="B7" s="9">
        <v>2018</v>
      </c>
      <c r="C7" s="10">
        <f>1857.85*100000000</f>
        <v>185785000000</v>
      </c>
      <c r="D7" s="10" t="s">
        <v>74</v>
      </c>
      <c r="E7" s="11">
        <v>2700369340</v>
      </c>
      <c r="F7" s="23"/>
      <c r="G7" s="11">
        <v>20143788853.33</v>
      </c>
      <c r="H7" s="11">
        <v>13887826140.51</v>
      </c>
      <c r="I7" s="11"/>
      <c r="J7" s="42"/>
      <c r="K7" s="11"/>
      <c r="L7" s="11"/>
      <c r="M7" s="11"/>
      <c r="N7" s="11"/>
      <c r="O7" s="11"/>
      <c r="P7" s="11">
        <v>19600000</v>
      </c>
      <c r="Q7" s="11"/>
      <c r="R7" s="11"/>
      <c r="S7" s="11">
        <f>L7+M7+O7+P7+Q7+R7</f>
        <v>19600000</v>
      </c>
      <c r="T7" s="11">
        <v>100000</v>
      </c>
      <c r="U7" s="11"/>
      <c r="V7" s="11"/>
      <c r="W7" s="11"/>
      <c r="X7" s="29"/>
      <c r="Y7" s="29">
        <v>6128510.63</v>
      </c>
      <c r="Z7" s="29">
        <v>9457209973</v>
      </c>
      <c r="AA7" s="29"/>
      <c r="AB7" s="29"/>
      <c r="AC7" s="29">
        <f t="shared" si="12"/>
        <v>9463438483.63</v>
      </c>
      <c r="AD7" s="29">
        <f t="shared" si="4"/>
        <v>6228510.63</v>
      </c>
      <c r="AE7" s="29">
        <f t="shared" si="5"/>
        <v>9457209973</v>
      </c>
      <c r="AF7" s="29">
        <f t="shared" si="6"/>
        <v>10680350369.7</v>
      </c>
      <c r="AG7" s="11">
        <v>3745504253.81</v>
      </c>
      <c r="AH7" s="11">
        <v>252302626.51</v>
      </c>
      <c r="AI7" s="11">
        <v>143566603.01</v>
      </c>
      <c r="AJ7" s="42">
        <f t="shared" si="0"/>
        <v>0.387756331953212</v>
      </c>
      <c r="AK7" s="42">
        <f t="shared" si="1"/>
        <v>0.026264863246289</v>
      </c>
      <c r="AL7" s="42">
        <f t="shared" si="2"/>
        <v>-0.589842247463417</v>
      </c>
      <c r="AM7" s="100"/>
      <c r="AN7" s="100">
        <v>2444554.89</v>
      </c>
      <c r="AO7" s="100">
        <v>17201427.99</v>
      </c>
      <c r="AP7" s="104"/>
      <c r="AQ7" s="104"/>
      <c r="AR7" s="100">
        <v>58905778.04</v>
      </c>
      <c r="AS7" s="100">
        <v>1203328316.58</v>
      </c>
      <c r="AT7" s="56">
        <v>5068670980.84</v>
      </c>
      <c r="AU7" s="55"/>
      <c r="AV7" s="56">
        <v>1330661311.39</v>
      </c>
      <c r="AW7" s="55"/>
      <c r="AX7" s="56">
        <v>39309965.69</v>
      </c>
      <c r="AY7" s="55"/>
      <c r="AZ7" s="56">
        <v>1368760285.9</v>
      </c>
      <c r="BA7" s="55"/>
      <c r="BB7" s="56">
        <v>8436031079.51</v>
      </c>
      <c r="BC7" s="56">
        <f t="shared" si="7"/>
        <v>13907426140.51</v>
      </c>
      <c r="BD7" s="29">
        <f t="shared" si="8"/>
        <v>4443987656.88</v>
      </c>
      <c r="BE7" s="29">
        <v>5241005851.75</v>
      </c>
      <c r="BF7" s="29">
        <v>5222806355.86</v>
      </c>
      <c r="BG7" s="29">
        <v>-152621887.7</v>
      </c>
      <c r="BH7" s="11">
        <f t="shared" si="3"/>
        <v>5070184468.16</v>
      </c>
      <c r="BI7" s="11">
        <f t="shared" si="9"/>
        <v>5088383964.05</v>
      </c>
      <c r="BJ7" s="42">
        <f t="shared" si="10"/>
        <v>1.14090876474658</v>
      </c>
      <c r="BK7" s="54">
        <f t="shared" si="11"/>
        <v>1.14500407222607</v>
      </c>
      <c r="BL7" s="58"/>
    </row>
    <row r="8" spans="1:64">
      <c r="A8" s="9"/>
      <c r="B8" s="9">
        <v>2017</v>
      </c>
      <c r="C8" s="10">
        <f>1453.25*100000000</f>
        <v>145325000000</v>
      </c>
      <c r="D8" s="10" t="s">
        <v>75</v>
      </c>
      <c r="E8" s="11">
        <v>2701206700</v>
      </c>
      <c r="F8" s="23"/>
      <c r="G8" s="11">
        <v>16336012255.77</v>
      </c>
      <c r="H8" s="11">
        <v>11764173507.61</v>
      </c>
      <c r="I8" s="11"/>
      <c r="J8" s="42"/>
      <c r="K8" s="11"/>
      <c r="L8" s="11"/>
      <c r="M8" s="11"/>
      <c r="N8" s="11"/>
      <c r="O8" s="11"/>
      <c r="P8" s="11"/>
      <c r="Q8" s="11"/>
      <c r="R8" s="11"/>
      <c r="S8" s="11">
        <f t="shared" ref="S8:S14" si="13">L8+M8+O8+P8+Q8+R8</f>
        <v>0</v>
      </c>
      <c r="T8" s="11">
        <v>100000</v>
      </c>
      <c r="U8" s="11"/>
      <c r="V8" s="11"/>
      <c r="W8" s="11"/>
      <c r="X8" s="29"/>
      <c r="Y8" s="29">
        <v>4705134.66</v>
      </c>
      <c r="Z8" s="29">
        <v>5612919179.01</v>
      </c>
      <c r="AA8" s="29"/>
      <c r="AB8" s="29"/>
      <c r="AC8" s="29">
        <f t="shared" si="12"/>
        <v>5617724313.67</v>
      </c>
      <c r="AD8" s="29">
        <f t="shared" si="4"/>
        <v>4805134.66</v>
      </c>
      <c r="AE8" s="29">
        <f t="shared" si="5"/>
        <v>5612919179.01</v>
      </c>
      <c r="AF8" s="29">
        <f t="shared" si="6"/>
        <v>10718287942.1</v>
      </c>
      <c r="AG8" s="11">
        <v>3649646780.23</v>
      </c>
      <c r="AH8" s="11">
        <v>615135578.81</v>
      </c>
      <c r="AI8" s="11">
        <v>149567775.08</v>
      </c>
      <c r="AJ8" s="42">
        <f t="shared" si="0"/>
        <v>0.411852168738724</v>
      </c>
      <c r="AK8" s="42">
        <f t="shared" si="1"/>
        <v>-0.0471605965546371</v>
      </c>
      <c r="AL8" s="42">
        <f t="shared" si="2"/>
        <v>0.0561800280096735</v>
      </c>
      <c r="AM8" s="100"/>
      <c r="AN8" s="100">
        <v>2466645.04</v>
      </c>
      <c r="AO8" s="100">
        <v>18366401.43</v>
      </c>
      <c r="AP8" s="100">
        <v>3797846.32</v>
      </c>
      <c r="AQ8" s="100"/>
      <c r="AR8" s="100">
        <v>12743950.84</v>
      </c>
      <c r="AS8" s="100">
        <v>1041120224.59</v>
      </c>
      <c r="AT8" s="56">
        <v>5103012828.25</v>
      </c>
      <c r="AU8" s="55"/>
      <c r="AV8" s="56">
        <v>1291572608.6</v>
      </c>
      <c r="AW8" s="56">
        <v>37170173.18</v>
      </c>
      <c r="AX8" s="56">
        <v>61430054.74</v>
      </c>
      <c r="AY8" s="55"/>
      <c r="AZ8" s="56">
        <v>1291224237.63</v>
      </c>
      <c r="BA8" s="55"/>
      <c r="BB8" s="56">
        <v>6445076571.28</v>
      </c>
      <c r="BC8" s="56">
        <f t="shared" si="7"/>
        <v>11764173507.61</v>
      </c>
      <c r="BD8" s="29">
        <f t="shared" si="8"/>
        <v>6146449193.94</v>
      </c>
      <c r="BE8" s="29">
        <v>4210824221.85</v>
      </c>
      <c r="BF8" s="29">
        <v>4215288941.15</v>
      </c>
      <c r="BG8" s="29">
        <v>-82004118.81</v>
      </c>
      <c r="BH8" s="11">
        <f t="shared" si="3"/>
        <v>4133284822.34</v>
      </c>
      <c r="BI8" s="11">
        <f t="shared" si="9"/>
        <v>4128820103.04</v>
      </c>
      <c r="BJ8" s="42">
        <f t="shared" si="10"/>
        <v>0.672467093100705</v>
      </c>
      <c r="BK8" s="54">
        <f t="shared" ref="BK8:BK14" si="14">BI8/BD8</f>
        <v>0.671740703089314</v>
      </c>
      <c r="BL8" s="58"/>
    </row>
    <row r="9" spans="1:64">
      <c r="A9" s="9"/>
      <c r="B9" s="9">
        <v>2016</v>
      </c>
      <c r="C9" s="10">
        <f>793.36*100000000</f>
        <v>79336000000</v>
      </c>
      <c r="D9" s="10" t="s">
        <v>76</v>
      </c>
      <c r="E9" s="11">
        <v>2704950700</v>
      </c>
      <c r="F9" s="24"/>
      <c r="G9" s="122">
        <v>13463592998.27</v>
      </c>
      <c r="H9" s="11">
        <v>10013769433.03</v>
      </c>
      <c r="I9" s="11"/>
      <c r="J9" s="42"/>
      <c r="K9" s="11"/>
      <c r="L9" s="11"/>
      <c r="M9" s="11"/>
      <c r="N9" s="11"/>
      <c r="O9" s="11"/>
      <c r="P9" s="11"/>
      <c r="Q9" s="11"/>
      <c r="R9" s="11"/>
      <c r="S9" s="11">
        <f t="shared" si="13"/>
        <v>0</v>
      </c>
      <c r="T9" s="11">
        <v>100000</v>
      </c>
      <c r="U9" s="11"/>
      <c r="V9" s="11"/>
      <c r="W9" s="11"/>
      <c r="X9" s="29"/>
      <c r="Y9" s="29">
        <v>5314445.51</v>
      </c>
      <c r="Z9" s="29">
        <v>5196574520.25</v>
      </c>
      <c r="AA9" s="29"/>
      <c r="AB9" s="29"/>
      <c r="AC9" s="29">
        <f t="shared" si="12"/>
        <v>5201988965.76</v>
      </c>
      <c r="AD9" s="29">
        <f t="shared" si="4"/>
        <v>5414445.51</v>
      </c>
      <c r="AE9" s="29">
        <f t="shared" si="5"/>
        <v>5196574520.25</v>
      </c>
      <c r="AF9" s="29">
        <f t="shared" si="6"/>
        <v>8261604032.51</v>
      </c>
      <c r="AG9" s="29">
        <v>3830285320.94</v>
      </c>
      <c r="AH9" s="29">
        <v>582415461.85</v>
      </c>
      <c r="AI9" s="29">
        <v>140015729.76</v>
      </c>
      <c r="AJ9" s="42">
        <f t="shared" si="0"/>
        <v>0.551069319545543</v>
      </c>
      <c r="AK9" s="42">
        <f t="shared" si="1"/>
        <v>0.173622069417788</v>
      </c>
      <c r="AL9" s="42">
        <f t="shared" si="2"/>
        <v>-0.259616874347512</v>
      </c>
      <c r="AM9" s="100"/>
      <c r="AN9" s="100"/>
      <c r="AO9" s="100">
        <v>16997928.74</v>
      </c>
      <c r="AP9" s="100">
        <v>2071262.81</v>
      </c>
      <c r="AQ9" s="100"/>
      <c r="AR9" s="100">
        <v>6251866.18</v>
      </c>
      <c r="AS9" s="100">
        <v>939884332.9</v>
      </c>
      <c r="AT9" s="56">
        <v>2666423818.65</v>
      </c>
      <c r="AU9" s="55"/>
      <c r="AV9" s="56">
        <v>1320136410.56</v>
      </c>
      <c r="AW9" s="56">
        <v>75623665.92</v>
      </c>
      <c r="AX9" s="56">
        <v>23734458.9</v>
      </c>
      <c r="AY9" s="55"/>
      <c r="AZ9" s="56">
        <v>1041726620.6</v>
      </c>
      <c r="BA9" s="55"/>
      <c r="BB9" s="56">
        <v>4998844908.89</v>
      </c>
      <c r="BC9" s="56">
        <f t="shared" si="7"/>
        <v>10013769433.03</v>
      </c>
      <c r="BD9" s="29">
        <f t="shared" si="8"/>
        <v>4811780467.27</v>
      </c>
      <c r="BE9" s="29">
        <v>3401602925.03</v>
      </c>
      <c r="BF9" s="29">
        <v>3413378743.95</v>
      </c>
      <c r="BG9" s="29">
        <v>-45681637.22</v>
      </c>
      <c r="BH9" s="11">
        <f t="shared" si="3"/>
        <v>3367697106.73</v>
      </c>
      <c r="BI9" s="11">
        <f t="shared" si="9"/>
        <v>3355921287.81</v>
      </c>
      <c r="BJ9" s="42">
        <f t="shared" si="10"/>
        <v>0.699885859223475</v>
      </c>
      <c r="BK9" s="54">
        <f t="shared" si="14"/>
        <v>0.697438569909239</v>
      </c>
      <c r="BL9" s="58"/>
    </row>
    <row r="10" spans="1:64">
      <c r="A10" s="9"/>
      <c r="B10" s="9">
        <v>2015</v>
      </c>
      <c r="C10" s="10">
        <f>956.66*100000000</f>
        <v>95666000000</v>
      </c>
      <c r="D10" s="10" t="s">
        <v>77</v>
      </c>
      <c r="E10" s="11">
        <v>2706246000</v>
      </c>
      <c r="F10" s="24"/>
      <c r="G10" s="122">
        <v>11498002242.84</v>
      </c>
      <c r="H10" s="11">
        <v>8751125601.73</v>
      </c>
      <c r="I10" s="11"/>
      <c r="J10" s="42"/>
      <c r="K10" s="11"/>
      <c r="L10" s="11"/>
      <c r="M10" s="11"/>
      <c r="N10" s="11"/>
      <c r="O10" s="11"/>
      <c r="P10" s="11"/>
      <c r="Q10" s="11"/>
      <c r="R10" s="11"/>
      <c r="S10" s="11">
        <f t="shared" si="13"/>
        <v>0</v>
      </c>
      <c r="T10" s="11">
        <v>0.001</v>
      </c>
      <c r="U10" s="11"/>
      <c r="V10" s="11"/>
      <c r="W10" s="11"/>
      <c r="X10" s="29"/>
      <c r="Y10" s="29">
        <v>5923756.26</v>
      </c>
      <c r="Z10" s="29">
        <v>4519091067.15</v>
      </c>
      <c r="AA10" s="29"/>
      <c r="AB10" s="29"/>
      <c r="AC10" s="29">
        <f t="shared" si="12"/>
        <v>4525014823.411</v>
      </c>
      <c r="AD10" s="29">
        <f t="shared" si="4"/>
        <v>5923756.261</v>
      </c>
      <c r="AE10" s="29">
        <f t="shared" si="5"/>
        <v>4519091067.15</v>
      </c>
      <c r="AF10" s="29">
        <f t="shared" si="6"/>
        <v>6972987419.429</v>
      </c>
      <c r="AG10" s="29">
        <v>3263644592.88</v>
      </c>
      <c r="AH10" s="43">
        <v>786640648.16</v>
      </c>
      <c r="AI10" s="29">
        <v>144144932.39</v>
      </c>
      <c r="AJ10" s="42">
        <f t="shared" si="0"/>
        <v>0.601525561589708</v>
      </c>
      <c r="AK10" s="42">
        <f t="shared" si="1"/>
        <v>0.0203112685606269</v>
      </c>
      <c r="AL10" s="42">
        <f t="shared" si="2"/>
        <v>0.558775177271075</v>
      </c>
      <c r="AM10" s="100"/>
      <c r="AN10" s="100"/>
      <c r="AO10" s="100">
        <v>7279517.87</v>
      </c>
      <c r="AP10" s="100">
        <v>753269.4</v>
      </c>
      <c r="AQ10" s="100"/>
      <c r="AR10" s="100">
        <v>7085944.99</v>
      </c>
      <c r="AS10" s="100">
        <v>999924009.12</v>
      </c>
      <c r="AT10" s="56">
        <v>1640624402.16</v>
      </c>
      <c r="AU10" s="55"/>
      <c r="AV10" s="56">
        <v>1333875444.15</v>
      </c>
      <c r="AW10" s="56">
        <v>109179250</v>
      </c>
      <c r="AX10" s="56">
        <v>5022311.65</v>
      </c>
      <c r="AY10" s="55"/>
      <c r="AZ10" s="56">
        <v>827373822.15</v>
      </c>
      <c r="BA10" s="55"/>
      <c r="BB10" s="56">
        <v>3987787273.78</v>
      </c>
      <c r="BC10" s="56">
        <f t="shared" si="7"/>
        <v>8751125601.73</v>
      </c>
      <c r="BD10" s="29">
        <f t="shared" si="8"/>
        <v>4226110778.319</v>
      </c>
      <c r="BE10" s="29">
        <v>2989140255.87</v>
      </c>
      <c r="BF10" s="29">
        <v>3011302913.95</v>
      </c>
      <c r="BG10" s="29">
        <v>-48786754.34</v>
      </c>
      <c r="BH10" s="11">
        <f t="shared" si="3"/>
        <v>2962516159.61</v>
      </c>
      <c r="BI10" s="11">
        <f t="shared" si="9"/>
        <v>2940353501.53</v>
      </c>
      <c r="BJ10" s="42">
        <f t="shared" si="10"/>
        <v>0.701002958750737</v>
      </c>
      <c r="BK10" s="54">
        <f t="shared" si="14"/>
        <v>0.695758737942873</v>
      </c>
      <c r="BL10" s="58"/>
    </row>
    <row r="11" spans="1:64">
      <c r="A11" s="9"/>
      <c r="B11" s="9">
        <v>2014</v>
      </c>
      <c r="C11" s="10">
        <f>600.68*100000000</f>
        <v>60068000000</v>
      </c>
      <c r="D11" s="10" t="s">
        <v>78</v>
      </c>
      <c r="E11" s="11">
        <v>1503580000</v>
      </c>
      <c r="F11" s="24"/>
      <c r="G11" s="122">
        <v>11000594566.17</v>
      </c>
      <c r="H11" s="11">
        <v>7487912155.39</v>
      </c>
      <c r="I11" s="11"/>
      <c r="J11" s="42"/>
      <c r="K11" s="11"/>
      <c r="L11" s="11"/>
      <c r="M11" s="11"/>
      <c r="N11" s="11"/>
      <c r="O11" s="11">
        <v>115873800</v>
      </c>
      <c r="P11" s="11"/>
      <c r="Q11" s="11"/>
      <c r="R11" s="11"/>
      <c r="S11" s="11">
        <f t="shared" si="13"/>
        <v>115873800</v>
      </c>
      <c r="T11" s="11">
        <v>100000</v>
      </c>
      <c r="U11" s="11"/>
      <c r="V11" s="11"/>
      <c r="W11" s="11"/>
      <c r="X11" s="29"/>
      <c r="Y11" s="29">
        <v>6533067.14</v>
      </c>
      <c r="Z11" s="29">
        <v>5117565091.95</v>
      </c>
      <c r="AA11" s="29"/>
      <c r="AB11" s="29"/>
      <c r="AC11" s="29">
        <f t="shared" si="12"/>
        <v>5124198159.09</v>
      </c>
      <c r="AD11" s="29">
        <f t="shared" si="4"/>
        <v>6633067.14</v>
      </c>
      <c r="AE11" s="29">
        <f t="shared" si="5"/>
        <v>5117565091.95</v>
      </c>
      <c r="AF11" s="29">
        <f t="shared" si="6"/>
        <v>5876396407.08</v>
      </c>
      <c r="AG11" s="29">
        <v>3198675437.04</v>
      </c>
      <c r="AH11" s="29">
        <v>504653050.44</v>
      </c>
      <c r="AI11" s="29">
        <v>148693946.28</v>
      </c>
      <c r="AJ11" s="42">
        <f t="shared" si="0"/>
        <v>0.655507587799728</v>
      </c>
      <c r="AK11" s="42">
        <f t="shared" si="1"/>
        <v>0.354986346024638</v>
      </c>
      <c r="AL11" s="42">
        <f t="shared" si="2"/>
        <v>-0.320952526602908</v>
      </c>
      <c r="AM11" s="100"/>
      <c r="AN11" s="100"/>
      <c r="AO11" s="100">
        <v>21882548.01</v>
      </c>
      <c r="AP11" s="100">
        <v>9681644.14</v>
      </c>
      <c r="AQ11" s="100"/>
      <c r="AR11" s="100">
        <v>6946040.13</v>
      </c>
      <c r="AS11" s="100">
        <v>1154208319.45</v>
      </c>
      <c r="AT11" s="56">
        <v>722327034.84</v>
      </c>
      <c r="AU11" s="55"/>
      <c r="AV11" s="56">
        <v>2503954982.27</v>
      </c>
      <c r="AW11" s="56">
        <v>115873800</v>
      </c>
      <c r="AX11" s="56">
        <v>9077439.72</v>
      </c>
      <c r="AY11" s="55"/>
      <c r="AZ11" s="56">
        <v>495518007.47</v>
      </c>
      <c r="BA11" s="55"/>
      <c r="BB11" s="56">
        <v>3091655525.93</v>
      </c>
      <c r="BC11" s="56">
        <f t="shared" si="7"/>
        <v>7603785955.39</v>
      </c>
      <c r="BD11" s="29">
        <f t="shared" si="8"/>
        <v>2479587796.3</v>
      </c>
      <c r="BE11" s="29">
        <v>2405116610.28</v>
      </c>
      <c r="BF11" s="29">
        <v>2492226431.36</v>
      </c>
      <c r="BG11" s="29">
        <v>-48633317.83</v>
      </c>
      <c r="BH11" s="11">
        <f t="shared" si="3"/>
        <v>2443593113.53</v>
      </c>
      <c r="BI11" s="11">
        <f t="shared" si="9"/>
        <v>2356483292.45</v>
      </c>
      <c r="BJ11" s="42">
        <f t="shared" si="10"/>
        <v>0.985483602224648</v>
      </c>
      <c r="BK11" s="54">
        <f t="shared" si="14"/>
        <v>0.950352835243949</v>
      </c>
      <c r="BL11" s="58"/>
    </row>
    <row r="12" ht="20" customHeight="1" spans="1:64">
      <c r="A12" s="9"/>
      <c r="B12" s="9">
        <v>2013</v>
      </c>
      <c r="C12" s="122"/>
      <c r="D12" s="12"/>
      <c r="E12" s="11">
        <f>71100*10000</f>
        <v>711000000</v>
      </c>
      <c r="F12" s="24"/>
      <c r="G12" s="122">
        <v>6722123294.35</v>
      </c>
      <c r="H12" s="11">
        <v>3914438998.01</v>
      </c>
      <c r="I12" s="11"/>
      <c r="J12" s="42"/>
      <c r="K12" s="11"/>
      <c r="L12" s="11"/>
      <c r="M12" s="11"/>
      <c r="N12" s="11"/>
      <c r="O12" s="11"/>
      <c r="P12" s="11"/>
      <c r="Q12" s="11"/>
      <c r="R12" s="11"/>
      <c r="S12" s="11">
        <f t="shared" si="13"/>
        <v>0</v>
      </c>
      <c r="T12" s="11">
        <v>100000</v>
      </c>
      <c r="U12" s="11"/>
      <c r="V12" s="11"/>
      <c r="W12" s="11"/>
      <c r="X12" s="29"/>
      <c r="Y12" s="29">
        <v>7142377.97</v>
      </c>
      <c r="Z12" s="29">
        <v>2264838665.1</v>
      </c>
      <c r="AA12" s="29"/>
      <c r="AB12" s="29"/>
      <c r="AC12" s="29">
        <f t="shared" si="12"/>
        <v>2272081043.07</v>
      </c>
      <c r="AD12" s="29">
        <f t="shared" si="4"/>
        <v>7242377.97</v>
      </c>
      <c r="AE12" s="29">
        <f t="shared" si="5"/>
        <v>2264838665.1</v>
      </c>
      <c r="AF12" s="29">
        <f t="shared" si="6"/>
        <v>4450042251.28</v>
      </c>
      <c r="AG12" s="29">
        <v>2360669866.84</v>
      </c>
      <c r="AH12" s="29">
        <v>743177863.42</v>
      </c>
      <c r="AI12" s="29">
        <v>81874709.37</v>
      </c>
      <c r="AJ12" s="42">
        <f t="shared" si="0"/>
        <v>0.715885885962918</v>
      </c>
      <c r="AK12" s="42">
        <f t="shared" si="1"/>
        <v>0.130740362774187</v>
      </c>
      <c r="AL12" s="42">
        <f t="shared" si="2"/>
        <v>0.987427983335118</v>
      </c>
      <c r="AM12" s="100"/>
      <c r="AN12" s="100"/>
      <c r="AO12" s="100">
        <v>1045490.37</v>
      </c>
      <c r="AP12" s="100"/>
      <c r="AQ12" s="100">
        <v>1488137000</v>
      </c>
      <c r="AR12" s="100">
        <v>989095587.91</v>
      </c>
      <c r="AS12" s="100">
        <v>75869703.13</v>
      </c>
      <c r="AT12" s="56">
        <v>16569932.55</v>
      </c>
      <c r="AU12" s="55"/>
      <c r="AV12" s="56">
        <v>1336719988.55</v>
      </c>
      <c r="AW12" s="55"/>
      <c r="AX12" s="56">
        <v>-4428833.65</v>
      </c>
      <c r="AY12" s="55"/>
      <c r="AZ12" s="56">
        <v>327830534.63</v>
      </c>
      <c r="BA12" s="55"/>
      <c r="BB12" s="56">
        <v>1543317308.48</v>
      </c>
      <c r="BC12" s="56">
        <f t="shared" si="7"/>
        <v>3914438998.01</v>
      </c>
      <c r="BD12" s="29">
        <f t="shared" si="8"/>
        <v>1642357954.94</v>
      </c>
      <c r="BE12" s="29">
        <v>1896152535.46</v>
      </c>
      <c r="BF12" s="29">
        <v>1975619151.91</v>
      </c>
      <c r="BG12" s="29">
        <v>-14983980.52</v>
      </c>
      <c r="BH12" s="11">
        <f t="shared" si="3"/>
        <v>1960635171.39</v>
      </c>
      <c r="BI12" s="11">
        <f t="shared" si="9"/>
        <v>1881168554.94</v>
      </c>
      <c r="BJ12" s="42">
        <f t="shared" si="10"/>
        <v>1.19379284247546</v>
      </c>
      <c r="BK12" s="54">
        <f t="shared" si="14"/>
        <v>1.14540715638859</v>
      </c>
      <c r="BL12" s="58"/>
    </row>
    <row r="13" ht="23" customHeight="1" spans="1:64">
      <c r="A13" s="9"/>
      <c r="B13" s="9">
        <v>2012</v>
      </c>
      <c r="C13" s="122"/>
      <c r="D13" s="12"/>
      <c r="E13" s="11">
        <f>71100*10000</f>
        <v>711000000</v>
      </c>
      <c r="F13" s="24"/>
      <c r="G13" s="122">
        <v>6110204366.74</v>
      </c>
      <c r="H13" s="11">
        <f>36.59*100000000</f>
        <v>3659000000</v>
      </c>
      <c r="I13" s="11"/>
      <c r="J13" s="42"/>
      <c r="K13" s="11"/>
      <c r="L13" s="11"/>
      <c r="M13" s="11"/>
      <c r="N13" s="11"/>
      <c r="O13" s="11"/>
      <c r="P13" s="11"/>
      <c r="Q13" s="11"/>
      <c r="R13" s="11"/>
      <c r="S13" s="11">
        <f t="shared" si="13"/>
        <v>0</v>
      </c>
      <c r="T13" s="11"/>
      <c r="U13" s="11"/>
      <c r="V13" s="11">
        <f>0.001*100000000</f>
        <v>100000</v>
      </c>
      <c r="W13" s="11"/>
      <c r="X13" s="29"/>
      <c r="Y13" s="29">
        <f>0.060445*100000000</f>
        <v>6044500</v>
      </c>
      <c r="Z13" s="29">
        <f>25.03*100000000</f>
        <v>2503000000</v>
      </c>
      <c r="AA13" s="29"/>
      <c r="AB13" s="29"/>
      <c r="AC13" s="29">
        <f t="shared" si="12"/>
        <v>2509144500</v>
      </c>
      <c r="AD13" s="29">
        <f t="shared" si="4"/>
        <v>6144500</v>
      </c>
      <c r="AE13" s="29">
        <f t="shared" si="5"/>
        <v>2503000000</v>
      </c>
      <c r="AF13" s="29">
        <f t="shared" si="6"/>
        <v>3601059866.74</v>
      </c>
      <c r="AG13" s="29">
        <v>2087720527.68</v>
      </c>
      <c r="AH13" s="29">
        <v>373939518.64</v>
      </c>
      <c r="AI13" s="29">
        <v>136055410.59</v>
      </c>
      <c r="AJ13" s="42">
        <f t="shared" si="0"/>
        <v>0.721375248688016</v>
      </c>
      <c r="AK13" s="42">
        <f>AVERAGE(AK3:AK12)</f>
        <v>0.080182552668002</v>
      </c>
      <c r="AL13" s="42">
        <f>AVERAGE(AL3:AL12)</f>
        <v>0.291652763299108</v>
      </c>
      <c r="AM13" s="100"/>
      <c r="AN13" s="100"/>
      <c r="AO13" s="100">
        <v>2878171.82</v>
      </c>
      <c r="AP13" s="100"/>
      <c r="AQ13" s="100">
        <v>653037000</v>
      </c>
      <c r="AR13" s="100">
        <v>1609011448.3</v>
      </c>
      <c r="AS13" s="100">
        <v>76102228.97</v>
      </c>
      <c r="AT13" s="56">
        <v>12449513.86</v>
      </c>
      <c r="AU13" s="55"/>
      <c r="AV13" s="56">
        <v>1336719988.55</v>
      </c>
      <c r="AW13" s="55"/>
      <c r="AX13" s="55"/>
      <c r="AY13" s="55"/>
      <c r="AZ13" s="56">
        <v>221020719.29</v>
      </c>
      <c r="BA13" s="55"/>
      <c r="BB13" s="56">
        <v>1394608332.15</v>
      </c>
      <c r="BC13" s="56">
        <f t="shared" si="7"/>
        <v>3659000000</v>
      </c>
      <c r="BD13" s="29">
        <f t="shared" si="8"/>
        <v>1149855500</v>
      </c>
      <c r="BE13" s="29">
        <v>1483067408.2</v>
      </c>
      <c r="BF13" s="29">
        <f>14.9*100000000</f>
        <v>1490000000</v>
      </c>
      <c r="BG13" s="29">
        <f>-0.120058*100000000</f>
        <v>-12005800</v>
      </c>
      <c r="BH13" s="11">
        <f t="shared" si="3"/>
        <v>1477994200</v>
      </c>
      <c r="BI13" s="11">
        <f t="shared" si="9"/>
        <v>1471061608.2</v>
      </c>
      <c r="BJ13" s="42">
        <f t="shared" si="10"/>
        <v>1.28537385784562</v>
      </c>
      <c r="BK13" s="54">
        <f t="shared" si="14"/>
        <v>1.27934475958066</v>
      </c>
      <c r="BL13" s="58"/>
    </row>
    <row r="14" spans="1:64">
      <c r="A14" s="12" t="s">
        <v>79</v>
      </c>
      <c r="B14" s="12">
        <v>2022</v>
      </c>
      <c r="C14" s="122">
        <f>289.57*100000000</f>
        <v>28957000000</v>
      </c>
      <c r="D14" s="122" t="s">
        <v>69</v>
      </c>
      <c r="E14" s="12"/>
      <c r="F14" s="12"/>
      <c r="G14" s="11">
        <v>6223376570.5</v>
      </c>
      <c r="H14" s="11">
        <v>3464836366.55</v>
      </c>
      <c r="I14" s="11">
        <v>3009131107.56</v>
      </c>
      <c r="J14" s="42">
        <f t="shared" ref="J14:J24" si="15">I14/H14</f>
        <v>0.868477119615391</v>
      </c>
      <c r="K14" s="11"/>
      <c r="L14" s="11"/>
      <c r="M14" s="11"/>
      <c r="N14" s="11">
        <v>703849.99</v>
      </c>
      <c r="O14" s="11"/>
      <c r="P14" s="11">
        <v>360237800</v>
      </c>
      <c r="Q14" s="11"/>
      <c r="R14" s="11"/>
      <c r="S14" s="11">
        <f t="shared" ref="S14:S46" si="16">L14+M14+O14+P14+Q14+R14</f>
        <v>360237800</v>
      </c>
      <c r="T14" s="11"/>
      <c r="U14" s="11"/>
      <c r="V14" s="11">
        <v>4145789.87</v>
      </c>
      <c r="W14" s="11">
        <v>31845467</v>
      </c>
      <c r="X14" s="29"/>
      <c r="Y14" s="29">
        <v>513315725.87</v>
      </c>
      <c r="Z14" s="29">
        <v>628360401.94</v>
      </c>
      <c r="AA14" s="29"/>
      <c r="AB14" s="29">
        <v>133952.44</v>
      </c>
      <c r="AC14" s="29">
        <f t="shared" ref="AC14:AC46" si="17">T14+U14+V14+W14+X14+Y14+Z14+AA14+AB14</f>
        <v>1177801337.12</v>
      </c>
      <c r="AD14" s="29">
        <f t="shared" ref="AD14:AD46" si="18">SUM(T14:Y14)</f>
        <v>549306982.74</v>
      </c>
      <c r="AE14" s="29">
        <f t="shared" ref="AE14:AE46" si="19">SUM(Z14:AB14)</f>
        <v>628494354.38</v>
      </c>
      <c r="AF14" s="29">
        <f t="shared" ref="AF14:AF46" si="20">G14-AC14</f>
        <v>5045575233.38</v>
      </c>
      <c r="AG14" s="29">
        <v>1608531558.93</v>
      </c>
      <c r="AH14" s="29">
        <v>496987621.64</v>
      </c>
      <c r="AI14" s="29">
        <v>188480697.36</v>
      </c>
      <c r="AJ14" s="42">
        <f t="shared" ref="AJ14:AJ46" si="21">SUM(AG14:AI14)/AF14</f>
        <v>0.454655767047846</v>
      </c>
      <c r="AK14" s="42"/>
      <c r="AL14" s="44"/>
      <c r="AM14" s="132"/>
      <c r="AN14" s="132"/>
      <c r="AO14" s="132"/>
      <c r="AP14" s="132"/>
      <c r="AQ14" s="132"/>
      <c r="AR14" s="132"/>
      <c r="AS14" s="132"/>
      <c r="AT14" s="55"/>
      <c r="AU14" s="55"/>
      <c r="AV14" s="55"/>
      <c r="AW14" s="55"/>
      <c r="AX14" s="55"/>
      <c r="AY14" s="55"/>
      <c r="AZ14" s="55"/>
      <c r="BA14" s="55"/>
      <c r="BB14" s="55"/>
      <c r="BC14" s="56">
        <f t="shared" si="7"/>
        <v>3825074166.55</v>
      </c>
      <c r="BD14" s="29">
        <f t="shared" ref="BD14:BD46" si="22">H14+L14+M14+O14+P14+Q14+R14-T14-U14-V14-W14-X14-Y14-Z14-AA14-AB14</f>
        <v>2647272829.43</v>
      </c>
      <c r="BE14" s="29">
        <v>705693335.16</v>
      </c>
      <c r="BF14" s="29">
        <v>-474409780.91</v>
      </c>
      <c r="BG14" s="29">
        <v>-4190779.77</v>
      </c>
      <c r="BH14" s="11">
        <f t="shared" ref="BH14:BH46" si="23">BF14+BG14</f>
        <v>-478600560.68</v>
      </c>
      <c r="BI14" s="11">
        <f t="shared" ref="BI14:BI46" si="24">BE14+BG14</f>
        <v>701502555.39</v>
      </c>
      <c r="BJ14" s="42">
        <f t="shared" ref="BJ14:BJ46" si="25">BH14/BD14</f>
        <v>-0.180790039983544</v>
      </c>
      <c r="BK14" s="54">
        <f t="shared" si="14"/>
        <v>0.264990652867859</v>
      </c>
      <c r="BL14" s="13"/>
    </row>
    <row r="15" spans="1:64">
      <c r="A15" s="12"/>
      <c r="B15" s="12">
        <v>2021</v>
      </c>
      <c r="C15" s="122">
        <f>302.48*100000000</f>
        <v>30248000000</v>
      </c>
      <c r="D15" s="122" t="s">
        <v>71</v>
      </c>
      <c r="E15" s="12"/>
      <c r="F15" s="12"/>
      <c r="G15" s="11">
        <v>5917652808.13</v>
      </c>
      <c r="H15" s="3">
        <v>4250369296.86</v>
      </c>
      <c r="I15" s="11">
        <v>3832349780.64</v>
      </c>
      <c r="J15" s="42">
        <f t="shared" si="15"/>
        <v>0.90165101264758</v>
      </c>
      <c r="K15" s="11"/>
      <c r="L15" s="11"/>
      <c r="M15" s="11"/>
      <c r="N15" s="11">
        <v>2495998.14</v>
      </c>
      <c r="O15" s="11"/>
      <c r="P15" s="11">
        <v>112678000</v>
      </c>
      <c r="Q15" s="11"/>
      <c r="R15" s="11"/>
      <c r="S15" s="11">
        <f t="shared" si="16"/>
        <v>112678000</v>
      </c>
      <c r="T15" s="11"/>
      <c r="U15" s="11"/>
      <c r="V15" s="11">
        <v>4900302.61</v>
      </c>
      <c r="W15" s="11">
        <v>35072172</v>
      </c>
      <c r="X15" s="29"/>
      <c r="Y15" s="29">
        <v>553443771.23</v>
      </c>
      <c r="Z15" s="29">
        <v>548656736.03</v>
      </c>
      <c r="AA15" s="29"/>
      <c r="AB15" s="29"/>
      <c r="AC15" s="29">
        <f t="shared" si="17"/>
        <v>1142072981.87</v>
      </c>
      <c r="AD15" s="29">
        <f t="shared" si="18"/>
        <v>593416245.84</v>
      </c>
      <c r="AE15" s="29">
        <f t="shared" si="19"/>
        <v>548656736.03</v>
      </c>
      <c r="AF15" s="29">
        <f t="shared" si="20"/>
        <v>4775579826.26</v>
      </c>
      <c r="AG15" s="29">
        <v>1600587935.72</v>
      </c>
      <c r="AH15" s="29">
        <v>286157008.81</v>
      </c>
      <c r="AI15" s="29">
        <v>192297802.7</v>
      </c>
      <c r="AJ15" s="42">
        <f t="shared" si="21"/>
        <v>0.435348758238265</v>
      </c>
      <c r="AK15" s="42"/>
      <c r="AL15" s="44"/>
      <c r="AM15" s="132"/>
      <c r="AN15" s="132"/>
      <c r="AO15" s="132"/>
      <c r="AP15" s="132"/>
      <c r="AQ15" s="132"/>
      <c r="AR15" s="132"/>
      <c r="AS15" s="132"/>
      <c r="AT15" s="55"/>
      <c r="AU15" s="55"/>
      <c r="AV15" s="55"/>
      <c r="AW15" s="55"/>
      <c r="AX15" s="55"/>
      <c r="AY15" s="55"/>
      <c r="AZ15" s="55"/>
      <c r="BA15" s="55"/>
      <c r="BB15" s="55"/>
      <c r="BC15" s="56">
        <f t="shared" si="7"/>
        <v>4363047296.86</v>
      </c>
      <c r="BD15" s="29">
        <f t="shared" si="22"/>
        <v>3220974314.99</v>
      </c>
      <c r="BE15" s="29">
        <v>877495460.11</v>
      </c>
      <c r="BF15" s="29">
        <v>876523604.02</v>
      </c>
      <c r="BG15" s="29">
        <v>19896160.07</v>
      </c>
      <c r="BH15" s="11">
        <f t="shared" si="23"/>
        <v>896419764.09</v>
      </c>
      <c r="BI15" s="11">
        <f t="shared" si="24"/>
        <v>897391620.18</v>
      </c>
      <c r="BJ15" s="42">
        <f t="shared" si="25"/>
        <v>0.278307020306923</v>
      </c>
      <c r="BK15" s="54">
        <f t="shared" ref="BK15:BK42" si="26">BI15/BD15</f>
        <v>0.278608747671056</v>
      </c>
      <c r="BL15" s="14"/>
    </row>
    <row r="16" spans="1:64">
      <c r="A16" s="12"/>
      <c r="B16" s="12">
        <v>2020</v>
      </c>
      <c r="C16" s="122">
        <f>530.96*100000000</f>
        <v>53096000000</v>
      </c>
      <c r="D16" s="122" t="s">
        <v>72</v>
      </c>
      <c r="E16" s="12"/>
      <c r="F16" s="12"/>
      <c r="G16" s="122">
        <v>6658923560.27</v>
      </c>
      <c r="H16" s="11">
        <v>4991639172.49</v>
      </c>
      <c r="I16" s="11">
        <v>4615875380.59</v>
      </c>
      <c r="J16" s="42">
        <f t="shared" si="15"/>
        <v>0.92472136328064</v>
      </c>
      <c r="K16" s="11"/>
      <c r="L16" s="11"/>
      <c r="M16" s="11"/>
      <c r="N16" s="11"/>
      <c r="O16" s="11"/>
      <c r="P16" s="11">
        <v>360237800</v>
      </c>
      <c r="Q16" s="11"/>
      <c r="R16" s="11"/>
      <c r="S16" s="11">
        <f t="shared" si="16"/>
        <v>360237800</v>
      </c>
      <c r="T16" s="11"/>
      <c r="U16" s="11"/>
      <c r="V16" s="11">
        <v>5065304.88</v>
      </c>
      <c r="W16" s="11">
        <v>38828785.42</v>
      </c>
      <c r="X16" s="29"/>
      <c r="Y16" s="29">
        <v>545109691.12</v>
      </c>
      <c r="Z16" s="29">
        <v>241700996.57</v>
      </c>
      <c r="AA16" s="29"/>
      <c r="AB16" s="29">
        <v>779007720.05</v>
      </c>
      <c r="AC16" s="29">
        <f t="shared" si="17"/>
        <v>1609712498.04</v>
      </c>
      <c r="AD16" s="29">
        <f t="shared" si="18"/>
        <v>589003781.42</v>
      </c>
      <c r="AE16" s="29">
        <f t="shared" si="19"/>
        <v>1020708716.62</v>
      </c>
      <c r="AF16" s="29">
        <f t="shared" si="20"/>
        <v>5049211062.23</v>
      </c>
      <c r="AG16" s="29">
        <v>1458030642.5</v>
      </c>
      <c r="AH16" s="29">
        <v>227215629.33</v>
      </c>
      <c r="AI16" s="29">
        <v>197604336.16</v>
      </c>
      <c r="AJ16" s="42">
        <f t="shared" si="21"/>
        <v>0.372899960961116</v>
      </c>
      <c r="AK16" s="42"/>
      <c r="AL16" s="44"/>
      <c r="AM16" s="132"/>
      <c r="AN16" s="132"/>
      <c r="AO16" s="132"/>
      <c r="AP16" s="132"/>
      <c r="AQ16" s="132"/>
      <c r="AR16" s="132"/>
      <c r="AS16" s="132"/>
      <c r="AT16" s="55"/>
      <c r="AU16" s="55"/>
      <c r="AV16" s="55"/>
      <c r="AW16" s="55"/>
      <c r="AX16" s="55"/>
      <c r="AY16" s="55"/>
      <c r="AZ16" s="55"/>
      <c r="BA16" s="55"/>
      <c r="BB16" s="55"/>
      <c r="BC16" s="56">
        <f t="shared" si="7"/>
        <v>5351876972.49</v>
      </c>
      <c r="BD16" s="29">
        <f t="shared" si="22"/>
        <v>3742164474.45</v>
      </c>
      <c r="BE16" s="29">
        <v>1168764469.56</v>
      </c>
      <c r="BF16" s="29">
        <v>1130076526.92</v>
      </c>
      <c r="BG16" s="29">
        <v>13317353.72</v>
      </c>
      <c r="BH16" s="11">
        <f t="shared" si="23"/>
        <v>1143393880.64</v>
      </c>
      <c r="BI16" s="11">
        <f t="shared" si="24"/>
        <v>1182081823.28</v>
      </c>
      <c r="BJ16" s="42">
        <f t="shared" si="25"/>
        <v>0.305543459793559</v>
      </c>
      <c r="BK16" s="54">
        <f t="shared" si="26"/>
        <v>0.315881846281953</v>
      </c>
      <c r="BL16" s="14"/>
    </row>
    <row r="17" spans="1:64">
      <c r="A17" s="12"/>
      <c r="B17" s="12">
        <v>2019</v>
      </c>
      <c r="C17" s="122">
        <f>313.48*100000000</f>
        <v>31348000000</v>
      </c>
      <c r="D17" s="122" t="s">
        <v>73</v>
      </c>
      <c r="E17" s="12"/>
      <c r="F17" s="12"/>
      <c r="G17" s="122">
        <v>5953726937.24</v>
      </c>
      <c r="H17" s="11">
        <v>4245796115.38</v>
      </c>
      <c r="I17" s="11">
        <v>3948972297.92</v>
      </c>
      <c r="J17" s="42">
        <f t="shared" si="15"/>
        <v>0.930089950295827</v>
      </c>
      <c r="K17" s="11"/>
      <c r="L17" s="11"/>
      <c r="M17" s="11"/>
      <c r="N17" s="11"/>
      <c r="O17" s="11"/>
      <c r="P17" s="11">
        <v>112678000</v>
      </c>
      <c r="Q17" s="11"/>
      <c r="R17" s="11"/>
      <c r="S17" s="11">
        <f t="shared" si="16"/>
        <v>112678000</v>
      </c>
      <c r="T17" s="11"/>
      <c r="U17" s="11"/>
      <c r="V17" s="11">
        <v>5102559.31</v>
      </c>
      <c r="W17" s="11">
        <v>53903005.65</v>
      </c>
      <c r="X17" s="29"/>
      <c r="Y17" s="29">
        <v>304420629.49</v>
      </c>
      <c r="Z17" s="29">
        <v>698822699.65</v>
      </c>
      <c r="AA17" s="29"/>
      <c r="AB17" s="29">
        <v>1134800000</v>
      </c>
      <c r="AC17" s="29">
        <f t="shared" si="17"/>
        <v>2197048894.1</v>
      </c>
      <c r="AD17" s="29">
        <f t="shared" si="18"/>
        <v>363426194.45</v>
      </c>
      <c r="AE17" s="29">
        <f t="shared" si="19"/>
        <v>1833622699.65</v>
      </c>
      <c r="AF17" s="29">
        <f t="shared" si="20"/>
        <v>3756678043.14</v>
      </c>
      <c r="AG17" s="29">
        <v>1424207470.64</v>
      </c>
      <c r="AH17" s="29">
        <v>366030438.06</v>
      </c>
      <c r="AI17" s="29">
        <v>211469631.7</v>
      </c>
      <c r="AJ17" s="42">
        <f t="shared" si="21"/>
        <v>0.532839790211802</v>
      </c>
      <c r="AK17" s="42"/>
      <c r="AL17" s="44"/>
      <c r="AM17" s="132"/>
      <c r="AN17" s="132"/>
      <c r="AO17" s="132"/>
      <c r="AP17" s="132"/>
      <c r="AQ17" s="132"/>
      <c r="AR17" s="132"/>
      <c r="AS17" s="132"/>
      <c r="AT17" s="55"/>
      <c r="AU17" s="55"/>
      <c r="AV17" s="55"/>
      <c r="AW17" s="55"/>
      <c r="AX17" s="55"/>
      <c r="AY17" s="55"/>
      <c r="AZ17" s="55"/>
      <c r="BA17" s="55"/>
      <c r="BB17" s="55"/>
      <c r="BC17" s="56">
        <f t="shared" si="7"/>
        <v>4358474115.38</v>
      </c>
      <c r="BD17" s="29">
        <f t="shared" si="22"/>
        <v>2161425221.28</v>
      </c>
      <c r="BE17" s="29">
        <v>930945243.71</v>
      </c>
      <c r="BF17" s="29">
        <v>928021905.68</v>
      </c>
      <c r="BG17" s="29">
        <v>48871548.21</v>
      </c>
      <c r="BH17" s="11">
        <f t="shared" si="23"/>
        <v>976893453.89</v>
      </c>
      <c r="BI17" s="11">
        <f t="shared" si="24"/>
        <v>979816791.92</v>
      </c>
      <c r="BJ17" s="42">
        <f t="shared" si="25"/>
        <v>0.451967268759583</v>
      </c>
      <c r="BK17" s="54">
        <f t="shared" si="26"/>
        <v>0.453319773579653</v>
      </c>
      <c r="BL17" s="14"/>
    </row>
    <row r="18" spans="1:64">
      <c r="A18" s="12"/>
      <c r="B18" s="12">
        <v>2018</v>
      </c>
      <c r="C18" s="122">
        <f>234.69*100000000</f>
        <v>23469000000</v>
      </c>
      <c r="D18" s="122" t="s">
        <v>74</v>
      </c>
      <c r="E18" s="12"/>
      <c r="F18" s="12"/>
      <c r="G18" s="122">
        <v>5983687463.75</v>
      </c>
      <c r="H18" s="11">
        <v>3947798751.9</v>
      </c>
      <c r="I18" s="11">
        <v>3604791230.11</v>
      </c>
      <c r="J18" s="42">
        <f t="shared" si="15"/>
        <v>0.913114233185033</v>
      </c>
      <c r="K18" s="11"/>
      <c r="L18" s="11"/>
      <c r="M18" s="11">
        <v>398977053.53</v>
      </c>
      <c r="N18" s="11"/>
      <c r="O18" s="11"/>
      <c r="P18" s="11">
        <v>2159000</v>
      </c>
      <c r="Q18" s="11"/>
      <c r="R18" s="11"/>
      <c r="S18" s="11">
        <f t="shared" si="16"/>
        <v>401136053.53</v>
      </c>
      <c r="T18" s="11">
        <v>55637840.83</v>
      </c>
      <c r="U18" s="11"/>
      <c r="V18" s="11">
        <v>6136623.64</v>
      </c>
      <c r="W18" s="11"/>
      <c r="X18" s="29"/>
      <c r="Y18" s="29">
        <v>283688735.12</v>
      </c>
      <c r="Z18" s="29">
        <v>397125470.66</v>
      </c>
      <c r="AA18" s="29"/>
      <c r="AB18" s="29"/>
      <c r="AC18" s="29">
        <f t="shared" si="17"/>
        <v>742588670.25</v>
      </c>
      <c r="AD18" s="29">
        <f t="shared" si="18"/>
        <v>345463199.59</v>
      </c>
      <c r="AE18" s="29">
        <f t="shared" si="19"/>
        <v>397125470.66</v>
      </c>
      <c r="AF18" s="29">
        <f t="shared" si="20"/>
        <v>5241098793.5</v>
      </c>
      <c r="AG18" s="29">
        <v>1350355341.56</v>
      </c>
      <c r="AH18" s="29">
        <v>368918360.39</v>
      </c>
      <c r="AI18" s="29">
        <v>210168419.28</v>
      </c>
      <c r="AJ18" s="42">
        <f t="shared" si="21"/>
        <v>0.368136949378419</v>
      </c>
      <c r="AK18" s="42"/>
      <c r="AL18" s="44"/>
      <c r="AM18" s="132"/>
      <c r="AN18" s="132"/>
      <c r="AO18" s="132"/>
      <c r="AP18" s="132"/>
      <c r="AQ18" s="132"/>
      <c r="AR18" s="132"/>
      <c r="AS18" s="132"/>
      <c r="AT18" s="55"/>
      <c r="AU18" s="55"/>
      <c r="AV18" s="55"/>
      <c r="AW18" s="55"/>
      <c r="AX18" s="55"/>
      <c r="AY18" s="55"/>
      <c r="AZ18" s="55"/>
      <c r="BA18" s="55"/>
      <c r="BB18" s="55"/>
      <c r="BC18" s="56">
        <f t="shared" si="7"/>
        <v>4348934805.43</v>
      </c>
      <c r="BD18" s="29">
        <f t="shared" si="22"/>
        <v>3606346135.18</v>
      </c>
      <c r="BE18" s="29">
        <v>798545569.45</v>
      </c>
      <c r="BF18" s="29">
        <v>792565637.37</v>
      </c>
      <c r="BG18" s="29">
        <v>54180930.6</v>
      </c>
      <c r="BH18" s="11">
        <f t="shared" si="23"/>
        <v>846746567.97</v>
      </c>
      <c r="BI18" s="11">
        <f t="shared" si="24"/>
        <v>852726500.05</v>
      </c>
      <c r="BJ18" s="42">
        <f t="shared" si="25"/>
        <v>0.234793482441956</v>
      </c>
      <c r="BK18" s="54">
        <f t="shared" si="26"/>
        <v>0.236451651640321</v>
      </c>
      <c r="BL18" s="14"/>
    </row>
    <row r="19" spans="1:64">
      <c r="A19" s="12"/>
      <c r="B19" s="12">
        <v>2017</v>
      </c>
      <c r="C19" s="122">
        <f>197.25*100000000</f>
        <v>19725000000</v>
      </c>
      <c r="D19" s="122" t="s">
        <v>75</v>
      </c>
      <c r="E19" s="12"/>
      <c r="F19" s="12"/>
      <c r="G19" s="122">
        <v>5304762875.94</v>
      </c>
      <c r="H19" s="11">
        <v>3450155650.06</v>
      </c>
      <c r="I19" s="11">
        <v>3140811451.38</v>
      </c>
      <c r="J19" s="42">
        <f t="shared" si="15"/>
        <v>0.910339060014692</v>
      </c>
      <c r="K19" s="11"/>
      <c r="L19" s="11">
        <v>19825364.41</v>
      </c>
      <c r="M19" s="11">
        <v>896236772.21</v>
      </c>
      <c r="N19" s="11"/>
      <c r="O19" s="11"/>
      <c r="P19" s="11">
        <v>15000000</v>
      </c>
      <c r="Q19" s="11"/>
      <c r="R19" s="11"/>
      <c r="S19" s="11">
        <f t="shared" si="16"/>
        <v>931062136.62</v>
      </c>
      <c r="T19" s="11">
        <v>36738845.82</v>
      </c>
      <c r="U19" s="11"/>
      <c r="V19" s="11">
        <v>30559665.41</v>
      </c>
      <c r="W19" s="11"/>
      <c r="X19" s="29"/>
      <c r="Y19" s="29">
        <v>351037308.03</v>
      </c>
      <c r="Z19" s="29">
        <v>240763315.02</v>
      </c>
      <c r="AA19" s="29"/>
      <c r="AB19" s="29"/>
      <c r="AC19" s="29">
        <f t="shared" si="17"/>
        <v>659099134.28</v>
      </c>
      <c r="AD19" s="29">
        <f t="shared" si="18"/>
        <v>418335819.26</v>
      </c>
      <c r="AE19" s="29">
        <f t="shared" si="19"/>
        <v>240763315.02</v>
      </c>
      <c r="AF19" s="29">
        <f t="shared" si="20"/>
        <v>4645663741.66</v>
      </c>
      <c r="AG19" s="29">
        <v>1213951191.04</v>
      </c>
      <c r="AH19" s="29">
        <v>267213146.27</v>
      </c>
      <c r="AI19" s="29">
        <v>211923542.08</v>
      </c>
      <c r="AJ19" s="42">
        <f t="shared" si="21"/>
        <v>0.364444775502633</v>
      </c>
      <c r="AK19" s="42"/>
      <c r="AL19" s="44"/>
      <c r="AM19" s="132"/>
      <c r="AN19" s="132"/>
      <c r="AO19" s="132"/>
      <c r="AP19" s="132"/>
      <c r="AQ19" s="132"/>
      <c r="AR19" s="132"/>
      <c r="AS19" s="132"/>
      <c r="AT19" s="55"/>
      <c r="AU19" s="55"/>
      <c r="AV19" s="55"/>
      <c r="AW19" s="55"/>
      <c r="AX19" s="55"/>
      <c r="AY19" s="55"/>
      <c r="AZ19" s="55"/>
      <c r="BA19" s="55"/>
      <c r="BB19" s="55"/>
      <c r="BC19" s="56">
        <f t="shared" si="7"/>
        <v>4381217786.68</v>
      </c>
      <c r="BD19" s="29">
        <f t="shared" si="22"/>
        <v>3722118652.4</v>
      </c>
      <c r="BE19" s="29">
        <v>611029991.65</v>
      </c>
      <c r="BF19" s="29">
        <v>609177803.64</v>
      </c>
      <c r="BG19" s="29"/>
      <c r="BH19" s="11">
        <f t="shared" si="23"/>
        <v>609177803.64</v>
      </c>
      <c r="BI19" s="11">
        <f t="shared" si="24"/>
        <v>611029991.65</v>
      </c>
      <c r="BJ19" s="42">
        <f t="shared" si="25"/>
        <v>0.163664262354239</v>
      </c>
      <c r="BK19" s="54">
        <f t="shared" si="26"/>
        <v>0.164161878949241</v>
      </c>
      <c r="BL19" s="14"/>
    </row>
    <row r="20" spans="1:64">
      <c r="A20" s="12"/>
      <c r="B20" s="12">
        <v>2016</v>
      </c>
      <c r="C20" s="122">
        <f>112.17*100000000</f>
        <v>11217000000</v>
      </c>
      <c r="D20" s="122" t="s">
        <v>76</v>
      </c>
      <c r="E20" s="12"/>
      <c r="F20" s="12"/>
      <c r="G20" s="122">
        <v>4910866585.04</v>
      </c>
      <c r="H20" s="11">
        <v>3089104604.76</v>
      </c>
      <c r="I20" s="11">
        <v>2799259157.1</v>
      </c>
      <c r="J20" s="42">
        <f t="shared" si="15"/>
        <v>0.906171695444247</v>
      </c>
      <c r="K20" s="11"/>
      <c r="L20" s="11"/>
      <c r="M20" s="11">
        <v>894432652.35</v>
      </c>
      <c r="N20" s="11"/>
      <c r="O20" s="11"/>
      <c r="P20" s="11"/>
      <c r="Q20" s="11"/>
      <c r="R20" s="11"/>
      <c r="S20" s="11">
        <f t="shared" si="16"/>
        <v>894432652.35</v>
      </c>
      <c r="T20" s="11">
        <v>61821715.09</v>
      </c>
      <c r="U20" s="11"/>
      <c r="V20" s="11">
        <v>48885214.48</v>
      </c>
      <c r="W20" s="11"/>
      <c r="X20" s="29"/>
      <c r="Y20" s="29">
        <v>335490531.15</v>
      </c>
      <c r="Z20" s="29">
        <v>115724324.08</v>
      </c>
      <c r="AA20" s="29"/>
      <c r="AB20" s="29"/>
      <c r="AC20" s="29">
        <f t="shared" si="17"/>
        <v>561921784.8</v>
      </c>
      <c r="AD20" s="29">
        <f t="shared" si="18"/>
        <v>446197460.72</v>
      </c>
      <c r="AE20" s="29">
        <f t="shared" si="19"/>
        <v>115724324.08</v>
      </c>
      <c r="AF20" s="29">
        <f t="shared" si="20"/>
        <v>4348944800.24</v>
      </c>
      <c r="AG20" s="29">
        <v>5070807.93</v>
      </c>
      <c r="AH20" s="29">
        <v>220403829.62</v>
      </c>
      <c r="AI20" s="29">
        <v>143185158.14</v>
      </c>
      <c r="AJ20" s="42">
        <f t="shared" si="21"/>
        <v>0.0847699413590293</v>
      </c>
      <c r="AK20" s="42"/>
      <c r="AL20" s="44"/>
      <c r="AM20" s="132"/>
      <c r="AN20" s="132"/>
      <c r="AO20" s="132"/>
      <c r="AP20" s="132"/>
      <c r="AQ20" s="132"/>
      <c r="AR20" s="132"/>
      <c r="AS20" s="132"/>
      <c r="AT20" s="55"/>
      <c r="AU20" s="55"/>
      <c r="AV20" s="55"/>
      <c r="AW20" s="55"/>
      <c r="AX20" s="55"/>
      <c r="AY20" s="55"/>
      <c r="AZ20" s="55"/>
      <c r="BA20" s="55"/>
      <c r="BB20" s="55"/>
      <c r="BC20" s="56">
        <f t="shared" si="7"/>
        <v>3983537257.11</v>
      </c>
      <c r="BD20" s="29">
        <f t="shared" si="22"/>
        <v>3421615472.31</v>
      </c>
      <c r="BE20" s="29">
        <v>467381534.74</v>
      </c>
      <c r="BF20" s="29">
        <v>486262492.39</v>
      </c>
      <c r="BG20" s="29">
        <v>63247203.54</v>
      </c>
      <c r="BH20" s="11">
        <f t="shared" si="23"/>
        <v>549509695.93</v>
      </c>
      <c r="BI20" s="11">
        <f t="shared" si="24"/>
        <v>530628738.28</v>
      </c>
      <c r="BJ20" s="42">
        <f t="shared" si="25"/>
        <v>0.160599488860452</v>
      </c>
      <c r="BK20" s="54">
        <f t="shared" si="26"/>
        <v>0.15508134756059</v>
      </c>
      <c r="BL20" s="14"/>
    </row>
    <row r="21" spans="1:64">
      <c r="A21" s="12"/>
      <c r="B21" s="4">
        <v>2015</v>
      </c>
      <c r="C21" s="122">
        <f>124.67*100000000</f>
        <v>12467000000</v>
      </c>
      <c r="D21" s="122" t="s">
        <v>77</v>
      </c>
      <c r="E21" s="12"/>
      <c r="F21" s="12"/>
      <c r="G21" s="122">
        <v>4523115170.58</v>
      </c>
      <c r="H21" s="11">
        <v>2798588123.5</v>
      </c>
      <c r="I21" s="11">
        <v>2513979782.5</v>
      </c>
      <c r="J21" s="42">
        <f t="shared" si="15"/>
        <v>0.898302884011363</v>
      </c>
      <c r="K21" s="11"/>
      <c r="L21" s="11"/>
      <c r="M21" s="11">
        <v>892732741.68</v>
      </c>
      <c r="N21" s="11"/>
      <c r="O21" s="11"/>
      <c r="P21" s="11"/>
      <c r="Q21" s="11"/>
      <c r="R21" s="11"/>
      <c r="S21" s="11">
        <f t="shared" si="16"/>
        <v>892732741.68</v>
      </c>
      <c r="T21" s="11">
        <v>64590909.09</v>
      </c>
      <c r="U21" s="11"/>
      <c r="V21" s="11">
        <v>53009892.18</v>
      </c>
      <c r="W21" s="11"/>
      <c r="X21" s="29"/>
      <c r="Y21" s="29">
        <v>386602381.17</v>
      </c>
      <c r="Z21" s="29">
        <v>91815071.75</v>
      </c>
      <c r="AA21" s="29"/>
      <c r="AB21" s="29"/>
      <c r="AC21" s="29">
        <f t="shared" si="17"/>
        <v>596018254.19</v>
      </c>
      <c r="AD21" s="29">
        <f t="shared" si="18"/>
        <v>504203182.44</v>
      </c>
      <c r="AE21" s="29">
        <f t="shared" si="19"/>
        <v>91815071.75</v>
      </c>
      <c r="AF21" s="29">
        <f t="shared" si="20"/>
        <v>3927096916.39</v>
      </c>
      <c r="AG21" s="29">
        <v>5050771.62</v>
      </c>
      <c r="AH21" s="29">
        <v>219840981.62</v>
      </c>
      <c r="AI21" s="29">
        <v>107229007.99</v>
      </c>
      <c r="AJ21" s="42">
        <f t="shared" si="21"/>
        <v>0.0845715724111294</v>
      </c>
      <c r="AK21" s="42"/>
      <c r="AL21" s="44"/>
      <c r="AM21" s="132"/>
      <c r="AN21" s="132"/>
      <c r="AO21" s="132"/>
      <c r="AP21" s="132"/>
      <c r="AQ21" s="132"/>
      <c r="AR21" s="132"/>
      <c r="AS21" s="132"/>
      <c r="AT21" s="55"/>
      <c r="AU21" s="55"/>
      <c r="AV21" s="55"/>
      <c r="AW21" s="55"/>
      <c r="AX21" s="55"/>
      <c r="AY21" s="55"/>
      <c r="AZ21" s="55"/>
      <c r="BA21" s="55"/>
      <c r="BB21" s="55"/>
      <c r="BC21" s="56">
        <f t="shared" si="7"/>
        <v>3691320865.18</v>
      </c>
      <c r="BD21" s="29">
        <f t="shared" si="22"/>
        <v>3095302610.99</v>
      </c>
      <c r="BE21" s="29">
        <v>300808951.67</v>
      </c>
      <c r="BF21" s="29">
        <v>339119271.56</v>
      </c>
      <c r="BG21" s="29">
        <v>61164838.68</v>
      </c>
      <c r="BH21" s="11">
        <f t="shared" si="23"/>
        <v>400284110.24</v>
      </c>
      <c r="BI21" s="11">
        <f t="shared" si="24"/>
        <v>361973790.35</v>
      </c>
      <c r="BJ21" s="42">
        <f t="shared" si="25"/>
        <v>0.129319863207809</v>
      </c>
      <c r="BK21" s="54">
        <f t="shared" si="26"/>
        <v>0.116942940914661</v>
      </c>
      <c r="BL21" s="14"/>
    </row>
    <row r="22" spans="1:64">
      <c r="A22" s="12"/>
      <c r="B22" s="4">
        <v>2014</v>
      </c>
      <c r="C22" s="122">
        <f>82.69*100000000</f>
        <v>8269000000</v>
      </c>
      <c r="D22" s="122" t="s">
        <v>78</v>
      </c>
      <c r="E22" s="12"/>
      <c r="F22" s="12"/>
      <c r="G22" s="122">
        <v>4058969587.71</v>
      </c>
      <c r="H22" s="11">
        <v>2612537101.13</v>
      </c>
      <c r="I22" s="11">
        <v>2354641481.49</v>
      </c>
      <c r="J22" s="42">
        <f t="shared" si="15"/>
        <v>0.901285375228374</v>
      </c>
      <c r="K22" s="11"/>
      <c r="L22" s="11">
        <v>108570000</v>
      </c>
      <c r="M22" s="11">
        <v>495236064.74</v>
      </c>
      <c r="N22" s="11"/>
      <c r="O22" s="11"/>
      <c r="P22" s="11">
        <v>100000000</v>
      </c>
      <c r="Q22" s="11"/>
      <c r="R22" s="11"/>
      <c r="S22" s="11">
        <f t="shared" si="16"/>
        <v>703806064.74</v>
      </c>
      <c r="T22" s="11">
        <v>64590909.09</v>
      </c>
      <c r="U22" s="11"/>
      <c r="V22" s="11">
        <v>51725432.12</v>
      </c>
      <c r="W22" s="11"/>
      <c r="X22" s="29"/>
      <c r="Y22" s="29">
        <v>429600695.28</v>
      </c>
      <c r="Z22" s="29">
        <v>270362211.98</v>
      </c>
      <c r="AA22" s="29"/>
      <c r="AB22" s="29">
        <v>2792908.28</v>
      </c>
      <c r="AC22" s="29">
        <f t="shared" si="17"/>
        <v>819072156.75</v>
      </c>
      <c r="AD22" s="29">
        <f t="shared" si="18"/>
        <v>545917036.49</v>
      </c>
      <c r="AE22" s="29">
        <f t="shared" si="19"/>
        <v>273155120.26</v>
      </c>
      <c r="AF22" s="29">
        <f t="shared" si="20"/>
        <v>3239897430.96</v>
      </c>
      <c r="AG22" s="29">
        <v>1176377517.48</v>
      </c>
      <c r="AH22" s="29">
        <v>191069756.34</v>
      </c>
      <c r="AI22" s="29">
        <v>114142333.91</v>
      </c>
      <c r="AJ22" s="42">
        <f t="shared" si="21"/>
        <v>0.457295219772126</v>
      </c>
      <c r="AK22" s="42"/>
      <c r="AL22" s="44"/>
      <c r="AM22" s="132"/>
      <c r="AN22" s="132"/>
      <c r="AO22" s="132"/>
      <c r="AP22" s="132"/>
      <c r="AQ22" s="132"/>
      <c r="AR22" s="132"/>
      <c r="AS22" s="132"/>
      <c r="AT22" s="55"/>
      <c r="AU22" s="55"/>
      <c r="AV22" s="55"/>
      <c r="AW22" s="55"/>
      <c r="AX22" s="55"/>
      <c r="AY22" s="55"/>
      <c r="AZ22" s="55"/>
      <c r="BA22" s="55"/>
      <c r="BB22" s="55"/>
      <c r="BC22" s="56">
        <f t="shared" si="7"/>
        <v>3316343165.87</v>
      </c>
      <c r="BD22" s="29">
        <f t="shared" si="22"/>
        <v>2497271009.12</v>
      </c>
      <c r="BE22" s="29">
        <v>322787675.72</v>
      </c>
      <c r="BF22" s="29">
        <v>344024306.1</v>
      </c>
      <c r="BG22" s="29">
        <v>33214100.66</v>
      </c>
      <c r="BH22" s="11">
        <f t="shared" si="23"/>
        <v>377238406.76</v>
      </c>
      <c r="BI22" s="11">
        <f t="shared" si="24"/>
        <v>356001776.38</v>
      </c>
      <c r="BJ22" s="42">
        <f t="shared" si="25"/>
        <v>0.151060259532238</v>
      </c>
      <c r="BK22" s="54">
        <f t="shared" si="26"/>
        <v>0.142556324515796</v>
      </c>
      <c r="BL22" s="14"/>
    </row>
    <row r="23" spans="1:64">
      <c r="A23" s="12"/>
      <c r="B23" s="4">
        <v>2013</v>
      </c>
      <c r="C23" s="122">
        <f>90.58*100000000</f>
        <v>9058000000</v>
      </c>
      <c r="D23" s="12" t="s">
        <v>80</v>
      </c>
      <c r="E23" s="12"/>
      <c r="F23" s="12"/>
      <c r="G23" s="122">
        <v>3696122566.48</v>
      </c>
      <c r="H23" s="11">
        <v>2384818024.28</v>
      </c>
      <c r="I23" s="11">
        <v>2132672364.41</v>
      </c>
      <c r="J23" s="42">
        <f t="shared" si="15"/>
        <v>0.89427048214879</v>
      </c>
      <c r="K23" s="11"/>
      <c r="L23" s="11">
        <v>119570000</v>
      </c>
      <c r="M23" s="11"/>
      <c r="N23" s="11"/>
      <c r="O23" s="11"/>
      <c r="P23" s="11">
        <v>164120000</v>
      </c>
      <c r="Q23" s="11"/>
      <c r="R23" s="11"/>
      <c r="S23" s="11">
        <f t="shared" si="16"/>
        <v>283690000</v>
      </c>
      <c r="T23" s="11">
        <v>63090909.09</v>
      </c>
      <c r="U23" s="11"/>
      <c r="V23" s="11">
        <v>50949811.29</v>
      </c>
      <c r="W23" s="11"/>
      <c r="X23" s="29"/>
      <c r="Y23" s="29">
        <v>494115489.98</v>
      </c>
      <c r="Z23" s="29">
        <v>355308868.93</v>
      </c>
      <c r="AA23" s="29"/>
      <c r="AB23" s="29">
        <v>2470756.05</v>
      </c>
      <c r="AC23" s="29">
        <f t="shared" si="17"/>
        <v>965935835.34</v>
      </c>
      <c r="AD23" s="29">
        <f t="shared" si="18"/>
        <v>608156210.36</v>
      </c>
      <c r="AE23" s="29">
        <f t="shared" si="19"/>
        <v>357779624.98</v>
      </c>
      <c r="AF23" s="29">
        <f t="shared" si="20"/>
        <v>2730186731.14</v>
      </c>
      <c r="AG23" s="29">
        <v>669634314.87</v>
      </c>
      <c r="AH23" s="29">
        <v>318586622.82</v>
      </c>
      <c r="AI23" s="29">
        <v>105849021.03</v>
      </c>
      <c r="AJ23" s="42">
        <f t="shared" si="21"/>
        <v>0.400730816775733</v>
      </c>
      <c r="AK23" s="42"/>
      <c r="AL23" s="44"/>
      <c r="AM23" s="132"/>
      <c r="AN23" s="132"/>
      <c r="AO23" s="132"/>
      <c r="AP23" s="132"/>
      <c r="AQ23" s="132"/>
      <c r="AR23" s="132"/>
      <c r="AS23" s="132"/>
      <c r="AT23" s="55"/>
      <c r="AU23" s="55"/>
      <c r="AV23" s="55"/>
      <c r="AW23" s="55"/>
      <c r="AX23" s="55"/>
      <c r="AY23" s="55"/>
      <c r="AZ23" s="55"/>
      <c r="BA23" s="55"/>
      <c r="BB23" s="55"/>
      <c r="BC23" s="56">
        <f t="shared" si="7"/>
        <v>2668508024.28</v>
      </c>
      <c r="BD23" s="29">
        <f t="shared" si="22"/>
        <v>1702572188.94</v>
      </c>
      <c r="BE23" s="29">
        <v>254249235.99</v>
      </c>
      <c r="BF23" s="29">
        <v>262357521.58</v>
      </c>
      <c r="BG23" s="29">
        <v>33833713.16</v>
      </c>
      <c r="BH23" s="11">
        <f t="shared" si="23"/>
        <v>296191234.74</v>
      </c>
      <c r="BI23" s="11">
        <f t="shared" si="24"/>
        <v>288082949.15</v>
      </c>
      <c r="BJ23" s="42">
        <f t="shared" si="25"/>
        <v>0.173966917035339</v>
      </c>
      <c r="BK23" s="54">
        <f t="shared" si="26"/>
        <v>0.16920454299759</v>
      </c>
      <c r="BL23" s="14"/>
    </row>
    <row r="24" spans="1:64">
      <c r="A24" s="12"/>
      <c r="B24" s="4">
        <v>2012</v>
      </c>
      <c r="C24" s="122"/>
      <c r="D24" s="12"/>
      <c r="E24" s="12"/>
      <c r="F24" s="12"/>
      <c r="G24" s="122">
        <v>3495088667.33</v>
      </c>
      <c r="H24" s="11">
        <v>2189553863.83</v>
      </c>
      <c r="I24" s="11">
        <v>1947986370.95</v>
      </c>
      <c r="J24" s="42">
        <f t="shared" si="15"/>
        <v>0.889672733395356</v>
      </c>
      <c r="K24" s="11"/>
      <c r="L24" s="11">
        <v>75000000</v>
      </c>
      <c r="M24" s="11"/>
      <c r="N24" s="11"/>
      <c r="O24" s="11"/>
      <c r="P24" s="11">
        <v>10000000</v>
      </c>
      <c r="Q24" s="11"/>
      <c r="R24" s="11"/>
      <c r="S24" s="11">
        <f t="shared" si="16"/>
        <v>85000000</v>
      </c>
      <c r="T24" s="11"/>
      <c r="U24" s="11"/>
      <c r="V24" s="11">
        <v>92901339.6</v>
      </c>
      <c r="W24" s="11"/>
      <c r="X24" s="29"/>
      <c r="Y24" s="29">
        <v>519796165.2</v>
      </c>
      <c r="Z24" s="29">
        <v>354573106.95</v>
      </c>
      <c r="AA24" s="29"/>
      <c r="AB24" s="29">
        <v>3181507.07</v>
      </c>
      <c r="AC24" s="29">
        <f t="shared" si="17"/>
        <v>970452118.82</v>
      </c>
      <c r="AD24" s="29">
        <f t="shared" si="18"/>
        <v>612697504.8</v>
      </c>
      <c r="AE24" s="29">
        <f t="shared" si="19"/>
        <v>357754614.02</v>
      </c>
      <c r="AF24" s="29">
        <f t="shared" si="20"/>
        <v>2524636548.51</v>
      </c>
      <c r="AG24" s="29">
        <v>588313085.14</v>
      </c>
      <c r="AH24" s="29">
        <v>138230365.82</v>
      </c>
      <c r="AI24" s="29">
        <v>89661621.47</v>
      </c>
      <c r="AJ24" s="42">
        <f t="shared" si="21"/>
        <v>0.323296069254686</v>
      </c>
      <c r="AK24" s="42"/>
      <c r="AL24" s="44"/>
      <c r="AM24" s="132"/>
      <c r="AN24" s="132"/>
      <c r="AO24" s="132"/>
      <c r="AP24" s="132"/>
      <c r="AQ24" s="132"/>
      <c r="AR24" s="132"/>
      <c r="AS24" s="132"/>
      <c r="AT24" s="55"/>
      <c r="AU24" s="55"/>
      <c r="AV24" s="55"/>
      <c r="AW24" s="55"/>
      <c r="AX24" s="55"/>
      <c r="AY24" s="55"/>
      <c r="AZ24" s="55"/>
      <c r="BA24" s="55"/>
      <c r="BB24" s="55"/>
      <c r="BC24" s="56">
        <f t="shared" si="7"/>
        <v>2274553863.83</v>
      </c>
      <c r="BD24" s="29">
        <f t="shared" si="22"/>
        <v>1304101745.01</v>
      </c>
      <c r="BE24" s="29">
        <v>117736589.57</v>
      </c>
      <c r="BF24" s="29">
        <v>145320131.28</v>
      </c>
      <c r="BG24" s="29">
        <v>40927808.72</v>
      </c>
      <c r="BH24" s="11">
        <f t="shared" si="23"/>
        <v>186247940</v>
      </c>
      <c r="BI24" s="11">
        <f t="shared" si="24"/>
        <v>158664398.29</v>
      </c>
      <c r="BJ24" s="42">
        <f t="shared" si="25"/>
        <v>0.142817031502839</v>
      </c>
      <c r="BK24" s="54">
        <f t="shared" si="26"/>
        <v>0.121665659061581</v>
      </c>
      <c r="BL24" s="15"/>
    </row>
    <row r="25" customFormat="1" spans="1:64">
      <c r="A25" s="13" t="s">
        <v>81</v>
      </c>
      <c r="B25" s="4">
        <v>2022</v>
      </c>
      <c r="C25" s="122">
        <f>200.62*100000000</f>
        <v>20062000000</v>
      </c>
      <c r="D25" s="122" t="s">
        <v>69</v>
      </c>
      <c r="E25" s="12"/>
      <c r="F25" s="12"/>
      <c r="G25" s="122">
        <v>3171593207.19</v>
      </c>
      <c r="H25" s="11">
        <v>2353022936.1</v>
      </c>
      <c r="I25" s="11"/>
      <c r="J25" s="42"/>
      <c r="K25" s="11"/>
      <c r="L25" s="11"/>
      <c r="M25" s="11"/>
      <c r="N25" s="11">
        <v>73646.11</v>
      </c>
      <c r="O25" s="11"/>
      <c r="P25" s="11">
        <v>65000000</v>
      </c>
      <c r="Q25" s="11"/>
      <c r="R25" s="11"/>
      <c r="S25" s="11">
        <f t="shared" si="16"/>
        <v>65000000</v>
      </c>
      <c r="T25" s="11"/>
      <c r="U25" s="11"/>
      <c r="V25" s="11"/>
      <c r="W25" s="11"/>
      <c r="X25" s="29"/>
      <c r="Y25" s="29"/>
      <c r="Z25" s="29">
        <v>409279659.48</v>
      </c>
      <c r="AA25" s="29"/>
      <c r="AB25" s="29">
        <v>410000000</v>
      </c>
      <c r="AC25" s="29">
        <f t="shared" si="17"/>
        <v>819279659.48</v>
      </c>
      <c r="AD25" s="29">
        <f t="shared" si="18"/>
        <v>0</v>
      </c>
      <c r="AE25" s="29">
        <f t="shared" si="19"/>
        <v>819279659.48</v>
      </c>
      <c r="AF25" s="29">
        <f t="shared" si="20"/>
        <v>2352313547.71</v>
      </c>
      <c r="AG25" s="29">
        <v>882644351.4</v>
      </c>
      <c r="AH25" s="29">
        <v>351547774.26</v>
      </c>
      <c r="AI25" s="29">
        <v>97675956.36</v>
      </c>
      <c r="AJ25" s="42">
        <f t="shared" si="21"/>
        <v>0.566194962961713</v>
      </c>
      <c r="AK25" s="42"/>
      <c r="AL25" s="44"/>
      <c r="AM25" s="132"/>
      <c r="AN25" s="132"/>
      <c r="AO25" s="132"/>
      <c r="AP25" s="132"/>
      <c r="AQ25" s="132"/>
      <c r="AR25" s="132"/>
      <c r="AS25" s="132"/>
      <c r="AT25" s="55"/>
      <c r="AU25" s="55"/>
      <c r="AV25" s="55"/>
      <c r="AW25" s="55"/>
      <c r="AX25" s="55"/>
      <c r="AY25" s="55"/>
      <c r="AZ25" s="55"/>
      <c r="BA25" s="55"/>
      <c r="BB25" s="55"/>
      <c r="BC25" s="56">
        <f t="shared" ref="BC25:BC56" si="27">H25+S25</f>
        <v>2418022936.1</v>
      </c>
      <c r="BD25" s="29">
        <f t="shared" si="22"/>
        <v>1598743276.62</v>
      </c>
      <c r="BE25" s="29">
        <v>400347681.7</v>
      </c>
      <c r="BF25" s="29">
        <v>400347681.7</v>
      </c>
      <c r="BG25" s="29">
        <v>-8308696.86</v>
      </c>
      <c r="BH25" s="11">
        <f t="shared" si="23"/>
        <v>392038984.84</v>
      </c>
      <c r="BI25" s="11">
        <f t="shared" si="24"/>
        <v>392038984.84</v>
      </c>
      <c r="BJ25" s="42">
        <f t="shared" si="25"/>
        <v>0.245216971713453</v>
      </c>
      <c r="BK25" s="54">
        <f t="shared" si="26"/>
        <v>0.245216971713453</v>
      </c>
      <c r="BL25" s="13"/>
    </row>
    <row r="26" customFormat="1" spans="1:64">
      <c r="A26" s="14"/>
      <c r="B26" s="4">
        <v>2021</v>
      </c>
      <c r="C26" s="122">
        <f>192.35*100000000</f>
        <v>19235000000</v>
      </c>
      <c r="D26" s="122" t="s">
        <v>71</v>
      </c>
      <c r="E26" s="12"/>
      <c r="F26" s="12"/>
      <c r="G26" s="122">
        <v>2397922657.19</v>
      </c>
      <c r="H26" s="11">
        <v>2074320828.6</v>
      </c>
      <c r="I26" s="11"/>
      <c r="J26" s="42"/>
      <c r="K26" s="11"/>
      <c r="L26" s="11"/>
      <c r="M26" s="11"/>
      <c r="N26" s="11">
        <v>425887.22</v>
      </c>
      <c r="O26" s="11"/>
      <c r="P26" s="11"/>
      <c r="Q26" s="11"/>
      <c r="R26" s="11"/>
      <c r="S26" s="11">
        <f t="shared" si="16"/>
        <v>0</v>
      </c>
      <c r="T26" s="11"/>
      <c r="U26" s="11"/>
      <c r="V26" s="11"/>
      <c r="W26" s="11"/>
      <c r="X26" s="29"/>
      <c r="Y26" s="29"/>
      <c r="Z26" s="29">
        <v>196955347.02</v>
      </c>
      <c r="AA26" s="29"/>
      <c r="AB26" s="29">
        <v>160000000</v>
      </c>
      <c r="AC26" s="29">
        <f t="shared" si="17"/>
        <v>356955347.02</v>
      </c>
      <c r="AD26" s="29">
        <f t="shared" si="18"/>
        <v>0</v>
      </c>
      <c r="AE26" s="29">
        <f t="shared" si="19"/>
        <v>356955347.02</v>
      </c>
      <c r="AF26" s="29">
        <f t="shared" si="20"/>
        <v>2040967310.17</v>
      </c>
      <c r="AG26" s="29">
        <v>842528924.16</v>
      </c>
      <c r="AH26" s="29">
        <v>284081775.37</v>
      </c>
      <c r="AI26" s="29">
        <v>103322955.28</v>
      </c>
      <c r="AJ26" s="42">
        <f t="shared" si="21"/>
        <v>0.602622907619012</v>
      </c>
      <c r="AK26" s="42"/>
      <c r="AL26" s="44"/>
      <c r="AM26" s="132"/>
      <c r="AN26" s="132"/>
      <c r="AO26" s="132"/>
      <c r="AP26" s="132"/>
      <c r="AQ26" s="132"/>
      <c r="AR26" s="132"/>
      <c r="AS26" s="132"/>
      <c r="AT26" s="55"/>
      <c r="AU26" s="55"/>
      <c r="AV26" s="55"/>
      <c r="AW26" s="55"/>
      <c r="AX26" s="55"/>
      <c r="AY26" s="55"/>
      <c r="AZ26" s="55"/>
      <c r="BA26" s="55"/>
      <c r="BB26" s="55"/>
      <c r="BC26" s="56">
        <f t="shared" si="27"/>
        <v>2074320828.6</v>
      </c>
      <c r="BD26" s="29">
        <f t="shared" si="22"/>
        <v>1717365481.58</v>
      </c>
      <c r="BE26" s="29">
        <v>269992984.84</v>
      </c>
      <c r="BF26" s="29">
        <v>269992984.84</v>
      </c>
      <c r="BG26" s="139">
        <v>-2704183.35</v>
      </c>
      <c r="BH26" s="11">
        <f t="shared" si="23"/>
        <v>267288801.49</v>
      </c>
      <c r="BI26" s="11">
        <f t="shared" si="24"/>
        <v>267288801.49</v>
      </c>
      <c r="BJ26" s="42">
        <f t="shared" si="25"/>
        <v>0.155638857515694</v>
      </c>
      <c r="BK26" s="54">
        <f t="shared" si="26"/>
        <v>0.155638857515694</v>
      </c>
      <c r="BL26" s="14"/>
    </row>
    <row r="27" customFormat="1" spans="1:64">
      <c r="A27" s="14"/>
      <c r="B27" s="4">
        <v>2020</v>
      </c>
      <c r="C27" s="122">
        <f>248.83*100000000</f>
        <v>24883000000</v>
      </c>
      <c r="D27" s="122" t="s">
        <v>72</v>
      </c>
      <c r="E27" s="12"/>
      <c r="F27" s="12"/>
      <c r="G27" s="122">
        <v>2185494550.48</v>
      </c>
      <c r="H27" s="11">
        <v>1897911349</v>
      </c>
      <c r="I27" s="11"/>
      <c r="J27" s="42"/>
      <c r="K27" s="11"/>
      <c r="L27" s="11"/>
      <c r="M27" s="11"/>
      <c r="N27" s="11"/>
      <c r="O27" s="11"/>
      <c r="P27" s="11"/>
      <c r="Q27" s="11"/>
      <c r="R27" s="11"/>
      <c r="S27" s="11">
        <f t="shared" si="16"/>
        <v>0</v>
      </c>
      <c r="T27" s="11"/>
      <c r="U27" s="11"/>
      <c r="V27" s="11"/>
      <c r="W27" s="11"/>
      <c r="X27" s="29"/>
      <c r="Y27" s="29"/>
      <c r="Z27" s="29">
        <v>117463290.74</v>
      </c>
      <c r="AA27" s="29"/>
      <c r="AB27" s="29">
        <v>390000000</v>
      </c>
      <c r="AC27" s="29">
        <f t="shared" si="17"/>
        <v>507463290.74</v>
      </c>
      <c r="AD27" s="29">
        <f t="shared" si="18"/>
        <v>0</v>
      </c>
      <c r="AE27" s="29">
        <f t="shared" si="19"/>
        <v>507463290.74</v>
      </c>
      <c r="AF27" s="29">
        <f t="shared" si="20"/>
        <v>1678031259.74</v>
      </c>
      <c r="AG27" s="29">
        <v>826764257.92</v>
      </c>
      <c r="AH27" s="29">
        <v>140301049.56</v>
      </c>
      <c r="AI27" s="29">
        <v>105258498.85</v>
      </c>
      <c r="AJ27" s="42">
        <f t="shared" si="21"/>
        <v>0.639036847559175</v>
      </c>
      <c r="AK27" s="42"/>
      <c r="AL27" s="44"/>
      <c r="AM27" s="132"/>
      <c r="AN27" s="132"/>
      <c r="AO27" s="132"/>
      <c r="AP27" s="132"/>
      <c r="AQ27" s="132"/>
      <c r="AR27" s="132"/>
      <c r="AS27" s="132"/>
      <c r="AT27" s="55"/>
      <c r="AU27" s="55"/>
      <c r="AV27" s="55"/>
      <c r="AW27" s="55"/>
      <c r="AX27" s="55"/>
      <c r="AY27" s="55"/>
      <c r="AZ27" s="55"/>
      <c r="BA27" s="55"/>
      <c r="BB27" s="55"/>
      <c r="BC27" s="56">
        <f t="shared" si="27"/>
        <v>1897911349</v>
      </c>
      <c r="BD27" s="29">
        <f t="shared" si="22"/>
        <v>1390448058.26</v>
      </c>
      <c r="BE27" s="29">
        <v>261914264.2</v>
      </c>
      <c r="BF27" s="29">
        <v>261914264.2</v>
      </c>
      <c r="BG27" s="29">
        <v>-3216073.21</v>
      </c>
      <c r="BH27" s="11">
        <f t="shared" si="23"/>
        <v>258698190.99</v>
      </c>
      <c r="BI27" s="11">
        <f t="shared" si="24"/>
        <v>258698190.99</v>
      </c>
      <c r="BJ27" s="42">
        <f t="shared" si="25"/>
        <v>0.186053833117458</v>
      </c>
      <c r="BK27" s="54">
        <f t="shared" si="26"/>
        <v>0.186053833117458</v>
      </c>
      <c r="BL27" s="14"/>
    </row>
    <row r="28" customFormat="1" spans="1:64">
      <c r="A28" s="14"/>
      <c r="B28" s="4">
        <v>2019</v>
      </c>
      <c r="C28" s="122">
        <f>99.04*100000000</f>
        <v>9904000000</v>
      </c>
      <c r="D28" s="122" t="s">
        <v>73</v>
      </c>
      <c r="E28" s="12"/>
      <c r="F28" s="12"/>
      <c r="G28" s="122">
        <v>2055571609.08</v>
      </c>
      <c r="H28" s="11">
        <v>1592531795</v>
      </c>
      <c r="I28" s="11"/>
      <c r="J28" s="42"/>
      <c r="K28" s="11"/>
      <c r="L28" s="11"/>
      <c r="M28" s="11">
        <v>158004865.85</v>
      </c>
      <c r="N28" s="11"/>
      <c r="O28" s="11"/>
      <c r="P28" s="11"/>
      <c r="Q28" s="11"/>
      <c r="R28" s="11"/>
      <c r="S28" s="11">
        <f t="shared" si="16"/>
        <v>158004865.85</v>
      </c>
      <c r="T28" s="11"/>
      <c r="U28" s="11"/>
      <c r="V28" s="11"/>
      <c r="W28" s="11"/>
      <c r="X28" s="29"/>
      <c r="Y28" s="29"/>
      <c r="Z28" s="29">
        <v>86062661.58</v>
      </c>
      <c r="AA28" s="29"/>
      <c r="AB28" s="29">
        <v>343000000</v>
      </c>
      <c r="AC28" s="29">
        <f t="shared" si="17"/>
        <v>429062661.58</v>
      </c>
      <c r="AD28" s="29">
        <f t="shared" si="18"/>
        <v>0</v>
      </c>
      <c r="AE28" s="29">
        <f t="shared" si="19"/>
        <v>429062661.58</v>
      </c>
      <c r="AF28" s="29">
        <f t="shared" si="20"/>
        <v>1626508947.5</v>
      </c>
      <c r="AG28" s="29">
        <v>692422171.85</v>
      </c>
      <c r="AH28" s="29">
        <v>198232449.32</v>
      </c>
      <c r="AI28" s="29">
        <v>121391437.7</v>
      </c>
      <c r="AJ28" s="42">
        <f t="shared" si="21"/>
        <v>0.622219791920327</v>
      </c>
      <c r="AK28" s="42"/>
      <c r="AL28" s="44"/>
      <c r="AM28" s="132"/>
      <c r="AN28" s="132"/>
      <c r="AO28" s="132"/>
      <c r="AP28" s="132"/>
      <c r="AQ28" s="132"/>
      <c r="AR28" s="132"/>
      <c r="AS28" s="132"/>
      <c r="AT28" s="55"/>
      <c r="AU28" s="55"/>
      <c r="AV28" s="55"/>
      <c r="AW28" s="55"/>
      <c r="AX28" s="55"/>
      <c r="AY28" s="55"/>
      <c r="AZ28" s="55"/>
      <c r="BA28" s="55"/>
      <c r="BB28" s="55"/>
      <c r="BC28" s="56">
        <f t="shared" si="27"/>
        <v>1750536660.85</v>
      </c>
      <c r="BD28" s="29">
        <f t="shared" si="22"/>
        <v>1321473999.27</v>
      </c>
      <c r="BE28" s="29">
        <v>231836026.43</v>
      </c>
      <c r="BF28" s="29">
        <v>231836026.43</v>
      </c>
      <c r="BG28" s="29">
        <v>-7515207.85</v>
      </c>
      <c r="BH28" s="11">
        <f t="shared" si="23"/>
        <v>224320818.58</v>
      </c>
      <c r="BI28" s="11">
        <f t="shared" si="24"/>
        <v>224320818.58</v>
      </c>
      <c r="BJ28" s="42">
        <f t="shared" si="25"/>
        <v>0.169750459489871</v>
      </c>
      <c r="BK28" s="54">
        <f t="shared" si="26"/>
        <v>0.169750459489871</v>
      </c>
      <c r="BL28" s="14"/>
    </row>
    <row r="29" customFormat="1" spans="1:64">
      <c r="A29" s="14"/>
      <c r="B29" s="4">
        <v>2018</v>
      </c>
      <c r="C29" s="122">
        <f>50.17*100000000</f>
        <v>5017000000</v>
      </c>
      <c r="D29" s="122" t="s">
        <v>74</v>
      </c>
      <c r="E29" s="12"/>
      <c r="F29" s="12"/>
      <c r="G29" s="122">
        <v>1931143438.96</v>
      </c>
      <c r="H29" s="11">
        <v>1306508786.36</v>
      </c>
      <c r="I29" s="11"/>
      <c r="J29" s="42"/>
      <c r="K29" s="11"/>
      <c r="L29" s="11"/>
      <c r="M29" s="11">
        <v>286525248.65</v>
      </c>
      <c r="N29" s="11"/>
      <c r="O29" s="11"/>
      <c r="P29" s="11">
        <v>100000000</v>
      </c>
      <c r="Q29" s="11"/>
      <c r="R29" s="11"/>
      <c r="S29" s="11">
        <f t="shared" si="16"/>
        <v>386525248.65</v>
      </c>
      <c r="T29" s="11"/>
      <c r="U29" s="11"/>
      <c r="V29" s="11"/>
      <c r="W29" s="11"/>
      <c r="X29" s="29"/>
      <c r="Y29" s="29"/>
      <c r="Z29" s="29">
        <v>454485084.24</v>
      </c>
      <c r="AA29" s="29"/>
      <c r="AB29" s="29"/>
      <c r="AC29" s="29">
        <f t="shared" si="17"/>
        <v>454485084.24</v>
      </c>
      <c r="AD29" s="29">
        <f t="shared" si="18"/>
        <v>0</v>
      </c>
      <c r="AE29" s="29">
        <f t="shared" si="19"/>
        <v>454485084.24</v>
      </c>
      <c r="AF29" s="29">
        <f t="shared" si="20"/>
        <v>1476658354.72</v>
      </c>
      <c r="AG29" s="29">
        <v>414111164.86</v>
      </c>
      <c r="AH29" s="29">
        <v>305810425.36</v>
      </c>
      <c r="AI29" s="29">
        <v>52826585.01</v>
      </c>
      <c r="AJ29" s="42">
        <f t="shared" si="21"/>
        <v>0.523308707637066</v>
      </c>
      <c r="AK29" s="42"/>
      <c r="AL29" s="44"/>
      <c r="AM29" s="132"/>
      <c r="AN29" s="132"/>
      <c r="AO29" s="132"/>
      <c r="AP29" s="132"/>
      <c r="AQ29" s="132"/>
      <c r="AR29" s="132"/>
      <c r="AS29" s="132"/>
      <c r="AT29" s="55"/>
      <c r="AU29" s="55"/>
      <c r="AV29" s="55"/>
      <c r="AW29" s="55"/>
      <c r="AX29" s="55"/>
      <c r="AY29" s="55"/>
      <c r="AZ29" s="55"/>
      <c r="BA29" s="55"/>
      <c r="BB29" s="55"/>
      <c r="BC29" s="56">
        <f t="shared" si="27"/>
        <v>1693034035.01</v>
      </c>
      <c r="BD29" s="29">
        <f t="shared" si="22"/>
        <v>1238548950.77</v>
      </c>
      <c r="BE29" s="29">
        <v>285175272.21</v>
      </c>
      <c r="BF29" s="29">
        <v>285175272.21</v>
      </c>
      <c r="BG29" s="29">
        <v>1697152.63</v>
      </c>
      <c r="BH29" s="11">
        <f t="shared" si="23"/>
        <v>286872424.84</v>
      </c>
      <c r="BI29" s="11">
        <f t="shared" si="24"/>
        <v>286872424.84</v>
      </c>
      <c r="BJ29" s="42">
        <f t="shared" si="25"/>
        <v>0.231619771395917</v>
      </c>
      <c r="BK29" s="54">
        <f t="shared" si="26"/>
        <v>0.231619771395917</v>
      </c>
      <c r="BL29" s="14"/>
    </row>
    <row r="30" customFormat="1" spans="1:64">
      <c r="A30" s="14"/>
      <c r="B30" s="4">
        <v>2017</v>
      </c>
      <c r="C30" s="122">
        <f>58.64*100000000</f>
        <v>5864000000</v>
      </c>
      <c r="D30" s="122" t="s">
        <v>75</v>
      </c>
      <c r="E30" s="12"/>
      <c r="F30" s="12"/>
      <c r="G30" s="122">
        <v>1196126831.38</v>
      </c>
      <c r="H30" s="11">
        <v>1062987000.38</v>
      </c>
      <c r="I30" s="11"/>
      <c r="J30" s="42"/>
      <c r="K30" s="11"/>
      <c r="L30" s="11"/>
      <c r="M30" s="11"/>
      <c r="N30" s="11"/>
      <c r="O30" s="11"/>
      <c r="P30" s="11"/>
      <c r="Q30" s="11"/>
      <c r="R30" s="11"/>
      <c r="S30" s="11">
        <f t="shared" si="16"/>
        <v>0</v>
      </c>
      <c r="T30" s="11"/>
      <c r="U30" s="11"/>
      <c r="V30" s="11"/>
      <c r="W30" s="11"/>
      <c r="X30" s="29"/>
      <c r="Y30" s="29"/>
      <c r="Z30" s="29">
        <v>80908967.56</v>
      </c>
      <c r="AA30" s="29"/>
      <c r="AB30" s="29"/>
      <c r="AC30" s="29">
        <f t="shared" si="17"/>
        <v>80908967.56</v>
      </c>
      <c r="AD30" s="29">
        <f t="shared" si="18"/>
        <v>0</v>
      </c>
      <c r="AE30" s="29">
        <f t="shared" si="19"/>
        <v>80908967.56</v>
      </c>
      <c r="AF30" s="29">
        <f t="shared" si="20"/>
        <v>1115217863.82</v>
      </c>
      <c r="AG30" s="29">
        <v>433226421.79</v>
      </c>
      <c r="AH30" s="29">
        <v>99305024.29</v>
      </c>
      <c r="AI30" s="29">
        <v>57617282.2</v>
      </c>
      <c r="AJ30" s="42">
        <f t="shared" si="21"/>
        <v>0.529177972686467</v>
      </c>
      <c r="AK30" s="42"/>
      <c r="AL30" s="44"/>
      <c r="AM30" s="132"/>
      <c r="AN30" s="132"/>
      <c r="AO30" s="132"/>
      <c r="AP30" s="132"/>
      <c r="AQ30" s="132"/>
      <c r="AR30" s="132"/>
      <c r="AS30" s="132"/>
      <c r="AT30" s="55"/>
      <c r="AU30" s="55"/>
      <c r="AV30" s="55"/>
      <c r="AW30" s="55"/>
      <c r="AX30" s="55"/>
      <c r="AY30" s="55"/>
      <c r="AZ30" s="55"/>
      <c r="BA30" s="55"/>
      <c r="BB30" s="55"/>
      <c r="BC30" s="56">
        <f t="shared" si="27"/>
        <v>1062987000.38</v>
      </c>
      <c r="BD30" s="29">
        <f t="shared" si="22"/>
        <v>982078032.82</v>
      </c>
      <c r="BE30" s="29">
        <v>169196845.16</v>
      </c>
      <c r="BF30" s="29">
        <v>169196845.16</v>
      </c>
      <c r="BG30" s="29">
        <v>1193171.8</v>
      </c>
      <c r="BH30" s="11">
        <f t="shared" si="23"/>
        <v>170390016.96</v>
      </c>
      <c r="BI30" s="11">
        <f t="shared" si="24"/>
        <v>170390016.96</v>
      </c>
      <c r="BJ30" s="42">
        <f t="shared" si="25"/>
        <v>0.173499468744588</v>
      </c>
      <c r="BK30" s="54">
        <f t="shared" si="26"/>
        <v>0.173499468744588</v>
      </c>
      <c r="BL30" s="14"/>
    </row>
    <row r="31" customFormat="1" spans="1:64">
      <c r="A31" s="14"/>
      <c r="B31" s="4">
        <v>2016</v>
      </c>
      <c r="C31" s="122">
        <f>71.95*100000000</f>
        <v>7195000000</v>
      </c>
      <c r="D31" s="122" t="s">
        <v>76</v>
      </c>
      <c r="E31" s="12"/>
      <c r="F31" s="12"/>
      <c r="G31" s="122">
        <v>1026655803.71</v>
      </c>
      <c r="H31" s="11">
        <v>890420754.13</v>
      </c>
      <c r="I31" s="11"/>
      <c r="J31" s="42"/>
      <c r="K31" s="11"/>
      <c r="L31" s="11"/>
      <c r="M31" s="11"/>
      <c r="N31" s="11"/>
      <c r="O31" s="11"/>
      <c r="P31" s="11"/>
      <c r="Q31" s="11"/>
      <c r="R31" s="11"/>
      <c r="S31" s="11">
        <f t="shared" si="16"/>
        <v>0</v>
      </c>
      <c r="T31" s="11"/>
      <c r="U31" s="11"/>
      <c r="V31" s="11"/>
      <c r="W31" s="11"/>
      <c r="X31" s="29"/>
      <c r="Y31" s="29"/>
      <c r="Z31" s="29">
        <v>92047470.8</v>
      </c>
      <c r="AA31" s="29"/>
      <c r="AB31" s="29"/>
      <c r="AC31" s="29">
        <f t="shared" si="17"/>
        <v>92047470.8</v>
      </c>
      <c r="AD31" s="29">
        <f t="shared" si="18"/>
        <v>0</v>
      </c>
      <c r="AE31" s="29">
        <f t="shared" si="19"/>
        <v>92047470.8</v>
      </c>
      <c r="AF31" s="29">
        <f t="shared" si="20"/>
        <v>934608332.91</v>
      </c>
      <c r="AG31" s="29">
        <v>441122863.27</v>
      </c>
      <c r="AH31" s="29">
        <v>351208.05</v>
      </c>
      <c r="AI31" s="29">
        <v>52537975.61</v>
      </c>
      <c r="AJ31" s="42">
        <f t="shared" si="21"/>
        <v>0.528576548629566</v>
      </c>
      <c r="AK31" s="42"/>
      <c r="AL31" s="44"/>
      <c r="AM31" s="132"/>
      <c r="AN31" s="132"/>
      <c r="AO31" s="132"/>
      <c r="AP31" s="132"/>
      <c r="AQ31" s="132"/>
      <c r="AR31" s="132"/>
      <c r="AS31" s="132"/>
      <c r="AT31" s="55"/>
      <c r="AU31" s="55"/>
      <c r="AV31" s="55"/>
      <c r="AW31" s="55"/>
      <c r="AX31" s="55"/>
      <c r="AY31" s="55"/>
      <c r="AZ31" s="55"/>
      <c r="BA31" s="55"/>
      <c r="BB31" s="55"/>
      <c r="BC31" s="56">
        <f t="shared" si="27"/>
        <v>890420754.13</v>
      </c>
      <c r="BD31" s="29">
        <f t="shared" si="22"/>
        <v>798373283.33</v>
      </c>
      <c r="BE31" s="29">
        <v>109805144.07</v>
      </c>
      <c r="BF31" s="29">
        <v>109805144.07</v>
      </c>
      <c r="BG31" s="29">
        <v>-744236.12</v>
      </c>
      <c r="BH31" s="11">
        <f t="shared" si="23"/>
        <v>109060907.95</v>
      </c>
      <c r="BI31" s="11">
        <f t="shared" si="24"/>
        <v>109060907.95</v>
      </c>
      <c r="BJ31" s="42">
        <f t="shared" si="25"/>
        <v>0.136603904748802</v>
      </c>
      <c r="BK31" s="54">
        <f t="shared" si="26"/>
        <v>0.136603904748802</v>
      </c>
      <c r="BL31" s="14"/>
    </row>
    <row r="32" customFormat="1" spans="1:64">
      <c r="A32" s="14"/>
      <c r="B32" s="4">
        <v>2015</v>
      </c>
      <c r="C32" s="122"/>
      <c r="D32" s="122"/>
      <c r="E32" s="12"/>
      <c r="F32" s="12"/>
      <c r="G32" s="122">
        <v>724122606.18</v>
      </c>
      <c r="H32" s="11">
        <v>467498088.49</v>
      </c>
      <c r="I32" s="11"/>
      <c r="J32" s="42"/>
      <c r="K32" s="11"/>
      <c r="L32" s="11"/>
      <c r="M32" s="11"/>
      <c r="N32" s="11"/>
      <c r="O32" s="11"/>
      <c r="P32" s="11">
        <v>134500000</v>
      </c>
      <c r="Q32" s="11"/>
      <c r="R32" s="11"/>
      <c r="S32" s="11">
        <f t="shared" si="16"/>
        <v>134500000</v>
      </c>
      <c r="T32" s="11"/>
      <c r="U32" s="11"/>
      <c r="V32" s="11"/>
      <c r="W32" s="11"/>
      <c r="X32" s="29"/>
      <c r="Y32" s="29"/>
      <c r="Z32" s="29">
        <v>48418130.2</v>
      </c>
      <c r="AA32" s="29"/>
      <c r="AB32" s="29"/>
      <c r="AC32" s="29">
        <f t="shared" si="17"/>
        <v>48418130.2</v>
      </c>
      <c r="AD32" s="29">
        <f t="shared" si="18"/>
        <v>0</v>
      </c>
      <c r="AE32" s="29">
        <f t="shared" si="19"/>
        <v>48418130.2</v>
      </c>
      <c r="AF32" s="29">
        <f t="shared" si="20"/>
        <v>675704475.98</v>
      </c>
      <c r="AG32" s="29">
        <v>296712047.05</v>
      </c>
      <c r="AH32" s="29">
        <v>100113894.14</v>
      </c>
      <c r="AI32" s="29">
        <v>45529574.87</v>
      </c>
      <c r="AJ32" s="42">
        <f t="shared" si="21"/>
        <v>0.654658259320297</v>
      </c>
      <c r="AK32" s="42"/>
      <c r="AL32" s="44"/>
      <c r="AM32" s="132"/>
      <c r="AN32" s="132"/>
      <c r="AO32" s="132"/>
      <c r="AP32" s="132"/>
      <c r="AQ32" s="132"/>
      <c r="AR32" s="132"/>
      <c r="AS32" s="132"/>
      <c r="AT32" s="55"/>
      <c r="AU32" s="55"/>
      <c r="AV32" s="55"/>
      <c r="AW32" s="55"/>
      <c r="AX32" s="55"/>
      <c r="AY32" s="55"/>
      <c r="AZ32" s="55"/>
      <c r="BA32" s="55"/>
      <c r="BB32" s="55"/>
      <c r="BC32" s="56">
        <f t="shared" si="27"/>
        <v>601998088.49</v>
      </c>
      <c r="BD32" s="29">
        <f t="shared" si="22"/>
        <v>553579958.29</v>
      </c>
      <c r="BE32" s="29">
        <v>78437173.43</v>
      </c>
      <c r="BF32" s="29">
        <v>78437173.43</v>
      </c>
      <c r="BG32" s="29">
        <v>7181535.02</v>
      </c>
      <c r="BH32" s="11">
        <f t="shared" si="23"/>
        <v>85618708.45</v>
      </c>
      <c r="BI32" s="11">
        <f t="shared" si="24"/>
        <v>85618708.45</v>
      </c>
      <c r="BJ32" s="42">
        <f t="shared" si="25"/>
        <v>0.15466367083533</v>
      </c>
      <c r="BK32" s="54">
        <f t="shared" si="26"/>
        <v>0.15466367083533</v>
      </c>
      <c r="BL32" s="14"/>
    </row>
    <row r="33" customFormat="1" spans="1:64">
      <c r="A33" s="14"/>
      <c r="B33" s="4">
        <v>2014</v>
      </c>
      <c r="C33" s="122"/>
      <c r="D33" s="122"/>
      <c r="E33" s="12"/>
      <c r="F33" s="12"/>
      <c r="G33" s="122"/>
      <c r="H33" s="11"/>
      <c r="I33" s="11"/>
      <c r="J33" s="42"/>
      <c r="K33" s="11"/>
      <c r="L33" s="11"/>
      <c r="M33" s="11"/>
      <c r="N33" s="11"/>
      <c r="O33" s="11"/>
      <c r="P33" s="11"/>
      <c r="Q33" s="11"/>
      <c r="R33" s="11"/>
      <c r="S33" s="11">
        <f t="shared" si="16"/>
        <v>0</v>
      </c>
      <c r="T33" s="11"/>
      <c r="U33" s="11"/>
      <c r="V33" s="11"/>
      <c r="W33" s="11"/>
      <c r="X33" s="29"/>
      <c r="Y33" s="29"/>
      <c r="Z33" s="29"/>
      <c r="AA33" s="29"/>
      <c r="AB33" s="29"/>
      <c r="AC33" s="29">
        <f t="shared" si="17"/>
        <v>0</v>
      </c>
      <c r="AD33" s="29">
        <f t="shared" si="18"/>
        <v>0</v>
      </c>
      <c r="AE33" s="29">
        <f t="shared" si="19"/>
        <v>0</v>
      </c>
      <c r="AF33" s="29">
        <f t="shared" si="20"/>
        <v>0</v>
      </c>
      <c r="AG33" s="29"/>
      <c r="AH33" s="29"/>
      <c r="AI33" s="29"/>
      <c r="AJ33" s="42" t="e">
        <f t="shared" si="21"/>
        <v>#DIV/0!</v>
      </c>
      <c r="AK33" s="42"/>
      <c r="AL33" s="44"/>
      <c r="AM33" s="132"/>
      <c r="AN33" s="132"/>
      <c r="AO33" s="132"/>
      <c r="AP33" s="132"/>
      <c r="AQ33" s="132"/>
      <c r="AR33" s="132"/>
      <c r="AS33" s="132"/>
      <c r="AT33" s="55"/>
      <c r="AU33" s="55"/>
      <c r="AV33" s="55"/>
      <c r="AW33" s="55"/>
      <c r="AX33" s="55"/>
      <c r="AY33" s="55"/>
      <c r="AZ33" s="55"/>
      <c r="BA33" s="55"/>
      <c r="BB33" s="55"/>
      <c r="BC33" s="56">
        <f t="shared" si="27"/>
        <v>0</v>
      </c>
      <c r="BD33" s="29">
        <f t="shared" si="22"/>
        <v>0</v>
      </c>
      <c r="BE33" s="29"/>
      <c r="BF33" s="29"/>
      <c r="BG33" s="29"/>
      <c r="BH33" s="11">
        <f t="shared" si="23"/>
        <v>0</v>
      </c>
      <c r="BI33" s="11">
        <f t="shared" si="24"/>
        <v>0</v>
      </c>
      <c r="BJ33" s="42" t="e">
        <f t="shared" si="25"/>
        <v>#DIV/0!</v>
      </c>
      <c r="BK33" s="54" t="e">
        <f t="shared" si="26"/>
        <v>#DIV/0!</v>
      </c>
      <c r="BL33" s="14"/>
    </row>
    <row r="34" customFormat="1" spans="1:64">
      <c r="A34" s="14"/>
      <c r="B34" s="4">
        <v>2013</v>
      </c>
      <c r="C34" s="122"/>
      <c r="D34" s="12"/>
      <c r="E34" s="12"/>
      <c r="F34" s="12"/>
      <c r="G34" s="122"/>
      <c r="H34" s="11"/>
      <c r="I34" s="11"/>
      <c r="J34" s="42"/>
      <c r="K34" s="11"/>
      <c r="L34" s="11"/>
      <c r="M34" s="11"/>
      <c r="N34" s="11"/>
      <c r="O34" s="11"/>
      <c r="P34" s="11"/>
      <c r="Q34" s="11"/>
      <c r="R34" s="11"/>
      <c r="S34" s="11">
        <f t="shared" si="16"/>
        <v>0</v>
      </c>
      <c r="T34" s="11"/>
      <c r="U34" s="11"/>
      <c r="V34" s="11"/>
      <c r="W34" s="11"/>
      <c r="X34" s="29"/>
      <c r="Y34" s="29"/>
      <c r="Z34" s="29"/>
      <c r="AA34" s="29"/>
      <c r="AB34" s="29"/>
      <c r="AC34" s="29">
        <f t="shared" si="17"/>
        <v>0</v>
      </c>
      <c r="AD34" s="29">
        <f t="shared" si="18"/>
        <v>0</v>
      </c>
      <c r="AE34" s="29">
        <f t="shared" si="19"/>
        <v>0</v>
      </c>
      <c r="AF34" s="29">
        <f t="shared" si="20"/>
        <v>0</v>
      </c>
      <c r="AG34" s="29"/>
      <c r="AH34" s="29"/>
      <c r="AI34" s="29"/>
      <c r="AJ34" s="42" t="e">
        <f t="shared" si="21"/>
        <v>#DIV/0!</v>
      </c>
      <c r="AK34" s="42"/>
      <c r="AL34" s="44"/>
      <c r="AM34" s="132"/>
      <c r="AN34" s="132"/>
      <c r="AO34" s="132"/>
      <c r="AP34" s="132"/>
      <c r="AQ34" s="132"/>
      <c r="AR34" s="132"/>
      <c r="AS34" s="132"/>
      <c r="AT34" s="55"/>
      <c r="AU34" s="55"/>
      <c r="AV34" s="55"/>
      <c r="AW34" s="55"/>
      <c r="AX34" s="55"/>
      <c r="AY34" s="55"/>
      <c r="AZ34" s="55"/>
      <c r="BA34" s="55"/>
      <c r="BB34" s="55"/>
      <c r="BC34" s="56">
        <f t="shared" si="27"/>
        <v>0</v>
      </c>
      <c r="BD34" s="29">
        <f t="shared" si="22"/>
        <v>0</v>
      </c>
      <c r="BE34" s="29"/>
      <c r="BF34" s="29"/>
      <c r="BG34" s="29"/>
      <c r="BH34" s="11">
        <f t="shared" si="23"/>
        <v>0</v>
      </c>
      <c r="BI34" s="11">
        <f t="shared" si="24"/>
        <v>0</v>
      </c>
      <c r="BJ34" s="42" t="e">
        <f t="shared" si="25"/>
        <v>#DIV/0!</v>
      </c>
      <c r="BK34" s="54" t="e">
        <f t="shared" si="26"/>
        <v>#DIV/0!</v>
      </c>
      <c r="BL34" s="14"/>
    </row>
    <row r="35" customFormat="1" spans="1:64">
      <c r="A35" s="15"/>
      <c r="B35" s="4">
        <v>2012</v>
      </c>
      <c r="C35" s="122"/>
      <c r="D35" s="12"/>
      <c r="E35" s="12"/>
      <c r="F35" s="12"/>
      <c r="G35" s="122"/>
      <c r="H35" s="11"/>
      <c r="I35" s="11"/>
      <c r="J35" s="42"/>
      <c r="K35" s="11"/>
      <c r="L35" s="11"/>
      <c r="M35" s="11"/>
      <c r="N35" s="11"/>
      <c r="O35" s="11"/>
      <c r="P35" s="11"/>
      <c r="Q35" s="11"/>
      <c r="R35" s="11"/>
      <c r="S35" s="11">
        <f t="shared" si="16"/>
        <v>0</v>
      </c>
      <c r="T35" s="11"/>
      <c r="U35" s="11"/>
      <c r="V35" s="11"/>
      <c r="W35" s="11"/>
      <c r="X35" s="29"/>
      <c r="Y35" s="29"/>
      <c r="Z35" s="29"/>
      <c r="AA35" s="29"/>
      <c r="AB35" s="29"/>
      <c r="AC35" s="29">
        <f t="shared" si="17"/>
        <v>0</v>
      </c>
      <c r="AD35" s="29">
        <f t="shared" si="18"/>
        <v>0</v>
      </c>
      <c r="AE35" s="29">
        <f t="shared" si="19"/>
        <v>0</v>
      </c>
      <c r="AF35" s="29">
        <f t="shared" si="20"/>
        <v>0</v>
      </c>
      <c r="AG35" s="29"/>
      <c r="AH35" s="29"/>
      <c r="AI35" s="29"/>
      <c r="AJ35" s="42" t="e">
        <f t="shared" si="21"/>
        <v>#DIV/0!</v>
      </c>
      <c r="AK35" s="42"/>
      <c r="AL35" s="44"/>
      <c r="AM35" s="132"/>
      <c r="AN35" s="132"/>
      <c r="AO35" s="132"/>
      <c r="AP35" s="132"/>
      <c r="AQ35" s="132"/>
      <c r="AR35" s="132"/>
      <c r="AS35" s="132"/>
      <c r="AT35" s="55"/>
      <c r="AU35" s="55"/>
      <c r="AV35" s="55"/>
      <c r="AW35" s="55"/>
      <c r="AX35" s="55"/>
      <c r="AY35" s="55"/>
      <c r="AZ35" s="55"/>
      <c r="BA35" s="55"/>
      <c r="BB35" s="55"/>
      <c r="BC35" s="56">
        <f t="shared" si="27"/>
        <v>0</v>
      </c>
      <c r="BD35" s="29">
        <f t="shared" si="22"/>
        <v>0</v>
      </c>
      <c r="BE35" s="29"/>
      <c r="BF35" s="29"/>
      <c r="BG35" s="29"/>
      <c r="BH35" s="11">
        <f t="shared" si="23"/>
        <v>0</v>
      </c>
      <c r="BI35" s="11">
        <f t="shared" si="24"/>
        <v>0</v>
      </c>
      <c r="BJ35" s="42" t="e">
        <f t="shared" si="25"/>
        <v>#DIV/0!</v>
      </c>
      <c r="BK35" s="54" t="e">
        <f t="shared" si="26"/>
        <v>#DIV/0!</v>
      </c>
      <c r="BL35" s="15"/>
    </row>
    <row r="36" customFormat="1" spans="1:64">
      <c r="A36" s="4" t="s">
        <v>82</v>
      </c>
      <c r="B36" s="4">
        <v>2022</v>
      </c>
      <c r="C36" s="123">
        <f>209.69*100000000</f>
        <v>20969000000</v>
      </c>
      <c r="D36" s="122" t="s">
        <v>69</v>
      </c>
      <c r="E36" s="12"/>
      <c r="F36" s="12"/>
      <c r="G36" s="122">
        <v>4821728151.31</v>
      </c>
      <c r="H36" s="11">
        <v>4024801422.74</v>
      </c>
      <c r="I36" s="11">
        <v>4020108495.73</v>
      </c>
      <c r="J36" s="42">
        <f t="shared" ref="J36:J46" si="28">I36/H36</f>
        <v>0.998833997875402</v>
      </c>
      <c r="K36" s="11"/>
      <c r="L36" s="11"/>
      <c r="M36" s="11"/>
      <c r="N36" s="11"/>
      <c r="O36" s="11"/>
      <c r="P36" s="11"/>
      <c r="Q36" s="11"/>
      <c r="R36" s="11"/>
      <c r="S36" s="11">
        <f t="shared" si="16"/>
        <v>0</v>
      </c>
      <c r="T36" s="11"/>
      <c r="U36" s="11"/>
      <c r="V36" s="11">
        <v>397953829.27</v>
      </c>
      <c r="W36" s="11">
        <v>100016388.43</v>
      </c>
      <c r="X36" s="29"/>
      <c r="Y36" s="29"/>
      <c r="Z36" s="29">
        <v>449537465.83</v>
      </c>
      <c r="AA36" s="29"/>
      <c r="AB36" s="29">
        <v>2500000000</v>
      </c>
      <c r="AC36" s="29">
        <f t="shared" si="17"/>
        <v>3447507683.53</v>
      </c>
      <c r="AD36" s="29">
        <f t="shared" si="18"/>
        <v>497970217.7</v>
      </c>
      <c r="AE36" s="29">
        <f t="shared" si="19"/>
        <v>2949537465.83</v>
      </c>
      <c r="AF36" s="29">
        <f t="shared" si="20"/>
        <v>1374220467.78</v>
      </c>
      <c r="AG36" s="29">
        <v>727027170.02</v>
      </c>
      <c r="AH36" s="29">
        <v>287525786.58</v>
      </c>
      <c r="AI36" s="29">
        <v>45828226.9</v>
      </c>
      <c r="AJ36" s="42">
        <f t="shared" si="21"/>
        <v>0.771623773886154</v>
      </c>
      <c r="AK36" s="42"/>
      <c r="AL36" s="44"/>
      <c r="AM36" s="132"/>
      <c r="AN36" s="132"/>
      <c r="AO36" s="132"/>
      <c r="AP36" s="132"/>
      <c r="AQ36" s="132"/>
      <c r="AR36" s="132"/>
      <c r="AS36" s="132"/>
      <c r="AT36" s="55"/>
      <c r="AU36" s="55"/>
      <c r="AV36" s="55"/>
      <c r="AW36" s="55"/>
      <c r="AX36" s="55"/>
      <c r="AY36" s="55"/>
      <c r="AZ36" s="55"/>
      <c r="BA36" s="55"/>
      <c r="BB36" s="55"/>
      <c r="BC36" s="56">
        <f t="shared" si="27"/>
        <v>4024801422.74</v>
      </c>
      <c r="BD36" s="29">
        <f t="shared" si="22"/>
        <v>577293739.21</v>
      </c>
      <c r="BE36" s="29">
        <v>405819152.23</v>
      </c>
      <c r="BF36" s="29">
        <v>403799001.87</v>
      </c>
      <c r="BG36" s="29">
        <v>-18204490.44</v>
      </c>
      <c r="BH36" s="11">
        <f t="shared" si="23"/>
        <v>385594511.43</v>
      </c>
      <c r="BI36" s="11">
        <f t="shared" si="24"/>
        <v>387614661.79</v>
      </c>
      <c r="BJ36" s="42">
        <f t="shared" si="25"/>
        <v>0.667934684269517</v>
      </c>
      <c r="BK36" s="54">
        <f t="shared" si="26"/>
        <v>0.671434029962689</v>
      </c>
      <c r="BL36" s="13"/>
    </row>
    <row r="37" customFormat="1" spans="1:64">
      <c r="A37" s="4"/>
      <c r="B37" s="4">
        <v>2021</v>
      </c>
      <c r="C37" s="124">
        <f>202.2*100000000</f>
        <v>20220000000</v>
      </c>
      <c r="D37" s="122" t="s">
        <v>71</v>
      </c>
      <c r="E37" s="12"/>
      <c r="F37" s="12"/>
      <c r="G37" s="122">
        <v>4230481534.85</v>
      </c>
      <c r="H37" s="11">
        <v>3804077971.37</v>
      </c>
      <c r="I37" s="11">
        <v>3804291456.8</v>
      </c>
      <c r="J37" s="42">
        <f t="shared" si="28"/>
        <v>1.00005612015096</v>
      </c>
      <c r="K37" s="11"/>
      <c r="L37" s="11"/>
      <c r="M37" s="11"/>
      <c r="N37" s="11"/>
      <c r="O37" s="11"/>
      <c r="P37" s="11"/>
      <c r="Q37" s="11"/>
      <c r="R37" s="11"/>
      <c r="S37" s="11">
        <f t="shared" si="16"/>
        <v>0</v>
      </c>
      <c r="T37" s="11"/>
      <c r="U37" s="11"/>
      <c r="V37" s="11">
        <v>182035039.03</v>
      </c>
      <c r="W37" s="11">
        <v>1492.54</v>
      </c>
      <c r="X37" s="29"/>
      <c r="Y37" s="29"/>
      <c r="Z37" s="29">
        <v>1344703430.4</v>
      </c>
      <c r="AA37" s="29"/>
      <c r="AB37" s="29">
        <v>1600000000</v>
      </c>
      <c r="AC37" s="29">
        <f t="shared" si="17"/>
        <v>3126739961.97</v>
      </c>
      <c r="AD37" s="29">
        <f t="shared" si="18"/>
        <v>182036531.57</v>
      </c>
      <c r="AE37" s="29">
        <f t="shared" si="19"/>
        <v>2944703430.4</v>
      </c>
      <c r="AF37" s="29">
        <f t="shared" si="20"/>
        <v>1103741572.88</v>
      </c>
      <c r="AG37" s="29">
        <v>442833056.84</v>
      </c>
      <c r="AH37" s="29">
        <v>268340570.54</v>
      </c>
      <c r="AI37" s="29">
        <v>44958296.82</v>
      </c>
      <c r="AJ37" s="42">
        <f t="shared" si="21"/>
        <v>0.685062466413239</v>
      </c>
      <c r="AK37" s="42"/>
      <c r="AL37" s="44"/>
      <c r="AM37" s="132"/>
      <c r="AN37" s="132"/>
      <c r="AO37" s="132"/>
      <c r="AP37" s="132"/>
      <c r="AQ37" s="132"/>
      <c r="AR37" s="132"/>
      <c r="AS37" s="132"/>
      <c r="AT37" s="55"/>
      <c r="AU37" s="55"/>
      <c r="AV37" s="55"/>
      <c r="AW37" s="55"/>
      <c r="AX37" s="55"/>
      <c r="AY37" s="55"/>
      <c r="AZ37" s="55"/>
      <c r="BA37" s="55"/>
      <c r="BB37" s="55"/>
      <c r="BC37" s="56">
        <f t="shared" si="27"/>
        <v>3804077971.37</v>
      </c>
      <c r="BD37" s="29">
        <f t="shared" si="22"/>
        <v>677338009.4</v>
      </c>
      <c r="BE37" s="29">
        <v>189048659.22</v>
      </c>
      <c r="BF37" s="29">
        <v>216128285.6</v>
      </c>
      <c r="BG37" s="29">
        <v>-34723295.56</v>
      </c>
      <c r="BH37" s="11">
        <f t="shared" si="23"/>
        <v>181404990.04</v>
      </c>
      <c r="BI37" s="11">
        <f t="shared" si="24"/>
        <v>154325363.66</v>
      </c>
      <c r="BJ37" s="42">
        <f t="shared" si="25"/>
        <v>0.267820478878326</v>
      </c>
      <c r="BK37" s="54">
        <f t="shared" si="26"/>
        <v>0.227840991526084</v>
      </c>
      <c r="BL37" s="14"/>
    </row>
    <row r="38" customFormat="1" spans="1:64">
      <c r="A38" s="4"/>
      <c r="B38" s="4">
        <v>2020</v>
      </c>
      <c r="C38" s="124">
        <f>518.48*100000000</f>
        <v>51848000000</v>
      </c>
      <c r="D38" s="122" t="s">
        <v>72</v>
      </c>
      <c r="E38" s="12"/>
      <c r="F38" s="12"/>
      <c r="G38" s="122">
        <v>4289984896.09</v>
      </c>
      <c r="H38" s="11">
        <v>3729658162.74</v>
      </c>
      <c r="I38" s="11">
        <v>3729658162.74</v>
      </c>
      <c r="J38" s="42">
        <f t="shared" si="28"/>
        <v>1</v>
      </c>
      <c r="K38" s="11"/>
      <c r="L38" s="11"/>
      <c r="M38" s="11"/>
      <c r="N38" s="11"/>
      <c r="O38" s="11"/>
      <c r="P38" s="11"/>
      <c r="Q38" s="11"/>
      <c r="R38" s="11"/>
      <c r="S38" s="11">
        <f t="shared" si="16"/>
        <v>0</v>
      </c>
      <c r="T38" s="11"/>
      <c r="U38" s="11"/>
      <c r="V38" s="11"/>
      <c r="W38" s="11"/>
      <c r="X38" s="29"/>
      <c r="Y38" s="29"/>
      <c r="Z38" s="29">
        <v>2728845771.53</v>
      </c>
      <c r="AA38" s="29"/>
      <c r="AB38" s="29">
        <v>650000000</v>
      </c>
      <c r="AC38" s="29">
        <f t="shared" si="17"/>
        <v>3378845771.53</v>
      </c>
      <c r="AD38" s="29">
        <f t="shared" si="18"/>
        <v>0</v>
      </c>
      <c r="AE38" s="29">
        <f t="shared" si="19"/>
        <v>3378845771.53</v>
      </c>
      <c r="AF38" s="29">
        <f t="shared" si="20"/>
        <v>911139124.56</v>
      </c>
      <c r="AG38" s="29">
        <v>432123417.35</v>
      </c>
      <c r="AH38" s="29">
        <v>75890363.53</v>
      </c>
      <c r="AI38" s="29">
        <v>44707222.63</v>
      </c>
      <c r="AJ38" s="42">
        <f t="shared" si="21"/>
        <v>0.606626352234535</v>
      </c>
      <c r="AK38" s="42"/>
      <c r="AL38" s="44"/>
      <c r="AM38" s="132"/>
      <c r="AN38" s="132"/>
      <c r="AO38" s="132"/>
      <c r="AP38" s="132"/>
      <c r="AQ38" s="132"/>
      <c r="AR38" s="132"/>
      <c r="AS38" s="132"/>
      <c r="AT38" s="55"/>
      <c r="AU38" s="55"/>
      <c r="AV38" s="55"/>
      <c r="AW38" s="55"/>
      <c r="AX38" s="55"/>
      <c r="AY38" s="55"/>
      <c r="AZ38" s="55"/>
      <c r="BA38" s="55"/>
      <c r="BB38" s="55"/>
      <c r="BC38" s="56">
        <f t="shared" si="27"/>
        <v>3729658162.74</v>
      </c>
      <c r="BD38" s="29">
        <f t="shared" si="22"/>
        <v>350812391.21</v>
      </c>
      <c r="BE38" s="29">
        <v>406926001.61</v>
      </c>
      <c r="BF38" s="29">
        <v>428054028.52</v>
      </c>
      <c r="BG38" s="29">
        <v>-15207763.94</v>
      </c>
      <c r="BH38" s="11">
        <f t="shared" si="23"/>
        <v>412846264.58</v>
      </c>
      <c r="BI38" s="11">
        <f t="shared" si="24"/>
        <v>391718237.67</v>
      </c>
      <c r="BJ38" s="42">
        <f t="shared" si="25"/>
        <v>1.17682919681382</v>
      </c>
      <c r="BK38" s="54">
        <f t="shared" si="26"/>
        <v>1.1166031972785</v>
      </c>
      <c r="BL38" s="14"/>
    </row>
    <row r="39" customFormat="1" spans="1:64">
      <c r="A39" s="4"/>
      <c r="B39" s="4">
        <v>2019</v>
      </c>
      <c r="C39" s="124">
        <f>185.51*100000000</f>
        <v>18551000000</v>
      </c>
      <c r="D39" s="122" t="s">
        <v>73</v>
      </c>
      <c r="E39" s="12"/>
      <c r="F39" s="12"/>
      <c r="G39" s="122">
        <v>2142313400.4</v>
      </c>
      <c r="H39" s="11">
        <v>1841916395.05</v>
      </c>
      <c r="I39" s="11">
        <v>1841916395.05</v>
      </c>
      <c r="J39" s="42">
        <f t="shared" si="28"/>
        <v>1</v>
      </c>
      <c r="K39" s="11"/>
      <c r="L39" s="11"/>
      <c r="M39" s="11"/>
      <c r="N39" s="11"/>
      <c r="O39" s="11">
        <v>1500000</v>
      </c>
      <c r="P39" s="11"/>
      <c r="Q39" s="11"/>
      <c r="R39" s="11"/>
      <c r="S39" s="11">
        <f t="shared" si="16"/>
        <v>1500000</v>
      </c>
      <c r="T39" s="11"/>
      <c r="U39" s="11"/>
      <c r="V39" s="11"/>
      <c r="W39" s="11"/>
      <c r="X39" s="29"/>
      <c r="Y39" s="29"/>
      <c r="Z39" s="29">
        <v>676296162.79</v>
      </c>
      <c r="AA39" s="29"/>
      <c r="AB39" s="29">
        <v>940000000</v>
      </c>
      <c r="AC39" s="29">
        <f t="shared" si="17"/>
        <v>1616296162.79</v>
      </c>
      <c r="AD39" s="29">
        <f t="shared" si="18"/>
        <v>0</v>
      </c>
      <c r="AE39" s="29">
        <f t="shared" si="19"/>
        <v>1616296162.79</v>
      </c>
      <c r="AF39" s="29">
        <f t="shared" si="20"/>
        <v>526017237.61</v>
      </c>
      <c r="AG39" s="29">
        <v>361890082.05</v>
      </c>
      <c r="AH39" s="29"/>
      <c r="AI39" s="29">
        <v>34248482.92</v>
      </c>
      <c r="AJ39" s="42">
        <f t="shared" si="21"/>
        <v>0.753090462909326</v>
      </c>
      <c r="AK39" s="42"/>
      <c r="AL39" s="44"/>
      <c r="AM39" s="132"/>
      <c r="AN39" s="132"/>
      <c r="AO39" s="132"/>
      <c r="AP39" s="132"/>
      <c r="AQ39" s="132"/>
      <c r="AR39" s="132"/>
      <c r="AS39" s="132"/>
      <c r="AT39" s="55"/>
      <c r="AU39" s="55"/>
      <c r="AV39" s="55"/>
      <c r="AW39" s="55"/>
      <c r="AX39" s="55"/>
      <c r="AY39" s="55"/>
      <c r="AZ39" s="55"/>
      <c r="BA39" s="55"/>
      <c r="BB39" s="55"/>
      <c r="BC39" s="56">
        <f t="shared" si="27"/>
        <v>1843416395.05</v>
      </c>
      <c r="BD39" s="29">
        <f t="shared" si="22"/>
        <v>227120232.26</v>
      </c>
      <c r="BE39" s="29">
        <v>333719198.48</v>
      </c>
      <c r="BF39" s="29">
        <v>346426076.51</v>
      </c>
      <c r="BG39" s="29">
        <v>-4547297.69</v>
      </c>
      <c r="BH39" s="11">
        <f t="shared" si="23"/>
        <v>341878778.82</v>
      </c>
      <c r="BI39" s="11">
        <f t="shared" si="24"/>
        <v>329171900.79</v>
      </c>
      <c r="BJ39" s="42">
        <f t="shared" si="25"/>
        <v>1.50527663439789</v>
      </c>
      <c r="BK39" s="54">
        <f t="shared" si="26"/>
        <v>1.44932883131774</v>
      </c>
      <c r="BL39" s="14"/>
    </row>
    <row r="40" customFormat="1" spans="1:64">
      <c r="A40" s="4"/>
      <c r="B40" s="4">
        <v>2018</v>
      </c>
      <c r="C40" s="122"/>
      <c r="D40" s="122" t="s">
        <v>74</v>
      </c>
      <c r="E40" s="12"/>
      <c r="F40" s="12"/>
      <c r="G40" s="122">
        <v>1386819709.64</v>
      </c>
      <c r="H40" s="11">
        <v>1138264322.8</v>
      </c>
      <c r="I40" s="11">
        <v>1138264322.8</v>
      </c>
      <c r="J40" s="42">
        <f t="shared" si="28"/>
        <v>1</v>
      </c>
      <c r="K40" s="11"/>
      <c r="L40" s="11"/>
      <c r="M40" s="11"/>
      <c r="N40" s="11"/>
      <c r="O40" s="11">
        <v>1250000</v>
      </c>
      <c r="P40" s="11"/>
      <c r="Q40" s="11"/>
      <c r="R40" s="11"/>
      <c r="S40" s="11">
        <f t="shared" si="16"/>
        <v>1250000</v>
      </c>
      <c r="T40" s="11"/>
      <c r="U40" s="11"/>
      <c r="V40" s="11"/>
      <c r="W40" s="11"/>
      <c r="X40" s="29"/>
      <c r="Y40" s="29"/>
      <c r="Z40" s="29">
        <v>354894241.72</v>
      </c>
      <c r="AA40" s="29"/>
      <c r="AB40" s="29"/>
      <c r="AC40" s="29">
        <f t="shared" si="17"/>
        <v>354894241.72</v>
      </c>
      <c r="AD40" s="29">
        <f t="shared" si="18"/>
        <v>0</v>
      </c>
      <c r="AE40" s="29">
        <f t="shared" si="19"/>
        <v>354894241.72</v>
      </c>
      <c r="AF40" s="29">
        <f t="shared" si="20"/>
        <v>1031925467.92</v>
      </c>
      <c r="AG40" s="29">
        <v>347270926.98</v>
      </c>
      <c r="AH40" s="29"/>
      <c r="AI40" s="29">
        <v>34876914.15</v>
      </c>
      <c r="AJ40" s="42">
        <f t="shared" si="21"/>
        <v>0.370325040916255</v>
      </c>
      <c r="AK40" s="42"/>
      <c r="AL40" s="44"/>
      <c r="AM40" s="132"/>
      <c r="AN40" s="132"/>
      <c r="AO40" s="132"/>
      <c r="AP40" s="132"/>
      <c r="AQ40" s="132"/>
      <c r="AR40" s="132"/>
      <c r="AS40" s="132"/>
      <c r="AT40" s="55"/>
      <c r="AU40" s="55"/>
      <c r="AV40" s="55"/>
      <c r="AW40" s="55"/>
      <c r="AX40" s="55"/>
      <c r="AY40" s="55"/>
      <c r="AZ40" s="55"/>
      <c r="BA40" s="55"/>
      <c r="BB40" s="55"/>
      <c r="BC40" s="56">
        <f t="shared" si="27"/>
        <v>1139514322.8</v>
      </c>
      <c r="BD40" s="29">
        <f t="shared" si="22"/>
        <v>784620081.08</v>
      </c>
      <c r="BE40" s="29">
        <v>299580768.26</v>
      </c>
      <c r="BF40" s="29">
        <v>310714328.49</v>
      </c>
      <c r="BG40" s="29">
        <v>-1795071.34</v>
      </c>
      <c r="BH40" s="11">
        <f t="shared" si="23"/>
        <v>308919257.15</v>
      </c>
      <c r="BI40" s="11">
        <f t="shared" si="24"/>
        <v>297785696.92</v>
      </c>
      <c r="BJ40" s="42">
        <f t="shared" si="25"/>
        <v>0.393718265182283</v>
      </c>
      <c r="BK40" s="54">
        <f t="shared" si="26"/>
        <v>0.379528518452025</v>
      </c>
      <c r="BL40" s="14"/>
    </row>
    <row r="41" customFormat="1" spans="1:64">
      <c r="A41" s="4"/>
      <c r="B41" s="4">
        <v>2017</v>
      </c>
      <c r="C41" s="122"/>
      <c r="D41" s="122" t="s">
        <v>75</v>
      </c>
      <c r="E41" s="12"/>
      <c r="F41" s="12"/>
      <c r="G41" s="122">
        <v>1192648317.5</v>
      </c>
      <c r="H41" s="11">
        <v>931150919.19</v>
      </c>
      <c r="I41" s="11">
        <v>931150919.19</v>
      </c>
      <c r="J41" s="42">
        <f t="shared" si="28"/>
        <v>1</v>
      </c>
      <c r="K41" s="11"/>
      <c r="L41" s="11"/>
      <c r="M41" s="11"/>
      <c r="N41" s="11"/>
      <c r="O41" s="11">
        <v>750000</v>
      </c>
      <c r="P41" s="11"/>
      <c r="Q41" s="11"/>
      <c r="R41" s="11"/>
      <c r="S41" s="11">
        <f t="shared" si="16"/>
        <v>750000</v>
      </c>
      <c r="T41" s="11"/>
      <c r="U41" s="11"/>
      <c r="V41" s="11"/>
      <c r="W41" s="11"/>
      <c r="X41" s="29"/>
      <c r="Y41" s="29"/>
      <c r="Z41" s="29">
        <v>244636371.41</v>
      </c>
      <c r="AA41" s="29"/>
      <c r="AB41" s="29"/>
      <c r="AC41" s="29">
        <f t="shared" si="17"/>
        <v>244636371.41</v>
      </c>
      <c r="AD41" s="29">
        <f t="shared" si="18"/>
        <v>0</v>
      </c>
      <c r="AE41" s="29">
        <f t="shared" si="19"/>
        <v>244636371.41</v>
      </c>
      <c r="AF41" s="29">
        <f t="shared" si="20"/>
        <v>948011946.09</v>
      </c>
      <c r="AG41" s="29">
        <v>348935152.83</v>
      </c>
      <c r="AH41" s="29"/>
      <c r="AI41" s="29">
        <v>35079098.02</v>
      </c>
      <c r="AJ41" s="42">
        <f t="shared" si="21"/>
        <v>0.405073219207665</v>
      </c>
      <c r="AK41" s="42"/>
      <c r="AL41" s="44"/>
      <c r="AM41" s="132"/>
      <c r="AN41" s="132"/>
      <c r="AO41" s="132"/>
      <c r="AP41" s="132"/>
      <c r="AQ41" s="132"/>
      <c r="AR41" s="132"/>
      <c r="AS41" s="132"/>
      <c r="AT41" s="55"/>
      <c r="AU41" s="55"/>
      <c r="AV41" s="55"/>
      <c r="AW41" s="55"/>
      <c r="AX41" s="55"/>
      <c r="AY41" s="55"/>
      <c r="AZ41" s="55"/>
      <c r="BA41" s="55"/>
      <c r="BB41" s="55"/>
      <c r="BC41" s="56">
        <f t="shared" si="27"/>
        <v>931900919.19</v>
      </c>
      <c r="BD41" s="29">
        <f t="shared" si="22"/>
        <v>687264547.78</v>
      </c>
      <c r="BE41" s="29">
        <v>202571830.78</v>
      </c>
      <c r="BF41" s="29">
        <v>214910355.24</v>
      </c>
      <c r="BG41" s="29">
        <v>-2099574.4</v>
      </c>
      <c r="BH41" s="11">
        <f t="shared" si="23"/>
        <v>212810780.84</v>
      </c>
      <c r="BI41" s="11">
        <f t="shared" si="24"/>
        <v>200472256.38</v>
      </c>
      <c r="BJ41" s="42">
        <f t="shared" si="25"/>
        <v>0.309649001286944</v>
      </c>
      <c r="BK41" s="54">
        <f t="shared" si="26"/>
        <v>0.291695908115099</v>
      </c>
      <c r="BL41" s="14"/>
    </row>
    <row r="42" customFormat="1" spans="1:64">
      <c r="A42" s="4"/>
      <c r="B42" s="4">
        <v>2016</v>
      </c>
      <c r="C42" s="122"/>
      <c r="D42" s="122" t="s">
        <v>76</v>
      </c>
      <c r="E42" s="12"/>
      <c r="F42" s="12"/>
      <c r="G42" s="122">
        <v>1151506778.33</v>
      </c>
      <c r="H42" s="11">
        <v>945560809.3</v>
      </c>
      <c r="I42" s="11">
        <v>945560809.3</v>
      </c>
      <c r="J42" s="42">
        <f t="shared" si="28"/>
        <v>1</v>
      </c>
      <c r="K42" s="11"/>
      <c r="L42" s="11"/>
      <c r="M42" s="11"/>
      <c r="N42" s="11"/>
      <c r="O42" s="11"/>
      <c r="P42" s="11"/>
      <c r="Q42" s="11"/>
      <c r="R42" s="11"/>
      <c r="S42" s="11">
        <f t="shared" si="16"/>
        <v>0</v>
      </c>
      <c r="T42" s="11"/>
      <c r="U42" s="11"/>
      <c r="V42" s="11"/>
      <c r="W42" s="11"/>
      <c r="X42" s="29"/>
      <c r="Y42" s="29"/>
      <c r="Z42" s="29">
        <v>312085269.45</v>
      </c>
      <c r="AA42" s="29"/>
      <c r="AB42" s="29"/>
      <c r="AC42" s="29">
        <f t="shared" si="17"/>
        <v>312085269.45</v>
      </c>
      <c r="AD42" s="29">
        <f t="shared" si="18"/>
        <v>0</v>
      </c>
      <c r="AE42" s="29">
        <f t="shared" si="19"/>
        <v>312085269.45</v>
      </c>
      <c r="AF42" s="29">
        <f t="shared" si="20"/>
        <v>839421508.88</v>
      </c>
      <c r="AG42" s="29">
        <v>360596708.86</v>
      </c>
      <c r="AH42" s="29">
        <v>55641.03</v>
      </c>
      <c r="AI42" s="29">
        <v>36778441.29</v>
      </c>
      <c r="AJ42" s="42">
        <f t="shared" si="21"/>
        <v>0.473457955241429</v>
      </c>
      <c r="AK42" s="42"/>
      <c r="AL42" s="44"/>
      <c r="AM42" s="132"/>
      <c r="AN42" s="132"/>
      <c r="AO42" s="132"/>
      <c r="AP42" s="132"/>
      <c r="AQ42" s="132"/>
      <c r="AR42" s="132"/>
      <c r="AS42" s="132"/>
      <c r="AT42" s="55"/>
      <c r="AU42" s="55"/>
      <c r="AV42" s="55"/>
      <c r="AW42" s="55"/>
      <c r="AX42" s="55"/>
      <c r="AY42" s="55"/>
      <c r="AZ42" s="55"/>
      <c r="BA42" s="55"/>
      <c r="BB42" s="55"/>
      <c r="BC42" s="56">
        <f t="shared" si="27"/>
        <v>945560809.3</v>
      </c>
      <c r="BD42" s="29">
        <f t="shared" si="22"/>
        <v>633475539.85</v>
      </c>
      <c r="BE42" s="29">
        <v>203462646.21</v>
      </c>
      <c r="BF42" s="29">
        <v>237185917.95</v>
      </c>
      <c r="BG42" s="29">
        <v>-1677127.31</v>
      </c>
      <c r="BH42" s="11">
        <f t="shared" si="23"/>
        <v>235508790.64</v>
      </c>
      <c r="BI42" s="11">
        <f t="shared" si="24"/>
        <v>201785518.9</v>
      </c>
      <c r="BJ42" s="42">
        <f t="shared" si="25"/>
        <v>0.371772508684023</v>
      </c>
      <c r="BK42" s="54">
        <f t="shared" si="26"/>
        <v>0.318537190793161</v>
      </c>
      <c r="BL42" s="14"/>
    </row>
    <row r="43" customFormat="1" spans="1:64">
      <c r="A43" s="4"/>
      <c r="B43" s="4">
        <v>2015</v>
      </c>
      <c r="C43" s="122"/>
      <c r="D43" s="12"/>
      <c r="E43" s="12"/>
      <c r="F43" s="12"/>
      <c r="G43" s="122"/>
      <c r="H43" s="11"/>
      <c r="I43" s="11"/>
      <c r="J43" s="42" t="e">
        <f t="shared" si="28"/>
        <v>#DIV/0!</v>
      </c>
      <c r="K43" s="11"/>
      <c r="L43" s="11"/>
      <c r="M43" s="11"/>
      <c r="N43" s="11"/>
      <c r="O43" s="11"/>
      <c r="P43" s="11"/>
      <c r="Q43" s="11"/>
      <c r="R43" s="11"/>
      <c r="S43" s="11">
        <f t="shared" si="16"/>
        <v>0</v>
      </c>
      <c r="T43" s="11"/>
      <c r="U43" s="11"/>
      <c r="V43" s="11"/>
      <c r="W43" s="11"/>
      <c r="X43" s="29"/>
      <c r="Y43" s="29"/>
      <c r="Z43" s="29"/>
      <c r="AA43" s="29"/>
      <c r="AB43" s="29"/>
      <c r="AC43" s="29">
        <f t="shared" si="17"/>
        <v>0</v>
      </c>
      <c r="AD43" s="29">
        <f t="shared" si="18"/>
        <v>0</v>
      </c>
      <c r="AE43" s="29">
        <f t="shared" si="19"/>
        <v>0</v>
      </c>
      <c r="AF43" s="29">
        <f t="shared" si="20"/>
        <v>0</v>
      </c>
      <c r="AG43" s="29"/>
      <c r="AH43" s="29"/>
      <c r="AI43" s="29"/>
      <c r="AJ43" s="42" t="e">
        <f t="shared" si="21"/>
        <v>#DIV/0!</v>
      </c>
      <c r="AK43" s="42"/>
      <c r="AL43" s="44"/>
      <c r="AM43" s="132"/>
      <c r="AN43" s="132"/>
      <c r="AO43" s="132"/>
      <c r="AP43" s="132"/>
      <c r="AQ43" s="132"/>
      <c r="AR43" s="132"/>
      <c r="AS43" s="132"/>
      <c r="AT43" s="55"/>
      <c r="AU43" s="55"/>
      <c r="AV43" s="55"/>
      <c r="AW43" s="55"/>
      <c r="AX43" s="55"/>
      <c r="AY43" s="55"/>
      <c r="AZ43" s="55"/>
      <c r="BA43" s="55"/>
      <c r="BB43" s="55"/>
      <c r="BC43" s="56">
        <f t="shared" si="27"/>
        <v>0</v>
      </c>
      <c r="BD43" s="29">
        <f t="shared" si="22"/>
        <v>0</v>
      </c>
      <c r="BE43" s="29"/>
      <c r="BF43" s="29"/>
      <c r="BG43" s="29"/>
      <c r="BH43" s="11">
        <f t="shared" si="23"/>
        <v>0</v>
      </c>
      <c r="BI43" s="11">
        <f t="shared" si="24"/>
        <v>0</v>
      </c>
      <c r="BJ43" s="42" t="e">
        <f t="shared" si="25"/>
        <v>#DIV/0!</v>
      </c>
      <c r="BK43" s="54"/>
      <c r="BL43" s="14"/>
    </row>
    <row r="44" customFormat="1" spans="1:64">
      <c r="A44" s="4"/>
      <c r="B44" s="4">
        <v>2014</v>
      </c>
      <c r="C44" s="122"/>
      <c r="D44" s="12"/>
      <c r="E44" s="12"/>
      <c r="F44" s="12"/>
      <c r="G44" s="122"/>
      <c r="H44" s="11"/>
      <c r="I44" s="11"/>
      <c r="J44" s="42" t="e">
        <f t="shared" si="28"/>
        <v>#DIV/0!</v>
      </c>
      <c r="K44" s="11"/>
      <c r="L44" s="11"/>
      <c r="M44" s="11"/>
      <c r="N44" s="11"/>
      <c r="O44" s="11"/>
      <c r="P44" s="11"/>
      <c r="Q44" s="11"/>
      <c r="R44" s="11"/>
      <c r="S44" s="11">
        <f t="shared" si="16"/>
        <v>0</v>
      </c>
      <c r="T44" s="11"/>
      <c r="U44" s="11"/>
      <c r="V44" s="11"/>
      <c r="W44" s="11"/>
      <c r="X44" s="29"/>
      <c r="Y44" s="29"/>
      <c r="Z44" s="29"/>
      <c r="AA44" s="29"/>
      <c r="AB44" s="29"/>
      <c r="AC44" s="29">
        <f t="shared" si="17"/>
        <v>0</v>
      </c>
      <c r="AD44" s="29">
        <f t="shared" si="18"/>
        <v>0</v>
      </c>
      <c r="AE44" s="29">
        <f t="shared" si="19"/>
        <v>0</v>
      </c>
      <c r="AF44" s="29">
        <f t="shared" si="20"/>
        <v>0</v>
      </c>
      <c r="AG44" s="29"/>
      <c r="AH44" s="29"/>
      <c r="AI44" s="29"/>
      <c r="AJ44" s="42" t="e">
        <f t="shared" si="21"/>
        <v>#DIV/0!</v>
      </c>
      <c r="AK44" s="42"/>
      <c r="AL44" s="44"/>
      <c r="AM44" s="132"/>
      <c r="AN44" s="132"/>
      <c r="AO44" s="132"/>
      <c r="AP44" s="132"/>
      <c r="AQ44" s="132"/>
      <c r="AR44" s="132"/>
      <c r="AS44" s="132"/>
      <c r="AT44" s="55"/>
      <c r="AU44" s="55"/>
      <c r="AV44" s="55"/>
      <c r="AW44" s="55"/>
      <c r="AX44" s="55"/>
      <c r="AY44" s="55"/>
      <c r="AZ44" s="55"/>
      <c r="BA44" s="55"/>
      <c r="BB44" s="55"/>
      <c r="BC44" s="56">
        <f t="shared" si="27"/>
        <v>0</v>
      </c>
      <c r="BD44" s="29">
        <f t="shared" si="22"/>
        <v>0</v>
      </c>
      <c r="BE44" s="29"/>
      <c r="BF44" s="29"/>
      <c r="BG44" s="29"/>
      <c r="BH44" s="11">
        <f t="shared" si="23"/>
        <v>0</v>
      </c>
      <c r="BI44" s="11">
        <f t="shared" si="24"/>
        <v>0</v>
      </c>
      <c r="BJ44" s="42" t="e">
        <f t="shared" si="25"/>
        <v>#DIV/0!</v>
      </c>
      <c r="BK44" s="54"/>
      <c r="BL44" s="14"/>
    </row>
    <row r="45" customFormat="1" spans="1:64">
      <c r="A45" s="4"/>
      <c r="B45" s="4">
        <v>2013</v>
      </c>
      <c r="C45" s="122"/>
      <c r="D45" s="12"/>
      <c r="E45" s="12"/>
      <c r="F45" s="12"/>
      <c r="G45" s="122"/>
      <c r="H45" s="11"/>
      <c r="I45" s="11"/>
      <c r="J45" s="42" t="e">
        <f t="shared" si="28"/>
        <v>#DIV/0!</v>
      </c>
      <c r="K45" s="11"/>
      <c r="L45" s="11"/>
      <c r="M45" s="11"/>
      <c r="N45" s="11"/>
      <c r="O45" s="11"/>
      <c r="P45" s="11"/>
      <c r="Q45" s="11"/>
      <c r="R45" s="11"/>
      <c r="S45" s="11">
        <f t="shared" si="16"/>
        <v>0</v>
      </c>
      <c r="T45" s="11"/>
      <c r="U45" s="11"/>
      <c r="V45" s="11"/>
      <c r="W45" s="11"/>
      <c r="X45" s="29"/>
      <c r="Y45" s="29"/>
      <c r="Z45" s="29"/>
      <c r="AA45" s="29"/>
      <c r="AB45" s="29"/>
      <c r="AC45" s="29">
        <f t="shared" si="17"/>
        <v>0</v>
      </c>
      <c r="AD45" s="29">
        <f t="shared" si="18"/>
        <v>0</v>
      </c>
      <c r="AE45" s="29">
        <f t="shared" si="19"/>
        <v>0</v>
      </c>
      <c r="AF45" s="29">
        <f t="shared" si="20"/>
        <v>0</v>
      </c>
      <c r="AG45" s="29"/>
      <c r="AH45" s="29"/>
      <c r="AI45" s="29"/>
      <c r="AJ45" s="42" t="e">
        <f t="shared" si="21"/>
        <v>#DIV/0!</v>
      </c>
      <c r="AK45" s="42"/>
      <c r="AL45" s="44"/>
      <c r="AM45" s="132"/>
      <c r="AN45" s="132"/>
      <c r="AO45" s="132"/>
      <c r="AP45" s="132"/>
      <c r="AQ45" s="132"/>
      <c r="AR45" s="132"/>
      <c r="AS45" s="132"/>
      <c r="AT45" s="55"/>
      <c r="AU45" s="55"/>
      <c r="AV45" s="55"/>
      <c r="AW45" s="55"/>
      <c r="AX45" s="55"/>
      <c r="AY45" s="55"/>
      <c r="AZ45" s="55"/>
      <c r="BA45" s="55"/>
      <c r="BB45" s="55"/>
      <c r="BC45" s="56">
        <f t="shared" si="27"/>
        <v>0</v>
      </c>
      <c r="BD45" s="29">
        <f t="shared" si="22"/>
        <v>0</v>
      </c>
      <c r="BE45" s="29"/>
      <c r="BF45" s="29"/>
      <c r="BG45" s="29"/>
      <c r="BH45" s="11">
        <f t="shared" si="23"/>
        <v>0</v>
      </c>
      <c r="BI45" s="11">
        <f t="shared" si="24"/>
        <v>0</v>
      </c>
      <c r="BJ45" s="42" t="e">
        <f t="shared" si="25"/>
        <v>#DIV/0!</v>
      </c>
      <c r="BK45" s="54"/>
      <c r="BL45" s="14"/>
    </row>
    <row r="46" customFormat="1" spans="1:64">
      <c r="A46" s="4"/>
      <c r="B46" s="4">
        <v>2012</v>
      </c>
      <c r="C46" s="122"/>
      <c r="D46" s="12"/>
      <c r="E46" s="12"/>
      <c r="F46" s="12"/>
      <c r="G46" s="122"/>
      <c r="H46" s="11"/>
      <c r="I46" s="11"/>
      <c r="J46" s="42" t="e">
        <f t="shared" si="28"/>
        <v>#DIV/0!</v>
      </c>
      <c r="K46" s="11"/>
      <c r="L46" s="11"/>
      <c r="M46" s="11"/>
      <c r="N46" s="11"/>
      <c r="O46" s="11"/>
      <c r="P46" s="11"/>
      <c r="Q46" s="11"/>
      <c r="R46" s="11"/>
      <c r="S46" s="11">
        <f t="shared" si="16"/>
        <v>0</v>
      </c>
      <c r="T46" s="11"/>
      <c r="U46" s="11"/>
      <c r="V46" s="11"/>
      <c r="W46" s="11"/>
      <c r="X46" s="29"/>
      <c r="Y46" s="29"/>
      <c r="Z46" s="29"/>
      <c r="AA46" s="29"/>
      <c r="AB46" s="29"/>
      <c r="AC46" s="29">
        <f t="shared" si="17"/>
        <v>0</v>
      </c>
      <c r="AD46" s="29">
        <f t="shared" si="18"/>
        <v>0</v>
      </c>
      <c r="AE46" s="29">
        <f t="shared" si="19"/>
        <v>0</v>
      </c>
      <c r="AF46" s="29">
        <f t="shared" si="20"/>
        <v>0</v>
      </c>
      <c r="AG46" s="29"/>
      <c r="AH46" s="29"/>
      <c r="AI46" s="29"/>
      <c r="AJ46" s="42" t="e">
        <f t="shared" si="21"/>
        <v>#DIV/0!</v>
      </c>
      <c r="AK46" s="42"/>
      <c r="AL46" s="44"/>
      <c r="AM46" s="132"/>
      <c r="AN46" s="132"/>
      <c r="AO46" s="132"/>
      <c r="AP46" s="132"/>
      <c r="AQ46" s="132"/>
      <c r="AR46" s="132"/>
      <c r="AS46" s="132"/>
      <c r="AT46" s="55"/>
      <c r="AU46" s="55"/>
      <c r="AV46" s="55"/>
      <c r="AW46" s="55"/>
      <c r="AX46" s="55"/>
      <c r="AY46" s="55"/>
      <c r="AZ46" s="55"/>
      <c r="BA46" s="55"/>
      <c r="BB46" s="55"/>
      <c r="BC46" s="56">
        <f t="shared" si="27"/>
        <v>0</v>
      </c>
      <c r="BD46" s="29">
        <f t="shared" si="22"/>
        <v>0</v>
      </c>
      <c r="BE46" s="29"/>
      <c r="BF46" s="29"/>
      <c r="BG46" s="29"/>
      <c r="BH46" s="11">
        <f t="shared" si="23"/>
        <v>0</v>
      </c>
      <c r="BI46" s="11">
        <f t="shared" si="24"/>
        <v>0</v>
      </c>
      <c r="BJ46" s="42" t="e">
        <f t="shared" si="25"/>
        <v>#DIV/0!</v>
      </c>
      <c r="BK46" s="54"/>
      <c r="BL46" s="15"/>
    </row>
    <row r="47" spans="1:64">
      <c r="A47" s="12" t="s">
        <v>83</v>
      </c>
      <c r="B47" s="12">
        <v>2022</v>
      </c>
      <c r="C47" s="122"/>
      <c r="D47" s="12"/>
      <c r="E47" s="12"/>
      <c r="F47" s="12"/>
      <c r="G47" s="122"/>
      <c r="H47" s="11"/>
      <c r="I47" s="11"/>
      <c r="J47" s="42"/>
      <c r="K47" s="11"/>
      <c r="L47" s="11"/>
      <c r="M47" s="11"/>
      <c r="N47" s="11"/>
      <c r="O47" s="11"/>
      <c r="P47" s="11"/>
      <c r="Q47" s="11"/>
      <c r="R47" s="11"/>
      <c r="S47" s="11"/>
      <c r="T47" s="11"/>
      <c r="U47" s="11"/>
      <c r="V47" s="11"/>
      <c r="W47" s="11"/>
      <c r="X47" s="29"/>
      <c r="Y47" s="29"/>
      <c r="Z47" s="29"/>
      <c r="AA47" s="29"/>
      <c r="AB47" s="29"/>
      <c r="AC47" s="29"/>
      <c r="AD47" s="29"/>
      <c r="AE47" s="29"/>
      <c r="AF47" s="29"/>
      <c r="AG47" s="29"/>
      <c r="AH47" s="29"/>
      <c r="AI47" s="29"/>
      <c r="AJ47" s="44"/>
      <c r="AK47" s="44"/>
      <c r="AL47" s="44"/>
      <c r="AM47" s="132"/>
      <c r="AN47" s="132"/>
      <c r="AO47" s="132"/>
      <c r="AP47" s="132"/>
      <c r="AQ47" s="132"/>
      <c r="AR47" s="132"/>
      <c r="AS47" s="132"/>
      <c r="AT47" s="55"/>
      <c r="AU47" s="55"/>
      <c r="AV47" s="55"/>
      <c r="AW47" s="55"/>
      <c r="AX47" s="55"/>
      <c r="AY47" s="55"/>
      <c r="AZ47" s="55"/>
      <c r="BA47" s="55"/>
      <c r="BB47" s="55"/>
      <c r="BC47" s="56">
        <f t="shared" si="27"/>
        <v>0</v>
      </c>
      <c r="BD47" s="29"/>
      <c r="BE47" s="29"/>
      <c r="BF47" s="29"/>
      <c r="BG47" s="29"/>
      <c r="BH47" s="11"/>
      <c r="BI47" s="11"/>
      <c r="BJ47" s="42"/>
      <c r="BK47" s="54"/>
      <c r="BL47" s="13"/>
    </row>
    <row r="48" spans="1:64">
      <c r="A48" s="12"/>
      <c r="B48" s="12">
        <v>2021</v>
      </c>
      <c r="C48" s="122"/>
      <c r="D48" s="12"/>
      <c r="E48" s="12"/>
      <c r="F48" s="12"/>
      <c r="G48" s="122"/>
      <c r="H48" s="11"/>
      <c r="I48" s="11"/>
      <c r="J48" s="42"/>
      <c r="K48" s="11"/>
      <c r="L48" s="11"/>
      <c r="M48" s="11"/>
      <c r="N48" s="11"/>
      <c r="O48" s="11"/>
      <c r="P48" s="11"/>
      <c r="Q48" s="11"/>
      <c r="R48" s="11"/>
      <c r="S48" s="11"/>
      <c r="T48" s="11"/>
      <c r="U48" s="11"/>
      <c r="V48" s="11"/>
      <c r="W48" s="11"/>
      <c r="X48" s="29"/>
      <c r="Y48" s="29"/>
      <c r="Z48" s="29"/>
      <c r="AA48" s="29"/>
      <c r="AB48" s="29"/>
      <c r="AC48" s="29"/>
      <c r="AD48" s="29"/>
      <c r="AE48" s="29"/>
      <c r="AF48" s="29"/>
      <c r="AG48" s="29"/>
      <c r="AH48" s="29"/>
      <c r="AI48" s="29"/>
      <c r="AJ48" s="44"/>
      <c r="AK48" s="44"/>
      <c r="AL48" s="44"/>
      <c r="AM48" s="132"/>
      <c r="AN48" s="132"/>
      <c r="AO48" s="132"/>
      <c r="AP48" s="132"/>
      <c r="AQ48" s="132"/>
      <c r="AR48" s="132"/>
      <c r="AS48" s="132"/>
      <c r="AT48" s="55"/>
      <c r="AU48" s="55"/>
      <c r="AV48" s="55"/>
      <c r="AW48" s="55"/>
      <c r="AX48" s="55"/>
      <c r="AY48" s="55"/>
      <c r="AZ48" s="55"/>
      <c r="BA48" s="55"/>
      <c r="BB48" s="55"/>
      <c r="BC48" s="56">
        <f t="shared" si="27"/>
        <v>0</v>
      </c>
      <c r="BD48" s="29"/>
      <c r="BE48" s="29"/>
      <c r="BF48" s="29"/>
      <c r="BG48" s="29"/>
      <c r="BH48" s="11"/>
      <c r="BI48" s="11"/>
      <c r="BJ48" s="42"/>
      <c r="BK48" s="54"/>
      <c r="BL48" s="14"/>
    </row>
    <row r="49" spans="1:64">
      <c r="A49" s="12"/>
      <c r="B49" s="12">
        <v>2020</v>
      </c>
      <c r="C49" s="122"/>
      <c r="D49" s="12"/>
      <c r="E49" s="12"/>
      <c r="F49" s="12"/>
      <c r="G49" s="122"/>
      <c r="H49" s="11"/>
      <c r="I49" s="11"/>
      <c r="J49" s="42"/>
      <c r="K49" s="11"/>
      <c r="L49" s="11"/>
      <c r="M49" s="11"/>
      <c r="N49" s="11"/>
      <c r="O49" s="11"/>
      <c r="P49" s="11"/>
      <c r="Q49" s="11"/>
      <c r="R49" s="11"/>
      <c r="S49" s="11"/>
      <c r="T49" s="11"/>
      <c r="U49" s="11"/>
      <c r="V49" s="11"/>
      <c r="W49" s="11"/>
      <c r="X49" s="29"/>
      <c r="Y49" s="29"/>
      <c r="Z49" s="29"/>
      <c r="AA49" s="29"/>
      <c r="AB49" s="29"/>
      <c r="AC49" s="29"/>
      <c r="AD49" s="29"/>
      <c r="AE49" s="29"/>
      <c r="AF49" s="29"/>
      <c r="AG49" s="29"/>
      <c r="AH49" s="29"/>
      <c r="AI49" s="29"/>
      <c r="AJ49" s="44"/>
      <c r="AK49" s="44"/>
      <c r="AL49" s="44"/>
      <c r="AM49" s="132"/>
      <c r="AN49" s="132"/>
      <c r="AO49" s="132"/>
      <c r="AP49" s="132"/>
      <c r="AQ49" s="132"/>
      <c r="AR49" s="132"/>
      <c r="AS49" s="132"/>
      <c r="AT49" s="55"/>
      <c r="AU49" s="55"/>
      <c r="AV49" s="55"/>
      <c r="AW49" s="55"/>
      <c r="AX49" s="55"/>
      <c r="AY49" s="55"/>
      <c r="AZ49" s="55"/>
      <c r="BA49" s="55"/>
      <c r="BB49" s="55"/>
      <c r="BC49" s="56">
        <f t="shared" si="27"/>
        <v>0</v>
      </c>
      <c r="BD49" s="29"/>
      <c r="BE49" s="29"/>
      <c r="BF49" s="29"/>
      <c r="BG49" s="29"/>
      <c r="BH49" s="11"/>
      <c r="BI49" s="11"/>
      <c r="BJ49" s="42"/>
      <c r="BK49" s="54"/>
      <c r="BL49" s="14"/>
    </row>
    <row r="50" spans="1:64">
      <c r="A50" s="12"/>
      <c r="B50" s="12">
        <v>2019</v>
      </c>
      <c r="C50" s="122"/>
      <c r="D50" s="12"/>
      <c r="E50" s="12"/>
      <c r="F50" s="12"/>
      <c r="G50" s="122"/>
      <c r="H50" s="11"/>
      <c r="I50" s="11"/>
      <c r="J50" s="42"/>
      <c r="K50" s="11"/>
      <c r="L50" s="11"/>
      <c r="M50" s="11"/>
      <c r="N50" s="11"/>
      <c r="O50" s="11"/>
      <c r="P50" s="11"/>
      <c r="Q50" s="11"/>
      <c r="R50" s="11"/>
      <c r="S50" s="11"/>
      <c r="T50" s="11"/>
      <c r="U50" s="11"/>
      <c r="V50" s="11"/>
      <c r="W50" s="11"/>
      <c r="X50" s="29"/>
      <c r="Y50" s="29"/>
      <c r="Z50" s="29"/>
      <c r="AA50" s="29"/>
      <c r="AB50" s="29"/>
      <c r="AC50" s="29"/>
      <c r="AD50" s="29"/>
      <c r="AE50" s="29"/>
      <c r="AF50" s="29"/>
      <c r="AG50" s="29"/>
      <c r="AH50" s="29"/>
      <c r="AI50" s="29"/>
      <c r="AJ50" s="44"/>
      <c r="AK50" s="44"/>
      <c r="AL50" s="44"/>
      <c r="AM50" s="132"/>
      <c r="AN50" s="132"/>
      <c r="AO50" s="132"/>
      <c r="AP50" s="132"/>
      <c r="AQ50" s="132"/>
      <c r="AR50" s="132"/>
      <c r="AS50" s="132"/>
      <c r="AT50" s="55"/>
      <c r="AU50" s="55"/>
      <c r="AV50" s="55"/>
      <c r="AW50" s="55"/>
      <c r="AX50" s="55"/>
      <c r="AY50" s="55"/>
      <c r="AZ50" s="55"/>
      <c r="BA50" s="55"/>
      <c r="BB50" s="55"/>
      <c r="BC50" s="56">
        <f t="shared" si="27"/>
        <v>0</v>
      </c>
      <c r="BD50" s="29"/>
      <c r="BE50" s="29"/>
      <c r="BF50" s="29"/>
      <c r="BG50" s="29"/>
      <c r="BH50" s="11"/>
      <c r="BI50" s="11"/>
      <c r="BJ50" s="42"/>
      <c r="BK50" s="54"/>
      <c r="BL50" s="14"/>
    </row>
    <row r="51" spans="1:64">
      <c r="A51" s="12"/>
      <c r="B51" s="12">
        <v>2018</v>
      </c>
      <c r="C51" s="122"/>
      <c r="D51" s="12"/>
      <c r="E51" s="12"/>
      <c r="F51" s="12"/>
      <c r="G51" s="122"/>
      <c r="H51" s="11"/>
      <c r="I51" s="11"/>
      <c r="J51" s="42"/>
      <c r="K51" s="11"/>
      <c r="L51" s="11"/>
      <c r="M51" s="11"/>
      <c r="N51" s="11"/>
      <c r="O51" s="11"/>
      <c r="P51" s="11"/>
      <c r="Q51" s="11"/>
      <c r="R51" s="11"/>
      <c r="S51" s="11"/>
      <c r="T51" s="11"/>
      <c r="U51" s="11"/>
      <c r="V51" s="11"/>
      <c r="W51" s="11"/>
      <c r="X51" s="29"/>
      <c r="Y51" s="29"/>
      <c r="Z51" s="29"/>
      <c r="AA51" s="29"/>
      <c r="AB51" s="29"/>
      <c r="AC51" s="29"/>
      <c r="AD51" s="29"/>
      <c r="AE51" s="29"/>
      <c r="AF51" s="29"/>
      <c r="AG51" s="29"/>
      <c r="AH51" s="29"/>
      <c r="AI51" s="29"/>
      <c r="AJ51" s="44"/>
      <c r="AK51" s="44"/>
      <c r="AL51" s="44"/>
      <c r="AM51" s="132"/>
      <c r="AN51" s="132"/>
      <c r="AO51" s="132"/>
      <c r="AP51" s="132"/>
      <c r="AQ51" s="132"/>
      <c r="AR51" s="132"/>
      <c r="AS51" s="132"/>
      <c r="AT51" s="55"/>
      <c r="AU51" s="55"/>
      <c r="AV51" s="55"/>
      <c r="AW51" s="55"/>
      <c r="AX51" s="55"/>
      <c r="AY51" s="55"/>
      <c r="AZ51" s="55"/>
      <c r="BA51" s="55"/>
      <c r="BB51" s="55"/>
      <c r="BC51" s="56">
        <f t="shared" si="27"/>
        <v>0</v>
      </c>
      <c r="BD51" s="29"/>
      <c r="BE51" s="29"/>
      <c r="BF51" s="29"/>
      <c r="BG51" s="29"/>
      <c r="BH51" s="11"/>
      <c r="BI51" s="11"/>
      <c r="BJ51" s="42"/>
      <c r="BK51" s="54"/>
      <c r="BL51" s="14"/>
    </row>
    <row r="52" spans="1:64">
      <c r="A52" s="12"/>
      <c r="B52" s="12">
        <v>2017</v>
      </c>
      <c r="C52" s="122"/>
      <c r="D52" s="12"/>
      <c r="E52" s="12"/>
      <c r="F52" s="12"/>
      <c r="G52" s="122"/>
      <c r="H52" s="11"/>
      <c r="I52" s="11"/>
      <c r="J52" s="42"/>
      <c r="K52" s="11"/>
      <c r="L52" s="11"/>
      <c r="M52" s="11"/>
      <c r="N52" s="11"/>
      <c r="O52" s="11"/>
      <c r="P52" s="11"/>
      <c r="Q52" s="11"/>
      <c r="R52" s="11"/>
      <c r="S52" s="11"/>
      <c r="T52" s="11"/>
      <c r="U52" s="11"/>
      <c r="V52" s="11"/>
      <c r="W52" s="11"/>
      <c r="X52" s="29"/>
      <c r="Y52" s="29"/>
      <c r="Z52" s="29"/>
      <c r="AA52" s="29"/>
      <c r="AB52" s="29"/>
      <c r="AC52" s="29"/>
      <c r="AD52" s="29"/>
      <c r="AE52" s="29"/>
      <c r="AF52" s="29"/>
      <c r="AG52" s="29"/>
      <c r="AH52" s="29"/>
      <c r="AI52" s="29"/>
      <c r="AJ52" s="44"/>
      <c r="AK52" s="44"/>
      <c r="AL52" s="44"/>
      <c r="AM52" s="132"/>
      <c r="AN52" s="132"/>
      <c r="AO52" s="132"/>
      <c r="AP52" s="132"/>
      <c r="AQ52" s="132"/>
      <c r="AR52" s="132"/>
      <c r="AS52" s="132"/>
      <c r="AT52" s="55"/>
      <c r="AU52" s="55"/>
      <c r="AV52" s="55"/>
      <c r="AW52" s="55"/>
      <c r="AX52" s="55"/>
      <c r="AY52" s="55"/>
      <c r="AZ52" s="55"/>
      <c r="BA52" s="55"/>
      <c r="BB52" s="55"/>
      <c r="BC52" s="56">
        <f t="shared" si="27"/>
        <v>0</v>
      </c>
      <c r="BD52" s="29"/>
      <c r="BE52" s="29"/>
      <c r="BF52" s="29"/>
      <c r="BG52" s="29"/>
      <c r="BH52" s="11"/>
      <c r="BI52" s="11"/>
      <c r="BJ52" s="42"/>
      <c r="BK52" s="54"/>
      <c r="BL52" s="14"/>
    </row>
    <row r="53" spans="1:64">
      <c r="A53" s="12"/>
      <c r="B53" s="12">
        <v>2016</v>
      </c>
      <c r="C53" s="122"/>
      <c r="D53" s="12"/>
      <c r="E53" s="12"/>
      <c r="F53" s="12"/>
      <c r="G53" s="122"/>
      <c r="H53" s="11"/>
      <c r="I53" s="11"/>
      <c r="J53" s="42"/>
      <c r="K53" s="11"/>
      <c r="L53" s="11"/>
      <c r="M53" s="11"/>
      <c r="N53" s="11"/>
      <c r="O53" s="11"/>
      <c r="P53" s="11"/>
      <c r="Q53" s="11"/>
      <c r="R53" s="11"/>
      <c r="S53" s="11"/>
      <c r="T53" s="11"/>
      <c r="U53" s="11"/>
      <c r="V53" s="11"/>
      <c r="W53" s="11"/>
      <c r="X53" s="29"/>
      <c r="Y53" s="29"/>
      <c r="Z53" s="29"/>
      <c r="AA53" s="29"/>
      <c r="AB53" s="29"/>
      <c r="AC53" s="29"/>
      <c r="AD53" s="29"/>
      <c r="AE53" s="29"/>
      <c r="AF53" s="29"/>
      <c r="AG53" s="29"/>
      <c r="AH53" s="29"/>
      <c r="AI53" s="29"/>
      <c r="AJ53" s="44"/>
      <c r="AK53" s="44"/>
      <c r="AL53" s="44"/>
      <c r="AM53" s="132"/>
      <c r="AN53" s="132"/>
      <c r="AO53" s="132"/>
      <c r="AP53" s="132"/>
      <c r="AQ53" s="132"/>
      <c r="AR53" s="132"/>
      <c r="AS53" s="132"/>
      <c r="AT53" s="55"/>
      <c r="AU53" s="55"/>
      <c r="AV53" s="55"/>
      <c r="AW53" s="55"/>
      <c r="AX53" s="55"/>
      <c r="AY53" s="55"/>
      <c r="AZ53" s="55"/>
      <c r="BA53" s="55"/>
      <c r="BB53" s="55"/>
      <c r="BC53" s="56">
        <f t="shared" si="27"/>
        <v>0</v>
      </c>
      <c r="BD53" s="29"/>
      <c r="BE53" s="29"/>
      <c r="BF53" s="29"/>
      <c r="BG53" s="29"/>
      <c r="BH53" s="11"/>
      <c r="BI53" s="11"/>
      <c r="BJ53" s="42"/>
      <c r="BK53" s="54"/>
      <c r="BL53" s="14"/>
    </row>
    <row r="54" spans="1:64">
      <c r="A54" s="12"/>
      <c r="B54" s="12">
        <v>2015</v>
      </c>
      <c r="C54" s="122"/>
      <c r="D54" s="12"/>
      <c r="E54" s="12"/>
      <c r="F54" s="12"/>
      <c r="G54" s="122"/>
      <c r="H54" s="11"/>
      <c r="I54" s="11"/>
      <c r="J54" s="42"/>
      <c r="K54" s="11"/>
      <c r="L54" s="11"/>
      <c r="M54" s="11"/>
      <c r="N54" s="11"/>
      <c r="O54" s="11"/>
      <c r="P54" s="11"/>
      <c r="Q54" s="11"/>
      <c r="R54" s="11"/>
      <c r="S54" s="11"/>
      <c r="T54" s="11"/>
      <c r="U54" s="11"/>
      <c r="V54" s="11"/>
      <c r="W54" s="11"/>
      <c r="X54" s="29"/>
      <c r="Y54" s="29"/>
      <c r="Z54" s="29"/>
      <c r="AA54" s="29"/>
      <c r="AB54" s="29"/>
      <c r="AC54" s="29"/>
      <c r="AD54" s="29"/>
      <c r="AE54" s="29"/>
      <c r="AF54" s="29"/>
      <c r="AG54" s="29"/>
      <c r="AH54" s="29"/>
      <c r="AI54" s="29"/>
      <c r="AJ54" s="44"/>
      <c r="AK54" s="44"/>
      <c r="AL54" s="44"/>
      <c r="AM54" s="132"/>
      <c r="AN54" s="132"/>
      <c r="AO54" s="132"/>
      <c r="AP54" s="132"/>
      <c r="AQ54" s="132"/>
      <c r="AR54" s="132"/>
      <c r="AS54" s="132"/>
      <c r="AT54" s="55"/>
      <c r="AU54" s="55"/>
      <c r="AV54" s="55"/>
      <c r="AW54" s="55"/>
      <c r="AX54" s="55"/>
      <c r="AY54" s="55"/>
      <c r="AZ54" s="55"/>
      <c r="BA54" s="55"/>
      <c r="BB54" s="55"/>
      <c r="BC54" s="56">
        <f t="shared" si="27"/>
        <v>0</v>
      </c>
      <c r="BD54" s="29"/>
      <c r="BE54" s="29"/>
      <c r="BF54" s="29"/>
      <c r="BG54" s="29"/>
      <c r="BH54" s="11"/>
      <c r="BI54" s="11"/>
      <c r="BJ54" s="42"/>
      <c r="BK54" s="54"/>
      <c r="BL54" s="14"/>
    </row>
    <row r="55" spans="1:64">
      <c r="A55" s="12"/>
      <c r="B55" s="12">
        <v>2014</v>
      </c>
      <c r="C55" s="122"/>
      <c r="D55" s="12"/>
      <c r="E55" s="12"/>
      <c r="F55" s="12"/>
      <c r="G55" s="122"/>
      <c r="H55" s="11"/>
      <c r="I55" s="11"/>
      <c r="J55" s="42"/>
      <c r="K55" s="11"/>
      <c r="L55" s="11"/>
      <c r="M55" s="11"/>
      <c r="N55" s="11"/>
      <c r="O55" s="11"/>
      <c r="P55" s="11"/>
      <c r="Q55" s="11"/>
      <c r="R55" s="11"/>
      <c r="S55" s="11"/>
      <c r="T55" s="11"/>
      <c r="U55" s="11"/>
      <c r="V55" s="11"/>
      <c r="W55" s="11"/>
      <c r="X55" s="29"/>
      <c r="Y55" s="29"/>
      <c r="Z55" s="29"/>
      <c r="AA55" s="29"/>
      <c r="AB55" s="29"/>
      <c r="AC55" s="29"/>
      <c r="AD55" s="29"/>
      <c r="AE55" s="29"/>
      <c r="AF55" s="29"/>
      <c r="AG55" s="29"/>
      <c r="AH55" s="29"/>
      <c r="AI55" s="29"/>
      <c r="AJ55" s="44"/>
      <c r="AK55" s="44"/>
      <c r="AL55" s="44"/>
      <c r="AM55" s="132"/>
      <c r="AN55" s="132"/>
      <c r="AO55" s="132"/>
      <c r="AP55" s="132"/>
      <c r="AQ55" s="132"/>
      <c r="AR55" s="132"/>
      <c r="AS55" s="132"/>
      <c r="AT55" s="55"/>
      <c r="AU55" s="55"/>
      <c r="AV55" s="55"/>
      <c r="AW55" s="55"/>
      <c r="AX55" s="55"/>
      <c r="AY55" s="55"/>
      <c r="AZ55" s="55"/>
      <c r="BA55" s="55"/>
      <c r="BB55" s="55"/>
      <c r="BC55" s="56">
        <f t="shared" si="27"/>
        <v>0</v>
      </c>
      <c r="BD55" s="29"/>
      <c r="BE55" s="29"/>
      <c r="BF55" s="29"/>
      <c r="BG55" s="29"/>
      <c r="BH55" s="11"/>
      <c r="BI55" s="11"/>
      <c r="BJ55" s="42"/>
      <c r="BK55" s="54"/>
      <c r="BL55" s="14"/>
    </row>
    <row r="56" spans="1:64">
      <c r="A56" s="12"/>
      <c r="B56" s="12">
        <v>2013</v>
      </c>
      <c r="C56" s="122"/>
      <c r="D56" s="12"/>
      <c r="E56" s="12"/>
      <c r="F56" s="12"/>
      <c r="G56" s="122"/>
      <c r="H56" s="11"/>
      <c r="I56" s="11"/>
      <c r="J56" s="42"/>
      <c r="K56" s="11"/>
      <c r="L56" s="11"/>
      <c r="M56" s="11"/>
      <c r="N56" s="11"/>
      <c r="O56" s="11"/>
      <c r="P56" s="11"/>
      <c r="Q56" s="11"/>
      <c r="R56" s="11"/>
      <c r="S56" s="11"/>
      <c r="T56" s="11"/>
      <c r="U56" s="11"/>
      <c r="V56" s="11"/>
      <c r="W56" s="11"/>
      <c r="X56" s="29"/>
      <c r="Y56" s="29"/>
      <c r="Z56" s="29"/>
      <c r="AA56" s="29"/>
      <c r="AB56" s="29"/>
      <c r="AC56" s="29"/>
      <c r="AD56" s="29"/>
      <c r="AE56" s="29"/>
      <c r="AF56" s="29"/>
      <c r="AG56" s="29"/>
      <c r="AH56" s="29"/>
      <c r="AI56" s="29"/>
      <c r="AJ56" s="44"/>
      <c r="AK56" s="44"/>
      <c r="AL56" s="44"/>
      <c r="AM56" s="132"/>
      <c r="AN56" s="132"/>
      <c r="AO56" s="132"/>
      <c r="AP56" s="132"/>
      <c r="AQ56" s="132"/>
      <c r="AR56" s="132"/>
      <c r="AS56" s="132"/>
      <c r="AT56" s="55"/>
      <c r="AU56" s="55"/>
      <c r="AV56" s="55"/>
      <c r="AW56" s="55"/>
      <c r="AX56" s="55"/>
      <c r="AY56" s="55"/>
      <c r="AZ56" s="55"/>
      <c r="BA56" s="55"/>
      <c r="BB56" s="55"/>
      <c r="BC56" s="56">
        <f t="shared" si="27"/>
        <v>0</v>
      </c>
      <c r="BD56" s="29"/>
      <c r="BE56" s="29"/>
      <c r="BF56" s="29"/>
      <c r="BG56" s="29"/>
      <c r="BH56" s="11"/>
      <c r="BI56" s="11"/>
      <c r="BJ56" s="42"/>
      <c r="BK56" s="54"/>
      <c r="BL56" s="14"/>
    </row>
    <row r="57" spans="1:64">
      <c r="A57" s="12"/>
      <c r="B57" s="12">
        <v>2012</v>
      </c>
      <c r="C57" s="122"/>
      <c r="D57" s="12"/>
      <c r="E57" s="12"/>
      <c r="F57" s="12"/>
      <c r="G57" s="122"/>
      <c r="H57" s="11"/>
      <c r="I57" s="11"/>
      <c r="J57" s="42"/>
      <c r="K57" s="11"/>
      <c r="L57" s="11"/>
      <c r="M57" s="11"/>
      <c r="N57" s="11"/>
      <c r="O57" s="11"/>
      <c r="P57" s="11"/>
      <c r="Q57" s="11"/>
      <c r="R57" s="11"/>
      <c r="S57" s="11"/>
      <c r="T57" s="11"/>
      <c r="U57" s="11"/>
      <c r="V57" s="11"/>
      <c r="W57" s="11"/>
      <c r="X57" s="29"/>
      <c r="Y57" s="29"/>
      <c r="Z57" s="29"/>
      <c r="AA57" s="29"/>
      <c r="AB57" s="29"/>
      <c r="AC57" s="29"/>
      <c r="AD57" s="29"/>
      <c r="AE57" s="29"/>
      <c r="AF57" s="29"/>
      <c r="AG57" s="29"/>
      <c r="AH57" s="29"/>
      <c r="AI57" s="29"/>
      <c r="AJ57" s="44"/>
      <c r="AK57" s="44"/>
      <c r="AL57" s="44"/>
      <c r="AM57" s="132"/>
      <c r="AN57" s="132"/>
      <c r="AO57" s="132"/>
      <c r="AP57" s="132"/>
      <c r="AQ57" s="132"/>
      <c r="AR57" s="132"/>
      <c r="AS57" s="132"/>
      <c r="AT57" s="55"/>
      <c r="AU57" s="55"/>
      <c r="AV57" s="55"/>
      <c r="AW57" s="55"/>
      <c r="AX57" s="55"/>
      <c r="AY57" s="55"/>
      <c r="AZ57" s="55"/>
      <c r="BA57" s="55"/>
      <c r="BB57" s="55"/>
      <c r="BC57" s="56">
        <f t="shared" ref="BC57:BC102" si="29">H57+S57</f>
        <v>0</v>
      </c>
      <c r="BD57" s="29"/>
      <c r="BE57" s="29"/>
      <c r="BF57" s="29"/>
      <c r="BG57" s="29"/>
      <c r="BH57" s="11"/>
      <c r="BI57" s="11"/>
      <c r="BJ57" s="42"/>
      <c r="BK57" s="54"/>
      <c r="BL57" s="15"/>
    </row>
    <row r="58" spans="1:64">
      <c r="A58" s="6" t="s">
        <v>84</v>
      </c>
      <c r="B58" s="12">
        <v>2022</v>
      </c>
      <c r="C58" s="118">
        <f>53.22*100000000</f>
        <v>5322000000</v>
      </c>
      <c r="D58" s="122" t="s">
        <v>69</v>
      </c>
      <c r="E58" s="12"/>
      <c r="F58" s="12"/>
      <c r="G58" s="122"/>
      <c r="H58" s="11"/>
      <c r="I58" s="11"/>
      <c r="J58" s="42"/>
      <c r="K58" s="11"/>
      <c r="L58" s="11"/>
      <c r="M58" s="11"/>
      <c r="N58" s="11"/>
      <c r="O58" s="11"/>
      <c r="P58" s="11"/>
      <c r="Q58" s="11"/>
      <c r="R58" s="11"/>
      <c r="S58" s="11"/>
      <c r="T58" s="11"/>
      <c r="U58" s="11"/>
      <c r="V58" s="11"/>
      <c r="W58" s="11"/>
      <c r="X58" s="29"/>
      <c r="Y58" s="29"/>
      <c r="Z58" s="29"/>
      <c r="AA58" s="29"/>
      <c r="AB58" s="29"/>
      <c r="AC58" s="29"/>
      <c r="AD58" s="29"/>
      <c r="AE58" s="29"/>
      <c r="AF58" s="29"/>
      <c r="AG58" s="29"/>
      <c r="AH58" s="29"/>
      <c r="AI58" s="29"/>
      <c r="AJ58" s="44"/>
      <c r="AK58" s="44"/>
      <c r="AL58" s="44"/>
      <c r="AM58" s="132"/>
      <c r="AN58" s="132"/>
      <c r="AO58" s="132"/>
      <c r="AP58" s="132"/>
      <c r="AQ58" s="132"/>
      <c r="AR58" s="132"/>
      <c r="AS58" s="132"/>
      <c r="AT58" s="55"/>
      <c r="AU58" s="55"/>
      <c r="AV58" s="55"/>
      <c r="AW58" s="55"/>
      <c r="AX58" s="55"/>
      <c r="AY58" s="55"/>
      <c r="AZ58" s="55"/>
      <c r="BA58" s="55"/>
      <c r="BB58" s="55"/>
      <c r="BC58" s="56">
        <f t="shared" si="29"/>
        <v>0</v>
      </c>
      <c r="BD58" s="29"/>
      <c r="BE58" s="29"/>
      <c r="BF58" s="29"/>
      <c r="BG58" s="29"/>
      <c r="BH58" s="11"/>
      <c r="BI58" s="11"/>
      <c r="BJ58" s="42"/>
      <c r="BK58" s="54"/>
      <c r="BL58" s="55"/>
    </row>
    <row r="59" spans="1:64">
      <c r="A59" s="67"/>
      <c r="B59" s="12">
        <v>2021</v>
      </c>
      <c r="C59" s="122">
        <f>79.03*100000000</f>
        <v>7903000000</v>
      </c>
      <c r="D59" s="122" t="s">
        <v>71</v>
      </c>
      <c r="E59" s="12"/>
      <c r="F59" s="12"/>
      <c r="G59" s="122"/>
      <c r="H59" s="11"/>
      <c r="I59" s="11"/>
      <c r="J59" s="42"/>
      <c r="K59" s="11"/>
      <c r="L59" s="11"/>
      <c r="M59" s="11"/>
      <c r="N59" s="11"/>
      <c r="O59" s="11"/>
      <c r="P59" s="11"/>
      <c r="Q59" s="11"/>
      <c r="R59" s="11"/>
      <c r="S59" s="11"/>
      <c r="T59" s="11"/>
      <c r="U59" s="11"/>
      <c r="V59" s="11"/>
      <c r="W59" s="11"/>
      <c r="X59" s="29"/>
      <c r="Y59" s="29"/>
      <c r="Z59" s="29"/>
      <c r="AA59" s="29"/>
      <c r="AB59" s="29"/>
      <c r="AC59" s="29"/>
      <c r="AD59" s="29"/>
      <c r="AE59" s="29"/>
      <c r="AF59" s="29"/>
      <c r="AG59" s="29"/>
      <c r="AH59" s="29"/>
      <c r="AI59" s="29"/>
      <c r="AJ59" s="44"/>
      <c r="AK59" s="44"/>
      <c r="AL59" s="44"/>
      <c r="AM59" s="132"/>
      <c r="AN59" s="132"/>
      <c r="AO59" s="132"/>
      <c r="AP59" s="132"/>
      <c r="AQ59" s="132"/>
      <c r="AR59" s="132"/>
      <c r="AS59" s="132"/>
      <c r="AT59" s="55"/>
      <c r="AU59" s="55"/>
      <c r="AV59" s="55"/>
      <c r="AW59" s="55"/>
      <c r="AX59" s="55"/>
      <c r="AY59" s="55"/>
      <c r="AZ59" s="55"/>
      <c r="BA59" s="55"/>
      <c r="BB59" s="55"/>
      <c r="BC59" s="56">
        <f t="shared" si="29"/>
        <v>0</v>
      </c>
      <c r="BD59" s="29"/>
      <c r="BE59" s="29"/>
      <c r="BF59" s="29"/>
      <c r="BG59" s="29"/>
      <c r="BH59" s="11"/>
      <c r="BI59" s="11"/>
      <c r="BJ59" s="42"/>
      <c r="BK59" s="54"/>
      <c r="BL59" s="55"/>
    </row>
    <row r="60" spans="1:64">
      <c r="A60" s="67"/>
      <c r="B60" s="12">
        <v>2020</v>
      </c>
      <c r="C60" s="122">
        <f>78.11*100000000</f>
        <v>7811000000</v>
      </c>
      <c r="D60" s="122" t="s">
        <v>72</v>
      </c>
      <c r="E60" s="12"/>
      <c r="F60" s="12"/>
      <c r="G60" s="122"/>
      <c r="H60" s="11"/>
      <c r="I60" s="11"/>
      <c r="J60" s="42"/>
      <c r="K60" s="11"/>
      <c r="L60" s="11"/>
      <c r="M60" s="11"/>
      <c r="N60" s="11"/>
      <c r="O60" s="11"/>
      <c r="P60" s="11"/>
      <c r="Q60" s="11"/>
      <c r="R60" s="11"/>
      <c r="S60" s="11"/>
      <c r="T60" s="11"/>
      <c r="U60" s="11"/>
      <c r="V60" s="11"/>
      <c r="W60" s="11"/>
      <c r="X60" s="29"/>
      <c r="Y60" s="29"/>
      <c r="Z60" s="29"/>
      <c r="AA60" s="29"/>
      <c r="AB60" s="29"/>
      <c r="AC60" s="29"/>
      <c r="AD60" s="29"/>
      <c r="AE60" s="29"/>
      <c r="AF60" s="29"/>
      <c r="AG60" s="29"/>
      <c r="AH60" s="29"/>
      <c r="AI60" s="29"/>
      <c r="AJ60" s="44"/>
      <c r="AK60" s="44"/>
      <c r="AL60" s="44"/>
      <c r="AM60" s="132"/>
      <c r="AN60" s="132"/>
      <c r="AO60" s="132"/>
      <c r="AP60" s="132"/>
      <c r="AQ60" s="132"/>
      <c r="AR60" s="132"/>
      <c r="AS60" s="132"/>
      <c r="AT60" s="55"/>
      <c r="AU60" s="55"/>
      <c r="AV60" s="55"/>
      <c r="AW60" s="55"/>
      <c r="AX60" s="55"/>
      <c r="AY60" s="55"/>
      <c r="AZ60" s="55"/>
      <c r="BA60" s="55"/>
      <c r="BB60" s="55"/>
      <c r="BC60" s="56">
        <f t="shared" si="29"/>
        <v>0</v>
      </c>
      <c r="BD60" s="29"/>
      <c r="BE60" s="29"/>
      <c r="BF60" s="29"/>
      <c r="BG60" s="29"/>
      <c r="BH60" s="11"/>
      <c r="BI60" s="11"/>
      <c r="BJ60" s="42"/>
      <c r="BK60" s="54"/>
      <c r="BL60" s="55"/>
    </row>
    <row r="61" spans="1:64">
      <c r="A61" s="67"/>
      <c r="B61" s="12">
        <v>2019</v>
      </c>
      <c r="C61" s="122">
        <f>41.24*100000000</f>
        <v>4124000000</v>
      </c>
      <c r="D61" s="122" t="s">
        <v>73</v>
      </c>
      <c r="E61" s="12"/>
      <c r="F61" s="12"/>
      <c r="G61" s="122"/>
      <c r="H61" s="11"/>
      <c r="I61" s="11"/>
      <c r="J61" s="42"/>
      <c r="K61" s="11"/>
      <c r="L61" s="11"/>
      <c r="M61" s="11"/>
      <c r="N61" s="11"/>
      <c r="O61" s="11"/>
      <c r="P61" s="11"/>
      <c r="Q61" s="11"/>
      <c r="R61" s="11"/>
      <c r="S61" s="11"/>
      <c r="T61" s="11"/>
      <c r="U61" s="11"/>
      <c r="V61" s="11"/>
      <c r="W61" s="11"/>
      <c r="X61" s="29"/>
      <c r="Y61" s="29"/>
      <c r="Z61" s="29"/>
      <c r="AA61" s="29"/>
      <c r="AB61" s="29"/>
      <c r="AC61" s="29"/>
      <c r="AD61" s="29"/>
      <c r="AE61" s="29"/>
      <c r="AF61" s="29"/>
      <c r="AG61" s="29"/>
      <c r="AH61" s="29"/>
      <c r="AI61" s="29"/>
      <c r="AJ61" s="44"/>
      <c r="AK61" s="44"/>
      <c r="AL61" s="44"/>
      <c r="AM61" s="132"/>
      <c r="AN61" s="132"/>
      <c r="AO61" s="132"/>
      <c r="AP61" s="132"/>
      <c r="AQ61" s="132"/>
      <c r="AR61" s="132"/>
      <c r="AS61" s="132"/>
      <c r="AT61" s="55"/>
      <c r="AU61" s="55"/>
      <c r="AV61" s="55"/>
      <c r="AW61" s="55"/>
      <c r="AX61" s="55"/>
      <c r="AY61" s="55"/>
      <c r="AZ61" s="55"/>
      <c r="BA61" s="55"/>
      <c r="BB61" s="55"/>
      <c r="BC61" s="56">
        <f t="shared" si="29"/>
        <v>0</v>
      </c>
      <c r="BD61" s="29"/>
      <c r="BE61" s="29"/>
      <c r="BF61" s="29"/>
      <c r="BG61" s="29"/>
      <c r="BH61" s="11"/>
      <c r="BI61" s="11"/>
      <c r="BJ61" s="42"/>
      <c r="BK61" s="54"/>
      <c r="BL61" s="55"/>
    </row>
    <row r="62" spans="1:64">
      <c r="A62" s="67"/>
      <c r="B62" s="12">
        <v>2018</v>
      </c>
      <c r="C62" s="122">
        <f>41.47*100000000</f>
        <v>4147000000</v>
      </c>
      <c r="D62" s="122" t="s">
        <v>74</v>
      </c>
      <c r="E62" s="12"/>
      <c r="F62" s="12"/>
      <c r="G62" s="122"/>
      <c r="H62" s="11"/>
      <c r="I62" s="11"/>
      <c r="J62" s="42"/>
      <c r="K62" s="11"/>
      <c r="L62" s="11"/>
      <c r="M62" s="11"/>
      <c r="N62" s="11"/>
      <c r="O62" s="11"/>
      <c r="P62" s="11"/>
      <c r="Q62" s="11"/>
      <c r="R62" s="11"/>
      <c r="S62" s="11"/>
      <c r="T62" s="11"/>
      <c r="U62" s="11"/>
      <c r="V62" s="11"/>
      <c r="W62" s="11"/>
      <c r="X62" s="29"/>
      <c r="Y62" s="29"/>
      <c r="Z62" s="29"/>
      <c r="AA62" s="29"/>
      <c r="AB62" s="29"/>
      <c r="AC62" s="29"/>
      <c r="AD62" s="29"/>
      <c r="AE62" s="29"/>
      <c r="AF62" s="29"/>
      <c r="AG62" s="29"/>
      <c r="AH62" s="29"/>
      <c r="AI62" s="29"/>
      <c r="AJ62" s="44"/>
      <c r="AK62" s="44"/>
      <c r="AL62" s="44"/>
      <c r="AM62" s="132"/>
      <c r="AN62" s="132"/>
      <c r="AO62" s="132"/>
      <c r="AP62" s="132"/>
      <c r="AQ62" s="132"/>
      <c r="AR62" s="132"/>
      <c r="AS62" s="132"/>
      <c r="AT62" s="55"/>
      <c r="AU62" s="55"/>
      <c r="AV62" s="55"/>
      <c r="AW62" s="55"/>
      <c r="AX62" s="55"/>
      <c r="AY62" s="55"/>
      <c r="AZ62" s="55"/>
      <c r="BA62" s="55"/>
      <c r="BB62" s="55"/>
      <c r="BC62" s="56">
        <f t="shared" si="29"/>
        <v>0</v>
      </c>
      <c r="BD62" s="29"/>
      <c r="BE62" s="29"/>
      <c r="BF62" s="29"/>
      <c r="BG62" s="29"/>
      <c r="BH62" s="11"/>
      <c r="BI62" s="11"/>
      <c r="BJ62" s="42"/>
      <c r="BK62" s="54"/>
      <c r="BL62" s="55"/>
    </row>
    <row r="63" spans="1:64">
      <c r="A63" s="67"/>
      <c r="B63" s="12">
        <v>2017</v>
      </c>
      <c r="C63" s="122">
        <f>81.33*100000000</f>
        <v>8133000000</v>
      </c>
      <c r="D63" s="122" t="s">
        <v>75</v>
      </c>
      <c r="E63" s="12"/>
      <c r="F63" s="12"/>
      <c r="G63" s="122"/>
      <c r="H63" s="11"/>
      <c r="I63" s="11"/>
      <c r="J63" s="42"/>
      <c r="K63" s="11"/>
      <c r="L63" s="11"/>
      <c r="M63" s="11"/>
      <c r="N63" s="11"/>
      <c r="O63" s="11"/>
      <c r="P63" s="11"/>
      <c r="Q63" s="11"/>
      <c r="R63" s="11"/>
      <c r="S63" s="11"/>
      <c r="T63" s="11"/>
      <c r="U63" s="11"/>
      <c r="V63" s="11"/>
      <c r="W63" s="11"/>
      <c r="X63" s="29"/>
      <c r="Y63" s="29"/>
      <c r="Z63" s="29"/>
      <c r="AA63" s="29"/>
      <c r="AB63" s="29"/>
      <c r="AC63" s="29"/>
      <c r="AD63" s="29"/>
      <c r="AE63" s="29"/>
      <c r="AF63" s="29"/>
      <c r="AG63" s="29"/>
      <c r="AH63" s="29"/>
      <c r="AI63" s="29"/>
      <c r="AJ63" s="44"/>
      <c r="AK63" s="44"/>
      <c r="AL63" s="44"/>
      <c r="AM63" s="132"/>
      <c r="AN63" s="132"/>
      <c r="AO63" s="132"/>
      <c r="AP63" s="132"/>
      <c r="AQ63" s="132"/>
      <c r="AR63" s="132"/>
      <c r="AS63" s="132"/>
      <c r="AT63" s="55"/>
      <c r="AU63" s="55"/>
      <c r="AV63" s="55"/>
      <c r="AW63" s="55"/>
      <c r="AX63" s="55"/>
      <c r="AY63" s="55"/>
      <c r="AZ63" s="55"/>
      <c r="BA63" s="55"/>
      <c r="BB63" s="55"/>
      <c r="BC63" s="56">
        <f t="shared" si="29"/>
        <v>0</v>
      </c>
      <c r="BD63" s="29"/>
      <c r="BE63" s="29"/>
      <c r="BF63" s="29"/>
      <c r="BG63" s="29"/>
      <c r="BH63" s="11"/>
      <c r="BI63" s="11"/>
      <c r="BJ63" s="42"/>
      <c r="BK63" s="54"/>
      <c r="BL63" s="55"/>
    </row>
    <row r="64" spans="1:64">
      <c r="A64" s="67"/>
      <c r="B64" s="12">
        <v>2016</v>
      </c>
      <c r="C64" s="122">
        <f>81.1*100000000</f>
        <v>8110000000</v>
      </c>
      <c r="D64" s="122" t="s">
        <v>76</v>
      </c>
      <c r="E64" s="12"/>
      <c r="F64" s="12"/>
      <c r="G64" s="122"/>
      <c r="H64" s="11"/>
      <c r="I64" s="11"/>
      <c r="J64" s="42"/>
      <c r="K64" s="11"/>
      <c r="L64" s="11"/>
      <c r="M64" s="11"/>
      <c r="N64" s="11"/>
      <c r="O64" s="11"/>
      <c r="P64" s="11"/>
      <c r="Q64" s="11"/>
      <c r="R64" s="11"/>
      <c r="S64" s="11"/>
      <c r="T64" s="11"/>
      <c r="U64" s="11"/>
      <c r="V64" s="11"/>
      <c r="W64" s="11"/>
      <c r="X64" s="29"/>
      <c r="Y64" s="29"/>
      <c r="Z64" s="29"/>
      <c r="AA64" s="29"/>
      <c r="AB64" s="29"/>
      <c r="AC64" s="29"/>
      <c r="AD64" s="29"/>
      <c r="AE64" s="29"/>
      <c r="AF64" s="29"/>
      <c r="AG64" s="29"/>
      <c r="AH64" s="29"/>
      <c r="AI64" s="29"/>
      <c r="AJ64" s="44"/>
      <c r="AK64" s="44"/>
      <c r="AL64" s="44"/>
      <c r="AM64" s="132"/>
      <c r="AN64" s="132"/>
      <c r="AO64" s="132"/>
      <c r="AP64" s="132"/>
      <c r="AQ64" s="132"/>
      <c r="AR64" s="132"/>
      <c r="AS64" s="132"/>
      <c r="AT64" s="55"/>
      <c r="AU64" s="55"/>
      <c r="AV64" s="55"/>
      <c r="AW64" s="55"/>
      <c r="AX64" s="55"/>
      <c r="AY64" s="55"/>
      <c r="AZ64" s="55"/>
      <c r="BA64" s="55"/>
      <c r="BB64" s="55"/>
      <c r="BC64" s="56">
        <f t="shared" si="29"/>
        <v>0</v>
      </c>
      <c r="BD64" s="29"/>
      <c r="BE64" s="29"/>
      <c r="BF64" s="29"/>
      <c r="BG64" s="29"/>
      <c r="BH64" s="11"/>
      <c r="BI64" s="11"/>
      <c r="BJ64" s="42"/>
      <c r="BK64" s="54"/>
      <c r="BL64" s="55"/>
    </row>
    <row r="65" spans="1:64">
      <c r="A65" s="67"/>
      <c r="B65" s="12">
        <v>2015</v>
      </c>
      <c r="C65" s="122">
        <f>93.54*100000000</f>
        <v>9354000000</v>
      </c>
      <c r="D65" s="122" t="s">
        <v>77</v>
      </c>
      <c r="E65" s="12"/>
      <c r="F65" s="12"/>
      <c r="G65" s="122"/>
      <c r="H65" s="11"/>
      <c r="I65" s="11"/>
      <c r="J65" s="42"/>
      <c r="K65" s="11"/>
      <c r="L65" s="11"/>
      <c r="M65" s="11"/>
      <c r="N65" s="11"/>
      <c r="O65" s="11"/>
      <c r="P65" s="11"/>
      <c r="Q65" s="11"/>
      <c r="R65" s="11"/>
      <c r="S65" s="11"/>
      <c r="T65" s="11"/>
      <c r="U65" s="11"/>
      <c r="V65" s="11"/>
      <c r="W65" s="11"/>
      <c r="X65" s="29"/>
      <c r="Y65" s="29"/>
      <c r="Z65" s="29"/>
      <c r="AA65" s="29"/>
      <c r="AB65" s="29"/>
      <c r="AC65" s="29"/>
      <c r="AD65" s="29"/>
      <c r="AE65" s="29"/>
      <c r="AF65" s="29"/>
      <c r="AG65" s="29"/>
      <c r="AH65" s="29"/>
      <c r="AI65" s="29"/>
      <c r="AJ65" s="44"/>
      <c r="AK65" s="44"/>
      <c r="AL65" s="44"/>
      <c r="AM65" s="132"/>
      <c r="AN65" s="132"/>
      <c r="AO65" s="132"/>
      <c r="AP65" s="132"/>
      <c r="AQ65" s="132"/>
      <c r="AR65" s="132"/>
      <c r="AS65" s="132"/>
      <c r="AT65" s="55"/>
      <c r="AU65" s="55"/>
      <c r="AV65" s="55"/>
      <c r="AW65" s="55"/>
      <c r="AX65" s="55"/>
      <c r="AY65" s="55"/>
      <c r="AZ65" s="55"/>
      <c r="BA65" s="55"/>
      <c r="BB65" s="55"/>
      <c r="BC65" s="56">
        <f t="shared" si="29"/>
        <v>0</v>
      </c>
      <c r="BD65" s="29"/>
      <c r="BE65" s="29"/>
      <c r="BF65" s="29"/>
      <c r="BG65" s="29"/>
      <c r="BH65" s="11"/>
      <c r="BI65" s="11"/>
      <c r="BJ65" s="42"/>
      <c r="BK65" s="54"/>
      <c r="BL65" s="55"/>
    </row>
    <row r="66" spans="1:64">
      <c r="A66" s="67"/>
      <c r="B66" s="12">
        <v>2014</v>
      </c>
      <c r="C66" s="122">
        <f>54.51*100000000</f>
        <v>5451000000</v>
      </c>
      <c r="D66" s="122" t="s">
        <v>78</v>
      </c>
      <c r="E66" s="12"/>
      <c r="F66" s="12"/>
      <c r="G66" s="122"/>
      <c r="H66" s="11"/>
      <c r="I66" s="11"/>
      <c r="J66" s="42"/>
      <c r="K66" s="11"/>
      <c r="L66" s="11"/>
      <c r="M66" s="11"/>
      <c r="N66" s="11"/>
      <c r="O66" s="11"/>
      <c r="P66" s="11"/>
      <c r="Q66" s="11"/>
      <c r="R66" s="11"/>
      <c r="S66" s="11"/>
      <c r="T66" s="11"/>
      <c r="U66" s="11"/>
      <c r="V66" s="11"/>
      <c r="W66" s="11"/>
      <c r="X66" s="29"/>
      <c r="Y66" s="29"/>
      <c r="Z66" s="29"/>
      <c r="AA66" s="29"/>
      <c r="AB66" s="29"/>
      <c r="AC66" s="29"/>
      <c r="AD66" s="29"/>
      <c r="AE66" s="29"/>
      <c r="AF66" s="29"/>
      <c r="AG66" s="29"/>
      <c r="AH66" s="29"/>
      <c r="AI66" s="29"/>
      <c r="AJ66" s="44"/>
      <c r="AK66" s="44"/>
      <c r="AL66" s="44"/>
      <c r="AM66" s="132"/>
      <c r="AN66" s="132"/>
      <c r="AO66" s="132"/>
      <c r="AP66" s="132"/>
      <c r="AQ66" s="132"/>
      <c r="AR66" s="132"/>
      <c r="AS66" s="132"/>
      <c r="AT66" s="55"/>
      <c r="AU66" s="55"/>
      <c r="AV66" s="55"/>
      <c r="AW66" s="55"/>
      <c r="AX66" s="55"/>
      <c r="AY66" s="55"/>
      <c r="AZ66" s="55"/>
      <c r="BA66" s="55"/>
      <c r="BB66" s="55"/>
      <c r="BC66" s="56">
        <f t="shared" si="29"/>
        <v>0</v>
      </c>
      <c r="BD66" s="29"/>
      <c r="BE66" s="29"/>
      <c r="BF66" s="29"/>
      <c r="BG66" s="29"/>
      <c r="BH66" s="11"/>
      <c r="BI66" s="11"/>
      <c r="BJ66" s="42"/>
      <c r="BK66" s="54"/>
      <c r="BL66" s="55"/>
    </row>
    <row r="67" spans="1:64">
      <c r="A67" s="67"/>
      <c r="B67" s="12">
        <v>2013</v>
      </c>
      <c r="C67" s="122">
        <f>43.82*100000000</f>
        <v>4382000000</v>
      </c>
      <c r="D67" s="12" t="s">
        <v>80</v>
      </c>
      <c r="E67" s="12"/>
      <c r="F67" s="12"/>
      <c r="G67" s="122"/>
      <c r="H67" s="11"/>
      <c r="I67" s="11"/>
      <c r="J67" s="42"/>
      <c r="K67" s="11"/>
      <c r="L67" s="11"/>
      <c r="M67" s="11"/>
      <c r="N67" s="11"/>
      <c r="O67" s="11"/>
      <c r="P67" s="11"/>
      <c r="Q67" s="11"/>
      <c r="R67" s="11"/>
      <c r="S67" s="11"/>
      <c r="T67" s="11"/>
      <c r="U67" s="11"/>
      <c r="V67" s="11"/>
      <c r="W67" s="11"/>
      <c r="X67" s="29"/>
      <c r="Y67" s="29"/>
      <c r="Z67" s="29"/>
      <c r="AA67" s="29"/>
      <c r="AB67" s="29"/>
      <c r="AC67" s="29"/>
      <c r="AD67" s="29"/>
      <c r="AE67" s="29"/>
      <c r="AF67" s="29"/>
      <c r="AG67" s="29"/>
      <c r="AH67" s="29"/>
      <c r="AI67" s="29"/>
      <c r="AJ67" s="44"/>
      <c r="AK67" s="44"/>
      <c r="AL67" s="44"/>
      <c r="AM67" s="132"/>
      <c r="AN67" s="132"/>
      <c r="AO67" s="132"/>
      <c r="AP67" s="132"/>
      <c r="AQ67" s="132"/>
      <c r="AR67" s="132"/>
      <c r="AS67" s="132"/>
      <c r="AT67" s="55"/>
      <c r="AU67" s="55"/>
      <c r="AV67" s="55"/>
      <c r="AW67" s="55"/>
      <c r="AX67" s="55"/>
      <c r="AY67" s="55"/>
      <c r="AZ67" s="55"/>
      <c r="BA67" s="55"/>
      <c r="BB67" s="55"/>
      <c r="BC67" s="56">
        <f t="shared" si="29"/>
        <v>0</v>
      </c>
      <c r="BD67" s="29"/>
      <c r="BE67" s="29"/>
      <c r="BF67" s="29"/>
      <c r="BG67" s="29"/>
      <c r="BH67" s="11"/>
      <c r="BI67" s="11"/>
      <c r="BJ67" s="42"/>
      <c r="BK67" s="54"/>
      <c r="BL67" s="55"/>
    </row>
    <row r="68" spans="1:64">
      <c r="A68" s="8"/>
      <c r="B68" s="12">
        <v>2012</v>
      </c>
      <c r="C68" s="122"/>
      <c r="D68" s="12"/>
      <c r="E68" s="12"/>
      <c r="F68" s="12"/>
      <c r="G68" s="122"/>
      <c r="H68" s="11"/>
      <c r="I68" s="11"/>
      <c r="J68" s="42"/>
      <c r="K68" s="11"/>
      <c r="L68" s="11"/>
      <c r="M68" s="11"/>
      <c r="N68" s="11"/>
      <c r="O68" s="11"/>
      <c r="P68" s="11"/>
      <c r="Q68" s="11"/>
      <c r="R68" s="11"/>
      <c r="S68" s="11"/>
      <c r="T68" s="11"/>
      <c r="U68" s="11"/>
      <c r="V68" s="11"/>
      <c r="W68" s="11"/>
      <c r="X68" s="29"/>
      <c r="Y68" s="29"/>
      <c r="Z68" s="29"/>
      <c r="AA68" s="29"/>
      <c r="AB68" s="29"/>
      <c r="AC68" s="29"/>
      <c r="AD68" s="29"/>
      <c r="AE68" s="29"/>
      <c r="AF68" s="29"/>
      <c r="AG68" s="29"/>
      <c r="AH68" s="29"/>
      <c r="AI68" s="29"/>
      <c r="AJ68" s="44"/>
      <c r="AK68" s="44"/>
      <c r="AL68" s="44"/>
      <c r="AM68" s="132"/>
      <c r="AN68" s="132"/>
      <c r="AO68" s="132"/>
      <c r="AP68" s="132"/>
      <c r="AQ68" s="132"/>
      <c r="AR68" s="132"/>
      <c r="AS68" s="132"/>
      <c r="AT68" s="55"/>
      <c r="AU68" s="55"/>
      <c r="AV68" s="55"/>
      <c r="AW68" s="55"/>
      <c r="AX68" s="55"/>
      <c r="AY68" s="55"/>
      <c r="AZ68" s="55"/>
      <c r="BA68" s="55"/>
      <c r="BB68" s="55"/>
      <c r="BC68" s="56">
        <f t="shared" si="29"/>
        <v>0</v>
      </c>
      <c r="BD68" s="29"/>
      <c r="BE68" s="29"/>
      <c r="BF68" s="29"/>
      <c r="BG68" s="29"/>
      <c r="BH68" s="11"/>
      <c r="BI68" s="11"/>
      <c r="BJ68" s="42"/>
      <c r="BK68" s="54"/>
      <c r="BL68" s="55"/>
    </row>
    <row r="69" spans="1:64">
      <c r="A69" s="12" t="s">
        <v>85</v>
      </c>
      <c r="B69" s="12">
        <v>2022</v>
      </c>
      <c r="C69" s="122"/>
      <c r="D69" s="12"/>
      <c r="E69" s="12"/>
      <c r="F69" s="12"/>
      <c r="G69" s="122"/>
      <c r="H69" s="11"/>
      <c r="I69" s="11"/>
      <c r="J69" s="42"/>
      <c r="K69" s="11"/>
      <c r="L69" s="11"/>
      <c r="M69" s="11"/>
      <c r="N69" s="11"/>
      <c r="O69" s="11"/>
      <c r="P69" s="11"/>
      <c r="Q69" s="11"/>
      <c r="R69" s="11"/>
      <c r="S69" s="11"/>
      <c r="T69" s="11"/>
      <c r="U69" s="11"/>
      <c r="V69" s="11"/>
      <c r="W69" s="11"/>
      <c r="X69" s="29"/>
      <c r="Y69" s="29"/>
      <c r="Z69" s="29"/>
      <c r="AA69" s="29"/>
      <c r="AB69" s="29"/>
      <c r="AC69" s="29"/>
      <c r="AD69" s="29"/>
      <c r="AE69" s="29"/>
      <c r="AF69" s="29"/>
      <c r="AG69" s="29"/>
      <c r="AH69" s="29"/>
      <c r="AI69" s="29"/>
      <c r="AJ69" s="44"/>
      <c r="AK69" s="44"/>
      <c r="AL69" s="44"/>
      <c r="AM69" s="132"/>
      <c r="AN69" s="132"/>
      <c r="AO69" s="132"/>
      <c r="AP69" s="132"/>
      <c r="AQ69" s="132"/>
      <c r="AR69" s="132"/>
      <c r="AS69" s="132"/>
      <c r="AT69" s="55"/>
      <c r="AU69" s="55"/>
      <c r="AV69" s="55"/>
      <c r="AW69" s="55"/>
      <c r="AX69" s="55"/>
      <c r="AY69" s="55"/>
      <c r="AZ69" s="55"/>
      <c r="BA69" s="55"/>
      <c r="BB69" s="55"/>
      <c r="BC69" s="56">
        <f t="shared" si="29"/>
        <v>0</v>
      </c>
      <c r="BD69" s="29"/>
      <c r="BE69" s="29"/>
      <c r="BF69" s="29"/>
      <c r="BG69" s="29"/>
      <c r="BH69" s="11"/>
      <c r="BI69" s="11"/>
      <c r="BJ69" s="42"/>
      <c r="BK69" s="54"/>
      <c r="BL69" s="55"/>
    </row>
    <row r="70" spans="1:64">
      <c r="A70" s="12"/>
      <c r="B70" s="12">
        <v>2021</v>
      </c>
      <c r="C70" s="122"/>
      <c r="D70" s="12"/>
      <c r="E70" s="12"/>
      <c r="F70" s="12"/>
      <c r="G70" s="122"/>
      <c r="H70" s="11"/>
      <c r="I70" s="11"/>
      <c r="J70" s="42"/>
      <c r="K70" s="11"/>
      <c r="L70" s="11"/>
      <c r="M70" s="11"/>
      <c r="N70" s="11"/>
      <c r="O70" s="11"/>
      <c r="P70" s="11"/>
      <c r="Q70" s="11"/>
      <c r="R70" s="11"/>
      <c r="S70" s="11"/>
      <c r="T70" s="11"/>
      <c r="U70" s="11"/>
      <c r="V70" s="11"/>
      <c r="W70" s="11"/>
      <c r="X70" s="29"/>
      <c r="Y70" s="29"/>
      <c r="Z70" s="29"/>
      <c r="AA70" s="29"/>
      <c r="AB70" s="29"/>
      <c r="AC70" s="29"/>
      <c r="AD70" s="29"/>
      <c r="AE70" s="29"/>
      <c r="AF70" s="29"/>
      <c r="AG70" s="29"/>
      <c r="AH70" s="29"/>
      <c r="AI70" s="29"/>
      <c r="AJ70" s="44"/>
      <c r="AK70" s="44"/>
      <c r="AL70" s="44"/>
      <c r="AM70" s="132"/>
      <c r="AN70" s="132"/>
      <c r="AO70" s="132"/>
      <c r="AP70" s="132"/>
      <c r="AQ70" s="132"/>
      <c r="AR70" s="132"/>
      <c r="AS70" s="132"/>
      <c r="AT70" s="55"/>
      <c r="AU70" s="55"/>
      <c r="AV70" s="55"/>
      <c r="AW70" s="55"/>
      <c r="AX70" s="55"/>
      <c r="AY70" s="55"/>
      <c r="AZ70" s="55"/>
      <c r="BA70" s="55"/>
      <c r="BB70" s="55"/>
      <c r="BC70" s="56">
        <f t="shared" si="29"/>
        <v>0</v>
      </c>
      <c r="BD70" s="29"/>
      <c r="BE70" s="29"/>
      <c r="BF70" s="29"/>
      <c r="BG70" s="29"/>
      <c r="BH70" s="11"/>
      <c r="BI70" s="11"/>
      <c r="BJ70" s="42"/>
      <c r="BK70" s="54"/>
      <c r="BL70" s="55"/>
    </row>
    <row r="71" spans="1:64">
      <c r="A71" s="12"/>
      <c r="B71" s="12">
        <v>2020</v>
      </c>
      <c r="C71" s="122"/>
      <c r="D71" s="12"/>
      <c r="E71" s="12"/>
      <c r="F71" s="12"/>
      <c r="G71" s="122"/>
      <c r="H71" s="11"/>
      <c r="I71" s="11"/>
      <c r="J71" s="42"/>
      <c r="K71" s="11"/>
      <c r="L71" s="11"/>
      <c r="M71" s="11"/>
      <c r="N71" s="11"/>
      <c r="O71" s="11"/>
      <c r="P71" s="11"/>
      <c r="Q71" s="11"/>
      <c r="R71" s="11"/>
      <c r="S71" s="11"/>
      <c r="T71" s="11"/>
      <c r="U71" s="11"/>
      <c r="V71" s="11"/>
      <c r="W71" s="11"/>
      <c r="X71" s="29"/>
      <c r="Y71" s="29"/>
      <c r="Z71" s="29"/>
      <c r="AA71" s="29"/>
      <c r="AB71" s="29"/>
      <c r="AC71" s="29"/>
      <c r="AD71" s="29"/>
      <c r="AE71" s="29"/>
      <c r="AF71" s="29"/>
      <c r="AG71" s="29"/>
      <c r="AH71" s="29"/>
      <c r="AI71" s="29"/>
      <c r="AJ71" s="44"/>
      <c r="AK71" s="44"/>
      <c r="AL71" s="44"/>
      <c r="AM71" s="132"/>
      <c r="AN71" s="132"/>
      <c r="AO71" s="132"/>
      <c r="AP71" s="132"/>
      <c r="AQ71" s="132"/>
      <c r="AR71" s="132"/>
      <c r="AS71" s="132"/>
      <c r="AT71" s="55"/>
      <c r="AU71" s="55"/>
      <c r="AV71" s="55"/>
      <c r="AW71" s="55"/>
      <c r="AX71" s="55"/>
      <c r="AY71" s="55"/>
      <c r="AZ71" s="55"/>
      <c r="BA71" s="55"/>
      <c r="BB71" s="55"/>
      <c r="BC71" s="56">
        <f t="shared" si="29"/>
        <v>0</v>
      </c>
      <c r="BD71" s="29"/>
      <c r="BE71" s="29"/>
      <c r="BF71" s="29"/>
      <c r="BG71" s="29"/>
      <c r="BH71" s="11"/>
      <c r="BI71" s="11"/>
      <c r="BJ71" s="42"/>
      <c r="BK71" s="54"/>
      <c r="BL71" s="55"/>
    </row>
    <row r="72" spans="1:64">
      <c r="A72" s="12"/>
      <c r="B72" s="12">
        <v>2019</v>
      </c>
      <c r="C72" s="122"/>
      <c r="D72" s="12"/>
      <c r="E72" s="12"/>
      <c r="F72" s="12"/>
      <c r="G72" s="122"/>
      <c r="H72" s="11"/>
      <c r="I72" s="11"/>
      <c r="J72" s="42"/>
      <c r="K72" s="11"/>
      <c r="L72" s="11"/>
      <c r="M72" s="11"/>
      <c r="N72" s="11"/>
      <c r="O72" s="11"/>
      <c r="P72" s="11"/>
      <c r="Q72" s="11"/>
      <c r="R72" s="11"/>
      <c r="S72" s="11"/>
      <c r="T72" s="11"/>
      <c r="U72" s="11"/>
      <c r="V72" s="11"/>
      <c r="W72" s="11"/>
      <c r="X72" s="29"/>
      <c r="Y72" s="29"/>
      <c r="Z72" s="29"/>
      <c r="AA72" s="29"/>
      <c r="AB72" s="29"/>
      <c r="AC72" s="29"/>
      <c r="AD72" s="29"/>
      <c r="AE72" s="29"/>
      <c r="AF72" s="29"/>
      <c r="AG72" s="29"/>
      <c r="AH72" s="29"/>
      <c r="AI72" s="29"/>
      <c r="AJ72" s="44"/>
      <c r="AK72" s="44"/>
      <c r="AL72" s="44"/>
      <c r="AM72" s="132"/>
      <c r="AN72" s="132"/>
      <c r="AO72" s="132"/>
      <c r="AP72" s="132"/>
      <c r="AQ72" s="132"/>
      <c r="AR72" s="132"/>
      <c r="AS72" s="132"/>
      <c r="AT72" s="55"/>
      <c r="AU72" s="55"/>
      <c r="AV72" s="55"/>
      <c r="AW72" s="55"/>
      <c r="AX72" s="55"/>
      <c r="AY72" s="55"/>
      <c r="AZ72" s="55"/>
      <c r="BA72" s="55"/>
      <c r="BB72" s="55"/>
      <c r="BC72" s="56">
        <f t="shared" si="29"/>
        <v>0</v>
      </c>
      <c r="BD72" s="29"/>
      <c r="BE72" s="29"/>
      <c r="BF72" s="29"/>
      <c r="BG72" s="29"/>
      <c r="BH72" s="11"/>
      <c r="BI72" s="11"/>
      <c r="BJ72" s="42"/>
      <c r="BK72" s="54"/>
      <c r="BL72" s="55"/>
    </row>
    <row r="73" spans="1:64">
      <c r="A73" s="12"/>
      <c r="B73" s="12">
        <v>2018</v>
      </c>
      <c r="C73" s="122"/>
      <c r="D73" s="12"/>
      <c r="E73" s="12"/>
      <c r="F73" s="12"/>
      <c r="G73" s="122"/>
      <c r="H73" s="11"/>
      <c r="I73" s="11"/>
      <c r="J73" s="42"/>
      <c r="K73" s="11"/>
      <c r="L73" s="11"/>
      <c r="M73" s="11"/>
      <c r="N73" s="11"/>
      <c r="O73" s="11"/>
      <c r="P73" s="11"/>
      <c r="Q73" s="11"/>
      <c r="R73" s="11"/>
      <c r="S73" s="11"/>
      <c r="T73" s="11"/>
      <c r="U73" s="11"/>
      <c r="V73" s="11"/>
      <c r="W73" s="11"/>
      <c r="X73" s="29"/>
      <c r="Y73" s="29"/>
      <c r="Z73" s="29"/>
      <c r="AA73" s="29"/>
      <c r="AB73" s="29"/>
      <c r="AC73" s="29"/>
      <c r="AD73" s="29"/>
      <c r="AE73" s="29"/>
      <c r="AF73" s="29"/>
      <c r="AG73" s="29"/>
      <c r="AH73" s="29"/>
      <c r="AI73" s="29"/>
      <c r="AJ73" s="44"/>
      <c r="AK73" s="44"/>
      <c r="AL73" s="44"/>
      <c r="AM73" s="132"/>
      <c r="AN73" s="132"/>
      <c r="AO73" s="132"/>
      <c r="AP73" s="132"/>
      <c r="AQ73" s="132"/>
      <c r="AR73" s="132"/>
      <c r="AS73" s="132"/>
      <c r="AT73" s="55"/>
      <c r="AU73" s="55"/>
      <c r="AV73" s="55"/>
      <c r="AW73" s="55"/>
      <c r="AX73" s="55"/>
      <c r="AY73" s="55"/>
      <c r="AZ73" s="55"/>
      <c r="BA73" s="55"/>
      <c r="BB73" s="55"/>
      <c r="BC73" s="56">
        <f t="shared" si="29"/>
        <v>0</v>
      </c>
      <c r="BD73" s="29"/>
      <c r="BE73" s="29"/>
      <c r="BF73" s="29"/>
      <c r="BG73" s="29"/>
      <c r="BH73" s="11"/>
      <c r="BI73" s="11"/>
      <c r="BJ73" s="42"/>
      <c r="BK73" s="54"/>
      <c r="BL73" s="55"/>
    </row>
    <row r="74" spans="1:64">
      <c r="A74" s="12"/>
      <c r="B74" s="12">
        <v>2017</v>
      </c>
      <c r="C74" s="122"/>
      <c r="D74" s="12"/>
      <c r="E74" s="12"/>
      <c r="F74" s="12"/>
      <c r="G74" s="122"/>
      <c r="H74" s="11"/>
      <c r="I74" s="11"/>
      <c r="J74" s="42"/>
      <c r="K74" s="11"/>
      <c r="L74" s="11"/>
      <c r="M74" s="11"/>
      <c r="N74" s="11"/>
      <c r="O74" s="11"/>
      <c r="P74" s="11"/>
      <c r="Q74" s="11"/>
      <c r="R74" s="11"/>
      <c r="S74" s="11"/>
      <c r="T74" s="11"/>
      <c r="U74" s="11"/>
      <c r="V74" s="11"/>
      <c r="W74" s="11"/>
      <c r="X74" s="29"/>
      <c r="Y74" s="29"/>
      <c r="Z74" s="29"/>
      <c r="AA74" s="29"/>
      <c r="AB74" s="29"/>
      <c r="AC74" s="29"/>
      <c r="AD74" s="29"/>
      <c r="AE74" s="29"/>
      <c r="AF74" s="29"/>
      <c r="AG74" s="29"/>
      <c r="AH74" s="29"/>
      <c r="AI74" s="29"/>
      <c r="AJ74" s="44"/>
      <c r="AK74" s="44"/>
      <c r="AL74" s="44"/>
      <c r="AM74" s="132"/>
      <c r="AN74" s="132"/>
      <c r="AO74" s="132"/>
      <c r="AP74" s="132"/>
      <c r="AQ74" s="132"/>
      <c r="AR74" s="132"/>
      <c r="AS74" s="132"/>
      <c r="AT74" s="55"/>
      <c r="AU74" s="55"/>
      <c r="AV74" s="55"/>
      <c r="AW74" s="55"/>
      <c r="AX74" s="55"/>
      <c r="AY74" s="55"/>
      <c r="AZ74" s="55"/>
      <c r="BA74" s="55"/>
      <c r="BB74" s="55"/>
      <c r="BC74" s="56">
        <f t="shared" si="29"/>
        <v>0</v>
      </c>
      <c r="BD74" s="29"/>
      <c r="BE74" s="29"/>
      <c r="BF74" s="29"/>
      <c r="BG74" s="29"/>
      <c r="BH74" s="11"/>
      <c r="BI74" s="11"/>
      <c r="BJ74" s="42"/>
      <c r="BK74" s="54"/>
      <c r="BL74" s="55"/>
    </row>
    <row r="75" spans="1:64">
      <c r="A75" s="12"/>
      <c r="B75" s="12">
        <v>2016</v>
      </c>
      <c r="C75" s="122"/>
      <c r="D75" s="12"/>
      <c r="E75" s="12"/>
      <c r="F75" s="12"/>
      <c r="G75" s="122"/>
      <c r="H75" s="11"/>
      <c r="I75" s="11"/>
      <c r="J75" s="42"/>
      <c r="K75" s="11"/>
      <c r="L75" s="11"/>
      <c r="M75" s="11"/>
      <c r="N75" s="11"/>
      <c r="O75" s="11"/>
      <c r="P75" s="11"/>
      <c r="Q75" s="11"/>
      <c r="R75" s="11"/>
      <c r="S75" s="11"/>
      <c r="T75" s="11"/>
      <c r="U75" s="11"/>
      <c r="V75" s="11"/>
      <c r="W75" s="11"/>
      <c r="X75" s="29"/>
      <c r="Y75" s="29"/>
      <c r="Z75" s="29"/>
      <c r="AA75" s="29"/>
      <c r="AB75" s="29"/>
      <c r="AC75" s="29"/>
      <c r="AD75" s="29"/>
      <c r="AE75" s="29"/>
      <c r="AF75" s="29"/>
      <c r="AG75" s="29"/>
      <c r="AH75" s="29"/>
      <c r="AI75" s="29"/>
      <c r="AJ75" s="44"/>
      <c r="AK75" s="44"/>
      <c r="AL75" s="44"/>
      <c r="AM75" s="132"/>
      <c r="AN75" s="132"/>
      <c r="AO75" s="132"/>
      <c r="AP75" s="132"/>
      <c r="AQ75" s="132"/>
      <c r="AR75" s="132"/>
      <c r="AS75" s="132"/>
      <c r="AT75" s="55"/>
      <c r="AU75" s="55"/>
      <c r="AV75" s="55"/>
      <c r="AW75" s="55"/>
      <c r="AX75" s="55"/>
      <c r="AY75" s="55"/>
      <c r="AZ75" s="55"/>
      <c r="BA75" s="55"/>
      <c r="BB75" s="55"/>
      <c r="BC75" s="56">
        <f t="shared" si="29"/>
        <v>0</v>
      </c>
      <c r="BD75" s="29"/>
      <c r="BE75" s="29"/>
      <c r="BF75" s="29"/>
      <c r="BG75" s="29"/>
      <c r="BH75" s="11"/>
      <c r="BI75" s="11"/>
      <c r="BJ75" s="42"/>
      <c r="BK75" s="54"/>
      <c r="BL75" s="55"/>
    </row>
    <row r="76" spans="1:64">
      <c r="A76" s="12"/>
      <c r="B76" s="12">
        <v>2015</v>
      </c>
      <c r="C76" s="122"/>
      <c r="D76" s="12"/>
      <c r="E76" s="12"/>
      <c r="F76" s="12"/>
      <c r="G76" s="122"/>
      <c r="H76" s="11"/>
      <c r="I76" s="11"/>
      <c r="J76" s="42"/>
      <c r="K76" s="11"/>
      <c r="L76" s="11"/>
      <c r="M76" s="11"/>
      <c r="N76" s="11"/>
      <c r="O76" s="11"/>
      <c r="P76" s="11"/>
      <c r="Q76" s="11"/>
      <c r="R76" s="11"/>
      <c r="S76" s="11"/>
      <c r="T76" s="11"/>
      <c r="U76" s="11"/>
      <c r="V76" s="11"/>
      <c r="W76" s="11"/>
      <c r="X76" s="29"/>
      <c r="Y76" s="29"/>
      <c r="Z76" s="29"/>
      <c r="AA76" s="29"/>
      <c r="AB76" s="29"/>
      <c r="AC76" s="29"/>
      <c r="AD76" s="29"/>
      <c r="AE76" s="29"/>
      <c r="AF76" s="29"/>
      <c r="AG76" s="29"/>
      <c r="AH76" s="29"/>
      <c r="AI76" s="29"/>
      <c r="AJ76" s="44"/>
      <c r="AK76" s="44"/>
      <c r="AL76" s="44"/>
      <c r="AM76" s="132"/>
      <c r="AN76" s="132"/>
      <c r="AO76" s="132"/>
      <c r="AP76" s="132"/>
      <c r="AQ76" s="132"/>
      <c r="AR76" s="132"/>
      <c r="AS76" s="132"/>
      <c r="AT76" s="55"/>
      <c r="AU76" s="55"/>
      <c r="AV76" s="55"/>
      <c r="AW76" s="55"/>
      <c r="AX76" s="55"/>
      <c r="AY76" s="55"/>
      <c r="AZ76" s="55"/>
      <c r="BA76" s="55"/>
      <c r="BB76" s="55"/>
      <c r="BC76" s="56">
        <f t="shared" si="29"/>
        <v>0</v>
      </c>
      <c r="BD76" s="29"/>
      <c r="BE76" s="29"/>
      <c r="BF76" s="29"/>
      <c r="BG76" s="29"/>
      <c r="BH76" s="11"/>
      <c r="BI76" s="11"/>
      <c r="BJ76" s="42"/>
      <c r="BK76" s="54"/>
      <c r="BL76" s="55"/>
    </row>
    <row r="77" spans="1:64">
      <c r="A77" s="12"/>
      <c r="B77" s="12">
        <v>2014</v>
      </c>
      <c r="C77" s="122"/>
      <c r="D77" s="12"/>
      <c r="E77" s="12"/>
      <c r="F77" s="12"/>
      <c r="G77" s="122"/>
      <c r="H77" s="11"/>
      <c r="I77" s="11"/>
      <c r="J77" s="42"/>
      <c r="K77" s="11"/>
      <c r="L77" s="11"/>
      <c r="M77" s="11"/>
      <c r="N77" s="11"/>
      <c r="O77" s="11"/>
      <c r="P77" s="11"/>
      <c r="Q77" s="11"/>
      <c r="R77" s="11"/>
      <c r="S77" s="11"/>
      <c r="T77" s="11"/>
      <c r="U77" s="11"/>
      <c r="V77" s="11"/>
      <c r="W77" s="11"/>
      <c r="X77" s="29"/>
      <c r="Y77" s="29"/>
      <c r="Z77" s="29"/>
      <c r="AA77" s="29"/>
      <c r="AB77" s="29"/>
      <c r="AC77" s="29"/>
      <c r="AD77" s="29"/>
      <c r="AE77" s="29"/>
      <c r="AF77" s="29"/>
      <c r="AG77" s="29"/>
      <c r="AH77" s="29"/>
      <c r="AI77" s="29"/>
      <c r="AJ77" s="44"/>
      <c r="AK77" s="44"/>
      <c r="AL77" s="44"/>
      <c r="AM77" s="132"/>
      <c r="AN77" s="132"/>
      <c r="AO77" s="132"/>
      <c r="AP77" s="132"/>
      <c r="AQ77" s="132"/>
      <c r="AR77" s="132"/>
      <c r="AS77" s="132"/>
      <c r="AT77" s="55"/>
      <c r="AU77" s="55"/>
      <c r="AV77" s="55"/>
      <c r="AW77" s="55"/>
      <c r="AX77" s="55"/>
      <c r="AY77" s="55"/>
      <c r="AZ77" s="55"/>
      <c r="BA77" s="55"/>
      <c r="BB77" s="55"/>
      <c r="BC77" s="56">
        <f t="shared" si="29"/>
        <v>0</v>
      </c>
      <c r="BD77" s="29"/>
      <c r="BE77" s="29"/>
      <c r="BF77" s="29"/>
      <c r="BG77" s="29"/>
      <c r="BH77" s="11"/>
      <c r="BI77" s="11"/>
      <c r="BJ77" s="42"/>
      <c r="BK77" s="54"/>
      <c r="BL77" s="55"/>
    </row>
    <row r="78" spans="1:64">
      <c r="A78" s="12"/>
      <c r="B78" s="12">
        <v>2013</v>
      </c>
      <c r="C78" s="122"/>
      <c r="D78" s="12"/>
      <c r="E78" s="12"/>
      <c r="F78" s="12"/>
      <c r="G78" s="122"/>
      <c r="H78" s="11"/>
      <c r="I78" s="11"/>
      <c r="J78" s="42"/>
      <c r="K78" s="11"/>
      <c r="L78" s="11"/>
      <c r="M78" s="11"/>
      <c r="N78" s="11"/>
      <c r="O78" s="11"/>
      <c r="P78" s="11"/>
      <c r="Q78" s="11"/>
      <c r="R78" s="11"/>
      <c r="S78" s="11"/>
      <c r="T78" s="11"/>
      <c r="U78" s="11"/>
      <c r="V78" s="11"/>
      <c r="W78" s="11"/>
      <c r="X78" s="29"/>
      <c r="Y78" s="29"/>
      <c r="Z78" s="29"/>
      <c r="AA78" s="29"/>
      <c r="AB78" s="29"/>
      <c r="AC78" s="29"/>
      <c r="AD78" s="29"/>
      <c r="AE78" s="29"/>
      <c r="AF78" s="29"/>
      <c r="AG78" s="29"/>
      <c r="AH78" s="29"/>
      <c r="AI78" s="29"/>
      <c r="AJ78" s="44"/>
      <c r="AK78" s="44"/>
      <c r="AL78" s="44"/>
      <c r="AM78" s="132"/>
      <c r="AN78" s="132"/>
      <c r="AO78" s="132"/>
      <c r="AP78" s="132"/>
      <c r="AQ78" s="132"/>
      <c r="AR78" s="132"/>
      <c r="AS78" s="132"/>
      <c r="AT78" s="55"/>
      <c r="AU78" s="55"/>
      <c r="AV78" s="55"/>
      <c r="AW78" s="55"/>
      <c r="AX78" s="55"/>
      <c r="AY78" s="55"/>
      <c r="AZ78" s="55"/>
      <c r="BA78" s="55"/>
      <c r="BB78" s="55"/>
      <c r="BC78" s="56">
        <f t="shared" si="29"/>
        <v>0</v>
      </c>
      <c r="BD78" s="29"/>
      <c r="BE78" s="29"/>
      <c r="BF78" s="29"/>
      <c r="BG78" s="29"/>
      <c r="BH78" s="11"/>
      <c r="BI78" s="11"/>
      <c r="BJ78" s="42"/>
      <c r="BK78" s="54"/>
      <c r="BL78" s="55"/>
    </row>
    <row r="79" spans="1:64">
      <c r="A79" s="12"/>
      <c r="B79" s="12">
        <v>2012</v>
      </c>
      <c r="C79" s="122"/>
      <c r="D79" s="12"/>
      <c r="E79" s="12"/>
      <c r="F79" s="12"/>
      <c r="G79" s="122"/>
      <c r="H79" s="11"/>
      <c r="I79" s="11"/>
      <c r="J79" s="42"/>
      <c r="K79" s="11"/>
      <c r="L79" s="11"/>
      <c r="M79" s="11"/>
      <c r="N79" s="11"/>
      <c r="O79" s="11"/>
      <c r="P79" s="11"/>
      <c r="Q79" s="11"/>
      <c r="R79" s="11"/>
      <c r="S79" s="11"/>
      <c r="T79" s="11"/>
      <c r="U79" s="11"/>
      <c r="V79" s="11"/>
      <c r="W79" s="11"/>
      <c r="X79" s="29"/>
      <c r="Y79" s="29"/>
      <c r="Z79" s="29"/>
      <c r="AA79" s="29"/>
      <c r="AB79" s="29"/>
      <c r="AC79" s="29"/>
      <c r="AD79" s="29"/>
      <c r="AE79" s="29"/>
      <c r="AF79" s="29"/>
      <c r="AG79" s="29"/>
      <c r="AH79" s="29"/>
      <c r="AI79" s="29"/>
      <c r="AJ79" s="44"/>
      <c r="AK79" s="44"/>
      <c r="AL79" s="44"/>
      <c r="AM79" s="132"/>
      <c r="AN79" s="132"/>
      <c r="AO79" s="132"/>
      <c r="AP79" s="132"/>
      <c r="AQ79" s="132"/>
      <c r="AR79" s="132"/>
      <c r="AS79" s="132"/>
      <c r="AT79" s="55"/>
      <c r="AU79" s="55"/>
      <c r="AV79" s="55"/>
      <c r="AW79" s="55"/>
      <c r="AX79" s="55"/>
      <c r="AY79" s="55"/>
      <c r="AZ79" s="55"/>
      <c r="BA79" s="55"/>
      <c r="BB79" s="55"/>
      <c r="BC79" s="56">
        <f t="shared" si="29"/>
        <v>0</v>
      </c>
      <c r="BD79" s="29"/>
      <c r="BE79" s="29"/>
      <c r="BF79" s="29"/>
      <c r="BG79" s="29"/>
      <c r="BH79" s="11"/>
      <c r="BI79" s="11"/>
      <c r="BJ79" s="42"/>
      <c r="BK79" s="54"/>
      <c r="BL79" s="55"/>
    </row>
    <row r="80" spans="1:64">
      <c r="A80" s="12" t="s">
        <v>86</v>
      </c>
      <c r="B80" s="12">
        <v>2022</v>
      </c>
      <c r="C80" s="122"/>
      <c r="D80" s="12"/>
      <c r="E80" s="12"/>
      <c r="F80" s="12"/>
      <c r="G80" s="122"/>
      <c r="H80" s="11"/>
      <c r="I80" s="11"/>
      <c r="J80" s="42"/>
      <c r="K80" s="11"/>
      <c r="L80" s="11"/>
      <c r="M80" s="11"/>
      <c r="N80" s="11"/>
      <c r="O80" s="11"/>
      <c r="P80" s="11"/>
      <c r="Q80" s="11"/>
      <c r="R80" s="11"/>
      <c r="S80" s="11"/>
      <c r="T80" s="11"/>
      <c r="U80" s="11"/>
      <c r="V80" s="11"/>
      <c r="W80" s="11"/>
      <c r="X80" s="29"/>
      <c r="Y80" s="29"/>
      <c r="Z80" s="29"/>
      <c r="AA80" s="29"/>
      <c r="AB80" s="29"/>
      <c r="AC80" s="29"/>
      <c r="AD80" s="29"/>
      <c r="AE80" s="29"/>
      <c r="AF80" s="29"/>
      <c r="AG80" s="29"/>
      <c r="AH80" s="29"/>
      <c r="AI80" s="29"/>
      <c r="AJ80" s="44"/>
      <c r="AK80" s="44"/>
      <c r="AL80" s="44"/>
      <c r="AM80" s="132"/>
      <c r="AN80" s="132"/>
      <c r="AO80" s="132"/>
      <c r="AP80" s="132"/>
      <c r="AQ80" s="132"/>
      <c r="AR80" s="132"/>
      <c r="AS80" s="132"/>
      <c r="AT80" s="55"/>
      <c r="AU80" s="55"/>
      <c r="AV80" s="55"/>
      <c r="AW80" s="55"/>
      <c r="AX80" s="55"/>
      <c r="AY80" s="55"/>
      <c r="AZ80" s="55"/>
      <c r="BA80" s="55"/>
      <c r="BB80" s="55"/>
      <c r="BC80" s="56">
        <f t="shared" si="29"/>
        <v>0</v>
      </c>
      <c r="BD80" s="29"/>
      <c r="BE80" s="29"/>
      <c r="BF80" s="29"/>
      <c r="BG80" s="29"/>
      <c r="BH80" s="11"/>
      <c r="BI80" s="11"/>
      <c r="BJ80" s="42"/>
      <c r="BK80" s="54"/>
      <c r="BL80" s="55"/>
    </row>
    <row r="81" spans="1:64">
      <c r="A81" s="12"/>
      <c r="B81" s="12">
        <v>2021</v>
      </c>
      <c r="C81" s="122"/>
      <c r="D81" s="12"/>
      <c r="E81" s="12"/>
      <c r="F81" s="12"/>
      <c r="G81" s="122"/>
      <c r="H81" s="11"/>
      <c r="I81" s="11"/>
      <c r="J81" s="42"/>
      <c r="K81" s="11"/>
      <c r="L81" s="11"/>
      <c r="M81" s="11"/>
      <c r="N81" s="11"/>
      <c r="O81" s="11"/>
      <c r="P81" s="11"/>
      <c r="Q81" s="11"/>
      <c r="R81" s="11"/>
      <c r="S81" s="11"/>
      <c r="T81" s="11"/>
      <c r="U81" s="11"/>
      <c r="V81" s="11"/>
      <c r="W81" s="11"/>
      <c r="X81" s="29"/>
      <c r="Y81" s="29"/>
      <c r="Z81" s="29"/>
      <c r="AA81" s="29"/>
      <c r="AB81" s="29"/>
      <c r="AC81" s="29"/>
      <c r="AD81" s="29"/>
      <c r="AE81" s="29"/>
      <c r="AF81" s="29"/>
      <c r="AG81" s="29"/>
      <c r="AH81" s="29"/>
      <c r="AI81" s="29"/>
      <c r="AJ81" s="44"/>
      <c r="AK81" s="44"/>
      <c r="AL81" s="44"/>
      <c r="AM81" s="132"/>
      <c r="AN81" s="132"/>
      <c r="AO81" s="132"/>
      <c r="AP81" s="132"/>
      <c r="AQ81" s="132"/>
      <c r="AR81" s="132"/>
      <c r="AS81" s="132"/>
      <c r="AT81" s="55"/>
      <c r="AU81" s="55"/>
      <c r="AV81" s="55"/>
      <c r="AW81" s="55"/>
      <c r="AX81" s="55"/>
      <c r="AY81" s="55"/>
      <c r="AZ81" s="55"/>
      <c r="BA81" s="55"/>
      <c r="BB81" s="55"/>
      <c r="BC81" s="56">
        <f t="shared" si="29"/>
        <v>0</v>
      </c>
      <c r="BD81" s="29"/>
      <c r="BE81" s="29"/>
      <c r="BF81" s="29"/>
      <c r="BG81" s="29"/>
      <c r="BH81" s="11"/>
      <c r="BI81" s="11"/>
      <c r="BJ81" s="42"/>
      <c r="BK81" s="54"/>
      <c r="BL81" s="55"/>
    </row>
    <row r="82" spans="1:64">
      <c r="A82" s="12"/>
      <c r="B82" s="12">
        <v>2020</v>
      </c>
      <c r="C82" s="122"/>
      <c r="D82" s="12"/>
      <c r="E82" s="12"/>
      <c r="F82" s="12"/>
      <c r="G82" s="122"/>
      <c r="H82" s="11"/>
      <c r="I82" s="11"/>
      <c r="J82" s="42"/>
      <c r="K82" s="11"/>
      <c r="L82" s="11"/>
      <c r="M82" s="11"/>
      <c r="N82" s="11"/>
      <c r="O82" s="11"/>
      <c r="P82" s="11"/>
      <c r="Q82" s="11"/>
      <c r="R82" s="11"/>
      <c r="S82" s="11"/>
      <c r="T82" s="11"/>
      <c r="U82" s="11"/>
      <c r="V82" s="11"/>
      <c r="W82" s="11"/>
      <c r="X82" s="29"/>
      <c r="Y82" s="29"/>
      <c r="Z82" s="29"/>
      <c r="AA82" s="29"/>
      <c r="AB82" s="29"/>
      <c r="AC82" s="29"/>
      <c r="AD82" s="29"/>
      <c r="AE82" s="29"/>
      <c r="AF82" s="29"/>
      <c r="AG82" s="29"/>
      <c r="AH82" s="29"/>
      <c r="AI82" s="29"/>
      <c r="AJ82" s="44"/>
      <c r="AK82" s="44"/>
      <c r="AL82" s="44"/>
      <c r="AM82" s="132"/>
      <c r="AN82" s="132"/>
      <c r="AO82" s="132"/>
      <c r="AP82" s="132"/>
      <c r="AQ82" s="132"/>
      <c r="AR82" s="132"/>
      <c r="AS82" s="132"/>
      <c r="AT82" s="55"/>
      <c r="AU82" s="55"/>
      <c r="AV82" s="55"/>
      <c r="AW82" s="55"/>
      <c r="AX82" s="55"/>
      <c r="AY82" s="55"/>
      <c r="AZ82" s="55"/>
      <c r="BA82" s="55"/>
      <c r="BB82" s="55"/>
      <c r="BC82" s="56">
        <f t="shared" si="29"/>
        <v>0</v>
      </c>
      <c r="BD82" s="29"/>
      <c r="BE82" s="29"/>
      <c r="BF82" s="29"/>
      <c r="BG82" s="29"/>
      <c r="BH82" s="11"/>
      <c r="BI82" s="11"/>
      <c r="BJ82" s="42"/>
      <c r="BK82" s="54"/>
      <c r="BL82" s="55"/>
    </row>
    <row r="83" spans="1:64">
      <c r="A83" s="12"/>
      <c r="B83" s="12">
        <v>2019</v>
      </c>
      <c r="C83" s="122"/>
      <c r="D83" s="12"/>
      <c r="E83" s="12"/>
      <c r="F83" s="12"/>
      <c r="G83" s="122"/>
      <c r="H83" s="11"/>
      <c r="I83" s="11"/>
      <c r="J83" s="42"/>
      <c r="K83" s="11"/>
      <c r="L83" s="11"/>
      <c r="M83" s="11"/>
      <c r="N83" s="11"/>
      <c r="O83" s="11"/>
      <c r="P83" s="11"/>
      <c r="Q83" s="11"/>
      <c r="R83" s="11"/>
      <c r="S83" s="11"/>
      <c r="T83" s="11"/>
      <c r="U83" s="11"/>
      <c r="V83" s="11"/>
      <c r="W83" s="11"/>
      <c r="X83" s="29"/>
      <c r="Y83" s="29"/>
      <c r="Z83" s="29"/>
      <c r="AA83" s="29"/>
      <c r="AB83" s="29"/>
      <c r="AC83" s="29"/>
      <c r="AD83" s="29"/>
      <c r="AE83" s="29"/>
      <c r="AF83" s="29"/>
      <c r="AG83" s="29"/>
      <c r="AH83" s="29"/>
      <c r="AI83" s="29"/>
      <c r="AJ83" s="44"/>
      <c r="AK83" s="44"/>
      <c r="AL83" s="44"/>
      <c r="AM83" s="132"/>
      <c r="AN83" s="132"/>
      <c r="AO83" s="132"/>
      <c r="AP83" s="132"/>
      <c r="AQ83" s="132"/>
      <c r="AR83" s="132"/>
      <c r="AS83" s="132"/>
      <c r="AT83" s="55"/>
      <c r="AU83" s="55"/>
      <c r="AV83" s="55"/>
      <c r="AW83" s="55"/>
      <c r="AX83" s="55"/>
      <c r="AY83" s="55"/>
      <c r="AZ83" s="55"/>
      <c r="BA83" s="55"/>
      <c r="BB83" s="55"/>
      <c r="BC83" s="56">
        <f t="shared" si="29"/>
        <v>0</v>
      </c>
      <c r="BD83" s="29"/>
      <c r="BE83" s="29"/>
      <c r="BF83" s="29"/>
      <c r="BG83" s="29"/>
      <c r="BH83" s="11"/>
      <c r="BI83" s="11"/>
      <c r="BJ83" s="42"/>
      <c r="BK83" s="142"/>
      <c r="BL83" s="55"/>
    </row>
    <row r="84" spans="1:64">
      <c r="A84" s="12"/>
      <c r="B84" s="12">
        <v>2018</v>
      </c>
      <c r="C84" s="122"/>
      <c r="D84" s="12"/>
      <c r="E84" s="12"/>
      <c r="F84" s="12"/>
      <c r="G84" s="122"/>
      <c r="H84" s="11"/>
      <c r="I84" s="11"/>
      <c r="J84" s="42"/>
      <c r="K84" s="11"/>
      <c r="L84" s="11"/>
      <c r="M84" s="11"/>
      <c r="N84" s="11"/>
      <c r="O84" s="11"/>
      <c r="P84" s="11"/>
      <c r="Q84" s="11"/>
      <c r="R84" s="11"/>
      <c r="S84" s="11"/>
      <c r="T84" s="11"/>
      <c r="U84" s="11"/>
      <c r="V84" s="11"/>
      <c r="W84" s="11"/>
      <c r="X84" s="29"/>
      <c r="Y84" s="29"/>
      <c r="Z84" s="29"/>
      <c r="AA84" s="29"/>
      <c r="AB84" s="29"/>
      <c r="AC84" s="29"/>
      <c r="AD84" s="29"/>
      <c r="AE84" s="29"/>
      <c r="AF84" s="29"/>
      <c r="AG84" s="29"/>
      <c r="AH84" s="29"/>
      <c r="AI84" s="29"/>
      <c r="AJ84" s="44"/>
      <c r="AK84" s="44"/>
      <c r="AL84" s="44"/>
      <c r="AM84" s="132"/>
      <c r="AN84" s="132"/>
      <c r="AO84" s="132"/>
      <c r="AP84" s="132"/>
      <c r="AQ84" s="132"/>
      <c r="AR84" s="132"/>
      <c r="AS84" s="132"/>
      <c r="AT84" s="55"/>
      <c r="AU84" s="55"/>
      <c r="AV84" s="55"/>
      <c r="AW84" s="55"/>
      <c r="AX84" s="55"/>
      <c r="AY84" s="55"/>
      <c r="AZ84" s="55"/>
      <c r="BA84" s="55"/>
      <c r="BB84" s="55"/>
      <c r="BC84" s="56">
        <f t="shared" si="29"/>
        <v>0</v>
      </c>
      <c r="BD84" s="29"/>
      <c r="BE84" s="29"/>
      <c r="BF84" s="29"/>
      <c r="BG84" s="29"/>
      <c r="BH84" s="11"/>
      <c r="BI84" s="11"/>
      <c r="BJ84" s="42"/>
      <c r="BK84" s="142"/>
      <c r="BL84" s="55"/>
    </row>
    <row r="85" spans="1:64">
      <c r="A85" s="12"/>
      <c r="B85" s="12">
        <v>2017</v>
      </c>
      <c r="C85" s="122"/>
      <c r="D85" s="12"/>
      <c r="E85" s="12"/>
      <c r="F85" s="12"/>
      <c r="G85" s="122"/>
      <c r="H85" s="11"/>
      <c r="I85" s="11"/>
      <c r="J85" s="42"/>
      <c r="K85" s="11"/>
      <c r="L85" s="11"/>
      <c r="M85" s="11"/>
      <c r="N85" s="11"/>
      <c r="O85" s="11"/>
      <c r="P85" s="11"/>
      <c r="Q85" s="11"/>
      <c r="R85" s="11"/>
      <c r="S85" s="11"/>
      <c r="T85" s="11"/>
      <c r="U85" s="11"/>
      <c r="V85" s="11"/>
      <c r="W85" s="11"/>
      <c r="X85" s="29"/>
      <c r="Y85" s="29"/>
      <c r="Z85" s="29"/>
      <c r="AA85" s="29"/>
      <c r="AB85" s="29"/>
      <c r="AC85" s="29"/>
      <c r="AD85" s="29"/>
      <c r="AE85" s="29"/>
      <c r="AF85" s="29"/>
      <c r="AG85" s="29"/>
      <c r="AH85" s="29"/>
      <c r="AI85" s="29"/>
      <c r="AJ85" s="44"/>
      <c r="AK85" s="44"/>
      <c r="AL85" s="44"/>
      <c r="AM85" s="132"/>
      <c r="AN85" s="132"/>
      <c r="AO85" s="132"/>
      <c r="AP85" s="132"/>
      <c r="AQ85" s="132"/>
      <c r="AR85" s="132"/>
      <c r="AS85" s="132"/>
      <c r="AT85" s="55"/>
      <c r="AU85" s="55"/>
      <c r="AV85" s="55"/>
      <c r="AW85" s="55"/>
      <c r="AX85" s="55"/>
      <c r="AY85" s="55"/>
      <c r="AZ85" s="55"/>
      <c r="BA85" s="55"/>
      <c r="BB85" s="55"/>
      <c r="BC85" s="56">
        <f t="shared" si="29"/>
        <v>0</v>
      </c>
      <c r="BD85" s="29"/>
      <c r="BE85" s="29"/>
      <c r="BF85" s="29"/>
      <c r="BG85" s="29"/>
      <c r="BH85" s="11"/>
      <c r="BI85" s="11"/>
      <c r="BJ85" s="42"/>
      <c r="BK85" s="142"/>
      <c r="BL85" s="55"/>
    </row>
    <row r="86" spans="1:64">
      <c r="A86" s="12"/>
      <c r="B86" s="12">
        <v>2016</v>
      </c>
      <c r="C86" s="122"/>
      <c r="D86" s="12"/>
      <c r="E86" s="12"/>
      <c r="F86" s="12"/>
      <c r="G86" s="122"/>
      <c r="H86" s="11"/>
      <c r="I86" s="11"/>
      <c r="J86" s="42"/>
      <c r="K86" s="11"/>
      <c r="L86" s="11"/>
      <c r="M86" s="11"/>
      <c r="N86" s="11"/>
      <c r="O86" s="11"/>
      <c r="P86" s="11"/>
      <c r="Q86" s="11"/>
      <c r="R86" s="11"/>
      <c r="S86" s="11"/>
      <c r="T86" s="11"/>
      <c r="U86" s="11"/>
      <c r="V86" s="11"/>
      <c r="W86" s="11"/>
      <c r="X86" s="29"/>
      <c r="Y86" s="29"/>
      <c r="Z86" s="29"/>
      <c r="AA86" s="29"/>
      <c r="AB86" s="29"/>
      <c r="AC86" s="29"/>
      <c r="AD86" s="29"/>
      <c r="AE86" s="29"/>
      <c r="AF86" s="29"/>
      <c r="AG86" s="29"/>
      <c r="AH86" s="29"/>
      <c r="AI86" s="29"/>
      <c r="AJ86" s="44"/>
      <c r="AK86" s="44"/>
      <c r="AL86" s="44"/>
      <c r="AM86" s="132"/>
      <c r="AN86" s="132"/>
      <c r="AO86" s="132"/>
      <c r="AP86" s="132"/>
      <c r="AQ86" s="132"/>
      <c r="AR86" s="132"/>
      <c r="AS86" s="132"/>
      <c r="AT86" s="55"/>
      <c r="AU86" s="55"/>
      <c r="AV86" s="55"/>
      <c r="AW86" s="55"/>
      <c r="AX86" s="55"/>
      <c r="AY86" s="55"/>
      <c r="AZ86" s="55"/>
      <c r="BA86" s="55"/>
      <c r="BB86" s="55"/>
      <c r="BC86" s="56">
        <f t="shared" si="29"/>
        <v>0</v>
      </c>
      <c r="BD86" s="29"/>
      <c r="BE86" s="29"/>
      <c r="BF86" s="29"/>
      <c r="BG86" s="29"/>
      <c r="BH86" s="11"/>
      <c r="BI86" s="11"/>
      <c r="BJ86" s="42"/>
      <c r="BK86" s="142"/>
      <c r="BL86" s="55"/>
    </row>
    <row r="87" spans="1:64">
      <c r="A87" s="12"/>
      <c r="B87" s="12">
        <v>2015</v>
      </c>
      <c r="C87" s="122"/>
      <c r="D87" s="12"/>
      <c r="E87" s="12"/>
      <c r="F87" s="12"/>
      <c r="G87" s="122"/>
      <c r="H87" s="11"/>
      <c r="I87" s="11"/>
      <c r="J87" s="42"/>
      <c r="K87" s="11"/>
      <c r="L87" s="11"/>
      <c r="M87" s="11"/>
      <c r="N87" s="11"/>
      <c r="O87" s="11"/>
      <c r="P87" s="11"/>
      <c r="Q87" s="11"/>
      <c r="R87" s="11"/>
      <c r="S87" s="11"/>
      <c r="T87" s="11"/>
      <c r="U87" s="11"/>
      <c r="V87" s="11"/>
      <c r="W87" s="11"/>
      <c r="X87" s="29"/>
      <c r="Y87" s="29"/>
      <c r="Z87" s="29"/>
      <c r="AA87" s="29"/>
      <c r="AB87" s="29"/>
      <c r="AC87" s="29"/>
      <c r="AD87" s="29"/>
      <c r="AE87" s="29"/>
      <c r="AF87" s="29"/>
      <c r="AG87" s="29"/>
      <c r="AH87" s="29"/>
      <c r="AI87" s="29"/>
      <c r="AJ87" s="44"/>
      <c r="AK87" s="44"/>
      <c r="AL87" s="44"/>
      <c r="AM87" s="132"/>
      <c r="AN87" s="132"/>
      <c r="AO87" s="132"/>
      <c r="AP87" s="132"/>
      <c r="AQ87" s="132"/>
      <c r="AR87" s="132"/>
      <c r="AS87" s="132"/>
      <c r="AT87" s="55"/>
      <c r="AU87" s="55"/>
      <c r="AV87" s="55"/>
      <c r="AW87" s="55"/>
      <c r="AX87" s="55"/>
      <c r="AY87" s="55"/>
      <c r="AZ87" s="55"/>
      <c r="BA87" s="55"/>
      <c r="BB87" s="55"/>
      <c r="BC87" s="56">
        <f t="shared" si="29"/>
        <v>0</v>
      </c>
      <c r="BD87" s="29"/>
      <c r="BE87" s="29"/>
      <c r="BF87" s="29"/>
      <c r="BG87" s="29"/>
      <c r="BH87" s="11"/>
      <c r="BI87" s="11"/>
      <c r="BJ87" s="42"/>
      <c r="BK87" s="142"/>
      <c r="BL87" s="55"/>
    </row>
    <row r="88" spans="1:64">
      <c r="A88" s="12"/>
      <c r="B88" s="12">
        <v>2014</v>
      </c>
      <c r="C88" s="122"/>
      <c r="D88" s="12"/>
      <c r="E88" s="12"/>
      <c r="F88" s="12"/>
      <c r="G88" s="122"/>
      <c r="H88" s="11"/>
      <c r="I88" s="11"/>
      <c r="J88" s="42"/>
      <c r="K88" s="11"/>
      <c r="L88" s="11"/>
      <c r="M88" s="11"/>
      <c r="N88" s="11"/>
      <c r="O88" s="11"/>
      <c r="P88" s="11"/>
      <c r="Q88" s="11"/>
      <c r="R88" s="11"/>
      <c r="S88" s="11"/>
      <c r="T88" s="11"/>
      <c r="U88" s="11"/>
      <c r="V88" s="11"/>
      <c r="W88" s="11"/>
      <c r="X88" s="29"/>
      <c r="Y88" s="29"/>
      <c r="Z88" s="29"/>
      <c r="AA88" s="29"/>
      <c r="AB88" s="29"/>
      <c r="AC88" s="29"/>
      <c r="AD88" s="29"/>
      <c r="AE88" s="29"/>
      <c r="AF88" s="29"/>
      <c r="AG88" s="29"/>
      <c r="AH88" s="29"/>
      <c r="AI88" s="29"/>
      <c r="AJ88" s="44"/>
      <c r="AK88" s="44"/>
      <c r="AL88" s="44"/>
      <c r="AM88" s="132"/>
      <c r="AN88" s="132"/>
      <c r="AO88" s="132"/>
      <c r="AP88" s="132"/>
      <c r="AQ88" s="132"/>
      <c r="AR88" s="132"/>
      <c r="AS88" s="132"/>
      <c r="AT88" s="55"/>
      <c r="AU88" s="55"/>
      <c r="AV88" s="55"/>
      <c r="AW88" s="55"/>
      <c r="AX88" s="55"/>
      <c r="AY88" s="55"/>
      <c r="AZ88" s="55"/>
      <c r="BA88" s="55"/>
      <c r="BB88" s="55"/>
      <c r="BC88" s="56">
        <f t="shared" si="29"/>
        <v>0</v>
      </c>
      <c r="BD88" s="29"/>
      <c r="BE88" s="29"/>
      <c r="BF88" s="29"/>
      <c r="BG88" s="29"/>
      <c r="BH88" s="11"/>
      <c r="BI88" s="11"/>
      <c r="BJ88" s="42"/>
      <c r="BK88" s="142"/>
      <c r="BL88" s="55"/>
    </row>
    <row r="89" spans="1:64">
      <c r="A89" s="12"/>
      <c r="B89" s="12">
        <v>2013</v>
      </c>
      <c r="C89" s="122"/>
      <c r="D89" s="12"/>
      <c r="E89" s="12"/>
      <c r="F89" s="12"/>
      <c r="G89" s="122"/>
      <c r="H89" s="11"/>
      <c r="I89" s="11"/>
      <c r="J89" s="42"/>
      <c r="K89" s="11"/>
      <c r="L89" s="11"/>
      <c r="M89" s="11"/>
      <c r="N89" s="11"/>
      <c r="O89" s="11"/>
      <c r="P89" s="11"/>
      <c r="Q89" s="11"/>
      <c r="R89" s="11"/>
      <c r="S89" s="11"/>
      <c r="T89" s="11"/>
      <c r="U89" s="11"/>
      <c r="V89" s="11"/>
      <c r="W89" s="11"/>
      <c r="X89" s="29"/>
      <c r="Y89" s="29"/>
      <c r="Z89" s="29"/>
      <c r="AA89" s="29"/>
      <c r="AB89" s="29"/>
      <c r="AC89" s="29"/>
      <c r="AD89" s="29"/>
      <c r="AE89" s="29"/>
      <c r="AF89" s="29"/>
      <c r="AG89" s="29"/>
      <c r="AH89" s="29"/>
      <c r="AI89" s="29"/>
      <c r="AJ89" s="44"/>
      <c r="AK89" s="44"/>
      <c r="AL89" s="44"/>
      <c r="AM89" s="132"/>
      <c r="AN89" s="132"/>
      <c r="AO89" s="132"/>
      <c r="AP89" s="132"/>
      <c r="AQ89" s="132"/>
      <c r="AR89" s="132"/>
      <c r="AS89" s="132"/>
      <c r="AT89" s="55"/>
      <c r="AU89" s="55"/>
      <c r="AV89" s="55"/>
      <c r="AW89" s="55"/>
      <c r="AX89" s="55"/>
      <c r="AY89" s="55"/>
      <c r="AZ89" s="55"/>
      <c r="BA89" s="55"/>
      <c r="BB89" s="55"/>
      <c r="BC89" s="56">
        <f t="shared" si="29"/>
        <v>0</v>
      </c>
      <c r="BD89" s="29"/>
      <c r="BE89" s="29"/>
      <c r="BF89" s="29"/>
      <c r="BG89" s="29"/>
      <c r="BH89" s="11"/>
      <c r="BI89" s="11"/>
      <c r="BJ89" s="42"/>
      <c r="BK89" s="142"/>
      <c r="BL89" s="55"/>
    </row>
    <row r="90" spans="1:64">
      <c r="A90" s="12"/>
      <c r="B90" s="12">
        <v>2012</v>
      </c>
      <c r="C90" s="122"/>
      <c r="D90" s="12"/>
      <c r="E90" s="12"/>
      <c r="F90" s="12"/>
      <c r="G90" s="122"/>
      <c r="H90" s="11"/>
      <c r="I90" s="11"/>
      <c r="J90" s="42"/>
      <c r="K90" s="11"/>
      <c r="L90" s="11"/>
      <c r="M90" s="11"/>
      <c r="N90" s="11"/>
      <c r="O90" s="11"/>
      <c r="P90" s="11"/>
      <c r="Q90" s="11"/>
      <c r="R90" s="11"/>
      <c r="S90" s="11"/>
      <c r="T90" s="11"/>
      <c r="U90" s="11"/>
      <c r="V90" s="11"/>
      <c r="W90" s="11"/>
      <c r="X90" s="29"/>
      <c r="Y90" s="29"/>
      <c r="Z90" s="29"/>
      <c r="AA90" s="29"/>
      <c r="AB90" s="29"/>
      <c r="AC90" s="29"/>
      <c r="AD90" s="29"/>
      <c r="AE90" s="29"/>
      <c r="AF90" s="29"/>
      <c r="AG90" s="29"/>
      <c r="AH90" s="29"/>
      <c r="AI90" s="29"/>
      <c r="AJ90" s="44"/>
      <c r="AK90" s="44"/>
      <c r="AL90" s="44"/>
      <c r="AM90" s="132"/>
      <c r="AN90" s="132"/>
      <c r="AO90" s="132"/>
      <c r="AP90" s="132"/>
      <c r="AQ90" s="132"/>
      <c r="AR90" s="132"/>
      <c r="AS90" s="132"/>
      <c r="AT90" s="55"/>
      <c r="AU90" s="55"/>
      <c r="AV90" s="55"/>
      <c r="AW90" s="55"/>
      <c r="AX90" s="55"/>
      <c r="AY90" s="55"/>
      <c r="AZ90" s="55"/>
      <c r="BA90" s="55"/>
      <c r="BB90" s="55"/>
      <c r="BC90" s="56">
        <f t="shared" si="29"/>
        <v>0</v>
      </c>
      <c r="BD90" s="29"/>
      <c r="BE90" s="29"/>
      <c r="BF90" s="29"/>
      <c r="BG90" s="29"/>
      <c r="BH90" s="11"/>
      <c r="BI90" s="11"/>
      <c r="BJ90" s="42"/>
      <c r="BK90" s="142"/>
      <c r="BL90" s="55"/>
    </row>
    <row r="91" spans="1:64">
      <c r="A91" s="12" t="s">
        <v>87</v>
      </c>
      <c r="B91" s="12">
        <v>2022</v>
      </c>
      <c r="C91" s="122"/>
      <c r="D91" s="12"/>
      <c r="E91" s="12"/>
      <c r="F91" s="12"/>
      <c r="G91" s="122"/>
      <c r="H91" s="11"/>
      <c r="I91" s="11"/>
      <c r="J91" s="42"/>
      <c r="K91" s="11"/>
      <c r="L91" s="11"/>
      <c r="M91" s="11"/>
      <c r="N91" s="11"/>
      <c r="O91" s="11"/>
      <c r="P91" s="11"/>
      <c r="Q91" s="11"/>
      <c r="R91" s="11"/>
      <c r="S91" s="11"/>
      <c r="T91" s="11"/>
      <c r="U91" s="11"/>
      <c r="V91" s="11"/>
      <c r="W91" s="11"/>
      <c r="X91" s="29"/>
      <c r="Y91" s="29"/>
      <c r="Z91" s="29"/>
      <c r="AA91" s="29"/>
      <c r="AB91" s="29"/>
      <c r="AC91" s="29"/>
      <c r="AD91" s="29"/>
      <c r="AE91" s="29"/>
      <c r="AF91" s="29"/>
      <c r="AG91" s="29"/>
      <c r="AH91" s="29"/>
      <c r="AI91" s="29"/>
      <c r="AJ91" s="44"/>
      <c r="AK91" s="44"/>
      <c r="AL91" s="44"/>
      <c r="AM91" s="132"/>
      <c r="AN91" s="132"/>
      <c r="AO91" s="132"/>
      <c r="AP91" s="132"/>
      <c r="AQ91" s="132"/>
      <c r="AR91" s="132"/>
      <c r="AS91" s="132"/>
      <c r="AT91" s="55"/>
      <c r="AU91" s="55"/>
      <c r="AV91" s="55"/>
      <c r="AW91" s="55"/>
      <c r="AX91" s="55"/>
      <c r="AY91" s="55"/>
      <c r="AZ91" s="55"/>
      <c r="BA91" s="55"/>
      <c r="BB91" s="55"/>
      <c r="BC91" s="56">
        <f t="shared" si="29"/>
        <v>0</v>
      </c>
      <c r="BD91" s="29"/>
      <c r="BE91" s="29"/>
      <c r="BF91" s="29"/>
      <c r="BG91" s="29"/>
      <c r="BH91" s="11"/>
      <c r="BI91" s="11"/>
      <c r="BJ91" s="42"/>
      <c r="BK91" s="142"/>
      <c r="BL91" s="55"/>
    </row>
    <row r="92" spans="1:64">
      <c r="A92" s="12"/>
      <c r="B92" s="12">
        <v>2021</v>
      </c>
      <c r="C92" s="122"/>
      <c r="D92" s="12"/>
      <c r="E92" s="12"/>
      <c r="F92" s="12"/>
      <c r="G92" s="122"/>
      <c r="H92" s="11"/>
      <c r="I92" s="11"/>
      <c r="J92" s="42"/>
      <c r="K92" s="11"/>
      <c r="L92" s="11"/>
      <c r="M92" s="11"/>
      <c r="N92" s="11"/>
      <c r="O92" s="11"/>
      <c r="P92" s="11"/>
      <c r="Q92" s="11"/>
      <c r="R92" s="11"/>
      <c r="S92" s="11"/>
      <c r="T92" s="11"/>
      <c r="U92" s="11"/>
      <c r="V92" s="11"/>
      <c r="W92" s="11"/>
      <c r="X92" s="29"/>
      <c r="Y92" s="29"/>
      <c r="Z92" s="29"/>
      <c r="AA92" s="29"/>
      <c r="AB92" s="29"/>
      <c r="AC92" s="29"/>
      <c r="AD92" s="29"/>
      <c r="AE92" s="29"/>
      <c r="AF92" s="29"/>
      <c r="AG92" s="29"/>
      <c r="AH92" s="29"/>
      <c r="AI92" s="29"/>
      <c r="AJ92" s="44"/>
      <c r="AK92" s="44"/>
      <c r="AL92" s="44"/>
      <c r="AM92" s="132"/>
      <c r="AN92" s="132"/>
      <c r="AO92" s="132"/>
      <c r="AP92" s="132"/>
      <c r="AQ92" s="132"/>
      <c r="AR92" s="132"/>
      <c r="AS92" s="132"/>
      <c r="AT92" s="55"/>
      <c r="AU92" s="55"/>
      <c r="AV92" s="55"/>
      <c r="AW92" s="55"/>
      <c r="AX92" s="55"/>
      <c r="AY92" s="55"/>
      <c r="AZ92" s="55"/>
      <c r="BA92" s="55"/>
      <c r="BB92" s="55"/>
      <c r="BC92" s="56">
        <f t="shared" si="29"/>
        <v>0</v>
      </c>
      <c r="BD92" s="29"/>
      <c r="BE92" s="29"/>
      <c r="BF92" s="29"/>
      <c r="BG92" s="29"/>
      <c r="BH92" s="11"/>
      <c r="BI92" s="11"/>
      <c r="BJ92" s="42"/>
      <c r="BK92" s="142"/>
      <c r="BL92" s="55"/>
    </row>
    <row r="93" spans="1:64">
      <c r="A93" s="12"/>
      <c r="B93" s="12">
        <v>2020</v>
      </c>
      <c r="C93" s="122"/>
      <c r="D93" s="12"/>
      <c r="E93" s="12"/>
      <c r="F93" s="12"/>
      <c r="G93" s="122"/>
      <c r="H93" s="11"/>
      <c r="I93" s="11"/>
      <c r="J93" s="42"/>
      <c r="K93" s="11"/>
      <c r="L93" s="11"/>
      <c r="M93" s="11"/>
      <c r="N93" s="11"/>
      <c r="O93" s="11"/>
      <c r="P93" s="11"/>
      <c r="Q93" s="11"/>
      <c r="R93" s="11"/>
      <c r="S93" s="11"/>
      <c r="T93" s="11"/>
      <c r="U93" s="11"/>
      <c r="V93" s="11"/>
      <c r="W93" s="11"/>
      <c r="X93" s="29"/>
      <c r="Y93" s="29"/>
      <c r="Z93" s="29"/>
      <c r="AA93" s="29"/>
      <c r="AB93" s="29"/>
      <c r="AC93" s="29"/>
      <c r="AD93" s="29"/>
      <c r="AE93" s="29"/>
      <c r="AF93" s="29"/>
      <c r="AG93" s="29"/>
      <c r="AH93" s="29"/>
      <c r="AI93" s="29"/>
      <c r="AJ93" s="44"/>
      <c r="AK93" s="44"/>
      <c r="AL93" s="44"/>
      <c r="AM93" s="132"/>
      <c r="AN93" s="132"/>
      <c r="AO93" s="132"/>
      <c r="AP93" s="132"/>
      <c r="AQ93" s="132"/>
      <c r="AR93" s="132"/>
      <c r="AS93" s="132"/>
      <c r="AT93" s="55"/>
      <c r="AU93" s="55"/>
      <c r="AV93" s="55"/>
      <c r="AW93" s="55"/>
      <c r="AX93" s="55"/>
      <c r="AY93" s="55"/>
      <c r="AZ93" s="55"/>
      <c r="BA93" s="55"/>
      <c r="BB93" s="55"/>
      <c r="BC93" s="56">
        <f t="shared" si="29"/>
        <v>0</v>
      </c>
      <c r="BD93" s="29"/>
      <c r="BE93" s="29"/>
      <c r="BF93" s="29"/>
      <c r="BG93" s="29"/>
      <c r="BH93" s="11"/>
      <c r="BI93" s="11"/>
      <c r="BJ93" s="42"/>
      <c r="BK93" s="142"/>
      <c r="BL93" s="55"/>
    </row>
    <row r="94" spans="1:64">
      <c r="A94" s="12"/>
      <c r="B94" s="12">
        <v>2019</v>
      </c>
      <c r="C94" s="122"/>
      <c r="D94" s="12"/>
      <c r="E94" s="12"/>
      <c r="F94" s="12"/>
      <c r="G94" s="122"/>
      <c r="H94" s="11"/>
      <c r="I94" s="11"/>
      <c r="J94" s="42"/>
      <c r="K94" s="11"/>
      <c r="L94" s="11"/>
      <c r="M94" s="11"/>
      <c r="N94" s="11"/>
      <c r="O94" s="11"/>
      <c r="P94" s="11"/>
      <c r="Q94" s="11"/>
      <c r="R94" s="11"/>
      <c r="S94" s="11"/>
      <c r="T94" s="11"/>
      <c r="U94" s="11"/>
      <c r="V94" s="11"/>
      <c r="W94" s="11"/>
      <c r="X94" s="29"/>
      <c r="Y94" s="29"/>
      <c r="Z94" s="29"/>
      <c r="AA94" s="29"/>
      <c r="AB94" s="29"/>
      <c r="AC94" s="29"/>
      <c r="AD94" s="29"/>
      <c r="AE94" s="29"/>
      <c r="AF94" s="29"/>
      <c r="AG94" s="29"/>
      <c r="AH94" s="29"/>
      <c r="AI94" s="29"/>
      <c r="AJ94" s="44"/>
      <c r="AK94" s="44"/>
      <c r="AL94" s="44"/>
      <c r="AM94" s="132"/>
      <c r="AN94" s="132"/>
      <c r="AO94" s="132"/>
      <c r="AP94" s="132"/>
      <c r="AQ94" s="132"/>
      <c r="AR94" s="132"/>
      <c r="AS94" s="132"/>
      <c r="AT94" s="55"/>
      <c r="AU94" s="55"/>
      <c r="AV94" s="55"/>
      <c r="AW94" s="55"/>
      <c r="AX94" s="55"/>
      <c r="AY94" s="55"/>
      <c r="AZ94" s="55"/>
      <c r="BA94" s="55"/>
      <c r="BB94" s="55"/>
      <c r="BC94" s="56">
        <f t="shared" si="29"/>
        <v>0</v>
      </c>
      <c r="BD94" s="29"/>
      <c r="BE94" s="29"/>
      <c r="BF94" s="29"/>
      <c r="BG94" s="29"/>
      <c r="BH94" s="11"/>
      <c r="BI94" s="11"/>
      <c r="BJ94" s="42"/>
      <c r="BK94" s="142"/>
      <c r="BL94" s="55"/>
    </row>
    <row r="95" spans="1:64">
      <c r="A95" s="12"/>
      <c r="B95" s="12">
        <v>2018</v>
      </c>
      <c r="C95" s="122"/>
      <c r="D95" s="12"/>
      <c r="E95" s="12"/>
      <c r="F95" s="12"/>
      <c r="G95" s="122"/>
      <c r="H95" s="11"/>
      <c r="I95" s="11"/>
      <c r="J95" s="42"/>
      <c r="K95" s="11"/>
      <c r="L95" s="11"/>
      <c r="M95" s="11"/>
      <c r="N95" s="11"/>
      <c r="O95" s="11"/>
      <c r="P95" s="11"/>
      <c r="Q95" s="11"/>
      <c r="R95" s="11"/>
      <c r="S95" s="11"/>
      <c r="T95" s="11"/>
      <c r="U95" s="11"/>
      <c r="V95" s="11"/>
      <c r="W95" s="11"/>
      <c r="X95" s="29"/>
      <c r="Y95" s="29"/>
      <c r="Z95" s="29"/>
      <c r="AA95" s="29"/>
      <c r="AB95" s="29"/>
      <c r="AC95" s="29"/>
      <c r="AD95" s="29"/>
      <c r="AE95" s="29"/>
      <c r="AF95" s="29"/>
      <c r="AG95" s="29"/>
      <c r="AH95" s="29"/>
      <c r="AI95" s="29"/>
      <c r="AJ95" s="44"/>
      <c r="AK95" s="44"/>
      <c r="AL95" s="44"/>
      <c r="AM95" s="132"/>
      <c r="AN95" s="132"/>
      <c r="AO95" s="132"/>
      <c r="AP95" s="132"/>
      <c r="AQ95" s="132"/>
      <c r="AR95" s="132"/>
      <c r="AS95" s="132"/>
      <c r="AT95" s="55"/>
      <c r="AU95" s="55"/>
      <c r="AV95" s="55"/>
      <c r="AW95" s="55"/>
      <c r="AX95" s="55"/>
      <c r="AY95" s="55"/>
      <c r="AZ95" s="55"/>
      <c r="BA95" s="55"/>
      <c r="BB95" s="55"/>
      <c r="BC95" s="56">
        <f t="shared" si="29"/>
        <v>0</v>
      </c>
      <c r="BD95" s="29"/>
      <c r="BE95" s="29"/>
      <c r="BF95" s="29"/>
      <c r="BG95" s="29"/>
      <c r="BH95" s="11"/>
      <c r="BI95" s="11"/>
      <c r="BJ95" s="42"/>
      <c r="BK95" s="142"/>
      <c r="BL95" s="55"/>
    </row>
    <row r="96" spans="1:64">
      <c r="A96" s="12"/>
      <c r="B96" s="12">
        <v>2017</v>
      </c>
      <c r="C96" s="122"/>
      <c r="D96" s="12"/>
      <c r="E96" s="12"/>
      <c r="F96" s="12"/>
      <c r="G96" s="122"/>
      <c r="H96" s="11"/>
      <c r="I96" s="11"/>
      <c r="J96" s="42"/>
      <c r="K96" s="11"/>
      <c r="L96" s="11"/>
      <c r="M96" s="11"/>
      <c r="N96" s="11"/>
      <c r="O96" s="11"/>
      <c r="P96" s="11"/>
      <c r="Q96" s="11"/>
      <c r="R96" s="11"/>
      <c r="S96" s="11"/>
      <c r="T96" s="11"/>
      <c r="U96" s="11"/>
      <c r="V96" s="11"/>
      <c r="W96" s="11"/>
      <c r="X96" s="29"/>
      <c r="Y96" s="29"/>
      <c r="Z96" s="29"/>
      <c r="AA96" s="29"/>
      <c r="AB96" s="29"/>
      <c r="AC96" s="29"/>
      <c r="AD96" s="29"/>
      <c r="AE96" s="29"/>
      <c r="AF96" s="29"/>
      <c r="AG96" s="29"/>
      <c r="AH96" s="29"/>
      <c r="AI96" s="29"/>
      <c r="AJ96" s="44"/>
      <c r="AK96" s="44"/>
      <c r="AL96" s="44"/>
      <c r="AM96" s="132"/>
      <c r="AN96" s="132"/>
      <c r="AO96" s="132"/>
      <c r="AP96" s="132"/>
      <c r="AQ96" s="132"/>
      <c r="AR96" s="132"/>
      <c r="AS96" s="132"/>
      <c r="AT96" s="55"/>
      <c r="AU96" s="55"/>
      <c r="AV96" s="55"/>
      <c r="AW96" s="55"/>
      <c r="AX96" s="55"/>
      <c r="AY96" s="55"/>
      <c r="AZ96" s="55"/>
      <c r="BA96" s="55"/>
      <c r="BB96" s="55"/>
      <c r="BC96" s="56">
        <f t="shared" si="29"/>
        <v>0</v>
      </c>
      <c r="BD96" s="29"/>
      <c r="BE96" s="29"/>
      <c r="BF96" s="29"/>
      <c r="BG96" s="29"/>
      <c r="BH96" s="11"/>
      <c r="BI96" s="11"/>
      <c r="BJ96" s="42"/>
      <c r="BK96" s="142"/>
      <c r="BL96" s="55"/>
    </row>
    <row r="97" spans="1:64">
      <c r="A97" s="12"/>
      <c r="B97" s="12">
        <v>2016</v>
      </c>
      <c r="C97" s="122"/>
      <c r="D97" s="12"/>
      <c r="E97" s="12"/>
      <c r="F97" s="12"/>
      <c r="G97" s="122"/>
      <c r="H97" s="11"/>
      <c r="I97" s="11"/>
      <c r="J97" s="42"/>
      <c r="K97" s="11"/>
      <c r="L97" s="11"/>
      <c r="M97" s="11"/>
      <c r="N97" s="11"/>
      <c r="O97" s="11"/>
      <c r="P97" s="11"/>
      <c r="Q97" s="11"/>
      <c r="R97" s="11"/>
      <c r="S97" s="11"/>
      <c r="T97" s="11"/>
      <c r="U97" s="11"/>
      <c r="V97" s="11"/>
      <c r="W97" s="11"/>
      <c r="X97" s="29"/>
      <c r="Y97" s="29"/>
      <c r="Z97" s="29"/>
      <c r="AA97" s="29"/>
      <c r="AB97" s="29"/>
      <c r="AC97" s="29"/>
      <c r="AD97" s="29"/>
      <c r="AE97" s="29"/>
      <c r="AF97" s="29"/>
      <c r="AG97" s="29"/>
      <c r="AH97" s="29"/>
      <c r="AI97" s="29"/>
      <c r="AJ97" s="44"/>
      <c r="AK97" s="44"/>
      <c r="AL97" s="44"/>
      <c r="AM97" s="132"/>
      <c r="AN97" s="132"/>
      <c r="AO97" s="132"/>
      <c r="AP97" s="132"/>
      <c r="AQ97" s="132"/>
      <c r="AR97" s="132"/>
      <c r="AS97" s="132"/>
      <c r="AT97" s="55"/>
      <c r="AU97" s="55"/>
      <c r="AV97" s="55"/>
      <c r="AW97" s="55"/>
      <c r="AX97" s="55"/>
      <c r="AY97" s="55"/>
      <c r="AZ97" s="55"/>
      <c r="BA97" s="55"/>
      <c r="BB97" s="55"/>
      <c r="BC97" s="56">
        <f t="shared" si="29"/>
        <v>0</v>
      </c>
      <c r="BD97" s="29"/>
      <c r="BE97" s="29"/>
      <c r="BF97" s="29"/>
      <c r="BG97" s="29"/>
      <c r="BH97" s="11"/>
      <c r="BI97" s="11"/>
      <c r="BJ97" s="42"/>
      <c r="BK97" s="142"/>
      <c r="BL97" s="55"/>
    </row>
    <row r="98" spans="1:64">
      <c r="A98" s="12"/>
      <c r="B98" s="12">
        <v>2015</v>
      </c>
      <c r="C98" s="122"/>
      <c r="D98" s="12"/>
      <c r="E98" s="12"/>
      <c r="F98" s="12"/>
      <c r="G98" s="122"/>
      <c r="H98" s="11"/>
      <c r="I98" s="11"/>
      <c r="J98" s="42"/>
      <c r="K98" s="11"/>
      <c r="L98" s="11"/>
      <c r="M98" s="11"/>
      <c r="N98" s="11"/>
      <c r="O98" s="11"/>
      <c r="P98" s="11"/>
      <c r="Q98" s="11"/>
      <c r="R98" s="11"/>
      <c r="S98" s="11"/>
      <c r="T98" s="11"/>
      <c r="U98" s="11"/>
      <c r="V98" s="11"/>
      <c r="W98" s="11"/>
      <c r="X98" s="29"/>
      <c r="Y98" s="29"/>
      <c r="Z98" s="29"/>
      <c r="AA98" s="29"/>
      <c r="AB98" s="29"/>
      <c r="AC98" s="29"/>
      <c r="AD98" s="29"/>
      <c r="AE98" s="29"/>
      <c r="AF98" s="29"/>
      <c r="AG98" s="29"/>
      <c r="AH98" s="29"/>
      <c r="AI98" s="29"/>
      <c r="AJ98" s="44"/>
      <c r="AK98" s="44"/>
      <c r="AL98" s="44"/>
      <c r="AM98" s="132"/>
      <c r="AN98" s="132"/>
      <c r="AO98" s="132"/>
      <c r="AP98" s="132"/>
      <c r="AQ98" s="132"/>
      <c r="AR98" s="132"/>
      <c r="AS98" s="132"/>
      <c r="AT98" s="55"/>
      <c r="AU98" s="55"/>
      <c r="AV98" s="55"/>
      <c r="AW98" s="55"/>
      <c r="AX98" s="55"/>
      <c r="AY98" s="55"/>
      <c r="AZ98" s="55"/>
      <c r="BA98" s="55"/>
      <c r="BB98" s="55"/>
      <c r="BC98" s="56">
        <f t="shared" si="29"/>
        <v>0</v>
      </c>
      <c r="BD98" s="29"/>
      <c r="BE98" s="29"/>
      <c r="BF98" s="29"/>
      <c r="BG98" s="29"/>
      <c r="BH98" s="11"/>
      <c r="BI98" s="11"/>
      <c r="BJ98" s="42"/>
      <c r="BK98" s="142"/>
      <c r="BL98" s="55"/>
    </row>
    <row r="99" spans="1:64">
      <c r="A99" s="12"/>
      <c r="B99" s="12">
        <v>2014</v>
      </c>
      <c r="C99" s="122"/>
      <c r="D99" s="12"/>
      <c r="E99" s="12"/>
      <c r="F99" s="12"/>
      <c r="G99" s="122"/>
      <c r="H99" s="11"/>
      <c r="I99" s="11"/>
      <c r="J99" s="42"/>
      <c r="K99" s="11"/>
      <c r="L99" s="11"/>
      <c r="M99" s="11"/>
      <c r="N99" s="11"/>
      <c r="O99" s="11"/>
      <c r="P99" s="11"/>
      <c r="Q99" s="11"/>
      <c r="R99" s="11"/>
      <c r="S99" s="11"/>
      <c r="T99" s="11"/>
      <c r="U99" s="11"/>
      <c r="V99" s="11"/>
      <c r="W99" s="11"/>
      <c r="X99" s="29"/>
      <c r="Y99" s="29"/>
      <c r="Z99" s="29"/>
      <c r="AA99" s="29"/>
      <c r="AB99" s="29"/>
      <c r="AC99" s="29"/>
      <c r="AD99" s="29"/>
      <c r="AE99" s="29"/>
      <c r="AF99" s="29"/>
      <c r="AG99" s="29"/>
      <c r="AH99" s="29"/>
      <c r="AI99" s="29"/>
      <c r="AJ99" s="44"/>
      <c r="AK99" s="44"/>
      <c r="AL99" s="44"/>
      <c r="AM99" s="132"/>
      <c r="AN99" s="132"/>
      <c r="AO99" s="132"/>
      <c r="AP99" s="132"/>
      <c r="AQ99" s="132"/>
      <c r="AR99" s="132"/>
      <c r="AS99" s="132"/>
      <c r="AT99" s="55"/>
      <c r="AU99" s="55"/>
      <c r="AV99" s="55"/>
      <c r="AW99" s="55"/>
      <c r="AX99" s="55"/>
      <c r="AY99" s="55"/>
      <c r="AZ99" s="55"/>
      <c r="BA99" s="55"/>
      <c r="BB99" s="55"/>
      <c r="BC99" s="56">
        <f t="shared" si="29"/>
        <v>0</v>
      </c>
      <c r="BD99" s="29"/>
      <c r="BE99" s="29"/>
      <c r="BF99" s="29"/>
      <c r="BG99" s="29"/>
      <c r="BH99" s="11"/>
      <c r="BI99" s="11"/>
      <c r="BJ99" s="42"/>
      <c r="BK99" s="142"/>
      <c r="BL99" s="55"/>
    </row>
    <row r="100" spans="1:64">
      <c r="A100" s="12"/>
      <c r="B100" s="12">
        <v>2013</v>
      </c>
      <c r="C100" s="122"/>
      <c r="D100" s="12"/>
      <c r="E100" s="12"/>
      <c r="F100" s="12"/>
      <c r="G100" s="122"/>
      <c r="H100" s="11"/>
      <c r="I100" s="11"/>
      <c r="J100" s="42"/>
      <c r="K100" s="11"/>
      <c r="L100" s="11"/>
      <c r="M100" s="11"/>
      <c r="N100" s="11"/>
      <c r="O100" s="11"/>
      <c r="P100" s="11"/>
      <c r="Q100" s="11"/>
      <c r="R100" s="11"/>
      <c r="S100" s="11"/>
      <c r="T100" s="11"/>
      <c r="U100" s="11"/>
      <c r="V100" s="11"/>
      <c r="W100" s="11"/>
      <c r="X100" s="29"/>
      <c r="Y100" s="29"/>
      <c r="Z100" s="29"/>
      <c r="AA100" s="29"/>
      <c r="AB100" s="29"/>
      <c r="AC100" s="29"/>
      <c r="AD100" s="29"/>
      <c r="AE100" s="29"/>
      <c r="AF100" s="29"/>
      <c r="AG100" s="29"/>
      <c r="AH100" s="29"/>
      <c r="AI100" s="29"/>
      <c r="AJ100" s="44"/>
      <c r="AK100" s="44"/>
      <c r="AL100" s="44"/>
      <c r="AM100" s="132"/>
      <c r="AN100" s="132"/>
      <c r="AO100" s="132"/>
      <c r="AP100" s="132"/>
      <c r="AQ100" s="132"/>
      <c r="AR100" s="132"/>
      <c r="AS100" s="132"/>
      <c r="AT100" s="55"/>
      <c r="AU100" s="55"/>
      <c r="AV100" s="55"/>
      <c r="AW100" s="55"/>
      <c r="AX100" s="55"/>
      <c r="AY100" s="55"/>
      <c r="AZ100" s="55"/>
      <c r="BA100" s="55"/>
      <c r="BB100" s="55"/>
      <c r="BC100" s="56">
        <f t="shared" si="29"/>
        <v>0</v>
      </c>
      <c r="BD100" s="29"/>
      <c r="BE100" s="29"/>
      <c r="BF100" s="29"/>
      <c r="BG100" s="29"/>
      <c r="BH100" s="11"/>
      <c r="BI100" s="11"/>
      <c r="BJ100" s="42"/>
      <c r="BK100" s="142"/>
      <c r="BL100" s="55"/>
    </row>
    <row r="101" spans="1:64">
      <c r="A101" s="12"/>
      <c r="B101" s="12">
        <v>2012</v>
      </c>
      <c r="C101" s="122"/>
      <c r="D101" s="12"/>
      <c r="E101" s="12"/>
      <c r="F101" s="12"/>
      <c r="G101" s="122"/>
      <c r="H101" s="11"/>
      <c r="I101" s="11"/>
      <c r="J101" s="42"/>
      <c r="K101" s="11"/>
      <c r="L101" s="11"/>
      <c r="M101" s="11"/>
      <c r="N101" s="11"/>
      <c r="O101" s="11"/>
      <c r="P101" s="11"/>
      <c r="Q101" s="11"/>
      <c r="R101" s="11"/>
      <c r="S101" s="11"/>
      <c r="T101" s="11"/>
      <c r="U101" s="11"/>
      <c r="V101" s="11"/>
      <c r="W101" s="11"/>
      <c r="X101" s="29"/>
      <c r="Y101" s="29"/>
      <c r="Z101" s="29"/>
      <c r="AA101" s="29"/>
      <c r="AB101" s="29"/>
      <c r="AC101" s="29"/>
      <c r="AD101" s="29"/>
      <c r="AE101" s="29"/>
      <c r="AF101" s="29"/>
      <c r="AG101" s="29"/>
      <c r="AH101" s="29"/>
      <c r="AI101" s="29"/>
      <c r="AJ101" s="44"/>
      <c r="AK101" s="44"/>
      <c r="AL101" s="44"/>
      <c r="AM101" s="132"/>
      <c r="AN101" s="132"/>
      <c r="AO101" s="132"/>
      <c r="AP101" s="132"/>
      <c r="AQ101" s="132"/>
      <c r="AR101" s="132"/>
      <c r="AS101" s="132"/>
      <c r="AT101" s="55"/>
      <c r="AU101" s="55"/>
      <c r="AV101" s="55"/>
      <c r="AW101" s="55"/>
      <c r="AX101" s="55"/>
      <c r="AY101" s="55"/>
      <c r="AZ101" s="55"/>
      <c r="BA101" s="55"/>
      <c r="BB101" s="55"/>
      <c r="BC101" s="56">
        <f t="shared" si="29"/>
        <v>0</v>
      </c>
      <c r="BD101" s="29"/>
      <c r="BE101" s="29"/>
      <c r="BF101" s="29"/>
      <c r="BG101" s="29"/>
      <c r="BH101" s="11"/>
      <c r="BI101" s="11"/>
      <c r="BJ101" s="42"/>
      <c r="BK101" s="142"/>
      <c r="BL101" s="55"/>
    </row>
    <row r="102" spans="55:63">
      <c r="BC102" s="56">
        <f t="shared" si="29"/>
        <v>0</v>
      </c>
      <c r="BK102" s="143"/>
    </row>
  </sheetData>
  <mergeCells count="66">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L3:BL13"/>
    <mergeCell ref="BL14:BL24"/>
    <mergeCell ref="BL25:BL35"/>
    <mergeCell ref="BL36:BL46"/>
    <mergeCell ref="BL47:BL57"/>
    <mergeCell ref="BM1:BM2"/>
    <mergeCell ref="BN1:BN2"/>
    <mergeCell ref="BO1:BO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47"/>
  <sheetViews>
    <sheetView workbookViewId="0">
      <pane xSplit="2" ySplit="2" topLeftCell="CZ3" activePane="bottomRight" state="frozen"/>
      <selection/>
      <selection pane="topRight"/>
      <selection pane="bottomLeft"/>
      <selection pane="bottomRight" activeCell="DD11" sqref="DD11"/>
    </sheetView>
  </sheetViews>
  <sheetFormatPr defaultColWidth="9.23076923076923" defaultRowHeight="16.8"/>
  <cols>
    <col min="1" max="1" width="5.375" style="1" customWidth="1"/>
    <col min="2" max="2" width="8.875" style="1" customWidth="1"/>
    <col min="3" max="4" width="23.625" style="90" customWidth="1"/>
    <col min="5" max="5" width="20.9230769230769" style="90" customWidth="1"/>
    <col min="6" max="6" width="23.625" style="90" customWidth="1"/>
    <col min="7" max="7" width="18.25" style="1"/>
    <col min="8" max="14" width="23.625" style="90" customWidth="1"/>
    <col min="15" max="15" width="28.4615384615385" style="3" customWidth="1"/>
    <col min="16" max="23" width="28.4615384615385" style="90" customWidth="1"/>
    <col min="24" max="24" width="23.625" style="83" customWidth="1"/>
    <col min="25" max="25" width="23.625" style="91" customWidth="1"/>
    <col min="26" max="26" width="28.4615384615385" style="90" customWidth="1"/>
    <col min="27" max="27" width="23.625" style="91" customWidth="1"/>
    <col min="28" max="31" width="23.625" style="83" customWidth="1"/>
    <col min="32" max="35" width="23.625" style="3" customWidth="1"/>
    <col min="36" max="38" width="23.625" style="83" customWidth="1"/>
    <col min="39" max="47" width="23.625" style="3" customWidth="1"/>
    <col min="48" max="48" width="23.625" style="91" customWidth="1"/>
    <col min="49" max="53" width="23.625" style="83" customWidth="1"/>
    <col min="54" max="63" width="23.625" style="3" customWidth="1"/>
    <col min="64" max="68" width="23.625" style="83" customWidth="1"/>
    <col min="69" max="78" width="23.625" style="3" customWidth="1"/>
    <col min="79" max="83" width="23.625" style="83" customWidth="1"/>
    <col min="84" max="86" width="23.625" style="3" customWidth="1"/>
    <col min="87" max="87" width="35.4134615384615" style="3" customWidth="1"/>
    <col min="88" max="112" width="23.625" style="3" customWidth="1"/>
    <col min="113" max="118" width="27.3076923076923" style="91" customWidth="1"/>
    <col min="119" max="124" width="27.3076923076923" style="83" customWidth="1"/>
    <col min="125" max="125" width="29.6923076923077" style="83" customWidth="1"/>
    <col min="126" max="126" width="20.9230769230769" style="3" customWidth="1"/>
    <col min="127" max="127" width="22.4615384615385" style="83" customWidth="1"/>
    <col min="128" max="128" width="19.8461538461538" style="83" customWidth="1"/>
    <col min="129" max="129" width="22.4615384615385" style="83" customWidth="1"/>
    <col min="130" max="134" width="27.3076923076923" style="83" customWidth="1"/>
    <col min="135" max="136" width="12.9230769230769" style="92" customWidth="1"/>
    <col min="137" max="137" width="10.3076923076923" style="1" customWidth="1"/>
    <col min="138" max="139" width="15.1538461538462" style="1" customWidth="1"/>
    <col min="140" max="140" width="10.6923076923077" style="1" customWidth="1"/>
    <col min="141" max="141" width="20" style="83" customWidth="1"/>
    <col min="142" max="142" width="19.8461538461538" style="3" customWidth="1"/>
    <col min="143" max="143" width="22.4615384615385" style="83" customWidth="1"/>
    <col min="144" max="144" width="19.8461538461538" style="83" customWidth="1"/>
    <col min="145" max="145" width="22.4615384615385" style="83" customWidth="1"/>
    <col min="146" max="150" width="27.3076923076923" style="83" customWidth="1"/>
    <col min="151" max="151" width="11.2307692307692" style="92" customWidth="1"/>
    <col min="152" max="152" width="11.6923076923077" style="92" customWidth="1"/>
    <col min="153" max="153" width="10.3076923076923" style="1" customWidth="1"/>
    <col min="154" max="155" width="15.1538461538462" style="83" customWidth="1"/>
    <col min="156" max="156" width="7.07692307692308" style="3" customWidth="1"/>
    <col min="157" max="157" width="19.8461538461538" style="3" customWidth="1"/>
    <col min="158" max="158" width="22.4615384615385" style="83" customWidth="1"/>
    <col min="159" max="159" width="19.8461538461538" style="93" customWidth="1"/>
    <col min="160" max="160" width="22.4615384615385" style="83" customWidth="1"/>
    <col min="161" max="161" width="27.3076923076923" style="83" customWidth="1"/>
    <col min="162" max="162" width="11.2307692307692" style="93" customWidth="1"/>
    <col min="163" max="163" width="11.6923076923077" style="93" customWidth="1"/>
    <col min="164" max="164" width="12.0769230769231" style="90" customWidth="1"/>
    <col min="165" max="165" width="15.1538461538462" style="83" customWidth="1"/>
    <col min="166" max="166" width="10.3076923076923" style="83" customWidth="1"/>
    <col min="167" max="167" width="6" customWidth="1"/>
    <col min="168" max="168" width="18.3076923076923" customWidth="1"/>
  </cols>
  <sheetData>
    <row r="1" spans="1:167">
      <c r="A1" s="4" t="s">
        <v>1</v>
      </c>
      <c r="B1" s="4" t="s">
        <v>0</v>
      </c>
      <c r="C1" s="11" t="s">
        <v>88</v>
      </c>
      <c r="D1" s="11" t="s">
        <v>89</v>
      </c>
      <c r="E1" s="11" t="s">
        <v>90</v>
      </c>
      <c r="F1" s="11" t="s">
        <v>91</v>
      </c>
      <c r="G1" s="4" t="s">
        <v>92</v>
      </c>
      <c r="H1" s="11" t="s">
        <v>93</v>
      </c>
      <c r="I1" s="11" t="s">
        <v>94</v>
      </c>
      <c r="J1" s="11" t="s">
        <v>43</v>
      </c>
      <c r="K1" s="11" t="s">
        <v>41</v>
      </c>
      <c r="L1" s="11" t="s">
        <v>42</v>
      </c>
      <c r="M1" s="11" t="s">
        <v>95</v>
      </c>
      <c r="N1" s="11" t="s">
        <v>96</v>
      </c>
      <c r="O1" s="11" t="s">
        <v>97</v>
      </c>
      <c r="P1" s="11"/>
      <c r="Q1" s="11"/>
      <c r="R1" s="11"/>
      <c r="S1" s="11"/>
      <c r="T1" s="11"/>
      <c r="U1" s="11" t="s">
        <v>98</v>
      </c>
      <c r="V1" s="11"/>
      <c r="W1" s="11"/>
      <c r="X1" s="11"/>
      <c r="Y1" s="11"/>
      <c r="Z1" s="11" t="s">
        <v>99</v>
      </c>
      <c r="AA1" s="11" t="s">
        <v>100</v>
      </c>
      <c r="AB1" s="42" t="s">
        <v>100</v>
      </c>
      <c r="AC1" s="101"/>
      <c r="AD1" s="101" t="s">
        <v>101</v>
      </c>
      <c r="AE1" s="42"/>
      <c r="AF1" s="42"/>
      <c r="AG1" s="42"/>
      <c r="AH1" s="42"/>
      <c r="AI1" s="42"/>
      <c r="AJ1" s="42"/>
      <c r="AK1" s="42"/>
      <c r="AL1" s="42"/>
      <c r="AM1" s="100" t="s">
        <v>102</v>
      </c>
      <c r="AN1" s="100"/>
      <c r="AO1" s="100"/>
      <c r="AP1" s="100"/>
      <c r="AQ1" s="100"/>
      <c r="AR1" s="100" t="s">
        <v>103</v>
      </c>
      <c r="AS1" s="100"/>
      <c r="AT1" s="100"/>
      <c r="AU1" s="100"/>
      <c r="AV1" s="100"/>
      <c r="AW1" s="100" t="s">
        <v>104</v>
      </c>
      <c r="AX1" s="100"/>
      <c r="AY1" s="100"/>
      <c r="AZ1" s="100"/>
      <c r="BA1" s="42"/>
      <c r="BB1" s="100" t="s">
        <v>105</v>
      </c>
      <c r="BC1" s="100"/>
      <c r="BD1" s="100"/>
      <c r="BE1" s="100"/>
      <c r="BF1" s="100"/>
      <c r="BG1" s="100" t="s">
        <v>106</v>
      </c>
      <c r="BH1" s="100"/>
      <c r="BI1" s="100"/>
      <c r="BJ1" s="100"/>
      <c r="BK1" s="100"/>
      <c r="BL1" s="42" t="s">
        <v>107</v>
      </c>
      <c r="BM1" s="42"/>
      <c r="BN1" s="42"/>
      <c r="BO1" s="42"/>
      <c r="BP1" s="42"/>
      <c r="BQ1" s="100" t="s">
        <v>108</v>
      </c>
      <c r="BR1" s="100"/>
      <c r="BS1" s="100"/>
      <c r="BT1" s="100"/>
      <c r="BU1" s="100"/>
      <c r="BV1" s="100" t="s">
        <v>109</v>
      </c>
      <c r="BW1" s="100"/>
      <c r="BX1" s="100"/>
      <c r="BY1" s="100"/>
      <c r="BZ1" s="100"/>
      <c r="CA1" s="42" t="s">
        <v>110</v>
      </c>
      <c r="CB1" s="42"/>
      <c r="CC1" s="42"/>
      <c r="CD1" s="42"/>
      <c r="CE1" s="42"/>
      <c r="CF1" s="100"/>
      <c r="CG1" s="100"/>
      <c r="CH1" s="100" t="s">
        <v>111</v>
      </c>
      <c r="CI1" s="100"/>
      <c r="CJ1" s="100"/>
      <c r="CK1" s="100"/>
      <c r="CL1" s="100"/>
      <c r="CM1" s="100"/>
      <c r="CN1" s="100"/>
      <c r="CO1" s="100"/>
      <c r="CP1" s="100"/>
      <c r="CQ1" s="100"/>
      <c r="CR1" s="100"/>
      <c r="CS1" s="100"/>
      <c r="CT1" s="100"/>
      <c r="CU1" s="100"/>
      <c r="CV1" s="100"/>
      <c r="CW1" s="100"/>
      <c r="CX1" s="100"/>
      <c r="CY1" s="100"/>
      <c r="CZ1" s="100"/>
      <c r="DA1" s="100"/>
      <c r="DB1" s="100"/>
      <c r="DC1" s="100"/>
      <c r="DD1" s="100"/>
      <c r="DE1" s="100" t="s">
        <v>112</v>
      </c>
      <c r="DF1" s="100"/>
      <c r="DG1" s="100"/>
      <c r="DH1" s="100"/>
      <c r="DI1" s="100"/>
      <c r="DJ1" s="100" t="s">
        <v>113</v>
      </c>
      <c r="DK1" s="100"/>
      <c r="DL1" s="100"/>
      <c r="DM1" s="100"/>
      <c r="DN1" s="100"/>
      <c r="DO1" s="42" t="s">
        <v>114</v>
      </c>
      <c r="DP1" s="42"/>
      <c r="DQ1" s="42"/>
      <c r="DR1" s="42"/>
      <c r="DS1" s="42"/>
      <c r="DT1" s="42" t="s">
        <v>115</v>
      </c>
      <c r="DU1" s="42" t="s">
        <v>116</v>
      </c>
      <c r="DV1" s="11" t="s">
        <v>117</v>
      </c>
      <c r="DW1" s="11"/>
      <c r="DX1" s="11"/>
      <c r="DY1" s="11"/>
      <c r="DZ1" s="11"/>
      <c r="EA1" s="11"/>
      <c r="EB1" s="11"/>
      <c r="EC1" s="11"/>
      <c r="ED1" s="11"/>
      <c r="EE1" s="11"/>
      <c r="EF1" s="11"/>
      <c r="EG1" s="11"/>
      <c r="EH1" s="11"/>
      <c r="EI1" s="11"/>
      <c r="EJ1" s="11"/>
      <c r="EK1" s="11"/>
      <c r="EL1" s="11" t="s">
        <v>118</v>
      </c>
      <c r="EM1" s="42"/>
      <c r="EN1" s="42"/>
      <c r="EO1" s="42"/>
      <c r="EP1" s="42"/>
      <c r="EQ1" s="42"/>
      <c r="ER1" s="42"/>
      <c r="ES1" s="42"/>
      <c r="ET1" s="42"/>
      <c r="EU1" s="112"/>
      <c r="EV1" s="112"/>
      <c r="EW1" s="11"/>
      <c r="EX1" s="42"/>
      <c r="EY1" s="42"/>
      <c r="EZ1" s="11"/>
      <c r="FA1" s="11" t="s">
        <v>119</v>
      </c>
      <c r="FB1" s="42"/>
      <c r="FC1" s="11"/>
      <c r="FD1" s="42"/>
      <c r="FE1" s="42"/>
      <c r="FF1" s="112"/>
      <c r="FG1" s="112"/>
      <c r="FH1" s="11"/>
      <c r="FI1" s="42"/>
      <c r="FJ1" s="42"/>
      <c r="FK1" s="11"/>
    </row>
    <row r="2" ht="51" spans="1:167">
      <c r="A2" s="4"/>
      <c r="B2" s="4"/>
      <c r="C2" s="11"/>
      <c r="D2" s="11"/>
      <c r="E2" s="11"/>
      <c r="F2" s="11"/>
      <c r="G2" s="4"/>
      <c r="H2" s="11"/>
      <c r="I2" s="11"/>
      <c r="J2" s="11"/>
      <c r="K2" s="11"/>
      <c r="L2" s="11"/>
      <c r="M2" s="11"/>
      <c r="N2" s="11"/>
      <c r="O2" s="96" t="s">
        <v>120</v>
      </c>
      <c r="P2" s="96" t="s">
        <v>121</v>
      </c>
      <c r="Q2" s="96" t="s">
        <v>122</v>
      </c>
      <c r="R2" s="96" t="s">
        <v>123</v>
      </c>
      <c r="S2" s="96" t="s">
        <v>124</v>
      </c>
      <c r="T2" s="96" t="s">
        <v>125</v>
      </c>
      <c r="U2" s="96" t="s">
        <v>126</v>
      </c>
      <c r="V2" s="96" t="s">
        <v>127</v>
      </c>
      <c r="W2" s="96" t="s">
        <v>128</v>
      </c>
      <c r="X2" s="88" t="s">
        <v>129</v>
      </c>
      <c r="Y2" s="99" t="s">
        <v>125</v>
      </c>
      <c r="Z2" s="11"/>
      <c r="AA2" s="11"/>
      <c r="AB2" s="42"/>
      <c r="AC2" s="101"/>
      <c r="AD2" s="101" t="s">
        <v>130</v>
      </c>
      <c r="AE2" s="42" t="s">
        <v>90</v>
      </c>
      <c r="AF2" s="11" t="s">
        <v>91</v>
      </c>
      <c r="AG2" s="11" t="s">
        <v>92</v>
      </c>
      <c r="AH2" s="11" t="s">
        <v>93</v>
      </c>
      <c r="AI2" s="11" t="s">
        <v>94</v>
      </c>
      <c r="AJ2" s="42" t="s">
        <v>41</v>
      </c>
      <c r="AK2" s="42" t="s">
        <v>42</v>
      </c>
      <c r="AL2" s="42" t="s">
        <v>96</v>
      </c>
      <c r="AM2" s="11" t="s">
        <v>131</v>
      </c>
      <c r="AN2" s="11" t="s">
        <v>132</v>
      </c>
      <c r="AO2" s="96" t="s">
        <v>133</v>
      </c>
      <c r="AP2" s="11" t="s">
        <v>134</v>
      </c>
      <c r="AQ2" s="11" t="s">
        <v>125</v>
      </c>
      <c r="AR2" s="11" t="s">
        <v>131</v>
      </c>
      <c r="AS2" s="11" t="s">
        <v>132</v>
      </c>
      <c r="AT2" s="96" t="s">
        <v>133</v>
      </c>
      <c r="AU2" s="11" t="s">
        <v>134</v>
      </c>
      <c r="AV2" s="11" t="s">
        <v>125</v>
      </c>
      <c r="AW2" s="42" t="s">
        <v>131</v>
      </c>
      <c r="AX2" s="42" t="s">
        <v>132</v>
      </c>
      <c r="AY2" s="88" t="s">
        <v>133</v>
      </c>
      <c r="AZ2" s="42" t="s">
        <v>134</v>
      </c>
      <c r="BA2" s="42" t="s">
        <v>125</v>
      </c>
      <c r="BB2" s="11" t="s">
        <v>131</v>
      </c>
      <c r="BC2" s="11" t="s">
        <v>132</v>
      </c>
      <c r="BD2" s="96" t="s">
        <v>135</v>
      </c>
      <c r="BE2" s="11" t="s">
        <v>134</v>
      </c>
      <c r="BF2" s="11" t="s">
        <v>125</v>
      </c>
      <c r="BG2" s="11" t="s">
        <v>131</v>
      </c>
      <c r="BH2" s="11" t="s">
        <v>132</v>
      </c>
      <c r="BI2" s="96" t="s">
        <v>135</v>
      </c>
      <c r="BJ2" s="11" t="s">
        <v>134</v>
      </c>
      <c r="BK2" s="11" t="s">
        <v>125</v>
      </c>
      <c r="BL2" s="42" t="s">
        <v>131</v>
      </c>
      <c r="BM2" s="42" t="s">
        <v>132</v>
      </c>
      <c r="BN2" s="88" t="s">
        <v>135</v>
      </c>
      <c r="BO2" s="42" t="s">
        <v>134</v>
      </c>
      <c r="BP2" s="42" t="s">
        <v>125</v>
      </c>
      <c r="BQ2" s="11" t="s">
        <v>131</v>
      </c>
      <c r="BR2" s="11" t="s">
        <v>132</v>
      </c>
      <c r="BS2" s="96" t="s">
        <v>135</v>
      </c>
      <c r="BT2" s="11" t="s">
        <v>134</v>
      </c>
      <c r="BU2" s="11" t="s">
        <v>125</v>
      </c>
      <c r="BV2" s="11" t="s">
        <v>131</v>
      </c>
      <c r="BW2" s="11" t="s">
        <v>132</v>
      </c>
      <c r="BX2" s="96" t="s">
        <v>135</v>
      </c>
      <c r="BY2" s="11" t="s">
        <v>134</v>
      </c>
      <c r="BZ2" s="11" t="s">
        <v>125</v>
      </c>
      <c r="CA2" s="42" t="s">
        <v>131</v>
      </c>
      <c r="CB2" s="42" t="s">
        <v>132</v>
      </c>
      <c r="CC2" s="88" t="s">
        <v>135</v>
      </c>
      <c r="CD2" s="42" t="s">
        <v>134</v>
      </c>
      <c r="CE2" s="42" t="s">
        <v>125</v>
      </c>
      <c r="CF2" s="11" t="s">
        <v>136</v>
      </c>
      <c r="CG2" s="11" t="s">
        <v>137</v>
      </c>
      <c r="CH2" s="105" t="s">
        <v>138</v>
      </c>
      <c r="CI2" s="106" t="s">
        <v>139</v>
      </c>
      <c r="CJ2" s="107" t="s">
        <v>140</v>
      </c>
      <c r="CK2" s="107" t="s">
        <v>141</v>
      </c>
      <c r="CL2" s="107" t="s">
        <v>142</v>
      </c>
      <c r="CM2" s="107" t="s">
        <v>143</v>
      </c>
      <c r="CN2" s="108" t="s">
        <v>144</v>
      </c>
      <c r="CO2" s="108" t="s">
        <v>145</v>
      </c>
      <c r="CP2" s="108" t="s">
        <v>146</v>
      </c>
      <c r="CQ2" s="96" t="s">
        <v>147</v>
      </c>
      <c r="CR2" s="96" t="s">
        <v>148</v>
      </c>
      <c r="CS2" s="96" t="s">
        <v>149</v>
      </c>
      <c r="CT2" s="96" t="s">
        <v>150</v>
      </c>
      <c r="CU2" s="96" t="s">
        <v>151</v>
      </c>
      <c r="CV2" s="96" t="s">
        <v>152</v>
      </c>
      <c r="CW2" s="96" t="s">
        <v>153</v>
      </c>
      <c r="CX2" s="96" t="s">
        <v>154</v>
      </c>
      <c r="CY2" s="96" t="s">
        <v>155</v>
      </c>
      <c r="CZ2" s="96" t="s">
        <v>156</v>
      </c>
      <c r="DA2" s="96" t="s">
        <v>157</v>
      </c>
      <c r="DB2" s="96" t="s">
        <v>158</v>
      </c>
      <c r="DC2" s="11" t="s">
        <v>159</v>
      </c>
      <c r="DD2" s="11" t="s">
        <v>125</v>
      </c>
      <c r="DE2" s="11" t="s">
        <v>160</v>
      </c>
      <c r="DF2" s="11" t="s">
        <v>161</v>
      </c>
      <c r="DG2" s="11" t="s">
        <v>162</v>
      </c>
      <c r="DH2" s="11" t="s">
        <v>163</v>
      </c>
      <c r="DI2" s="100" t="s">
        <v>125</v>
      </c>
      <c r="DJ2" s="11" t="s">
        <v>160</v>
      </c>
      <c r="DK2" s="11" t="s">
        <v>161</v>
      </c>
      <c r="DL2" s="11" t="s">
        <v>162</v>
      </c>
      <c r="DM2" s="11" t="s">
        <v>163</v>
      </c>
      <c r="DN2" s="100" t="s">
        <v>125</v>
      </c>
      <c r="DO2" s="11" t="s">
        <v>160</v>
      </c>
      <c r="DP2" s="11" t="s">
        <v>161</v>
      </c>
      <c r="DQ2" s="11" t="s">
        <v>162</v>
      </c>
      <c r="DR2" s="11" t="s">
        <v>163</v>
      </c>
      <c r="DS2" s="100" t="s">
        <v>125</v>
      </c>
      <c r="DT2" s="42"/>
      <c r="DU2" s="42"/>
      <c r="DV2" s="11" t="s">
        <v>88</v>
      </c>
      <c r="DW2" s="109" t="s">
        <v>164</v>
      </c>
      <c r="DX2" s="110" t="s">
        <v>90</v>
      </c>
      <c r="DY2" s="109" t="s">
        <v>165</v>
      </c>
      <c r="DZ2" s="109" t="s">
        <v>166</v>
      </c>
      <c r="EA2" s="42" t="s">
        <v>160</v>
      </c>
      <c r="EB2" s="42" t="s">
        <v>161</v>
      </c>
      <c r="EC2" s="42" t="s">
        <v>162</v>
      </c>
      <c r="ED2" s="42" t="s">
        <v>163</v>
      </c>
      <c r="EE2" s="111" t="s">
        <v>167</v>
      </c>
      <c r="EF2" s="111" t="s">
        <v>168</v>
      </c>
      <c r="EG2" s="114" t="s">
        <v>169</v>
      </c>
      <c r="EH2" s="114" t="s">
        <v>170</v>
      </c>
      <c r="EI2" s="114" t="s">
        <v>171</v>
      </c>
      <c r="EJ2" s="114" t="s">
        <v>172</v>
      </c>
      <c r="EK2" s="42" t="s">
        <v>173</v>
      </c>
      <c r="EL2" s="11" t="s">
        <v>88</v>
      </c>
      <c r="EM2" s="42" t="s">
        <v>164</v>
      </c>
      <c r="EN2" s="11" t="s">
        <v>90</v>
      </c>
      <c r="EO2" s="42" t="s">
        <v>165</v>
      </c>
      <c r="EP2" s="42" t="s">
        <v>166</v>
      </c>
      <c r="EQ2" s="42" t="s">
        <v>160</v>
      </c>
      <c r="ER2" s="42" t="s">
        <v>161</v>
      </c>
      <c r="ES2" s="42" t="s">
        <v>162</v>
      </c>
      <c r="ET2" s="42" t="s">
        <v>163</v>
      </c>
      <c r="EU2" s="112" t="s">
        <v>174</v>
      </c>
      <c r="EV2" s="112" t="s">
        <v>168</v>
      </c>
      <c r="EW2" s="4" t="s">
        <v>169</v>
      </c>
      <c r="EX2" s="42" t="s">
        <v>170</v>
      </c>
      <c r="EY2" s="42" t="s">
        <v>171</v>
      </c>
      <c r="EZ2" s="11" t="s">
        <v>172</v>
      </c>
      <c r="FA2" s="11" t="s">
        <v>88</v>
      </c>
      <c r="FB2" s="42" t="s">
        <v>164</v>
      </c>
      <c r="FC2" s="11" t="s">
        <v>90</v>
      </c>
      <c r="FD2" s="42" t="s">
        <v>165</v>
      </c>
      <c r="FE2" s="42" t="s">
        <v>166</v>
      </c>
      <c r="FF2" s="112" t="s">
        <v>174</v>
      </c>
      <c r="FG2" s="112" t="s">
        <v>168</v>
      </c>
      <c r="FH2" s="11" t="s">
        <v>169</v>
      </c>
      <c r="FI2" s="42" t="s">
        <v>170</v>
      </c>
      <c r="FJ2" s="42" t="s">
        <v>175</v>
      </c>
      <c r="FK2" s="4" t="s">
        <v>172</v>
      </c>
    </row>
    <row r="3" spans="1:167">
      <c r="A3" s="4">
        <v>2022</v>
      </c>
      <c r="B3" s="4" t="s">
        <v>68</v>
      </c>
      <c r="C3" s="29">
        <v>25609651543.29</v>
      </c>
      <c r="D3" s="29">
        <v>18517973318.04</v>
      </c>
      <c r="E3" s="11">
        <v>16471824416.06</v>
      </c>
      <c r="F3" s="11">
        <v>207194179.94</v>
      </c>
      <c r="G3" s="23">
        <v>1378053856.94</v>
      </c>
      <c r="H3" s="11">
        <v>441740962.78</v>
      </c>
      <c r="I3" s="11">
        <v>751338973.38</v>
      </c>
      <c r="J3" s="11">
        <v>-732179071.06</v>
      </c>
      <c r="K3" s="11">
        <v>7352280924.22</v>
      </c>
      <c r="L3" s="11">
        <v>7364206015.29</v>
      </c>
      <c r="M3" s="11">
        <v>1161039435.23</v>
      </c>
      <c r="N3" s="11">
        <v>6203166580.06</v>
      </c>
      <c r="O3" s="11">
        <v>793275718.83</v>
      </c>
      <c r="P3" s="11">
        <v>365379.75</v>
      </c>
      <c r="Q3" s="11">
        <v>18190143.29</v>
      </c>
      <c r="R3" s="11">
        <v>20124772.21</v>
      </c>
      <c r="S3" s="11">
        <v>5235505.32</v>
      </c>
      <c r="T3" s="11">
        <f>SUM(O3:S3)</f>
        <v>837191519.4</v>
      </c>
      <c r="U3" s="11">
        <v>1517900662.63</v>
      </c>
      <c r="V3" s="11">
        <v>15690050000</v>
      </c>
      <c r="W3" s="11">
        <v>94500062.04</v>
      </c>
      <c r="X3" s="42"/>
      <c r="Y3" s="100">
        <f>U3+W3</f>
        <v>1612400724.67</v>
      </c>
      <c r="Z3" s="11">
        <f>N3+T3</f>
        <v>7040358099.46</v>
      </c>
      <c r="AA3" s="100">
        <f>Z3-Y14</f>
        <v>6253994132.97455</v>
      </c>
      <c r="AB3" s="42">
        <f t="shared" ref="AB3:AB12" si="0">(AA3-AA4)/AA4</f>
        <v>-0.156787927647609</v>
      </c>
      <c r="AC3" s="101"/>
      <c r="AD3" s="101">
        <f>D3/C3</f>
        <v>0.723085719723192</v>
      </c>
      <c r="AE3" s="42">
        <f>E3/$C3</f>
        <v>0.64318815069453</v>
      </c>
      <c r="AF3" s="42">
        <f>F3/$C3</f>
        <v>0.00809047243730605</v>
      </c>
      <c r="AG3" s="42">
        <f>G3/$C3</f>
        <v>0.0538099417171127</v>
      </c>
      <c r="AH3" s="42">
        <f>H3/$C3</f>
        <v>0.0172490032530623</v>
      </c>
      <c r="AI3" s="42">
        <f>I3/$C3</f>
        <v>0.0293381177838345</v>
      </c>
      <c r="AJ3" s="42">
        <f>K3/C3</f>
        <v>0.287090236733282</v>
      </c>
      <c r="AK3" s="42">
        <f>L3/C3</f>
        <v>0.287555885047546</v>
      </c>
      <c r="AL3" s="42">
        <f>N3/C3</f>
        <v>0.242219874392836</v>
      </c>
      <c r="AM3" s="100">
        <v>5980660603.16</v>
      </c>
      <c r="AN3" s="100">
        <v>2751064360.38</v>
      </c>
      <c r="AO3" s="100">
        <v>22602015.28</v>
      </c>
      <c r="AP3" s="100">
        <v>8947935.22</v>
      </c>
      <c r="AQ3" s="100">
        <f>SUM(AM3:AP3)</f>
        <v>8763274914.04</v>
      </c>
      <c r="AR3" s="100">
        <f>AM3-AM4</f>
        <v>754076704.52</v>
      </c>
      <c r="AS3" s="100">
        <f>AN3-AN4</f>
        <v>605287820.91</v>
      </c>
      <c r="AT3" s="100">
        <f>AO3-AO4</f>
        <v>12218887.13</v>
      </c>
      <c r="AU3" s="100">
        <f>AP3-AP4</f>
        <v>3361928.29</v>
      </c>
      <c r="AV3" s="100">
        <f>AQ3-AQ4</f>
        <v>1374945340.85</v>
      </c>
      <c r="AW3" s="98">
        <f>(AM3-AM4)/AM4</f>
        <v>0.144277164424016</v>
      </c>
      <c r="AX3" s="98">
        <f>(AN3-AN4)/AN4</f>
        <v>0.282083343617646</v>
      </c>
      <c r="AY3" s="98">
        <f>(AO3-AO4)/AO4</f>
        <v>1.17680211141379</v>
      </c>
      <c r="AZ3" s="98">
        <f>(AP3-AP4)/AP4</f>
        <v>0.601848213245951</v>
      </c>
      <c r="BA3" s="98">
        <f>(AQ3-AQ4)/AQ4</f>
        <v>0.186096915037366</v>
      </c>
      <c r="BB3" s="100">
        <v>3603555649.27</v>
      </c>
      <c r="BC3" s="100">
        <v>935467464.43</v>
      </c>
      <c r="BD3" s="100">
        <v>12077489.04</v>
      </c>
      <c r="BE3" s="100">
        <v>5393591.43</v>
      </c>
      <c r="BF3" s="100">
        <f t="shared" ref="BF3:BF12" si="1">SUM(BB3:BE3)</f>
        <v>4556494194.17</v>
      </c>
      <c r="BG3" s="100">
        <f>BB3-BB4</f>
        <v>641576739.78</v>
      </c>
      <c r="BH3" s="100">
        <f>BC3-BC4</f>
        <v>133110051.17</v>
      </c>
      <c r="BI3" s="100">
        <f>BD3-BD4</f>
        <v>6588672.59</v>
      </c>
      <c r="BJ3" s="100">
        <f>BE3-BE4</f>
        <v>1111801.73</v>
      </c>
      <c r="BK3" s="100">
        <f>BF3-BF4</f>
        <v>782387265.27</v>
      </c>
      <c r="BL3" s="98">
        <f>(BB3-BB4)/BB4</f>
        <v>0.21660408780239</v>
      </c>
      <c r="BM3" s="42">
        <f>(BC3-BC4)/BC4</f>
        <v>0.1658986992208</v>
      </c>
      <c r="BN3" s="98">
        <f>(BD3-BD4)/BD4</f>
        <v>1.20038129349361</v>
      </c>
      <c r="BO3" s="98">
        <f>(BE3-BE4)/BE4</f>
        <v>0.259658182184893</v>
      </c>
      <c r="BP3" s="98">
        <f>(BF3-BF4)/BF4</f>
        <v>0.207303947664788</v>
      </c>
      <c r="BQ3" s="100">
        <f t="shared" ref="BQ3:BQ12" si="2">AM3-BB3</f>
        <v>2377104953.89</v>
      </c>
      <c r="BR3" s="100">
        <f t="shared" ref="BR3:BR12" si="3">AN3-BC3</f>
        <v>1815596895.95</v>
      </c>
      <c r="BS3" s="100">
        <f t="shared" ref="BS3:BS12" si="4">AO3-BD3</f>
        <v>10524526.24</v>
      </c>
      <c r="BT3" s="100">
        <f t="shared" ref="BT3:BT12" si="5">AP3-BE3</f>
        <v>3554343.79</v>
      </c>
      <c r="BU3" s="100">
        <f>SUM(BQ3:BT3)</f>
        <v>4206780719.87</v>
      </c>
      <c r="BV3" s="100">
        <f>BQ3-BQ4</f>
        <v>112499964.74</v>
      </c>
      <c r="BW3" s="100">
        <f>BR3-BR4</f>
        <v>472177769.74</v>
      </c>
      <c r="BX3" s="100">
        <f>BS3-BS4</f>
        <v>5630214.54</v>
      </c>
      <c r="BY3" s="100">
        <f>BT3-BT4</f>
        <v>2250126.56</v>
      </c>
      <c r="BZ3" s="100">
        <f>BU3-BU4</f>
        <v>592558075.58</v>
      </c>
      <c r="CA3" s="42">
        <f>(BQ3-BQ4)/BQ4</f>
        <v>0.0496775222517838</v>
      </c>
      <c r="CB3" s="42">
        <f>(BR3-BR4)/BR4</f>
        <v>0.351474651899656</v>
      </c>
      <c r="CC3" s="42">
        <f>(BS3-BS4)/BS4</f>
        <v>1.15035880121816</v>
      </c>
      <c r="CD3" s="42">
        <f>(BT3-BT4)/BT4</f>
        <v>1.72526976966866</v>
      </c>
      <c r="CE3" s="98">
        <f>(BU3-BU4)/BU4</f>
        <v>0.163951735656397</v>
      </c>
      <c r="CF3" s="100"/>
      <c r="CG3" s="100"/>
      <c r="CH3" s="100">
        <v>76225251.89</v>
      </c>
      <c r="CI3" s="100">
        <v>49299031.05</v>
      </c>
      <c r="CJ3" s="100">
        <v>10972060.55</v>
      </c>
      <c r="CK3" s="100">
        <v>2117724.44</v>
      </c>
      <c r="CL3" s="100">
        <v>4420632.02</v>
      </c>
      <c r="CM3" s="100">
        <v>76142210.44</v>
      </c>
      <c r="CN3" s="100"/>
      <c r="CO3" s="100"/>
      <c r="CP3" s="100"/>
      <c r="CQ3" s="100">
        <v>55359446.87</v>
      </c>
      <c r="CR3" s="100">
        <v>50432359.04</v>
      </c>
      <c r="CS3" s="100"/>
      <c r="CT3" s="100"/>
      <c r="CU3" s="100"/>
      <c r="CV3" s="100"/>
      <c r="CW3" s="100"/>
      <c r="CX3" s="100"/>
      <c r="CY3" s="100"/>
      <c r="CZ3" s="100"/>
      <c r="DA3" s="100">
        <v>620992602.63</v>
      </c>
      <c r="DB3" s="100"/>
      <c r="DC3" s="100">
        <v>233916949.84</v>
      </c>
      <c r="DD3" s="100">
        <f t="shared" ref="DD3:DD12" si="6">SUM(CF3:DC3)</f>
        <v>1179878268.77</v>
      </c>
      <c r="DE3" s="100">
        <v>12554845406.05</v>
      </c>
      <c r="DF3" s="100">
        <v>1234018760.73</v>
      </c>
      <c r="DG3" s="100">
        <v>416943079.69</v>
      </c>
      <c r="DH3" s="100">
        <v>757336449.14</v>
      </c>
      <c r="DI3" s="100">
        <f t="shared" ref="DI3:DI12" si="7">SUM(DE3:DH3)</f>
        <v>14963143695.61</v>
      </c>
      <c r="DJ3" s="100">
        <f>DE3-DE4</f>
        <v>513031635.33</v>
      </c>
      <c r="DK3" s="100">
        <f>DF3-DF4</f>
        <v>129990958.2</v>
      </c>
      <c r="DL3" s="100">
        <f>DG3-DG4</f>
        <v>78325092.23</v>
      </c>
      <c r="DM3" s="100">
        <f>DH3-DH4</f>
        <v>32703274.89</v>
      </c>
      <c r="DN3" s="100">
        <f>DI3-DI4</f>
        <v>754050960.650002</v>
      </c>
      <c r="DO3" s="42">
        <f>(DE3-DE4)/DE4</f>
        <v>0.0426041828164998</v>
      </c>
      <c r="DP3" s="42">
        <f>(DF3-DF4)/DF4</f>
        <v>0.11774246799049</v>
      </c>
      <c r="DQ3" s="98">
        <f>(DG3-DG4)/DG4</f>
        <v>0.231308126356555</v>
      </c>
      <c r="DR3" s="42">
        <f>(DH3-DH4)/DH4</f>
        <v>0.0451308000407904</v>
      </c>
      <c r="DS3" s="42">
        <f>(DI3-DI4)/DI4</f>
        <v>0.0530681989846359</v>
      </c>
      <c r="DT3" s="42">
        <f>M3/L3</f>
        <v>0.157659825488231</v>
      </c>
      <c r="DU3" s="42">
        <f t="shared" ref="DU3:DU13" si="8">M3/K3</f>
        <v>0.157915543107893</v>
      </c>
      <c r="DV3" s="11">
        <v>13861182323.73</v>
      </c>
      <c r="DW3" s="42">
        <f t="shared" ref="DW3:DW13" si="9">DV3/C3</f>
        <v>0.541248376624702</v>
      </c>
      <c r="DX3" s="11">
        <v>8277124315.29</v>
      </c>
      <c r="DY3" s="42">
        <f>DX3/E3</f>
        <v>0.502501975872194</v>
      </c>
      <c r="DZ3" s="42">
        <f>DX3/DV3</f>
        <v>0.597144177313054</v>
      </c>
      <c r="EA3" s="42"/>
      <c r="EB3" s="42"/>
      <c r="EC3" s="42"/>
      <c r="ED3" s="42"/>
      <c r="EE3" s="112">
        <v>2502658</v>
      </c>
      <c r="EF3" s="112">
        <v>2468667</v>
      </c>
      <c r="EG3" s="23">
        <f t="shared" ref="EG3:EG9" si="10">DV3/EE3</f>
        <v>5538.58430665716</v>
      </c>
      <c r="EH3" s="42">
        <f t="shared" ref="EH3:EH8" si="11">(EG3-EG4)/EG4</f>
        <v>0.0384893415159133</v>
      </c>
      <c r="EI3" s="42">
        <f t="shared" ref="EI3:EI8" si="12">(EE3-EE4)/EE4</f>
        <v>-0.0592508613748467</v>
      </c>
      <c r="EJ3" s="23">
        <v>55865</v>
      </c>
      <c r="EK3" s="42">
        <f t="shared" ref="EK3:EK9" si="13">EJ3/EE3</f>
        <v>0.022322266965762</v>
      </c>
      <c r="EL3" s="11">
        <v>4416534600.86</v>
      </c>
      <c r="EM3" s="42">
        <f t="shared" ref="EM3:EM13" si="14">EL3/C3</f>
        <v>0.172455864672519</v>
      </c>
      <c r="EN3" s="29">
        <v>2930274011.71</v>
      </c>
      <c r="EO3" s="42">
        <f>EN3/E3</f>
        <v>0.17789614178093</v>
      </c>
      <c r="EP3" s="42">
        <f>EN3/EL3</f>
        <v>0.663478105920286</v>
      </c>
      <c r="EQ3" s="42"/>
      <c r="ER3" s="42"/>
      <c r="ES3" s="42"/>
      <c r="ET3" s="42"/>
      <c r="EU3" s="112">
        <v>877936</v>
      </c>
      <c r="EV3" s="115">
        <v>867822</v>
      </c>
      <c r="EW3" s="23">
        <f t="shared" ref="EW3:EW9" si="15">EL3/EU3</f>
        <v>5030.58833543675</v>
      </c>
      <c r="EX3" s="42">
        <f t="shared" ref="EX3:EX8" si="16">(EW3-EW4)/EW4</f>
        <v>0.0672531942862395</v>
      </c>
      <c r="EY3" s="42">
        <f t="shared" ref="EY3:EY8" si="17">(EU3-EU4)/EU4</f>
        <v>-0.0867894147224854</v>
      </c>
      <c r="EZ3" s="11"/>
      <c r="FA3" s="11">
        <v>2584008717.63</v>
      </c>
      <c r="FB3" s="42">
        <f t="shared" ref="FB3:FB13" si="18">FA3/C3</f>
        <v>0.100899799954796</v>
      </c>
      <c r="FC3" s="29">
        <v>1620613207.54</v>
      </c>
      <c r="FD3" s="42">
        <f>FC3/E3</f>
        <v>0.0983869889943645</v>
      </c>
      <c r="FE3" s="42">
        <f>FC3/FA3</f>
        <v>0.62717017805822</v>
      </c>
      <c r="FF3" s="115">
        <v>284712</v>
      </c>
      <c r="FG3" s="115"/>
      <c r="FH3" s="29">
        <f t="shared" ref="FH3:FH9" si="19">FA3/FF3</f>
        <v>9075.86865896063</v>
      </c>
      <c r="FI3" s="42">
        <f t="shared" ref="FI3:FI8" si="20">(FH3-FH4)/FH4</f>
        <v>0.0538722069517929</v>
      </c>
      <c r="FJ3" s="42">
        <f t="shared" ref="FJ3:FJ8" si="21">(FF3-FF4)/FF4</f>
        <v>-0.0802479704606319</v>
      </c>
      <c r="FK3" s="55"/>
    </row>
    <row r="4" spans="1:167">
      <c r="A4" s="4">
        <v>2021</v>
      </c>
      <c r="B4" s="4"/>
      <c r="C4" s="29">
        <v>25004031043.49</v>
      </c>
      <c r="D4" s="29">
        <v>17493775509.76</v>
      </c>
      <c r="E4" s="11">
        <v>15336858254.4</v>
      </c>
      <c r="F4" s="11">
        <v>218259965.29</v>
      </c>
      <c r="G4" s="23">
        <v>1356919480.01</v>
      </c>
      <c r="H4" s="11">
        <v>394035474.57</v>
      </c>
      <c r="I4" s="11">
        <v>771919701.92</v>
      </c>
      <c r="J4" s="11">
        <v>-584217366.43</v>
      </c>
      <c r="K4" s="11">
        <v>7820419296.51</v>
      </c>
      <c r="L4" s="11">
        <v>7820740015.8</v>
      </c>
      <c r="M4" s="11">
        <v>1149269490.14</v>
      </c>
      <c r="N4" s="11">
        <v>6671470525.66</v>
      </c>
      <c r="O4" s="11">
        <v>710047422.15</v>
      </c>
      <c r="P4" s="11">
        <v>415900.29</v>
      </c>
      <c r="Q4" s="11">
        <v>21310112.64</v>
      </c>
      <c r="R4" s="11">
        <v>12223515.71</v>
      </c>
      <c r="S4" s="11">
        <v>1402298.11</v>
      </c>
      <c r="T4" s="11">
        <f t="shared" ref="T4:T13" si="22">SUM(O4:S4)</f>
        <v>745399248.9</v>
      </c>
      <c r="U4" s="11">
        <v>1030736119.27</v>
      </c>
      <c r="V4" s="11">
        <v>10804900000</v>
      </c>
      <c r="W4" s="11"/>
      <c r="X4" s="42"/>
      <c r="Y4" s="100">
        <f t="shared" ref="Y4:Y14" si="23">U4+W4</f>
        <v>1030736119.27</v>
      </c>
      <c r="Z4" s="11">
        <f t="shared" ref="Z4:Z13" si="24">N4+T4</f>
        <v>7416869774.56</v>
      </c>
      <c r="AA4" s="100">
        <f t="shared" ref="AA4:AA13" si="25">Z4-Y15</f>
        <v>7416869774.56</v>
      </c>
      <c r="AB4" s="42">
        <f t="shared" si="0"/>
        <v>0.0619923987235423</v>
      </c>
      <c r="AC4" s="101"/>
      <c r="AD4" s="101">
        <f t="shared" ref="AD4:AD13" si="26">D4/C4</f>
        <v>0.699638209508408</v>
      </c>
      <c r="AE4" s="42">
        <f t="shared" ref="AE4:AE13" si="27">E4/$C4</f>
        <v>0.613375428454888</v>
      </c>
      <c r="AF4" s="42">
        <f t="shared" ref="AF4:AF13" si="28">F4/$C4</f>
        <v>0.00872899113388462</v>
      </c>
      <c r="AG4" s="42">
        <f t="shared" ref="AG4:AG13" si="29">G4/$C4</f>
        <v>0.0542680289290108</v>
      </c>
      <c r="AH4" s="42">
        <f t="shared" ref="AH4:AH13" si="30">H4/$C4</f>
        <v>0.0157588779938981</v>
      </c>
      <c r="AI4" s="42">
        <f t="shared" ref="AI4:AI13" si="31">I4/$C4</f>
        <v>0.0308718102524103</v>
      </c>
      <c r="AJ4" s="42">
        <f t="shared" ref="AJ4:AJ13" si="32">K4/C4</f>
        <v>0.31276634087151</v>
      </c>
      <c r="AK4" s="42">
        <f t="shared" ref="AK4:AK13" si="33">L4/C4</f>
        <v>0.31277916757491</v>
      </c>
      <c r="AL4" s="42">
        <f t="shared" ref="AL4:AL13" si="34">N4/C4</f>
        <v>0.266815799182787</v>
      </c>
      <c r="AM4" s="100">
        <v>5226583898.64</v>
      </c>
      <c r="AN4" s="100">
        <v>2145776539.47</v>
      </c>
      <c r="AO4" s="100">
        <v>10383128.15</v>
      </c>
      <c r="AP4" s="100">
        <v>5586006.93</v>
      </c>
      <c r="AQ4" s="100">
        <f t="shared" ref="AQ4:AQ12" si="35">SUM(AM4:AP4)</f>
        <v>7388329573.19</v>
      </c>
      <c r="AR4" s="100">
        <f t="shared" ref="AR4:AR12" si="36">AM4-AM5</f>
        <v>382624120.39</v>
      </c>
      <c r="AS4" s="100">
        <f t="shared" ref="AS4:AS12" si="37">AN4-AN5</f>
        <v>17856624.0799999</v>
      </c>
      <c r="AT4" s="100">
        <f t="shared" ref="AT4:AT12" si="38">AO4-AO5</f>
        <v>1592418.44</v>
      </c>
      <c r="AU4" s="100">
        <f t="shared" ref="AU4:AU12" si="39">AP4-AP5</f>
        <v>-949464.930000001</v>
      </c>
      <c r="AV4" s="100">
        <f t="shared" ref="AV4:AV12" si="40">AQ4-AQ5</f>
        <v>401123697.98</v>
      </c>
      <c r="AW4" s="42">
        <f t="shared" ref="AW4:AW12" si="41">(AM4-AM5)/AM5</f>
        <v>0.078989945810044</v>
      </c>
      <c r="AX4" s="42">
        <f t="shared" ref="AX4:AX12" si="42">(AN4-AN5)/AN5</f>
        <v>0.00839158652111548</v>
      </c>
      <c r="AY4" s="42">
        <f t="shared" ref="AY4:AY12" si="43">(AO4-AO5)/AO5</f>
        <v>0.181147881403537</v>
      </c>
      <c r="AZ4" s="42">
        <f t="shared" ref="AZ4:AZ12" si="44">(AP4-AP5)/AP5</f>
        <v>-0.145278711367598</v>
      </c>
      <c r="BA4" s="42">
        <f t="shared" ref="BA4:BA12" si="45">(AQ4-AQ5)/AQ5</f>
        <v>0.0574083124419094</v>
      </c>
      <c r="BB4" s="100">
        <v>2961978909.49</v>
      </c>
      <c r="BC4" s="100">
        <v>802357413.26</v>
      </c>
      <c r="BD4" s="100">
        <v>5488816.45</v>
      </c>
      <c r="BE4" s="100">
        <v>4281789.7</v>
      </c>
      <c r="BF4" s="100">
        <f t="shared" si="1"/>
        <v>3774106928.9</v>
      </c>
      <c r="BG4" s="100">
        <f t="shared" ref="BG4:BG12" si="46">BB4-BB5</f>
        <v>593102589.32</v>
      </c>
      <c r="BH4" s="100">
        <f t="shared" ref="BH4:BH12" si="47">BC4-BC5</f>
        <v>107240625.58</v>
      </c>
      <c r="BI4" s="100">
        <f t="shared" ref="BI4:BI12" si="48">BD4-BD5</f>
        <v>986168.08</v>
      </c>
      <c r="BJ4" s="100">
        <f t="shared" ref="BJ4:BJ12" si="49">BE4-BE5</f>
        <v>-514086.85</v>
      </c>
      <c r="BK4" s="100">
        <f t="shared" ref="BK4:BK12" si="50">BF4-BF5</f>
        <v>700815296.13</v>
      </c>
      <c r="BL4" s="98">
        <f t="shared" ref="BL4:BL12" si="51">(BB4-BB5)/BB5</f>
        <v>0.250372965557542</v>
      </c>
      <c r="BM4" s="42">
        <f t="shared" ref="BM4:BM12" si="52">(BC4-BC5)/BC5</f>
        <v>0.154277133685583</v>
      </c>
      <c r="BN4" s="98">
        <f t="shared" ref="BN4:BN12" si="53">(BD4-BD5)/BD5</f>
        <v>0.219019563368658</v>
      </c>
      <c r="BO4" s="42">
        <f t="shared" ref="BO4:BO12" si="54">(BE4-BE5)/BE5</f>
        <v>-0.107193511893045</v>
      </c>
      <c r="BP4" s="98">
        <f t="shared" ref="BP4:BP12" si="55">(BF4-BF5)/BF5</f>
        <v>0.228034101501245</v>
      </c>
      <c r="BQ4" s="100">
        <f t="shared" si="2"/>
        <v>2264604989.15</v>
      </c>
      <c r="BR4" s="100">
        <f t="shared" si="3"/>
        <v>1343419126.21</v>
      </c>
      <c r="BS4" s="100">
        <f t="shared" si="4"/>
        <v>4894311.7</v>
      </c>
      <c r="BT4" s="100">
        <f t="shared" si="5"/>
        <v>1304217.23</v>
      </c>
      <c r="BU4" s="100">
        <f t="shared" ref="BU4:BU12" si="56">SUM(BQ4:BT4)</f>
        <v>3614222644.29</v>
      </c>
      <c r="BV4" s="100">
        <f t="shared" ref="BV4:BV12" si="57">BQ4-BQ5</f>
        <v>-210478468.93</v>
      </c>
      <c r="BW4" s="100">
        <f t="shared" ref="BW4:BW12" si="58">BR4-BR5</f>
        <v>-89384001.5</v>
      </c>
      <c r="BX4" s="100">
        <f t="shared" ref="BX4:BX12" si="59">BS4-BS5</f>
        <v>606250.36</v>
      </c>
      <c r="BY4" s="100">
        <f t="shared" ref="BY4:BY12" si="60">BT4-BT5</f>
        <v>-435378.08</v>
      </c>
      <c r="BZ4" s="100">
        <f t="shared" ref="BZ4:BZ12" si="61">BU4-BU5</f>
        <v>-299691598.15</v>
      </c>
      <c r="CA4" s="42">
        <f t="shared" ref="CA4:CA12" si="62">(BQ4-BQ5)/BQ5</f>
        <v>-0.0850389380781829</v>
      </c>
      <c r="CB4" s="42">
        <f t="shared" ref="CB4:CB12" si="63">(BR4-BR5)/BR5</f>
        <v>-0.062384007803542</v>
      </c>
      <c r="CC4" s="42">
        <f t="shared" ref="CC4:CC12" si="64">(BS4-BS5)/BS5</f>
        <v>0.141380990599356</v>
      </c>
      <c r="CD4" s="42">
        <f t="shared" ref="CD4:CD12" si="65">(BT4-BT5)/BT5</f>
        <v>-0.250275496546378</v>
      </c>
      <c r="CE4" s="42">
        <f t="shared" ref="CE4:CE12" si="66">(BU4-BU5)/BU5</f>
        <v>-0.0765708136627867</v>
      </c>
      <c r="CF4" s="100"/>
      <c r="CG4" s="100"/>
      <c r="CH4" s="100">
        <v>1784291.03</v>
      </c>
      <c r="CI4" s="100">
        <v>84022340.2</v>
      </c>
      <c r="CJ4" s="100">
        <v>39109610.51</v>
      </c>
      <c r="CK4" s="100">
        <v>133264290.39</v>
      </c>
      <c r="CL4" s="100">
        <v>37606280.58</v>
      </c>
      <c r="CM4" s="100">
        <v>89626027.74</v>
      </c>
      <c r="CN4" s="100"/>
      <c r="CO4" s="100"/>
      <c r="CP4" s="100"/>
      <c r="CQ4" s="100"/>
      <c r="CR4" s="100">
        <v>136855743.73</v>
      </c>
      <c r="CS4" s="100"/>
      <c r="CT4" s="100">
        <v>8315868.18</v>
      </c>
      <c r="CU4" s="100"/>
      <c r="CV4" s="100"/>
      <c r="CW4" s="100"/>
      <c r="CX4" s="100">
        <v>6021039.81</v>
      </c>
      <c r="CY4" s="100"/>
      <c r="CZ4" s="100"/>
      <c r="DA4" s="100">
        <v>230415365.53</v>
      </c>
      <c r="DB4" s="100"/>
      <c r="DC4" s="100">
        <v>156143121.31</v>
      </c>
      <c r="DD4" s="100">
        <f t="shared" si="6"/>
        <v>923163979.01</v>
      </c>
      <c r="DE4" s="100">
        <v>12041813770.72</v>
      </c>
      <c r="DF4" s="100">
        <v>1104027802.53</v>
      </c>
      <c r="DG4" s="100">
        <v>338617987.46</v>
      </c>
      <c r="DH4" s="100">
        <v>724633174.25</v>
      </c>
      <c r="DI4" s="100">
        <f t="shared" si="7"/>
        <v>14209092734.96</v>
      </c>
      <c r="DJ4" s="100">
        <f t="shared" ref="DJ4:DJ12" si="67">DE4-DE5</f>
        <v>1851452756.33</v>
      </c>
      <c r="DK4" s="100">
        <f t="shared" ref="DK4:DK12" si="68">DF4-DF5</f>
        <v>128834757.2</v>
      </c>
      <c r="DL4" s="100">
        <f t="shared" ref="DL4:DL12" si="69">DG4-DG5</f>
        <v>30051008.77</v>
      </c>
      <c r="DM4" s="100">
        <f t="shared" ref="DM4:DM12" si="70">DH4-DH5</f>
        <v>-19117155.13</v>
      </c>
      <c r="DN4" s="100">
        <f t="shared" ref="DN4:DN12" si="71">DI4-DI5</f>
        <v>1991221367.17</v>
      </c>
      <c r="DO4" s="98">
        <f t="shared" ref="DO4:DO12" si="72">(DE4-DE5)/DE5</f>
        <v>0.181686669757384</v>
      </c>
      <c r="DP4" s="98">
        <f t="shared" ref="DP4:DP12" si="73">(DF4-DF5)/DF5</f>
        <v>0.132112054958721</v>
      </c>
      <c r="DQ4" s="42">
        <f t="shared" ref="DQ4:DQ12" si="74">(DG4-DG5)/DG5</f>
        <v>0.0973889328585304</v>
      </c>
      <c r="DR4" s="42">
        <f t="shared" ref="DR4:DR12" si="75">(DH4-DH5)/DH5</f>
        <v>-0.0257037266066642</v>
      </c>
      <c r="DS4" s="98">
        <f t="shared" ref="DS4:DS12" si="76">(DI4-DI5)/DI5</f>
        <v>0.162976127938248</v>
      </c>
      <c r="DT4" s="42">
        <f t="shared" ref="DT4:DT13" si="77">M4/L4</f>
        <v>0.146951501752797</v>
      </c>
      <c r="DU4" s="42">
        <f t="shared" si="8"/>
        <v>0.146957528307067</v>
      </c>
      <c r="DV4" s="11">
        <v>14188105305.9</v>
      </c>
      <c r="DW4" s="42">
        <f t="shared" si="9"/>
        <v>0.56743271839738</v>
      </c>
      <c r="DX4" s="11">
        <v>8099787316.69</v>
      </c>
      <c r="DY4" s="42">
        <f>DX4/E4</f>
        <v>0.528125590152484</v>
      </c>
      <c r="DZ4" s="42">
        <f t="shared" ref="DZ4:DZ13" si="78">DX4/DV4</f>
        <v>0.570885762549406</v>
      </c>
      <c r="EA4" s="42"/>
      <c r="EB4" s="42"/>
      <c r="EC4" s="42"/>
      <c r="ED4" s="42"/>
      <c r="EE4" s="112">
        <v>2660282</v>
      </c>
      <c r="EF4" s="112">
        <v>2647215</v>
      </c>
      <c r="EG4" s="23">
        <f t="shared" si="10"/>
        <v>5333.30876422124</v>
      </c>
      <c r="EH4" s="42">
        <f t="shared" si="11"/>
        <v>0.00311286715276948</v>
      </c>
      <c r="EI4" s="42">
        <f t="shared" si="12"/>
        <v>0.0843860477951592</v>
      </c>
      <c r="EJ4" s="23">
        <v>89856</v>
      </c>
      <c r="EK4" s="42">
        <f t="shared" si="13"/>
        <v>0.0337768702716479</v>
      </c>
      <c r="EL4" s="11">
        <v>4531513070.84</v>
      </c>
      <c r="EM4" s="42">
        <f t="shared" si="14"/>
        <v>0.181231300783392</v>
      </c>
      <c r="EN4" s="29">
        <v>2963142018.97</v>
      </c>
      <c r="EO4" s="42">
        <f>EN4/E4</f>
        <v>0.193203977621682</v>
      </c>
      <c r="EP4" s="42">
        <f t="shared" ref="EP4:EP9" si="79">EN4/EL4</f>
        <v>0.65389682709681</v>
      </c>
      <c r="EQ4" s="42"/>
      <c r="ER4" s="42"/>
      <c r="ES4" s="42"/>
      <c r="ET4" s="42"/>
      <c r="EU4" s="112">
        <v>961373</v>
      </c>
      <c r="EV4" s="115">
        <v>955618</v>
      </c>
      <c r="EW4" s="23">
        <f t="shared" si="15"/>
        <v>4713.58470733004</v>
      </c>
      <c r="EX4" s="42">
        <f t="shared" si="16"/>
        <v>-0.0115123547648422</v>
      </c>
      <c r="EY4" s="42">
        <f t="shared" si="17"/>
        <v>0.114603054983914</v>
      </c>
      <c r="EZ4" s="11"/>
      <c r="FA4" s="11">
        <v>2665847293.87</v>
      </c>
      <c r="FB4" s="42">
        <f t="shared" si="18"/>
        <v>0.10661670069251</v>
      </c>
      <c r="FC4" s="29">
        <v>1612313007.28</v>
      </c>
      <c r="FD4" s="42">
        <f>FC4/E4</f>
        <v>0.105126681132196</v>
      </c>
      <c r="FE4" s="42">
        <f t="shared" ref="FE4:FE9" si="80">FC4/FA4</f>
        <v>0.604803212467362</v>
      </c>
      <c r="FF4" s="115">
        <v>309553</v>
      </c>
      <c r="FG4" s="115"/>
      <c r="FH4" s="29">
        <f t="shared" si="19"/>
        <v>8611.92524016889</v>
      </c>
      <c r="FI4" s="42">
        <f t="shared" si="20"/>
        <v>0.00402042140971097</v>
      </c>
      <c r="FJ4" s="42">
        <f t="shared" si="21"/>
        <v>0.0519067004669054</v>
      </c>
      <c r="FK4" s="55"/>
    </row>
    <row r="5" spans="1:167">
      <c r="A5" s="4">
        <v>2020</v>
      </c>
      <c r="B5" s="4"/>
      <c r="C5" s="29">
        <v>22791873936.49</v>
      </c>
      <c r="D5" s="29">
        <v>15438560038.05</v>
      </c>
      <c r="E5" s="11">
        <v>13180788066.91</v>
      </c>
      <c r="F5" s="11">
        <v>211339161.22</v>
      </c>
      <c r="G5" s="23">
        <v>1365533071.16</v>
      </c>
      <c r="H5" s="11">
        <v>361389131.13</v>
      </c>
      <c r="I5" s="11">
        <v>711748662.76</v>
      </c>
      <c r="J5" s="11">
        <v>-392238055.13</v>
      </c>
      <c r="K5" s="11">
        <v>7643869224.91</v>
      </c>
      <c r="L5" s="11">
        <v>7642422274.71</v>
      </c>
      <c r="M5" s="11">
        <v>1233392261</v>
      </c>
      <c r="N5" s="11">
        <v>6409030013.71</v>
      </c>
      <c r="O5" s="11">
        <v>565215760.69</v>
      </c>
      <c r="P5" s="11">
        <v>511925.53</v>
      </c>
      <c r="Q5" s="11"/>
      <c r="R5" s="11">
        <v>8699435.14</v>
      </c>
      <c r="S5" s="11">
        <v>462696.63</v>
      </c>
      <c r="T5" s="11">
        <f t="shared" si="22"/>
        <v>574889817.99</v>
      </c>
      <c r="U5" s="11">
        <v>906995127.4</v>
      </c>
      <c r="V5" s="11">
        <v>8579500000</v>
      </c>
      <c r="W5" s="11">
        <v>57787351.7</v>
      </c>
      <c r="X5" s="97">
        <v>70550695.66</v>
      </c>
      <c r="Y5" s="100">
        <f t="shared" si="23"/>
        <v>964782479.1</v>
      </c>
      <c r="Z5" s="11">
        <f t="shared" si="24"/>
        <v>6983919831.7</v>
      </c>
      <c r="AA5" s="100">
        <f t="shared" si="25"/>
        <v>6983919831.7</v>
      </c>
      <c r="AB5" s="42">
        <f t="shared" si="0"/>
        <v>0.196932553643746</v>
      </c>
      <c r="AC5" s="101"/>
      <c r="AD5" s="101">
        <f t="shared" si="26"/>
        <v>0.677371245605774</v>
      </c>
      <c r="AE5" s="42">
        <f t="shared" si="27"/>
        <v>0.578310853404969</v>
      </c>
      <c r="AF5" s="42">
        <f t="shared" si="28"/>
        <v>0.00927256625799619</v>
      </c>
      <c r="AG5" s="42">
        <f t="shared" si="29"/>
        <v>0.0599131547921459</v>
      </c>
      <c r="AH5" s="42">
        <f t="shared" si="30"/>
        <v>0.0158560516847811</v>
      </c>
      <c r="AI5" s="42">
        <f t="shared" si="31"/>
        <v>0.0312281765309558</v>
      </c>
      <c r="AJ5" s="42">
        <f t="shared" si="32"/>
        <v>0.335376952602045</v>
      </c>
      <c r="AK5" s="42">
        <f t="shared" si="33"/>
        <v>0.335313467247395</v>
      </c>
      <c r="AL5" s="42">
        <f t="shared" si="34"/>
        <v>0.281198028366114</v>
      </c>
      <c r="AM5" s="100">
        <v>4843959778.25</v>
      </c>
      <c r="AN5" s="100">
        <v>2127919915.39</v>
      </c>
      <c r="AO5" s="100">
        <v>8790709.71</v>
      </c>
      <c r="AP5" s="103">
        <v>6535471.86</v>
      </c>
      <c r="AQ5" s="100">
        <f t="shared" si="35"/>
        <v>6987205875.21</v>
      </c>
      <c r="AR5" s="100">
        <f t="shared" si="36"/>
        <v>773881509.03</v>
      </c>
      <c r="AS5" s="100">
        <f t="shared" si="37"/>
        <v>208864702.44</v>
      </c>
      <c r="AT5" s="100">
        <f t="shared" si="38"/>
        <v>-17857241.2</v>
      </c>
      <c r="AU5" s="100">
        <f t="shared" si="39"/>
        <v>1384140.27</v>
      </c>
      <c r="AV5" s="100">
        <f t="shared" si="40"/>
        <v>966273110.54</v>
      </c>
      <c r="AW5" s="98">
        <f t="shared" si="41"/>
        <v>0.190139220388582</v>
      </c>
      <c r="AX5" s="98">
        <f t="shared" si="42"/>
        <v>0.10883725545287</v>
      </c>
      <c r="AY5" s="42">
        <f t="shared" si="43"/>
        <v>-0.670116860403658</v>
      </c>
      <c r="AZ5" s="98">
        <f t="shared" si="44"/>
        <v>0.268695626716587</v>
      </c>
      <c r="BA5" s="98">
        <f t="shared" si="45"/>
        <v>0.160485617147223</v>
      </c>
      <c r="BB5" s="100">
        <v>2368876320.17</v>
      </c>
      <c r="BC5" s="100">
        <v>695116787.68</v>
      </c>
      <c r="BD5" s="100">
        <v>4502648.37</v>
      </c>
      <c r="BE5" s="100">
        <v>4795876.55</v>
      </c>
      <c r="BF5" s="100">
        <f t="shared" si="1"/>
        <v>3073291632.77</v>
      </c>
      <c r="BG5" s="100">
        <f t="shared" si="46"/>
        <v>417361947.81</v>
      </c>
      <c r="BH5" s="100">
        <f t="shared" si="47"/>
        <v>99809173.13</v>
      </c>
      <c r="BI5" s="100">
        <f t="shared" si="48"/>
        <v>-17573160.58</v>
      </c>
      <c r="BJ5" s="100">
        <f t="shared" si="49"/>
        <v>1017427.61</v>
      </c>
      <c r="BK5" s="100">
        <f t="shared" si="50"/>
        <v>500615387.97</v>
      </c>
      <c r="BL5" s="98">
        <f t="shared" si="51"/>
        <v>0.213865679761957</v>
      </c>
      <c r="BM5" s="42">
        <f t="shared" si="52"/>
        <v>0.167659829457157</v>
      </c>
      <c r="BN5" s="42">
        <f t="shared" si="53"/>
        <v>-0.79603699324459</v>
      </c>
      <c r="BO5" s="98">
        <f t="shared" si="54"/>
        <v>0.269271234349405</v>
      </c>
      <c r="BP5" s="98">
        <f t="shared" si="55"/>
        <v>0.194589346009574</v>
      </c>
      <c r="BQ5" s="100">
        <f t="shared" si="2"/>
        <v>2475083458.08</v>
      </c>
      <c r="BR5" s="100">
        <f t="shared" si="3"/>
        <v>1432803127.71</v>
      </c>
      <c r="BS5" s="100">
        <f t="shared" si="4"/>
        <v>4288061.34</v>
      </c>
      <c r="BT5" s="100">
        <f t="shared" si="5"/>
        <v>1739595.31</v>
      </c>
      <c r="BU5" s="100">
        <f t="shared" si="56"/>
        <v>3913914242.44</v>
      </c>
      <c r="BV5" s="100">
        <f t="shared" si="57"/>
        <v>356519561.22</v>
      </c>
      <c r="BW5" s="100">
        <f t="shared" si="58"/>
        <v>109055529.31</v>
      </c>
      <c r="BX5" s="100">
        <f t="shared" si="59"/>
        <v>-284080.62</v>
      </c>
      <c r="BY5" s="100">
        <f t="shared" si="60"/>
        <v>366712.66</v>
      </c>
      <c r="BZ5" s="100">
        <f t="shared" si="61"/>
        <v>465657722.57</v>
      </c>
      <c r="CA5" s="98">
        <f t="shared" si="62"/>
        <v>0.16828360086208</v>
      </c>
      <c r="CB5" s="42">
        <f t="shared" si="63"/>
        <v>0.0823839298683633</v>
      </c>
      <c r="CC5" s="42">
        <f t="shared" si="64"/>
        <v>-0.0621329395467852</v>
      </c>
      <c r="CD5" s="42">
        <f t="shared" si="65"/>
        <v>0.26711143884002</v>
      </c>
      <c r="CE5" s="98">
        <f t="shared" si="66"/>
        <v>0.135041497025156</v>
      </c>
      <c r="CF5" s="100"/>
      <c r="CG5" s="100"/>
      <c r="CH5" s="100"/>
      <c r="CI5" s="100"/>
      <c r="CJ5" s="100">
        <v>93497086.3</v>
      </c>
      <c r="CK5" s="100">
        <v>132677788.41</v>
      </c>
      <c r="CL5" s="100"/>
      <c r="CM5" s="100"/>
      <c r="CN5" s="100"/>
      <c r="CO5" s="100">
        <v>137289.1</v>
      </c>
      <c r="CP5" s="100"/>
      <c r="CQ5" s="100"/>
      <c r="CR5" s="100"/>
      <c r="CS5" s="100">
        <v>1067240.78</v>
      </c>
      <c r="CT5" s="100"/>
      <c r="CU5" s="100">
        <v>17598989.86</v>
      </c>
      <c r="CV5" s="100"/>
      <c r="CW5" s="100"/>
      <c r="CX5" s="100"/>
      <c r="CY5" s="100">
        <v>25080889.63</v>
      </c>
      <c r="CZ5" s="100"/>
      <c r="DA5" s="100"/>
      <c r="DB5" s="100"/>
      <c r="DC5" s="100">
        <v>98744545.9</v>
      </c>
      <c r="DD5" s="100">
        <f t="shared" si="6"/>
        <v>368803829.98</v>
      </c>
      <c r="DE5" s="100">
        <v>10190361014.39</v>
      </c>
      <c r="DF5" s="100">
        <v>975193045.33</v>
      </c>
      <c r="DG5" s="100">
        <v>308566978.69</v>
      </c>
      <c r="DH5" s="100">
        <v>743750329.38</v>
      </c>
      <c r="DI5" s="100">
        <f t="shared" si="7"/>
        <v>12217871367.79</v>
      </c>
      <c r="DJ5" s="100">
        <f t="shared" si="67"/>
        <v>1400543903.64</v>
      </c>
      <c r="DK5" s="100">
        <f t="shared" si="68"/>
        <v>111314576.66</v>
      </c>
      <c r="DL5" s="100">
        <f t="shared" si="69"/>
        <v>61474373.23</v>
      </c>
      <c r="DM5" s="100">
        <f t="shared" si="70"/>
        <v>238101138.98</v>
      </c>
      <c r="DN5" s="100">
        <f t="shared" si="71"/>
        <v>1811433992.51</v>
      </c>
      <c r="DO5" s="98">
        <f t="shared" si="72"/>
        <v>0.159337092682751</v>
      </c>
      <c r="DP5" s="42">
        <f t="shared" si="73"/>
        <v>0.128854440406851</v>
      </c>
      <c r="DQ5" s="98">
        <f t="shared" si="74"/>
        <v>0.248790825267944</v>
      </c>
      <c r="DR5" s="98">
        <f t="shared" si="75"/>
        <v>0.470882072987494</v>
      </c>
      <c r="DS5" s="98">
        <f t="shared" si="76"/>
        <v>0.174068600731022</v>
      </c>
      <c r="DT5" s="42">
        <f t="shared" si="77"/>
        <v>0.161387609407752</v>
      </c>
      <c r="DU5" s="42">
        <f t="shared" si="8"/>
        <v>0.161357059456302</v>
      </c>
      <c r="DV5" s="11">
        <v>13043396033.15</v>
      </c>
      <c r="DW5" s="42">
        <f t="shared" si="9"/>
        <v>0.572282738553911</v>
      </c>
      <c r="DX5" s="11">
        <v>6863724532.39</v>
      </c>
      <c r="DY5" s="42">
        <f>DX5/E5</f>
        <v>0.520737037690575</v>
      </c>
      <c r="DZ5" s="42">
        <f t="shared" si="78"/>
        <v>0.52622219818717</v>
      </c>
      <c r="EA5" s="42"/>
      <c r="EB5" s="42"/>
      <c r="EC5" s="42"/>
      <c r="ED5" s="42"/>
      <c r="EE5" s="112">
        <v>2453261</v>
      </c>
      <c r="EF5" s="112">
        <v>2379225</v>
      </c>
      <c r="EG5" s="23">
        <f t="shared" si="10"/>
        <v>5316.75840163358</v>
      </c>
      <c r="EH5" s="42">
        <f t="shared" si="11"/>
        <v>-0.00724148884819736</v>
      </c>
      <c r="EI5" s="42">
        <f t="shared" si="12"/>
        <v>0.129855547700576</v>
      </c>
      <c r="EJ5" s="23">
        <v>102923</v>
      </c>
      <c r="EK5" s="42">
        <f t="shared" si="13"/>
        <v>0.041953546728212</v>
      </c>
      <c r="EL5" s="11">
        <v>4112934207.41</v>
      </c>
      <c r="EM5" s="42">
        <f t="shared" si="14"/>
        <v>0.180456166915927</v>
      </c>
      <c r="EN5" s="29">
        <v>2658576139.02</v>
      </c>
      <c r="EO5" s="42">
        <f>EN5/E5</f>
        <v>0.201700848653677</v>
      </c>
      <c r="EP5" s="42">
        <f t="shared" si="79"/>
        <v>0.646394035243798</v>
      </c>
      <c r="EQ5" s="42"/>
      <c r="ER5" s="42"/>
      <c r="ES5" s="42"/>
      <c r="ET5" s="42"/>
      <c r="EU5" s="112">
        <v>862525</v>
      </c>
      <c r="EV5" s="115">
        <v>842561</v>
      </c>
      <c r="EW5" s="23">
        <f t="shared" si="15"/>
        <v>4768.4811540651</v>
      </c>
      <c r="EX5" s="42">
        <f t="shared" si="16"/>
        <v>0.0271498205943616</v>
      </c>
      <c r="EY5" s="42">
        <f t="shared" si="17"/>
        <v>0.147398905446428</v>
      </c>
      <c r="EZ5" s="11"/>
      <c r="FA5" s="11">
        <v>2524151981.16</v>
      </c>
      <c r="FB5" s="42">
        <f t="shared" si="18"/>
        <v>0.110747891471917</v>
      </c>
      <c r="FC5" s="29">
        <v>1408593828.13</v>
      </c>
      <c r="FD5" s="42">
        <f>FC5/E5</f>
        <v>0.106867193446971</v>
      </c>
      <c r="FE5" s="42">
        <f t="shared" si="80"/>
        <v>0.558046361171432</v>
      </c>
      <c r="FF5" s="115">
        <v>294278</v>
      </c>
      <c r="FG5" s="115"/>
      <c r="FH5" s="29">
        <f t="shared" si="19"/>
        <v>8577.440315484</v>
      </c>
      <c r="FI5" s="42">
        <f t="shared" si="20"/>
        <v>0.00216407295861967</v>
      </c>
      <c r="FJ5" s="42">
        <f t="shared" si="21"/>
        <v>0.0991760232476487</v>
      </c>
      <c r="FK5" s="55"/>
    </row>
    <row r="6" spans="1:167">
      <c r="A6" s="4">
        <v>2019</v>
      </c>
      <c r="B6" s="4"/>
      <c r="C6" s="29">
        <v>19796889800.07</v>
      </c>
      <c r="D6" s="29">
        <v>13751478014.86</v>
      </c>
      <c r="E6" s="11">
        <v>10800720678.76</v>
      </c>
      <c r="F6" s="11">
        <v>203349591.81</v>
      </c>
      <c r="G6" s="23">
        <v>2162819226.68</v>
      </c>
      <c r="H6" s="11">
        <v>289903386.14</v>
      </c>
      <c r="I6" s="11">
        <v>587425290.51</v>
      </c>
      <c r="J6" s="11">
        <v>-292740159.04</v>
      </c>
      <c r="K6" s="11">
        <v>6379439840.25</v>
      </c>
      <c r="L6" s="11">
        <v>6377198678.77</v>
      </c>
      <c r="M6" s="11">
        <v>1020956084.25</v>
      </c>
      <c r="N6" s="11">
        <v>5356242594.52</v>
      </c>
      <c r="O6" s="11">
        <v>472599948.68</v>
      </c>
      <c r="P6" s="11">
        <v>703976.81</v>
      </c>
      <c r="Q6" s="11"/>
      <c r="R6" s="11">
        <v>5272757.31</v>
      </c>
      <c r="S6" s="11">
        <v>28985.8</v>
      </c>
      <c r="T6" s="11">
        <f t="shared" si="22"/>
        <v>478605668.6</v>
      </c>
      <c r="U6" s="11">
        <v>582632086.23</v>
      </c>
      <c r="V6" s="11">
        <v>10900107500</v>
      </c>
      <c r="W6" s="11"/>
      <c r="X6" s="42"/>
      <c r="Y6" s="100">
        <f t="shared" si="23"/>
        <v>582632086.23</v>
      </c>
      <c r="Z6" s="11">
        <f t="shared" si="24"/>
        <v>5834848263.12</v>
      </c>
      <c r="AA6" s="100">
        <f t="shared" si="25"/>
        <v>5834848263.12</v>
      </c>
      <c r="AB6" s="42">
        <f t="shared" si="0"/>
        <v>0.213157170001774</v>
      </c>
      <c r="AC6" s="101"/>
      <c r="AD6" s="101">
        <f t="shared" si="26"/>
        <v>0.694628204416806</v>
      </c>
      <c r="AE6" s="42">
        <f t="shared" si="27"/>
        <v>0.545576642989739</v>
      </c>
      <c r="AF6" s="42">
        <f t="shared" si="28"/>
        <v>0.0102717949063535</v>
      </c>
      <c r="AG6" s="42">
        <f t="shared" si="29"/>
        <v>0.109250455426203</v>
      </c>
      <c r="AH6" s="42">
        <f t="shared" si="30"/>
        <v>0.0146438854318912</v>
      </c>
      <c r="AI6" s="42">
        <f t="shared" si="31"/>
        <v>0.0296726049618119</v>
      </c>
      <c r="AJ6" s="42">
        <f t="shared" si="32"/>
        <v>0.322244549758894</v>
      </c>
      <c r="AK6" s="42">
        <f t="shared" si="33"/>
        <v>0.322131342002391</v>
      </c>
      <c r="AL6" s="42">
        <f t="shared" si="34"/>
        <v>0.270559802504991</v>
      </c>
      <c r="AM6" s="100">
        <v>4070078269.22</v>
      </c>
      <c r="AN6" s="100">
        <v>1919055212.95</v>
      </c>
      <c r="AO6" s="100">
        <v>26647950.91</v>
      </c>
      <c r="AP6" s="103">
        <v>5151331.59</v>
      </c>
      <c r="AQ6" s="100">
        <f t="shared" si="35"/>
        <v>6020932764.67</v>
      </c>
      <c r="AR6" s="100">
        <f t="shared" si="36"/>
        <v>-93769728.2400002</v>
      </c>
      <c r="AS6" s="100">
        <f t="shared" si="37"/>
        <v>6353162.42000008</v>
      </c>
      <c r="AT6" s="100">
        <f t="shared" si="38"/>
        <v>-7987987.87</v>
      </c>
      <c r="AU6" s="100">
        <f t="shared" si="39"/>
        <v>499418.3</v>
      </c>
      <c r="AV6" s="100">
        <f t="shared" si="40"/>
        <v>-94905135.3899994</v>
      </c>
      <c r="AW6" s="42">
        <f t="shared" si="41"/>
        <v>-0.022519969100025</v>
      </c>
      <c r="AX6" s="42">
        <f t="shared" si="42"/>
        <v>0.00332156407645386</v>
      </c>
      <c r="AY6" s="42">
        <f t="shared" si="43"/>
        <v>-0.23062715062346</v>
      </c>
      <c r="AZ6" s="42">
        <f t="shared" si="44"/>
        <v>0.107357611560296</v>
      </c>
      <c r="BA6" s="42">
        <f t="shared" si="45"/>
        <v>-0.0155179285227734</v>
      </c>
      <c r="BB6" s="100">
        <v>1951514372.36</v>
      </c>
      <c r="BC6" s="100">
        <v>595307614.55</v>
      </c>
      <c r="BD6" s="100">
        <v>22075808.95</v>
      </c>
      <c r="BE6" s="100">
        <v>3778448.94</v>
      </c>
      <c r="BF6" s="100">
        <f t="shared" si="1"/>
        <v>2572676244.8</v>
      </c>
      <c r="BG6" s="100">
        <f t="shared" si="46"/>
        <v>116956544.48</v>
      </c>
      <c r="BH6" s="100">
        <f t="shared" si="47"/>
        <v>90471621.8799999</v>
      </c>
      <c r="BI6" s="100">
        <f t="shared" si="48"/>
        <v>-5487526.68</v>
      </c>
      <c r="BJ6" s="100">
        <f t="shared" si="49"/>
        <v>401958.87</v>
      </c>
      <c r="BK6" s="100">
        <f t="shared" si="50"/>
        <v>202342598.55</v>
      </c>
      <c r="BL6" s="42">
        <f t="shared" si="51"/>
        <v>0.0637518985243184</v>
      </c>
      <c r="BM6" s="42">
        <f t="shared" si="52"/>
        <v>0.17920992796395</v>
      </c>
      <c r="BN6" s="42">
        <f t="shared" si="53"/>
        <v>-0.199087902627698</v>
      </c>
      <c r="BO6" s="42">
        <f t="shared" si="54"/>
        <v>0.119046365209657</v>
      </c>
      <c r="BP6" s="42">
        <f t="shared" si="55"/>
        <v>0.0853646063161266</v>
      </c>
      <c r="BQ6" s="100">
        <f t="shared" si="2"/>
        <v>2118563896.86</v>
      </c>
      <c r="BR6" s="100">
        <f t="shared" si="3"/>
        <v>1323747598.4</v>
      </c>
      <c r="BS6" s="100">
        <f t="shared" si="4"/>
        <v>4572141.96</v>
      </c>
      <c r="BT6" s="100">
        <f t="shared" si="5"/>
        <v>1372882.65</v>
      </c>
      <c r="BU6" s="100">
        <f t="shared" si="56"/>
        <v>3448256519.87</v>
      </c>
      <c r="BV6" s="100">
        <f t="shared" si="57"/>
        <v>-210726272.72</v>
      </c>
      <c r="BW6" s="100">
        <f t="shared" si="58"/>
        <v>-84118459.4599998</v>
      </c>
      <c r="BX6" s="100">
        <f t="shared" si="59"/>
        <v>-2500461.19</v>
      </c>
      <c r="BY6" s="100">
        <f t="shared" si="60"/>
        <v>97459.4299999999</v>
      </c>
      <c r="BZ6" s="100">
        <f t="shared" si="61"/>
        <v>-297247733.939999</v>
      </c>
      <c r="CA6" s="42">
        <f t="shared" si="62"/>
        <v>-0.0904680213191286</v>
      </c>
      <c r="CB6" s="42">
        <f t="shared" si="63"/>
        <v>-0.0597489079237143</v>
      </c>
      <c r="CC6" s="42">
        <f t="shared" si="64"/>
        <v>-0.353541848308002</v>
      </c>
      <c r="CD6" s="42">
        <f t="shared" si="65"/>
        <v>0.0764134041718324</v>
      </c>
      <c r="CE6" s="42">
        <f t="shared" si="66"/>
        <v>-0.079361205807638</v>
      </c>
      <c r="CF6" s="100"/>
      <c r="CG6" s="100"/>
      <c r="CH6" s="100">
        <v>32102540.35</v>
      </c>
      <c r="CI6" s="100"/>
      <c r="CJ6" s="100">
        <v>172059841.54</v>
      </c>
      <c r="CK6" s="100"/>
      <c r="CL6" s="100"/>
      <c r="CM6" s="100"/>
      <c r="CN6" s="100">
        <v>3686073.84</v>
      </c>
      <c r="CO6" s="100">
        <v>101755208.49</v>
      </c>
      <c r="CP6" s="100">
        <v>5335559.06</v>
      </c>
      <c r="CQ6" s="100"/>
      <c r="CR6" s="100"/>
      <c r="CS6" s="100">
        <v>79949056.74</v>
      </c>
      <c r="CT6" s="100"/>
      <c r="CU6" s="100">
        <v>11978404.25</v>
      </c>
      <c r="CV6" s="100"/>
      <c r="CW6" s="100"/>
      <c r="CX6" s="100">
        <v>12463686.57</v>
      </c>
      <c r="CY6" s="100"/>
      <c r="CZ6" s="100"/>
      <c r="DA6" s="100"/>
      <c r="DB6" s="100"/>
      <c r="DC6" s="100">
        <v>74185058.69</v>
      </c>
      <c r="DD6" s="100">
        <f t="shared" si="6"/>
        <v>493515429.53</v>
      </c>
      <c r="DE6" s="100">
        <v>8789817110.75</v>
      </c>
      <c r="DF6" s="100">
        <v>863878468.67</v>
      </c>
      <c r="DG6" s="100">
        <v>247092605.46</v>
      </c>
      <c r="DH6" s="100">
        <v>505649190.4</v>
      </c>
      <c r="DI6" s="100">
        <f t="shared" si="7"/>
        <v>10406437375.28</v>
      </c>
      <c r="DJ6" s="100">
        <f t="shared" si="67"/>
        <v>1385897135.74</v>
      </c>
      <c r="DK6" s="100">
        <f t="shared" si="68"/>
        <v>24900460.15</v>
      </c>
      <c r="DL6" s="100">
        <f t="shared" si="69"/>
        <v>20284221.28</v>
      </c>
      <c r="DM6" s="100">
        <f t="shared" si="70"/>
        <v>505649190.4</v>
      </c>
      <c r="DN6" s="100">
        <f t="shared" si="71"/>
        <v>1936731007.57</v>
      </c>
      <c r="DO6" s="98">
        <f t="shared" si="72"/>
        <v>0.187184240296726</v>
      </c>
      <c r="DP6" s="42">
        <f t="shared" si="73"/>
        <v>0.0296795147156785</v>
      </c>
      <c r="DQ6" s="42">
        <f t="shared" si="74"/>
        <v>0.0894332956576332</v>
      </c>
      <c r="DR6" s="42" t="e">
        <f t="shared" si="75"/>
        <v>#DIV/0!</v>
      </c>
      <c r="DS6" s="98">
        <f t="shared" si="76"/>
        <v>0.22866566129773</v>
      </c>
      <c r="DT6" s="42">
        <f t="shared" si="77"/>
        <v>0.160094758792573</v>
      </c>
      <c r="DU6" s="42">
        <f t="shared" si="8"/>
        <v>0.160038515891074</v>
      </c>
      <c r="DV6" s="11">
        <v>11628511840.07</v>
      </c>
      <c r="DW6" s="42">
        <f t="shared" si="9"/>
        <v>0.587390845607924</v>
      </c>
      <c r="DX6" s="11">
        <v>5770628180.96</v>
      </c>
      <c r="DY6" s="42">
        <f>DX6/E6</f>
        <v>0.534281771799556</v>
      </c>
      <c r="DZ6" s="42">
        <f t="shared" si="78"/>
        <v>0.496248209601106</v>
      </c>
      <c r="EA6" s="42"/>
      <c r="EB6" s="42"/>
      <c r="EC6" s="42"/>
      <c r="ED6" s="42"/>
      <c r="EE6" s="112">
        <v>2171305</v>
      </c>
      <c r="EF6" s="112">
        <v>2241720</v>
      </c>
      <c r="EG6" s="23">
        <f t="shared" si="10"/>
        <v>5355.54048835608</v>
      </c>
      <c r="EH6" s="42">
        <f t="shared" si="11"/>
        <v>-0.0174695064205632</v>
      </c>
      <c r="EI6" s="42">
        <f t="shared" si="12"/>
        <v>0.156205919517859</v>
      </c>
      <c r="EJ6" s="23">
        <v>176959</v>
      </c>
      <c r="EK6" s="42">
        <f t="shared" si="13"/>
        <v>0.0814989142474226</v>
      </c>
      <c r="EL6" s="11">
        <v>3489824092.09</v>
      </c>
      <c r="EM6" s="42">
        <f t="shared" si="14"/>
        <v>0.176281432453984</v>
      </c>
      <c r="EN6" s="29">
        <v>2165083033.79</v>
      </c>
      <c r="EO6" s="42">
        <f>EN6/E6</f>
        <v>0.200457274860159</v>
      </c>
      <c r="EP6" s="42">
        <f t="shared" si="79"/>
        <v>0.620398901680275</v>
      </c>
      <c r="EQ6" s="42"/>
      <c r="ER6" s="42"/>
      <c r="ES6" s="42"/>
      <c r="ET6" s="42"/>
      <c r="EU6" s="112">
        <v>751722</v>
      </c>
      <c r="EV6" s="115">
        <v>762515</v>
      </c>
      <c r="EW6" s="23">
        <f t="shared" si="15"/>
        <v>4642.4397477924</v>
      </c>
      <c r="EX6" s="42">
        <f t="shared" si="16"/>
        <v>-0.0175430802695542</v>
      </c>
      <c r="EY6" s="42">
        <f t="shared" si="17"/>
        <v>0.243913820492454</v>
      </c>
      <c r="EZ6" s="11"/>
      <c r="FA6" s="11">
        <v>2291444931.89</v>
      </c>
      <c r="FB6" s="42">
        <f t="shared" si="18"/>
        <v>0.115747723760219</v>
      </c>
      <c r="FC6" s="29">
        <v>1201739958.17</v>
      </c>
      <c r="FD6" s="42">
        <f>FC6/E6</f>
        <v>0.111264793703374</v>
      </c>
      <c r="FE6" s="42">
        <f t="shared" si="80"/>
        <v>0.524446361963757</v>
      </c>
      <c r="FF6" s="115">
        <v>267726</v>
      </c>
      <c r="FG6" s="115"/>
      <c r="FH6" s="29">
        <f t="shared" si="19"/>
        <v>8558.9181920695</v>
      </c>
      <c r="FI6" s="42">
        <f t="shared" si="20"/>
        <v>-0.0250839145992827</v>
      </c>
      <c r="FJ6" s="42">
        <f t="shared" si="21"/>
        <v>0.123351012050619</v>
      </c>
      <c r="FK6" s="55"/>
    </row>
    <row r="7" spans="1:167">
      <c r="A7" s="4">
        <v>2018</v>
      </c>
      <c r="B7" s="4"/>
      <c r="C7" s="29">
        <v>17034475127.23</v>
      </c>
      <c r="D7" s="29">
        <v>12131005269.24</v>
      </c>
      <c r="E7" s="11">
        <v>9119051026.25</v>
      </c>
      <c r="F7" s="11">
        <v>189988335.01</v>
      </c>
      <c r="G7" s="23">
        <v>2236019583.2</v>
      </c>
      <c r="H7" s="11">
        <v>245553857.78</v>
      </c>
      <c r="I7" s="11">
        <v>493014354.7</v>
      </c>
      <c r="J7" s="11">
        <v>-152621887.7</v>
      </c>
      <c r="K7" s="11">
        <v>5241005851.75</v>
      </c>
      <c r="L7" s="11">
        <v>5222806355.86</v>
      </c>
      <c r="M7" s="11">
        <v>856132678.5</v>
      </c>
      <c r="N7" s="11">
        <v>4366673677.36</v>
      </c>
      <c r="O7" s="11">
        <v>436284025.86</v>
      </c>
      <c r="P7" s="11">
        <v>680310.3</v>
      </c>
      <c r="Q7" s="11"/>
      <c r="R7" s="11">
        <v>6001172.07</v>
      </c>
      <c r="S7" s="11"/>
      <c r="T7" s="11">
        <f t="shared" si="22"/>
        <v>442965508.23</v>
      </c>
      <c r="U7" s="11">
        <v>223924954.49</v>
      </c>
      <c r="V7" s="11">
        <v>16155500000</v>
      </c>
      <c r="W7" s="11">
        <v>13271000</v>
      </c>
      <c r="X7" s="42"/>
      <c r="Y7" s="100">
        <f t="shared" si="23"/>
        <v>237195954.49</v>
      </c>
      <c r="Z7" s="11">
        <f t="shared" si="24"/>
        <v>4809639185.59</v>
      </c>
      <c r="AA7" s="100">
        <f t="shared" si="25"/>
        <v>4809639185.59</v>
      </c>
      <c r="AB7" s="42">
        <f t="shared" si="0"/>
        <v>0.210451134701109</v>
      </c>
      <c r="AC7" s="101"/>
      <c r="AD7" s="101">
        <f t="shared" si="26"/>
        <v>0.712144353062473</v>
      </c>
      <c r="AE7" s="42">
        <f t="shared" si="27"/>
        <v>0.535329146224939</v>
      </c>
      <c r="AF7" s="42">
        <f t="shared" si="28"/>
        <v>0.0111531663635646</v>
      </c>
      <c r="AG7" s="42">
        <f t="shared" si="29"/>
        <v>0.131264366321782</v>
      </c>
      <c r="AH7" s="42">
        <f t="shared" si="30"/>
        <v>0.0144151114692977</v>
      </c>
      <c r="AI7" s="42">
        <f t="shared" si="31"/>
        <v>0.0289421511973624</v>
      </c>
      <c r="AJ7" s="42">
        <f t="shared" si="32"/>
        <v>0.307670521844969</v>
      </c>
      <c r="AK7" s="42">
        <f t="shared" si="33"/>
        <v>0.306602129907204</v>
      </c>
      <c r="AL7" s="42">
        <f t="shared" si="34"/>
        <v>0.256343306426846</v>
      </c>
      <c r="AM7" s="11">
        <v>4163847997.46</v>
      </c>
      <c r="AN7" s="11">
        <v>1912702050.53</v>
      </c>
      <c r="AO7" s="11">
        <v>34635938.78</v>
      </c>
      <c r="AP7" s="3">
        <v>4651913.29</v>
      </c>
      <c r="AQ7" s="100">
        <f t="shared" si="35"/>
        <v>6115837900.06</v>
      </c>
      <c r="AR7" s="100">
        <f t="shared" si="36"/>
        <v>-42847560.2399998</v>
      </c>
      <c r="AS7" s="100">
        <f t="shared" si="37"/>
        <v>276758905.79</v>
      </c>
      <c r="AT7" s="100">
        <f t="shared" si="38"/>
        <v>-34229171.38</v>
      </c>
      <c r="AU7" s="100">
        <f t="shared" si="39"/>
        <v>-2747458.42</v>
      </c>
      <c r="AV7" s="100">
        <f t="shared" si="40"/>
        <v>196934715.75</v>
      </c>
      <c r="AW7" s="42">
        <f t="shared" si="41"/>
        <v>-0.0101855624331005</v>
      </c>
      <c r="AX7" s="98">
        <f t="shared" si="42"/>
        <v>0.169173914558006</v>
      </c>
      <c r="AY7" s="42">
        <f t="shared" si="43"/>
        <v>-0.497046636540224</v>
      </c>
      <c r="AZ7" s="42">
        <f t="shared" si="44"/>
        <v>-0.371309690562903</v>
      </c>
      <c r="BA7" s="42">
        <f t="shared" si="45"/>
        <v>0.0332721637130407</v>
      </c>
      <c r="BB7" s="100">
        <v>1834557827.88</v>
      </c>
      <c r="BC7" s="100">
        <v>504835992.67</v>
      </c>
      <c r="BD7" s="100">
        <v>27563335.63</v>
      </c>
      <c r="BE7" s="100">
        <v>3376490.07</v>
      </c>
      <c r="BF7" s="100">
        <f t="shared" si="1"/>
        <v>2370333646.25</v>
      </c>
      <c r="BG7" s="100">
        <f t="shared" si="46"/>
        <v>50851976.4100001</v>
      </c>
      <c r="BH7" s="100">
        <f t="shared" si="47"/>
        <v>81265008.6</v>
      </c>
      <c r="BI7" s="100">
        <f t="shared" si="48"/>
        <v>-28162860.57</v>
      </c>
      <c r="BJ7" s="100">
        <f t="shared" si="49"/>
        <v>-2876882.27</v>
      </c>
      <c r="BK7" s="100">
        <f t="shared" si="50"/>
        <v>101077242.17</v>
      </c>
      <c r="BL7" s="42">
        <f t="shared" si="51"/>
        <v>0.0285091717157802</v>
      </c>
      <c r="BM7" s="98">
        <f t="shared" si="52"/>
        <v>0.191856882686209</v>
      </c>
      <c r="BN7" s="42">
        <f t="shared" si="53"/>
        <v>-0.505379202070857</v>
      </c>
      <c r="BO7" s="42">
        <f t="shared" si="54"/>
        <v>-0.460052930416103</v>
      </c>
      <c r="BP7" s="42">
        <f t="shared" si="55"/>
        <v>0.0445420103203273</v>
      </c>
      <c r="BQ7" s="100">
        <f t="shared" si="2"/>
        <v>2329290169.58</v>
      </c>
      <c r="BR7" s="100">
        <f t="shared" si="3"/>
        <v>1407866057.86</v>
      </c>
      <c r="BS7" s="100">
        <f t="shared" si="4"/>
        <v>7072603.15</v>
      </c>
      <c r="BT7" s="100">
        <f t="shared" si="5"/>
        <v>1275423.22</v>
      </c>
      <c r="BU7" s="100">
        <f t="shared" si="56"/>
        <v>3745504253.81</v>
      </c>
      <c r="BV7" s="100">
        <f t="shared" si="57"/>
        <v>-93699536.6500001</v>
      </c>
      <c r="BW7" s="100">
        <f t="shared" si="58"/>
        <v>195493897.19</v>
      </c>
      <c r="BX7" s="100">
        <f t="shared" si="59"/>
        <v>-6066310.81</v>
      </c>
      <c r="BY7" s="100">
        <f t="shared" si="60"/>
        <v>129423.85</v>
      </c>
      <c r="BZ7" s="100">
        <f t="shared" si="61"/>
        <v>95857473.5799994</v>
      </c>
      <c r="CA7" s="42">
        <f t="shared" si="62"/>
        <v>-0.0386710419813504</v>
      </c>
      <c r="CB7" s="42">
        <f t="shared" si="63"/>
        <v>0.161249081372805</v>
      </c>
      <c r="CC7" s="42">
        <f t="shared" si="64"/>
        <v>-0.461705649985092</v>
      </c>
      <c r="CD7" s="42">
        <f t="shared" si="65"/>
        <v>0.112935358769002</v>
      </c>
      <c r="CE7" s="42">
        <f t="shared" si="66"/>
        <v>0.0262648632462889</v>
      </c>
      <c r="CF7" s="100">
        <v>13386836.86</v>
      </c>
      <c r="CG7" s="100">
        <v>47606356.63</v>
      </c>
      <c r="CH7" s="100">
        <v>30582461.87</v>
      </c>
      <c r="CI7" s="100"/>
      <c r="CJ7" s="100"/>
      <c r="CK7" s="100"/>
      <c r="CL7" s="100"/>
      <c r="CM7" s="100"/>
      <c r="CN7" s="100">
        <v>17272.73</v>
      </c>
      <c r="CO7" s="100">
        <v>72401570.28</v>
      </c>
      <c r="CP7" s="100">
        <v>1855810.61</v>
      </c>
      <c r="CQ7" s="100"/>
      <c r="CR7" s="100"/>
      <c r="CS7" s="100"/>
      <c r="CT7" s="100"/>
      <c r="CU7" s="100"/>
      <c r="CV7" s="100"/>
      <c r="CW7" s="100"/>
      <c r="CX7" s="100"/>
      <c r="CY7" s="100"/>
      <c r="CZ7" s="100">
        <v>18354302.31</v>
      </c>
      <c r="DA7" s="100"/>
      <c r="DB7" s="100"/>
      <c r="DC7" s="100">
        <v>68098015.22</v>
      </c>
      <c r="DD7" s="100">
        <f t="shared" si="6"/>
        <v>252302626.51</v>
      </c>
      <c r="DE7" s="100">
        <v>7403919975.01</v>
      </c>
      <c r="DF7" s="100">
        <v>838978008.52</v>
      </c>
      <c r="DG7" s="100">
        <v>226808384.18</v>
      </c>
      <c r="DH7" s="100"/>
      <c r="DI7" s="100">
        <f t="shared" si="7"/>
        <v>8469706367.71</v>
      </c>
      <c r="DJ7" s="100">
        <f t="shared" si="67"/>
        <v>825505348.38</v>
      </c>
      <c r="DK7" s="100">
        <f t="shared" si="68"/>
        <v>101392070.3</v>
      </c>
      <c r="DL7" s="100">
        <f t="shared" si="69"/>
        <v>47379851.95</v>
      </c>
      <c r="DM7" s="100">
        <f t="shared" si="70"/>
        <v>0</v>
      </c>
      <c r="DN7" s="100">
        <f t="shared" si="71"/>
        <v>974277270.63</v>
      </c>
      <c r="DO7" s="42">
        <f t="shared" si="72"/>
        <v>0.125486974481402</v>
      </c>
      <c r="DP7" s="42">
        <f t="shared" si="73"/>
        <v>0.137464755015107</v>
      </c>
      <c r="DQ7" s="98">
        <f t="shared" si="74"/>
        <v>0.264059742122096</v>
      </c>
      <c r="DR7" s="42" t="e">
        <f t="shared" si="75"/>
        <v>#DIV/0!</v>
      </c>
      <c r="DS7" s="42">
        <f t="shared" si="76"/>
        <v>0.12998285461863</v>
      </c>
      <c r="DT7" s="42">
        <f t="shared" si="77"/>
        <v>0.163921964585077</v>
      </c>
      <c r="DU7" s="42">
        <f t="shared" si="8"/>
        <v>0.163352742339361</v>
      </c>
      <c r="DV7" s="11">
        <v>10236297819.37</v>
      </c>
      <c r="DW7" s="42">
        <f t="shared" si="9"/>
        <v>0.600916537957019</v>
      </c>
      <c r="DX7" s="11">
        <v>5062172624.6</v>
      </c>
      <c r="DY7" s="42">
        <f>DX7/E7</f>
        <v>0.55512055037614</v>
      </c>
      <c r="DZ7" s="42">
        <f t="shared" si="78"/>
        <v>0.494531588854412</v>
      </c>
      <c r="EA7" s="42"/>
      <c r="EB7" s="42"/>
      <c r="EC7" s="42"/>
      <c r="ED7" s="42"/>
      <c r="EE7" s="112">
        <v>1877957</v>
      </c>
      <c r="EF7" s="112">
        <v>1915722</v>
      </c>
      <c r="EG7" s="23">
        <f t="shared" si="10"/>
        <v>5450.76262095991</v>
      </c>
      <c r="EH7" s="42">
        <f t="shared" si="11"/>
        <v>0.00935729187302478</v>
      </c>
      <c r="EI7" s="42">
        <f t="shared" si="12"/>
        <v>0.147755164405329</v>
      </c>
      <c r="EJ7" s="23">
        <v>106544</v>
      </c>
      <c r="EK7" s="42">
        <f t="shared" si="13"/>
        <v>0.0567339933768452</v>
      </c>
      <c r="EL7" s="11">
        <v>2855615479.97</v>
      </c>
      <c r="EM7" s="42">
        <f t="shared" si="14"/>
        <v>0.16763742109114</v>
      </c>
      <c r="EN7" s="29">
        <v>1687085668.33</v>
      </c>
      <c r="EO7" s="42">
        <f>EN7/E7</f>
        <v>0.185006714347093</v>
      </c>
      <c r="EP7" s="42">
        <f t="shared" si="79"/>
        <v>0.590795812728864</v>
      </c>
      <c r="EQ7" s="42"/>
      <c r="ER7" s="42"/>
      <c r="ES7" s="42"/>
      <c r="ET7" s="42"/>
      <c r="EU7" s="112">
        <v>604320</v>
      </c>
      <c r="EV7" s="115">
        <v>617006</v>
      </c>
      <c r="EW7" s="23">
        <f t="shared" si="15"/>
        <v>4725.33670897869</v>
      </c>
      <c r="EX7" s="42">
        <f t="shared" si="16"/>
        <v>0.0109431857447727</v>
      </c>
      <c r="EY7" s="42">
        <f t="shared" si="17"/>
        <v>0.246534653465347</v>
      </c>
      <c r="EZ7" s="11"/>
      <c r="FA7" s="11">
        <v>2092313262.06</v>
      </c>
      <c r="FB7" s="42">
        <f t="shared" si="18"/>
        <v>0.122828161503808</v>
      </c>
      <c r="FC7" s="29">
        <v>1093337468.44</v>
      </c>
      <c r="FD7" s="42">
        <f>FC7/E7</f>
        <v>0.119895970018452</v>
      </c>
      <c r="FE7" s="42">
        <f t="shared" si="80"/>
        <v>0.52254960491124</v>
      </c>
      <c r="FF7" s="115">
        <v>238328</v>
      </c>
      <c r="FG7" s="115"/>
      <c r="FH7" s="29">
        <f t="shared" si="19"/>
        <v>8779.13322001611</v>
      </c>
      <c r="FI7" s="42">
        <f t="shared" si="20"/>
        <v>-0.00430830674962497</v>
      </c>
      <c r="FJ7" s="42">
        <f t="shared" si="21"/>
        <v>0.0299394987035436</v>
      </c>
      <c r="FK7" s="55"/>
    </row>
    <row r="8" s="89" customFormat="1" spans="1:167">
      <c r="A8" s="87">
        <v>2017</v>
      </c>
      <c r="B8" s="87"/>
      <c r="C8" s="94">
        <v>14584310896.6</v>
      </c>
      <c r="D8" s="19">
        <v>10561100402.42</v>
      </c>
      <c r="E8" s="94">
        <v>7920728043.51</v>
      </c>
      <c r="F8" s="19">
        <v>159108075.4</v>
      </c>
      <c r="G8" s="95">
        <v>1956552214.37</v>
      </c>
      <c r="H8" s="19">
        <v>606716187.95</v>
      </c>
      <c r="I8" s="19"/>
      <c r="J8" s="19">
        <v>-82004118.81</v>
      </c>
      <c r="K8" s="19">
        <v>4210824221.85</v>
      </c>
      <c r="L8" s="19">
        <v>4215288941.15</v>
      </c>
      <c r="M8" s="19">
        <v>683810161.82</v>
      </c>
      <c r="N8" s="19">
        <v>3531478779.33</v>
      </c>
      <c r="O8" s="19">
        <v>434994090.11</v>
      </c>
      <c r="P8" s="19">
        <v>609310.85</v>
      </c>
      <c r="Q8" s="19"/>
      <c r="R8" s="19">
        <v>6344790.62</v>
      </c>
      <c r="S8" s="19"/>
      <c r="T8" s="11">
        <f t="shared" si="22"/>
        <v>441948191.58</v>
      </c>
      <c r="U8" s="19">
        <v>262027920.76</v>
      </c>
      <c r="V8" s="19">
        <v>7409000000</v>
      </c>
      <c r="W8" s="19">
        <v>26660593.27</v>
      </c>
      <c r="X8" s="98"/>
      <c r="Y8" s="100">
        <f t="shared" si="23"/>
        <v>288688514.03</v>
      </c>
      <c r="Z8" s="11">
        <f t="shared" si="24"/>
        <v>3973426970.91</v>
      </c>
      <c r="AA8" s="100">
        <f t="shared" si="25"/>
        <v>3973426970.91</v>
      </c>
      <c r="AB8" s="42">
        <f t="shared" si="0"/>
        <v>0.232315481315171</v>
      </c>
      <c r="AC8" s="101"/>
      <c r="AD8" s="102">
        <f t="shared" si="26"/>
        <v>0.724141200588509</v>
      </c>
      <c r="AE8" s="98">
        <f t="shared" si="27"/>
        <v>0.54309923174749</v>
      </c>
      <c r="AF8" s="98">
        <f t="shared" si="28"/>
        <v>0.010909536729438</v>
      </c>
      <c r="AG8" s="98">
        <f t="shared" si="29"/>
        <v>0.134154587641582</v>
      </c>
      <c r="AH8" s="98">
        <f t="shared" si="30"/>
        <v>0.0416006071354007</v>
      </c>
      <c r="AI8" s="98">
        <f t="shared" si="31"/>
        <v>0</v>
      </c>
      <c r="AJ8" s="42">
        <f t="shared" si="32"/>
        <v>0.288722878420787</v>
      </c>
      <c r="AK8" s="42">
        <f t="shared" si="33"/>
        <v>0.289029010080462</v>
      </c>
      <c r="AL8" s="42">
        <f t="shared" si="34"/>
        <v>0.242142313364513</v>
      </c>
      <c r="AM8" s="100">
        <v>4206695557.7</v>
      </c>
      <c r="AN8" s="100">
        <v>1635943144.74</v>
      </c>
      <c r="AO8" s="100">
        <v>68865110.16</v>
      </c>
      <c r="AP8" s="100">
        <v>7399371.71</v>
      </c>
      <c r="AQ8" s="100">
        <f t="shared" si="35"/>
        <v>5918903184.31</v>
      </c>
      <c r="AR8" s="100">
        <f t="shared" si="36"/>
        <v>105954629.89</v>
      </c>
      <c r="AS8" s="100">
        <f t="shared" si="37"/>
        <v>142113015.98</v>
      </c>
      <c r="AT8" s="100">
        <f t="shared" si="38"/>
        <v>2110646</v>
      </c>
      <c r="AU8" s="100">
        <f t="shared" si="39"/>
        <v>50548.1799999997</v>
      </c>
      <c r="AV8" s="100">
        <f t="shared" si="40"/>
        <v>250228840.05</v>
      </c>
      <c r="AW8" s="42">
        <f t="shared" si="41"/>
        <v>0.0258379233790282</v>
      </c>
      <c r="AX8" s="42">
        <f t="shared" si="42"/>
        <v>0.0951333175332093</v>
      </c>
      <c r="AY8" s="42">
        <f t="shared" si="43"/>
        <v>0.0316180502167033</v>
      </c>
      <c r="AZ8" s="42">
        <f t="shared" si="44"/>
        <v>0.00687840438590579</v>
      </c>
      <c r="BA8" s="42">
        <f t="shared" si="45"/>
        <v>0.0441423911224284</v>
      </c>
      <c r="BB8" s="104">
        <v>1783705851.47</v>
      </c>
      <c r="BC8" s="104">
        <v>423570984.07</v>
      </c>
      <c r="BD8" s="104">
        <v>55726196.2</v>
      </c>
      <c r="BE8" s="104">
        <v>6253372.34</v>
      </c>
      <c r="BF8" s="100">
        <f t="shared" si="1"/>
        <v>2269256404.08</v>
      </c>
      <c r="BG8" s="100">
        <f t="shared" si="46"/>
        <v>351655322.19</v>
      </c>
      <c r="BH8" s="100">
        <f t="shared" si="47"/>
        <v>75130875.64</v>
      </c>
      <c r="BI8" s="100">
        <f t="shared" si="48"/>
        <v>3880738.96</v>
      </c>
      <c r="BJ8" s="100">
        <f t="shared" si="49"/>
        <v>200443.97</v>
      </c>
      <c r="BK8" s="100">
        <f t="shared" si="50"/>
        <v>430867380.76</v>
      </c>
      <c r="BL8" s="98">
        <f t="shared" si="51"/>
        <v>0.245560694263214</v>
      </c>
      <c r="BM8" s="98">
        <f t="shared" si="52"/>
        <v>0.215620629836572</v>
      </c>
      <c r="BN8" s="42">
        <f t="shared" si="53"/>
        <v>0.0748520539038841</v>
      </c>
      <c r="BO8" s="42">
        <f t="shared" si="54"/>
        <v>0.0331152060205199</v>
      </c>
      <c r="BP8" s="98">
        <f t="shared" si="55"/>
        <v>0.23437225488971</v>
      </c>
      <c r="BQ8" s="100">
        <f t="shared" si="2"/>
        <v>2422989706.23</v>
      </c>
      <c r="BR8" s="100">
        <f t="shared" si="3"/>
        <v>1212372160.67</v>
      </c>
      <c r="BS8" s="100">
        <f t="shared" si="4"/>
        <v>13138913.96</v>
      </c>
      <c r="BT8" s="100">
        <f t="shared" si="5"/>
        <v>1145999.37</v>
      </c>
      <c r="BU8" s="100">
        <f t="shared" si="56"/>
        <v>3649646780.23</v>
      </c>
      <c r="BV8" s="100">
        <f t="shared" si="57"/>
        <v>-245700692.3</v>
      </c>
      <c r="BW8" s="100">
        <f t="shared" si="58"/>
        <v>66982140.3400002</v>
      </c>
      <c r="BX8" s="100">
        <f t="shared" si="59"/>
        <v>-1770092.96</v>
      </c>
      <c r="BY8" s="100">
        <f t="shared" si="60"/>
        <v>-149895.79</v>
      </c>
      <c r="BZ8" s="100">
        <f t="shared" si="61"/>
        <v>-180638540.71</v>
      </c>
      <c r="CA8" s="42">
        <f t="shared" si="62"/>
        <v>-0.0920678893420308</v>
      </c>
      <c r="CB8" s="42">
        <f t="shared" si="63"/>
        <v>0.0584797659758742</v>
      </c>
      <c r="CC8" s="42">
        <f t="shared" si="64"/>
        <v>-0.118726416152203</v>
      </c>
      <c r="CD8" s="42">
        <f t="shared" si="65"/>
        <v>-0.115669688896747</v>
      </c>
      <c r="CE8" s="42">
        <f t="shared" si="66"/>
        <v>-0.0471605965546371</v>
      </c>
      <c r="CF8" s="100">
        <v>36958853.54</v>
      </c>
      <c r="CG8" s="100">
        <v>43835235.54</v>
      </c>
      <c r="CH8" s="104">
        <v>63123598.78</v>
      </c>
      <c r="CI8" s="104"/>
      <c r="CJ8" s="104"/>
      <c r="CK8" s="104"/>
      <c r="CL8" s="104"/>
      <c r="CM8" s="104"/>
      <c r="CN8" s="104">
        <v>204411380.53</v>
      </c>
      <c r="CO8" s="104">
        <v>127675213.36</v>
      </c>
      <c r="CP8" s="104">
        <v>86900392.66</v>
      </c>
      <c r="CQ8" s="104"/>
      <c r="CR8" s="104"/>
      <c r="CS8" s="104"/>
      <c r="CT8" s="104"/>
      <c r="CU8" s="104"/>
      <c r="CV8" s="104">
        <v>3653367.82</v>
      </c>
      <c r="CW8" s="104">
        <v>1321634.97</v>
      </c>
      <c r="CX8" s="104"/>
      <c r="CY8" s="104"/>
      <c r="CZ8" s="104">
        <v>10345182.51</v>
      </c>
      <c r="DA8" s="104"/>
      <c r="DB8" s="104"/>
      <c r="DC8" s="104">
        <v>36910719.1</v>
      </c>
      <c r="DD8" s="100">
        <f t="shared" si="6"/>
        <v>615135578.81</v>
      </c>
      <c r="DE8" s="104">
        <v>6578414626.63</v>
      </c>
      <c r="DF8" s="104">
        <v>737585938.22</v>
      </c>
      <c r="DG8" s="104">
        <v>179428532.23</v>
      </c>
      <c r="DH8" s="104"/>
      <c r="DI8" s="100">
        <f t="shared" si="7"/>
        <v>7495429097.08</v>
      </c>
      <c r="DJ8" s="100">
        <f t="shared" si="67"/>
        <v>785467218.32</v>
      </c>
      <c r="DK8" s="100">
        <f t="shared" si="68"/>
        <v>79627964.37</v>
      </c>
      <c r="DL8" s="100">
        <f t="shared" si="69"/>
        <v>7684094.75999999</v>
      </c>
      <c r="DM8" s="100">
        <f t="shared" si="70"/>
        <v>0</v>
      </c>
      <c r="DN8" s="100">
        <f t="shared" si="71"/>
        <v>872779277.449999</v>
      </c>
      <c r="DO8" s="42">
        <f t="shared" si="72"/>
        <v>0.135590255349677</v>
      </c>
      <c r="DP8" s="42">
        <f t="shared" si="73"/>
        <v>0.121022873093341</v>
      </c>
      <c r="DQ8" s="42">
        <f t="shared" si="74"/>
        <v>0.044741447660232</v>
      </c>
      <c r="DR8" s="42" t="e">
        <f t="shared" si="75"/>
        <v>#DIV/0!</v>
      </c>
      <c r="DS8" s="42">
        <f t="shared" si="76"/>
        <v>0.131787018975852</v>
      </c>
      <c r="DT8" s="98">
        <f t="shared" si="77"/>
        <v>0.162221420967039</v>
      </c>
      <c r="DU8" s="98">
        <f t="shared" si="8"/>
        <v>0.162393423660789</v>
      </c>
      <c r="DV8" s="19">
        <v>8835858097.25</v>
      </c>
      <c r="DW8" s="98">
        <f t="shared" si="9"/>
        <v>0.605846800708964</v>
      </c>
      <c r="DX8" s="19">
        <v>4459713077.13</v>
      </c>
      <c r="DY8" s="98">
        <f t="shared" ref="DY8:DY13" si="81">DX8/D8</f>
        <v>0.422277310810158</v>
      </c>
      <c r="DZ8" s="98">
        <f t="shared" si="78"/>
        <v>0.504728915748206</v>
      </c>
      <c r="EA8" s="98"/>
      <c r="EB8" s="98"/>
      <c r="EC8" s="98"/>
      <c r="ED8" s="98"/>
      <c r="EE8" s="113">
        <v>1636200</v>
      </c>
      <c r="EF8" s="113">
        <v>1660500</v>
      </c>
      <c r="EG8" s="95">
        <f t="shared" si="10"/>
        <v>5400.23108253881</v>
      </c>
      <c r="EH8" s="98">
        <f t="shared" si="11"/>
        <v>0.0547974863103068</v>
      </c>
      <c r="EI8" s="98">
        <f t="shared" si="12"/>
        <v>0.105316489900696</v>
      </c>
      <c r="EJ8" s="95">
        <v>68800</v>
      </c>
      <c r="EK8" s="98">
        <f t="shared" si="13"/>
        <v>0.0420486493093754</v>
      </c>
      <c r="EL8" s="19">
        <v>2266045479.92</v>
      </c>
      <c r="EM8" s="98">
        <f t="shared" si="14"/>
        <v>0.155375560490025</v>
      </c>
      <c r="EN8" s="94">
        <v>1114489382.95</v>
      </c>
      <c r="EO8" s="98">
        <f>EN8/D8</f>
        <v>0.105527770827235</v>
      </c>
      <c r="EP8" s="98">
        <f t="shared" si="79"/>
        <v>0.491821277562949</v>
      </c>
      <c r="EQ8" s="98"/>
      <c r="ER8" s="98"/>
      <c r="ES8" s="98"/>
      <c r="ET8" s="98"/>
      <c r="EU8" s="113">
        <v>484800</v>
      </c>
      <c r="EV8" s="116">
        <v>504600</v>
      </c>
      <c r="EW8" s="95">
        <f t="shared" si="15"/>
        <v>4674.1862209571</v>
      </c>
      <c r="EX8" s="98">
        <f t="shared" si="16"/>
        <v>0.0712420686424475</v>
      </c>
      <c r="EY8" s="98">
        <f t="shared" si="17"/>
        <v>0.135628952916374</v>
      </c>
      <c r="EZ8" s="19"/>
      <c r="FA8" s="19">
        <v>2040281586.04</v>
      </c>
      <c r="FB8" s="98">
        <f t="shared" si="18"/>
        <v>0.139895645430573</v>
      </c>
      <c r="FC8" s="94">
        <v>1379128476.37</v>
      </c>
      <c r="FD8" s="98">
        <f>FC8/D8</f>
        <v>0.130585679883697</v>
      </c>
      <c r="FE8" s="98">
        <f t="shared" si="80"/>
        <v>0.675950067778028</v>
      </c>
      <c r="FF8" s="116">
        <v>231400</v>
      </c>
      <c r="FG8" s="116"/>
      <c r="FH8" s="94">
        <f t="shared" si="19"/>
        <v>8817.12007796024</v>
      </c>
      <c r="FI8" s="98">
        <f t="shared" si="20"/>
        <v>0.0588667531164487</v>
      </c>
      <c r="FJ8" s="98">
        <f t="shared" si="21"/>
        <v>0.0619550252409362</v>
      </c>
      <c r="FK8" s="117"/>
    </row>
    <row r="9" spans="1:167">
      <c r="A9" s="4">
        <v>2016</v>
      </c>
      <c r="B9" s="4"/>
      <c r="C9" s="29">
        <v>12458558940.81</v>
      </c>
      <c r="D9" s="11">
        <v>9143669728.81</v>
      </c>
      <c r="E9" s="29">
        <v>6983199621.89</v>
      </c>
      <c r="F9" s="11">
        <v>126562559.12</v>
      </c>
      <c r="G9" s="23">
        <v>1559903903.37</v>
      </c>
      <c r="H9" s="11">
        <v>519685281.65</v>
      </c>
      <c r="I9" s="11"/>
      <c r="J9" s="11">
        <v>-45681637.22</v>
      </c>
      <c r="K9" s="11">
        <v>3401602925.03</v>
      </c>
      <c r="L9" s="11">
        <v>3413378743.95</v>
      </c>
      <c r="M9" s="11">
        <v>570244775.78</v>
      </c>
      <c r="N9" s="11">
        <v>2843133968.17</v>
      </c>
      <c r="O9" s="11">
        <v>374633731.41</v>
      </c>
      <c r="P9" s="11">
        <v>609310.75</v>
      </c>
      <c r="Q9" s="11"/>
      <c r="R9" s="11">
        <v>5981549.76</v>
      </c>
      <c r="S9" s="11"/>
      <c r="T9" s="11">
        <f t="shared" si="22"/>
        <v>381224591.92</v>
      </c>
      <c r="U9" s="11">
        <v>788066840.33</v>
      </c>
      <c r="V9" s="11">
        <v>5170828212.48</v>
      </c>
      <c r="W9" s="11"/>
      <c r="X9" s="42"/>
      <c r="Y9" s="100">
        <f t="shared" si="23"/>
        <v>788066840.33</v>
      </c>
      <c r="Z9" s="11">
        <f t="shared" si="24"/>
        <v>3224358560.09</v>
      </c>
      <c r="AA9" s="100">
        <f t="shared" si="25"/>
        <v>3224358560.09</v>
      </c>
      <c r="AB9" s="42">
        <f t="shared" si="0"/>
        <v>0.126111836798827</v>
      </c>
      <c r="AC9" s="101"/>
      <c r="AD9" s="101">
        <f t="shared" si="26"/>
        <v>0.733926754470651</v>
      </c>
      <c r="AE9" s="42">
        <f t="shared" si="27"/>
        <v>0.560514234035159</v>
      </c>
      <c r="AF9" s="42">
        <f t="shared" si="28"/>
        <v>0.0101586836584626</v>
      </c>
      <c r="AG9" s="42">
        <f t="shared" si="29"/>
        <v>0.125207410486319</v>
      </c>
      <c r="AH9" s="42">
        <f t="shared" si="30"/>
        <v>0.0417131133800465</v>
      </c>
      <c r="AI9" s="42">
        <f t="shared" si="31"/>
        <v>0</v>
      </c>
      <c r="AJ9" s="42">
        <f t="shared" si="32"/>
        <v>0.273033417523716</v>
      </c>
      <c r="AK9" s="42">
        <f t="shared" si="33"/>
        <v>0.273978616641523</v>
      </c>
      <c r="AL9" s="42">
        <f t="shared" si="34"/>
        <v>0.228207289597263</v>
      </c>
      <c r="AM9" s="100">
        <v>4100740927.81</v>
      </c>
      <c r="AN9" s="100">
        <v>1493830128.76</v>
      </c>
      <c r="AO9" s="100">
        <v>66754464.16</v>
      </c>
      <c r="AP9" s="100">
        <v>7348823.53</v>
      </c>
      <c r="AQ9" s="100">
        <f t="shared" si="35"/>
        <v>5668674344.26</v>
      </c>
      <c r="AR9" s="100">
        <f t="shared" si="36"/>
        <v>606297205.55</v>
      </c>
      <c r="AS9" s="100">
        <f t="shared" si="37"/>
        <v>329237159.06</v>
      </c>
      <c r="AT9" s="100">
        <f t="shared" si="38"/>
        <v>3619758.27999999</v>
      </c>
      <c r="AU9" s="100">
        <f t="shared" si="39"/>
        <v>63076.9100000001</v>
      </c>
      <c r="AV9" s="100">
        <f t="shared" si="40"/>
        <v>939217199.799999</v>
      </c>
      <c r="AW9" s="98">
        <f t="shared" si="41"/>
        <v>0.173503210736467</v>
      </c>
      <c r="AX9" s="98">
        <f t="shared" si="42"/>
        <v>0.28270577585988</v>
      </c>
      <c r="AY9" s="42">
        <f t="shared" si="43"/>
        <v>0.0573338899666383</v>
      </c>
      <c r="AZ9" s="42">
        <f t="shared" si="44"/>
        <v>0.00865757667537444</v>
      </c>
      <c r="BA9" s="98">
        <f t="shared" si="45"/>
        <v>0.198588795946736</v>
      </c>
      <c r="BB9" s="100">
        <v>1432050529.28</v>
      </c>
      <c r="BC9" s="100">
        <v>348440108.43</v>
      </c>
      <c r="BD9" s="100">
        <v>51845457.24</v>
      </c>
      <c r="BE9" s="100">
        <v>6052928.37</v>
      </c>
      <c r="BF9" s="100">
        <f t="shared" si="1"/>
        <v>1838389023.32</v>
      </c>
      <c r="BG9" s="100">
        <f t="shared" si="46"/>
        <v>309585089.49</v>
      </c>
      <c r="BH9" s="100">
        <f t="shared" si="47"/>
        <v>57780201.5</v>
      </c>
      <c r="BI9" s="100">
        <f t="shared" si="48"/>
        <v>4487979.37</v>
      </c>
      <c r="BJ9" s="100">
        <f t="shared" si="49"/>
        <v>723201.38</v>
      </c>
      <c r="BK9" s="100">
        <f t="shared" si="50"/>
        <v>372576471.74</v>
      </c>
      <c r="BL9" s="98">
        <f t="shared" si="51"/>
        <v>0.275808126037199</v>
      </c>
      <c r="BM9" s="98">
        <f t="shared" si="52"/>
        <v>0.198789719952382</v>
      </c>
      <c r="BN9" s="42">
        <f t="shared" si="53"/>
        <v>0.0947681247367071</v>
      </c>
      <c r="BO9" s="42">
        <f t="shared" si="54"/>
        <v>0.135692012246954</v>
      </c>
      <c r="BP9" s="98">
        <f t="shared" si="55"/>
        <v>0.254177433082013</v>
      </c>
      <c r="BQ9" s="100">
        <f t="shared" si="2"/>
        <v>2668690398.53</v>
      </c>
      <c r="BR9" s="100">
        <f t="shared" si="3"/>
        <v>1145390020.33</v>
      </c>
      <c r="BS9" s="100">
        <f t="shared" si="4"/>
        <v>14909006.92</v>
      </c>
      <c r="BT9" s="100">
        <f t="shared" si="5"/>
        <v>1295895.16</v>
      </c>
      <c r="BU9" s="100">
        <f t="shared" si="56"/>
        <v>3830285320.94</v>
      </c>
      <c r="BV9" s="100">
        <f t="shared" si="57"/>
        <v>296712116.06</v>
      </c>
      <c r="BW9" s="100">
        <f t="shared" si="58"/>
        <v>271456957.56</v>
      </c>
      <c r="BX9" s="100">
        <f t="shared" si="59"/>
        <v>-868221.09</v>
      </c>
      <c r="BY9" s="100">
        <f t="shared" si="60"/>
        <v>-660124.47</v>
      </c>
      <c r="BZ9" s="100">
        <f t="shared" si="61"/>
        <v>566640728.06</v>
      </c>
      <c r="CA9" s="98">
        <f t="shared" si="62"/>
        <v>0.125090570285925</v>
      </c>
      <c r="CB9" s="42">
        <f t="shared" si="63"/>
        <v>0.310615273782635</v>
      </c>
      <c r="CC9" s="42">
        <f t="shared" si="64"/>
        <v>-0.055030014743382</v>
      </c>
      <c r="CD9" s="42">
        <f t="shared" si="65"/>
        <v>-0.337483560939519</v>
      </c>
      <c r="CE9" s="98">
        <f t="shared" si="66"/>
        <v>0.173622069417788</v>
      </c>
      <c r="CF9" s="100">
        <v>61641409.51</v>
      </c>
      <c r="CG9" s="100">
        <v>51799327.55</v>
      </c>
      <c r="CH9" s="100">
        <v>154504508.43</v>
      </c>
      <c r="CI9" s="100"/>
      <c r="CJ9" s="100"/>
      <c r="CK9" s="100"/>
      <c r="CL9" s="100"/>
      <c r="CM9" s="100"/>
      <c r="CN9" s="100">
        <v>110390619.83</v>
      </c>
      <c r="CO9" s="100">
        <v>74009972.85</v>
      </c>
      <c r="CP9" s="100">
        <v>61741032.82</v>
      </c>
      <c r="CQ9" s="100"/>
      <c r="CR9" s="100"/>
      <c r="CS9" s="100"/>
      <c r="CT9" s="100"/>
      <c r="CU9" s="100"/>
      <c r="CV9" s="100">
        <v>19044041.26</v>
      </c>
      <c r="CW9" s="100">
        <v>19714957.38</v>
      </c>
      <c r="CX9" s="100"/>
      <c r="CY9" s="100"/>
      <c r="CZ9" s="100"/>
      <c r="DA9" s="100"/>
      <c r="DB9" s="100">
        <v>95554.21</v>
      </c>
      <c r="DC9" s="100">
        <v>29474038.01</v>
      </c>
      <c r="DD9" s="100">
        <f t="shared" si="6"/>
        <v>582415461.85</v>
      </c>
      <c r="DE9" s="100">
        <v>5792947408.31</v>
      </c>
      <c r="DF9" s="100">
        <v>657957973.85</v>
      </c>
      <c r="DG9" s="100">
        <v>171744437.47</v>
      </c>
      <c r="DH9" s="100"/>
      <c r="DI9" s="100">
        <f t="shared" si="7"/>
        <v>6622649819.63</v>
      </c>
      <c r="DJ9" s="100">
        <f t="shared" si="67"/>
        <v>184482538.46</v>
      </c>
      <c r="DK9" s="100">
        <f t="shared" si="68"/>
        <v>-16082766.5699999</v>
      </c>
      <c r="DL9" s="100">
        <f t="shared" si="69"/>
        <v>69890.1399999857</v>
      </c>
      <c r="DM9" s="100">
        <f t="shared" si="70"/>
        <v>0</v>
      </c>
      <c r="DN9" s="100">
        <f t="shared" si="71"/>
        <v>168469662.030001</v>
      </c>
      <c r="DO9" s="42">
        <f t="shared" si="72"/>
        <v>0.0328935890196517</v>
      </c>
      <c r="DP9" s="42">
        <f t="shared" si="73"/>
        <v>-0.023860229219941</v>
      </c>
      <c r="DQ9" s="42">
        <f t="shared" si="74"/>
        <v>0.000407108340094469</v>
      </c>
      <c r="DR9" s="42" t="e">
        <f t="shared" si="75"/>
        <v>#DIV/0!</v>
      </c>
      <c r="DS9" s="42">
        <f t="shared" si="76"/>
        <v>0.0261024108277521</v>
      </c>
      <c r="DT9" s="42">
        <f t="shared" si="77"/>
        <v>0.167061676583861</v>
      </c>
      <c r="DU9" s="42">
        <f t="shared" si="8"/>
        <v>0.167640018058537</v>
      </c>
      <c r="DV9" s="11">
        <v>7578670005.6</v>
      </c>
      <c r="DW9" s="42">
        <f t="shared" si="9"/>
        <v>0.608310322374031</v>
      </c>
      <c r="DX9" s="11">
        <v>3976070337.88</v>
      </c>
      <c r="DY9" s="42">
        <f t="shared" si="81"/>
        <v>0.434844045750268</v>
      </c>
      <c r="DZ9" s="42">
        <f t="shared" si="78"/>
        <v>0.524639591767687</v>
      </c>
      <c r="EA9" s="42"/>
      <c r="EB9" s="42"/>
      <c r="EC9" s="42"/>
      <c r="ED9" s="42"/>
      <c r="EE9" s="112">
        <v>1480300</v>
      </c>
      <c r="EF9" s="112">
        <v>1473700</v>
      </c>
      <c r="EG9" s="23">
        <f t="shared" si="10"/>
        <v>5119.68520272918</v>
      </c>
      <c r="EH9" s="23"/>
      <c r="EI9" s="23"/>
      <c r="EJ9" s="23">
        <v>44500</v>
      </c>
      <c r="EK9" s="42">
        <f t="shared" si="13"/>
        <v>0.0300614740255354</v>
      </c>
      <c r="EL9" s="11">
        <v>1862706997.92</v>
      </c>
      <c r="EM9" s="42">
        <f t="shared" si="14"/>
        <v>0.149512235465565</v>
      </c>
      <c r="EN9" s="29">
        <v>1150500558.83</v>
      </c>
      <c r="EO9" s="42">
        <f>EN9/D9</f>
        <v>0.125824815741648</v>
      </c>
      <c r="EP9" s="42">
        <f t="shared" si="79"/>
        <v>0.617649775361724</v>
      </c>
      <c r="EQ9" s="42"/>
      <c r="ER9" s="42"/>
      <c r="ES9" s="42"/>
      <c r="ET9" s="42"/>
      <c r="EU9" s="112">
        <v>426900</v>
      </c>
      <c r="EV9" s="115">
        <v>434900</v>
      </c>
      <c r="EW9" s="23">
        <f t="shared" si="15"/>
        <v>4363.333328461</v>
      </c>
      <c r="EX9" s="42"/>
      <c r="EY9" s="42"/>
      <c r="EZ9" s="11"/>
      <c r="FA9" s="11">
        <v>1814440258.26</v>
      </c>
      <c r="FB9" s="42">
        <f t="shared" si="18"/>
        <v>0.145638052272363</v>
      </c>
      <c r="FC9" s="29">
        <v>1003370413.95</v>
      </c>
      <c r="FD9" s="42">
        <f>FC9/D9</f>
        <v>0.109733886252318</v>
      </c>
      <c r="FE9" s="42">
        <f t="shared" si="80"/>
        <v>0.55299170605496</v>
      </c>
      <c r="FF9" s="115">
        <v>217900</v>
      </c>
      <c r="FG9" s="115"/>
      <c r="FH9" s="29">
        <f t="shared" si="19"/>
        <v>8326.94014804956</v>
      </c>
      <c r="FI9" s="42"/>
      <c r="FJ9" s="42"/>
      <c r="FK9" s="55"/>
    </row>
    <row r="10" spans="1:167">
      <c r="A10" s="4">
        <v>2015</v>
      </c>
      <c r="B10" s="4"/>
      <c r="C10" s="29">
        <v>11294380030.09</v>
      </c>
      <c r="D10" s="29">
        <f>C10-K10</f>
        <v>8305239774.22</v>
      </c>
      <c r="E10" s="29">
        <v>6557244862.44</v>
      </c>
      <c r="F10" s="29">
        <v>105227681.17</v>
      </c>
      <c r="G10" s="23">
        <v>1227220684.17</v>
      </c>
      <c r="H10" s="29">
        <v>534901347.04</v>
      </c>
      <c r="I10" s="29"/>
      <c r="J10" s="29">
        <v>-48786754.34</v>
      </c>
      <c r="K10" s="29">
        <v>2989140255.87</v>
      </c>
      <c r="L10" s="29">
        <v>3011302913.95</v>
      </c>
      <c r="M10" s="29">
        <v>501670546.62</v>
      </c>
      <c r="N10" s="29">
        <v>2509632367.33</v>
      </c>
      <c r="O10" s="11">
        <v>347206678.53</v>
      </c>
      <c r="P10" s="29">
        <v>609310.88</v>
      </c>
      <c r="Q10" s="29"/>
      <c r="R10" s="29">
        <v>5818376.39</v>
      </c>
      <c r="S10" s="29"/>
      <c r="T10" s="11">
        <f t="shared" si="22"/>
        <v>353634365.8</v>
      </c>
      <c r="U10" s="29">
        <v>744281217.14</v>
      </c>
      <c r="V10" s="29">
        <v>2400000000</v>
      </c>
      <c r="W10" s="29">
        <v>1500000</v>
      </c>
      <c r="X10" s="42"/>
      <c r="Y10" s="100">
        <f t="shared" si="23"/>
        <v>745781217.14</v>
      </c>
      <c r="Z10" s="11">
        <f t="shared" si="24"/>
        <v>2863266733.13</v>
      </c>
      <c r="AA10" s="100">
        <f t="shared" si="25"/>
        <v>2863266733.13</v>
      </c>
      <c r="AB10" s="42">
        <f t="shared" si="0"/>
        <v>0.206755524535603</v>
      </c>
      <c r="AC10" s="101"/>
      <c r="AD10" s="101">
        <f t="shared" si="26"/>
        <v>0.735342688318751</v>
      </c>
      <c r="AE10" s="42">
        <f t="shared" si="27"/>
        <v>0.580575901020726</v>
      </c>
      <c r="AF10" s="42">
        <f t="shared" si="28"/>
        <v>0.00931681782352435</v>
      </c>
      <c r="AG10" s="42">
        <f t="shared" si="29"/>
        <v>0.108657640428292</v>
      </c>
      <c r="AH10" s="42">
        <f t="shared" si="30"/>
        <v>0.0473599565106663</v>
      </c>
      <c r="AI10" s="42">
        <f t="shared" si="31"/>
        <v>0</v>
      </c>
      <c r="AJ10" s="42">
        <f t="shared" si="32"/>
        <v>0.264657311681249</v>
      </c>
      <c r="AK10" s="42">
        <f t="shared" si="33"/>
        <v>0.266619584778219</v>
      </c>
      <c r="AL10" s="42">
        <f t="shared" si="34"/>
        <v>0.222201870367736</v>
      </c>
      <c r="AM10" s="100">
        <v>3494443722.26</v>
      </c>
      <c r="AN10" s="100">
        <v>1164592969.7</v>
      </c>
      <c r="AO10" s="100">
        <v>63134705.88</v>
      </c>
      <c r="AP10" s="100">
        <v>7285746.62</v>
      </c>
      <c r="AQ10" s="100">
        <f t="shared" si="35"/>
        <v>4729457144.46</v>
      </c>
      <c r="AR10" s="100">
        <f t="shared" si="36"/>
        <v>258164973.17</v>
      </c>
      <c r="AS10" s="100">
        <f t="shared" si="37"/>
        <v>147650203.01</v>
      </c>
      <c r="AT10" s="100">
        <f t="shared" si="38"/>
        <v>2995681.53</v>
      </c>
      <c r="AU10" s="100">
        <f t="shared" si="39"/>
        <v>0</v>
      </c>
      <c r="AV10" s="100">
        <f t="shared" si="40"/>
        <v>408810857.71</v>
      </c>
      <c r="AW10" s="42">
        <f t="shared" si="41"/>
        <v>0.0797721683407502</v>
      </c>
      <c r="AX10" s="98">
        <f t="shared" si="42"/>
        <v>0.14519027800412</v>
      </c>
      <c r="AY10" s="42">
        <f t="shared" si="43"/>
        <v>0.049812606080298</v>
      </c>
      <c r="AZ10" s="42">
        <f t="shared" si="44"/>
        <v>0</v>
      </c>
      <c r="BA10" s="42">
        <f t="shared" si="45"/>
        <v>0.0946179878143898</v>
      </c>
      <c r="BB10" s="100">
        <v>1122465439.79</v>
      </c>
      <c r="BC10" s="100">
        <v>290659906.93</v>
      </c>
      <c r="BD10" s="100">
        <v>47357477.87</v>
      </c>
      <c r="BE10" s="100">
        <v>5329726.99</v>
      </c>
      <c r="BF10" s="100">
        <f t="shared" si="1"/>
        <v>1465812551.58</v>
      </c>
      <c r="BG10" s="100">
        <f t="shared" si="46"/>
        <v>288790160.63</v>
      </c>
      <c r="BH10" s="100">
        <f t="shared" si="47"/>
        <v>48561655.76</v>
      </c>
      <c r="BI10" s="100">
        <f t="shared" si="48"/>
        <v>5536791.08</v>
      </c>
      <c r="BJ10" s="100">
        <f t="shared" si="49"/>
        <v>953094.4</v>
      </c>
      <c r="BK10" s="100">
        <f t="shared" si="50"/>
        <v>343841701.87</v>
      </c>
      <c r="BL10" s="98">
        <f t="shared" si="51"/>
        <v>0.346406050232149</v>
      </c>
      <c r="BM10" s="98">
        <f t="shared" si="52"/>
        <v>0.200586561552237</v>
      </c>
      <c r="BN10" s="98">
        <f t="shared" si="53"/>
        <v>0.132393595251141</v>
      </c>
      <c r="BO10" s="98">
        <f t="shared" si="54"/>
        <v>0.217768885187596</v>
      </c>
      <c r="BP10" s="98">
        <f t="shared" si="55"/>
        <v>0.306462241829967</v>
      </c>
      <c r="BQ10" s="100">
        <f t="shared" si="2"/>
        <v>2371978282.47</v>
      </c>
      <c r="BR10" s="100">
        <f t="shared" si="3"/>
        <v>873933062.77</v>
      </c>
      <c r="BS10" s="100">
        <f t="shared" si="4"/>
        <v>15777228.01</v>
      </c>
      <c r="BT10" s="100">
        <f t="shared" si="5"/>
        <v>1956019.63</v>
      </c>
      <c r="BU10" s="100">
        <f t="shared" si="56"/>
        <v>3263644592.88</v>
      </c>
      <c r="BV10" s="100">
        <f t="shared" si="57"/>
        <v>-30625187.46</v>
      </c>
      <c r="BW10" s="100">
        <f t="shared" si="58"/>
        <v>99088547.25</v>
      </c>
      <c r="BX10" s="100">
        <f t="shared" si="59"/>
        <v>-2541109.55</v>
      </c>
      <c r="BY10" s="100">
        <f t="shared" si="60"/>
        <v>-953094.4</v>
      </c>
      <c r="BZ10" s="100">
        <f t="shared" si="61"/>
        <v>64969155.8400002</v>
      </c>
      <c r="CA10" s="42">
        <f t="shared" si="62"/>
        <v>-0.012746667456071</v>
      </c>
      <c r="CB10" s="42">
        <f t="shared" si="63"/>
        <v>0.127881846312742</v>
      </c>
      <c r="CC10" s="42">
        <f t="shared" si="64"/>
        <v>-0.138719441198025</v>
      </c>
      <c r="CD10" s="42">
        <f t="shared" si="65"/>
        <v>-0.327623596109088</v>
      </c>
      <c r="CE10" s="42">
        <f t="shared" si="66"/>
        <v>0.0203112685606269</v>
      </c>
      <c r="CF10" s="100">
        <v>49990123.4</v>
      </c>
      <c r="CG10" s="100">
        <v>86960191.83</v>
      </c>
      <c r="CH10" s="100">
        <v>230336031.05</v>
      </c>
      <c r="CI10" s="100"/>
      <c r="CJ10" s="100"/>
      <c r="CK10" s="100"/>
      <c r="CL10" s="100"/>
      <c r="CM10" s="100"/>
      <c r="CN10" s="100">
        <v>89437648.94</v>
      </c>
      <c r="CO10" s="100">
        <v>52362211.88</v>
      </c>
      <c r="CP10" s="100">
        <v>21465502.61</v>
      </c>
      <c r="CQ10" s="100"/>
      <c r="CR10" s="100"/>
      <c r="CS10" s="100"/>
      <c r="CT10" s="100"/>
      <c r="CU10" s="100"/>
      <c r="CV10" s="100">
        <v>90485456.9</v>
      </c>
      <c r="CW10" s="100">
        <v>44203354.53</v>
      </c>
      <c r="CX10" s="100"/>
      <c r="CY10" s="100"/>
      <c r="CZ10" s="100"/>
      <c r="DA10" s="100"/>
      <c r="DB10" s="100">
        <v>65459894.12</v>
      </c>
      <c r="DC10" s="100">
        <v>55940232.9</v>
      </c>
      <c r="DD10" s="100">
        <f t="shared" si="6"/>
        <v>786640648.16</v>
      </c>
      <c r="DE10" s="100">
        <v>5608464869.85</v>
      </c>
      <c r="DF10" s="100">
        <v>674040740.42</v>
      </c>
      <c r="DG10" s="100">
        <v>171674547.33</v>
      </c>
      <c r="DH10" s="100"/>
      <c r="DI10" s="100">
        <f t="shared" si="7"/>
        <v>6454180157.6</v>
      </c>
      <c r="DJ10" s="100">
        <f t="shared" si="67"/>
        <v>575734230.75</v>
      </c>
      <c r="DK10" s="100">
        <f t="shared" si="68"/>
        <v>63229099.9299999</v>
      </c>
      <c r="DL10" s="100">
        <f t="shared" si="69"/>
        <v>20804115.07</v>
      </c>
      <c r="DM10" s="100">
        <f t="shared" si="70"/>
        <v>0</v>
      </c>
      <c r="DN10" s="100">
        <f t="shared" si="71"/>
        <v>659767445.75</v>
      </c>
      <c r="DO10" s="42">
        <f t="shared" si="72"/>
        <v>0.114397982335283</v>
      </c>
      <c r="DP10" s="42">
        <f t="shared" si="73"/>
        <v>0.103516527417973</v>
      </c>
      <c r="DQ10" s="42">
        <f t="shared" si="74"/>
        <v>0.137893918366639</v>
      </c>
      <c r="DR10" s="42" t="e">
        <f t="shared" si="75"/>
        <v>#DIV/0!</v>
      </c>
      <c r="DS10" s="42">
        <f t="shared" si="76"/>
        <v>0.113862694730171</v>
      </c>
      <c r="DT10" s="42">
        <f t="shared" si="77"/>
        <v>0.166595842715121</v>
      </c>
      <c r="DU10" s="42">
        <f t="shared" si="8"/>
        <v>0.167831049625333</v>
      </c>
      <c r="DV10" s="11"/>
      <c r="DW10" s="42">
        <f t="shared" si="9"/>
        <v>0</v>
      </c>
      <c r="DX10" s="42"/>
      <c r="DY10" s="42">
        <f t="shared" si="81"/>
        <v>0</v>
      </c>
      <c r="DZ10" s="42" t="e">
        <f t="shared" si="78"/>
        <v>#DIV/0!</v>
      </c>
      <c r="EA10" s="42"/>
      <c r="EB10" s="42"/>
      <c r="EC10" s="42"/>
      <c r="ED10" s="42"/>
      <c r="EE10" s="112"/>
      <c r="EF10" s="112"/>
      <c r="EG10" s="4"/>
      <c r="EH10" s="4"/>
      <c r="EI10" s="4"/>
      <c r="EJ10" s="4"/>
      <c r="EK10" s="42"/>
      <c r="EL10" s="11"/>
      <c r="EM10" s="42">
        <f t="shared" si="14"/>
        <v>0</v>
      </c>
      <c r="EN10" s="42"/>
      <c r="EO10" s="42"/>
      <c r="EP10" s="42"/>
      <c r="EQ10" s="42"/>
      <c r="ER10" s="42"/>
      <c r="ES10" s="42"/>
      <c r="ET10" s="42"/>
      <c r="EU10" s="112"/>
      <c r="EV10" s="112"/>
      <c r="EW10" s="4"/>
      <c r="EX10" s="42"/>
      <c r="EY10" s="42"/>
      <c r="EZ10" s="11"/>
      <c r="FA10" s="11"/>
      <c r="FB10" s="42">
        <f t="shared" si="18"/>
        <v>0</v>
      </c>
      <c r="FC10" s="115"/>
      <c r="FD10" s="42"/>
      <c r="FE10" s="42"/>
      <c r="FF10" s="115"/>
      <c r="FG10" s="115"/>
      <c r="FH10" s="29"/>
      <c r="FI10" s="42"/>
      <c r="FJ10" s="42"/>
      <c r="FK10" s="55"/>
    </row>
    <row r="11" spans="1:167">
      <c r="A11" s="4">
        <v>2014</v>
      </c>
      <c r="B11" s="4"/>
      <c r="C11" s="29">
        <v>9817189662.62</v>
      </c>
      <c r="D11" s="29">
        <f>C11-K11</f>
        <v>7412073052.34</v>
      </c>
      <c r="E11" s="29">
        <v>5850369613.46</v>
      </c>
      <c r="F11" s="29">
        <v>73331546.33</v>
      </c>
      <c r="G11" s="23">
        <v>1050482287.92</v>
      </c>
      <c r="H11" s="29">
        <v>486522922.46</v>
      </c>
      <c r="I11" s="29"/>
      <c r="J11" s="29">
        <v>-48633317.83</v>
      </c>
      <c r="K11" s="29">
        <v>2405116610.28</v>
      </c>
      <c r="L11" s="29">
        <v>2492226431.36</v>
      </c>
      <c r="M11" s="29">
        <v>402320381.83</v>
      </c>
      <c r="N11" s="29">
        <v>2089906049.53</v>
      </c>
      <c r="O11" s="11">
        <v>278241476.55</v>
      </c>
      <c r="P11" s="29">
        <v>609310.83</v>
      </c>
      <c r="Q11" s="29"/>
      <c r="R11" s="29">
        <v>3941422.94</v>
      </c>
      <c r="S11" s="29"/>
      <c r="T11" s="11">
        <f t="shared" si="22"/>
        <v>282792210.32</v>
      </c>
      <c r="U11" s="29">
        <v>881597421.73</v>
      </c>
      <c r="V11" s="29">
        <v>1800000000</v>
      </c>
      <c r="W11" s="29">
        <v>33009447.38</v>
      </c>
      <c r="X11" s="97">
        <v>1000000</v>
      </c>
      <c r="Y11" s="100">
        <f t="shared" si="23"/>
        <v>914606869.11</v>
      </c>
      <c r="Z11" s="11">
        <f t="shared" si="24"/>
        <v>2372698259.85</v>
      </c>
      <c r="AA11" s="100">
        <f t="shared" si="25"/>
        <v>2372698259.85</v>
      </c>
      <c r="AB11" s="42">
        <f t="shared" si="0"/>
        <v>0.295578393685404</v>
      </c>
      <c r="AC11" s="101"/>
      <c r="AD11" s="101">
        <f t="shared" si="26"/>
        <v>0.755009662343823</v>
      </c>
      <c r="AE11" s="42">
        <f t="shared" si="27"/>
        <v>0.595931199713489</v>
      </c>
      <c r="AF11" s="42">
        <f t="shared" si="28"/>
        <v>0.00746970862844972</v>
      </c>
      <c r="AG11" s="42">
        <f t="shared" si="29"/>
        <v>0.107004379463078</v>
      </c>
      <c r="AH11" s="42">
        <f t="shared" si="30"/>
        <v>0.0495582686267627</v>
      </c>
      <c r="AI11" s="42">
        <f t="shared" si="31"/>
        <v>0</v>
      </c>
      <c r="AJ11" s="42">
        <f t="shared" si="32"/>
        <v>0.244990337656177</v>
      </c>
      <c r="AK11" s="42">
        <f t="shared" si="33"/>
        <v>0.253863530909403</v>
      </c>
      <c r="AL11" s="42">
        <f t="shared" si="34"/>
        <v>0.212882313712196</v>
      </c>
      <c r="AM11" s="100">
        <v>3236278749.09</v>
      </c>
      <c r="AN11" s="100">
        <v>1016942766.69</v>
      </c>
      <c r="AO11" s="100">
        <v>60139024.35</v>
      </c>
      <c r="AP11" s="100">
        <v>7285746.62</v>
      </c>
      <c r="AQ11" s="100">
        <f t="shared" si="35"/>
        <v>4320646286.75</v>
      </c>
      <c r="AR11" s="100">
        <f t="shared" si="36"/>
        <v>978165381.1</v>
      </c>
      <c r="AS11" s="100">
        <f t="shared" si="37"/>
        <v>116283693.01</v>
      </c>
      <c r="AT11" s="100">
        <f t="shared" si="38"/>
        <v>4487926.7</v>
      </c>
      <c r="AU11" s="100">
        <f t="shared" si="39"/>
        <v>-217012.899999999</v>
      </c>
      <c r="AV11" s="100">
        <f t="shared" si="40"/>
        <v>1098719987.91</v>
      </c>
      <c r="AW11" s="98">
        <f t="shared" si="41"/>
        <v>0.43317815436817</v>
      </c>
      <c r="AX11" s="98">
        <f t="shared" si="42"/>
        <v>0.129109555888753</v>
      </c>
      <c r="AY11" s="42">
        <f t="shared" si="43"/>
        <v>0.0806439924729859</v>
      </c>
      <c r="AZ11" s="42">
        <f t="shared" si="44"/>
        <v>-0.0289244110012471</v>
      </c>
      <c r="BA11" s="98">
        <f t="shared" si="45"/>
        <v>0.341013383299791</v>
      </c>
      <c r="BB11" s="100">
        <v>833675279.16</v>
      </c>
      <c r="BC11" s="100">
        <v>242098251.17</v>
      </c>
      <c r="BD11" s="100">
        <v>41820686.79</v>
      </c>
      <c r="BE11" s="100">
        <v>4376632.59</v>
      </c>
      <c r="BF11" s="100">
        <f t="shared" si="1"/>
        <v>1121970849.71</v>
      </c>
      <c r="BG11" s="100">
        <f t="shared" si="46"/>
        <v>214639403.94</v>
      </c>
      <c r="BH11" s="100">
        <f t="shared" si="47"/>
        <v>40119856.82</v>
      </c>
      <c r="BI11" s="100">
        <f t="shared" si="48"/>
        <v>4976640.15</v>
      </c>
      <c r="BJ11" s="100">
        <f t="shared" si="49"/>
        <v>978516.8</v>
      </c>
      <c r="BK11" s="100">
        <f t="shared" si="50"/>
        <v>260714417.71</v>
      </c>
      <c r="BL11" s="98">
        <f t="shared" si="51"/>
        <v>0.346731768758505</v>
      </c>
      <c r="BM11" s="98">
        <f t="shared" si="52"/>
        <v>0.198634398243992</v>
      </c>
      <c r="BN11" s="98">
        <f t="shared" si="53"/>
        <v>0.135073115030667</v>
      </c>
      <c r="BO11" s="98">
        <f t="shared" si="54"/>
        <v>0.28795863957302</v>
      </c>
      <c r="BP11" s="98">
        <f t="shared" si="55"/>
        <v>0.302714044299875</v>
      </c>
      <c r="BQ11" s="100">
        <f t="shared" si="2"/>
        <v>2402603469.93</v>
      </c>
      <c r="BR11" s="100">
        <f t="shared" si="3"/>
        <v>774844515.52</v>
      </c>
      <c r="BS11" s="100">
        <f t="shared" si="4"/>
        <v>18318337.56</v>
      </c>
      <c r="BT11" s="100">
        <f t="shared" si="5"/>
        <v>2909114.03</v>
      </c>
      <c r="BU11" s="100">
        <f t="shared" si="56"/>
        <v>3198675437.04</v>
      </c>
      <c r="BV11" s="100">
        <f t="shared" si="57"/>
        <v>763525977.16</v>
      </c>
      <c r="BW11" s="100">
        <f t="shared" si="58"/>
        <v>76163836.1899999</v>
      </c>
      <c r="BX11" s="100">
        <f t="shared" si="59"/>
        <v>-488713.450000003</v>
      </c>
      <c r="BY11" s="100">
        <f t="shared" si="60"/>
        <v>-1195529.7</v>
      </c>
      <c r="BZ11" s="100">
        <f t="shared" si="61"/>
        <v>838005570.2</v>
      </c>
      <c r="CA11" s="98">
        <f t="shared" si="62"/>
        <v>0.465826649763618</v>
      </c>
      <c r="CB11" s="42">
        <f t="shared" si="63"/>
        <v>0.109010937962443</v>
      </c>
      <c r="CC11" s="42">
        <f t="shared" si="64"/>
        <v>-0.0259856502617102</v>
      </c>
      <c r="CD11" s="42">
        <f t="shared" si="65"/>
        <v>-0.291262720625938</v>
      </c>
      <c r="CE11" s="98">
        <f t="shared" si="66"/>
        <v>0.354986346024638</v>
      </c>
      <c r="CF11" s="100">
        <v>40593526.4</v>
      </c>
      <c r="CG11" s="100">
        <v>30564249.2</v>
      </c>
      <c r="CH11" s="100">
        <v>193194823.93</v>
      </c>
      <c r="CI11" s="100"/>
      <c r="CJ11" s="100"/>
      <c r="CK11" s="100"/>
      <c r="CL11" s="100"/>
      <c r="CM11" s="100"/>
      <c r="CN11" s="100">
        <v>68948146.29</v>
      </c>
      <c r="CO11" s="100">
        <v>148687513.67</v>
      </c>
      <c r="CP11" s="100"/>
      <c r="CQ11" s="100"/>
      <c r="CR11" s="100"/>
      <c r="CS11" s="100"/>
      <c r="CT11" s="100"/>
      <c r="CU11" s="100"/>
      <c r="CV11" s="100"/>
      <c r="CW11" s="100"/>
      <c r="CX11" s="100"/>
      <c r="CY11" s="100"/>
      <c r="CZ11" s="100"/>
      <c r="DA11" s="100"/>
      <c r="DB11" s="100"/>
      <c r="DC11" s="100">
        <v>22664790.95</v>
      </c>
      <c r="DD11" s="100">
        <f t="shared" si="6"/>
        <v>504653050.44</v>
      </c>
      <c r="DE11" s="100">
        <v>5032730639.1</v>
      </c>
      <c r="DF11" s="100">
        <v>610811640.49</v>
      </c>
      <c r="DG11" s="100">
        <v>150870432.26</v>
      </c>
      <c r="DH11" s="100"/>
      <c r="DI11" s="100">
        <f t="shared" si="7"/>
        <v>5794412711.85</v>
      </c>
      <c r="DJ11" s="100">
        <f t="shared" si="67"/>
        <v>612757542.51</v>
      </c>
      <c r="DK11" s="100">
        <f t="shared" si="68"/>
        <v>88130692.4</v>
      </c>
      <c r="DL11" s="100">
        <f t="shared" si="69"/>
        <v>28932293.93</v>
      </c>
      <c r="DM11" s="100">
        <f t="shared" si="70"/>
        <v>0</v>
      </c>
      <c r="DN11" s="100">
        <f t="shared" si="71"/>
        <v>729820528.84</v>
      </c>
      <c r="DO11" s="42">
        <f t="shared" si="72"/>
        <v>0.138633771998011</v>
      </c>
      <c r="DP11" s="98">
        <f t="shared" si="73"/>
        <v>0.168612788972031</v>
      </c>
      <c r="DQ11" s="98">
        <f t="shared" si="74"/>
        <v>0.237270261185232</v>
      </c>
      <c r="DR11" s="42" t="e">
        <f t="shared" si="75"/>
        <v>#DIV/0!</v>
      </c>
      <c r="DS11" s="98">
        <f t="shared" si="76"/>
        <v>0.144102526416303</v>
      </c>
      <c r="DT11" s="42">
        <f t="shared" si="77"/>
        <v>0.161430107941859</v>
      </c>
      <c r="DU11" s="42">
        <f t="shared" si="8"/>
        <v>0.167276871362658</v>
      </c>
      <c r="DV11" s="11"/>
      <c r="DW11" s="42">
        <f t="shared" si="9"/>
        <v>0</v>
      </c>
      <c r="DX11" s="42"/>
      <c r="DY11" s="42">
        <f t="shared" si="81"/>
        <v>0</v>
      </c>
      <c r="DZ11" s="42" t="e">
        <f t="shared" si="78"/>
        <v>#DIV/0!</v>
      </c>
      <c r="EA11" s="42"/>
      <c r="EB11" s="42"/>
      <c r="EC11" s="42"/>
      <c r="ED11" s="42"/>
      <c r="EE11" s="112"/>
      <c r="EF11" s="112"/>
      <c r="EG11" s="4"/>
      <c r="EH11" s="4"/>
      <c r="EI11" s="4"/>
      <c r="EJ11" s="4"/>
      <c r="EK11" s="42"/>
      <c r="EL11" s="11"/>
      <c r="EM11" s="42">
        <f t="shared" si="14"/>
        <v>0</v>
      </c>
      <c r="EN11" s="42"/>
      <c r="EO11" s="42"/>
      <c r="EP11" s="42"/>
      <c r="EQ11" s="42"/>
      <c r="ER11" s="42"/>
      <c r="ES11" s="42"/>
      <c r="ET11" s="42"/>
      <c r="EU11" s="112"/>
      <c r="EV11" s="112"/>
      <c r="EW11" s="4"/>
      <c r="EX11" s="42"/>
      <c r="EY11" s="42"/>
      <c r="EZ11" s="11"/>
      <c r="FA11" s="11"/>
      <c r="FB11" s="42">
        <f t="shared" si="18"/>
        <v>0</v>
      </c>
      <c r="FC11" s="115"/>
      <c r="FD11" s="42"/>
      <c r="FE11" s="42"/>
      <c r="FF11" s="115"/>
      <c r="FG11" s="115"/>
      <c r="FH11" s="29"/>
      <c r="FI11" s="42"/>
      <c r="FJ11" s="42"/>
      <c r="FK11" s="55"/>
    </row>
    <row r="12" spans="1:167">
      <c r="A12" s="4">
        <v>2013</v>
      </c>
      <c r="B12" s="4"/>
      <c r="C12" s="29">
        <v>8401589320.86</v>
      </c>
      <c r="D12" s="29">
        <f>C12-K12</f>
        <v>6505436785.4</v>
      </c>
      <c r="E12" s="29">
        <v>5105514283.36</v>
      </c>
      <c r="F12" s="29">
        <v>61824129.87</v>
      </c>
      <c r="G12" s="23">
        <v>898988137.5</v>
      </c>
      <c r="H12" s="29">
        <v>454094215.19</v>
      </c>
      <c r="I12" s="29"/>
      <c r="J12" s="29">
        <v>-14983980.52</v>
      </c>
      <c r="K12" s="29">
        <v>1896152535.46</v>
      </c>
      <c r="L12" s="29">
        <v>1975619151.91</v>
      </c>
      <c r="M12" s="29">
        <v>369200360.24</v>
      </c>
      <c r="N12" s="29">
        <v>1606418791.67</v>
      </c>
      <c r="O12" s="11">
        <v>219694983.14</v>
      </c>
      <c r="P12" s="29">
        <v>607223.1</v>
      </c>
      <c r="Q12" s="29"/>
      <c r="R12" s="29">
        <v>4660469.56</v>
      </c>
      <c r="S12" s="29"/>
      <c r="T12" s="11">
        <f t="shared" si="22"/>
        <v>224962675.8</v>
      </c>
      <c r="U12" s="29">
        <v>1013655627.57</v>
      </c>
      <c r="V12" s="29"/>
      <c r="W12" s="29"/>
      <c r="X12" s="42"/>
      <c r="Y12" s="100">
        <f t="shared" si="23"/>
        <v>1013655627.57</v>
      </c>
      <c r="Z12" s="11">
        <f t="shared" si="24"/>
        <v>1831381467.47</v>
      </c>
      <c r="AA12" s="100">
        <f t="shared" si="25"/>
        <v>1831381467.47</v>
      </c>
      <c r="AB12" s="42">
        <f t="shared" si="0"/>
        <v>0.301439491013457</v>
      </c>
      <c r="AC12" s="101"/>
      <c r="AD12" s="101">
        <f t="shared" si="26"/>
        <v>0.774310256899595</v>
      </c>
      <c r="AE12" s="42">
        <f t="shared" si="27"/>
        <v>0.607684342614046</v>
      </c>
      <c r="AF12" s="42">
        <f t="shared" si="28"/>
        <v>0.00735862317341543</v>
      </c>
      <c r="AG12" s="42">
        <f t="shared" si="29"/>
        <v>0.107002151993782</v>
      </c>
      <c r="AH12" s="42">
        <f t="shared" si="30"/>
        <v>0.0540486088819583</v>
      </c>
      <c r="AI12" s="42">
        <f t="shared" si="31"/>
        <v>0</v>
      </c>
      <c r="AJ12" s="42">
        <f t="shared" si="32"/>
        <v>0.225689743100405</v>
      </c>
      <c r="AK12" s="42">
        <f t="shared" si="33"/>
        <v>0.235148264984199</v>
      </c>
      <c r="AL12" s="42">
        <f t="shared" si="34"/>
        <v>0.191204155585358</v>
      </c>
      <c r="AM12" s="100">
        <v>2258113367.99</v>
      </c>
      <c r="AN12" s="100">
        <v>900659073.68</v>
      </c>
      <c r="AO12" s="100">
        <v>55651097.65</v>
      </c>
      <c r="AP12" s="100">
        <v>7502759.52</v>
      </c>
      <c r="AQ12" s="100">
        <f t="shared" si="35"/>
        <v>3221926298.84</v>
      </c>
      <c r="AR12" s="100">
        <f t="shared" si="36"/>
        <v>2258113367.99</v>
      </c>
      <c r="AS12" s="100">
        <f t="shared" si="37"/>
        <v>900659073.68</v>
      </c>
      <c r="AT12" s="100">
        <f t="shared" si="38"/>
        <v>55651097.65</v>
      </c>
      <c r="AU12" s="100">
        <f t="shared" si="39"/>
        <v>7502759.52</v>
      </c>
      <c r="AV12" s="100">
        <f t="shared" si="40"/>
        <v>3221926298.84</v>
      </c>
      <c r="AW12" s="42" t="e">
        <f t="shared" si="41"/>
        <v>#DIV/0!</v>
      </c>
      <c r="AX12" s="42" t="e">
        <f t="shared" si="42"/>
        <v>#DIV/0!</v>
      </c>
      <c r="AY12" s="42" t="e">
        <f t="shared" si="43"/>
        <v>#DIV/0!</v>
      </c>
      <c r="AZ12" s="42" t="e">
        <f t="shared" si="44"/>
        <v>#DIV/0!</v>
      </c>
      <c r="BA12" s="42" t="e">
        <f t="shared" si="45"/>
        <v>#DIV/0!</v>
      </c>
      <c r="BB12" s="100">
        <v>619035875.22</v>
      </c>
      <c r="BC12" s="100">
        <v>201978394.35</v>
      </c>
      <c r="BD12" s="100">
        <v>36844046.64</v>
      </c>
      <c r="BE12" s="100">
        <v>3398115.79</v>
      </c>
      <c r="BF12" s="100">
        <f t="shared" si="1"/>
        <v>861256432</v>
      </c>
      <c r="BG12" s="100">
        <f t="shared" si="46"/>
        <v>619035875.22</v>
      </c>
      <c r="BH12" s="100">
        <f t="shared" si="47"/>
        <v>201978394.35</v>
      </c>
      <c r="BI12" s="100">
        <f t="shared" si="48"/>
        <v>36844046.64</v>
      </c>
      <c r="BJ12" s="100">
        <f t="shared" si="49"/>
        <v>3398115.79</v>
      </c>
      <c r="BK12" s="100">
        <f t="shared" si="50"/>
        <v>861256432</v>
      </c>
      <c r="BL12" s="42" t="e">
        <f t="shared" si="51"/>
        <v>#DIV/0!</v>
      </c>
      <c r="BM12" s="42" t="e">
        <f t="shared" si="52"/>
        <v>#DIV/0!</v>
      </c>
      <c r="BN12" s="42" t="e">
        <f t="shared" si="53"/>
        <v>#DIV/0!</v>
      </c>
      <c r="BO12" s="42" t="e">
        <f t="shared" si="54"/>
        <v>#DIV/0!</v>
      </c>
      <c r="BP12" s="42" t="e">
        <f t="shared" si="55"/>
        <v>#DIV/0!</v>
      </c>
      <c r="BQ12" s="100">
        <f t="shared" si="2"/>
        <v>1639077492.77</v>
      </c>
      <c r="BR12" s="100">
        <f t="shared" si="3"/>
        <v>698680679.33</v>
      </c>
      <c r="BS12" s="100">
        <f t="shared" si="4"/>
        <v>18807051.01</v>
      </c>
      <c r="BT12" s="100">
        <f t="shared" si="5"/>
        <v>4104643.73</v>
      </c>
      <c r="BU12" s="100">
        <f t="shared" si="56"/>
        <v>2360669866.84</v>
      </c>
      <c r="BV12" s="100">
        <f t="shared" si="57"/>
        <v>1639077492.77</v>
      </c>
      <c r="BW12" s="100">
        <f t="shared" si="58"/>
        <v>698680679.33</v>
      </c>
      <c r="BX12" s="100">
        <f t="shared" si="59"/>
        <v>18807051.01</v>
      </c>
      <c r="BY12" s="100">
        <f t="shared" si="60"/>
        <v>4104643.73</v>
      </c>
      <c r="BZ12" s="100">
        <f t="shared" si="61"/>
        <v>2360669866.84</v>
      </c>
      <c r="CA12" s="42" t="e">
        <f t="shared" si="62"/>
        <v>#DIV/0!</v>
      </c>
      <c r="CB12" s="42" t="e">
        <f t="shared" si="63"/>
        <v>#DIV/0!</v>
      </c>
      <c r="CC12" s="42" t="e">
        <f t="shared" si="64"/>
        <v>#DIV/0!</v>
      </c>
      <c r="CD12" s="42" t="e">
        <f t="shared" si="65"/>
        <v>#DIV/0!</v>
      </c>
      <c r="CE12" s="42" t="e">
        <f t="shared" si="66"/>
        <v>#DIV/0!</v>
      </c>
      <c r="CF12" s="100">
        <v>375987217.96</v>
      </c>
      <c r="CG12" s="100">
        <v>175413435.06</v>
      </c>
      <c r="CH12" s="100">
        <v>156702624.68</v>
      </c>
      <c r="CI12" s="100"/>
      <c r="CJ12" s="100"/>
      <c r="CK12" s="100"/>
      <c r="CL12" s="100"/>
      <c r="CM12" s="100"/>
      <c r="CN12" s="100">
        <v>23940481.05</v>
      </c>
      <c r="CO12" s="100">
        <v>10935865.95</v>
      </c>
      <c r="CP12" s="100"/>
      <c r="CQ12" s="100"/>
      <c r="CR12" s="100"/>
      <c r="CS12" s="100"/>
      <c r="CT12" s="100"/>
      <c r="CU12" s="100"/>
      <c r="CV12" s="100"/>
      <c r="CW12" s="100"/>
      <c r="CX12" s="100"/>
      <c r="CY12" s="100"/>
      <c r="CZ12" s="100"/>
      <c r="DA12" s="100"/>
      <c r="DB12" s="100"/>
      <c r="DC12" s="100">
        <v>198238.72</v>
      </c>
      <c r="DD12" s="100">
        <f t="shared" si="6"/>
        <v>743177863.42</v>
      </c>
      <c r="DE12" s="100">
        <v>4419973096.59</v>
      </c>
      <c r="DF12" s="100">
        <v>522680948.09</v>
      </c>
      <c r="DG12" s="100">
        <v>121938138.33</v>
      </c>
      <c r="DH12" s="100"/>
      <c r="DI12" s="100">
        <f t="shared" si="7"/>
        <v>5064592183.01</v>
      </c>
      <c r="DJ12" s="100">
        <f t="shared" si="67"/>
        <v>4419973096.59</v>
      </c>
      <c r="DK12" s="100">
        <f t="shared" si="68"/>
        <v>522680948.09</v>
      </c>
      <c r="DL12" s="100">
        <f t="shared" si="69"/>
        <v>121938138.33</v>
      </c>
      <c r="DM12" s="100">
        <f t="shared" si="70"/>
        <v>0</v>
      </c>
      <c r="DN12" s="100">
        <f t="shared" si="71"/>
        <v>5064592183.01</v>
      </c>
      <c r="DO12" s="42" t="e">
        <f t="shared" si="72"/>
        <v>#DIV/0!</v>
      </c>
      <c r="DP12" s="42" t="e">
        <f t="shared" si="73"/>
        <v>#DIV/0!</v>
      </c>
      <c r="DQ12" s="42" t="e">
        <f t="shared" si="74"/>
        <v>#DIV/0!</v>
      </c>
      <c r="DR12" s="42" t="e">
        <f t="shared" si="75"/>
        <v>#DIV/0!</v>
      </c>
      <c r="DS12" s="42" t="e">
        <f t="shared" si="76"/>
        <v>#DIV/0!</v>
      </c>
      <c r="DT12" s="42">
        <f t="shared" si="77"/>
        <v>0.186878305913902</v>
      </c>
      <c r="DU12" s="42">
        <f t="shared" si="8"/>
        <v>0.194710263723817</v>
      </c>
      <c r="DV12" s="11"/>
      <c r="DW12" s="42">
        <f t="shared" si="9"/>
        <v>0</v>
      </c>
      <c r="DX12" s="42"/>
      <c r="DY12" s="42">
        <f t="shared" si="81"/>
        <v>0</v>
      </c>
      <c r="DZ12" s="42" t="e">
        <f t="shared" si="78"/>
        <v>#DIV/0!</v>
      </c>
      <c r="EA12" s="42"/>
      <c r="EB12" s="42"/>
      <c r="EC12" s="42"/>
      <c r="ED12" s="42"/>
      <c r="EE12" s="112"/>
      <c r="EF12" s="112"/>
      <c r="EG12" s="4"/>
      <c r="EH12" s="4"/>
      <c r="EI12" s="4"/>
      <c r="EJ12" s="4"/>
      <c r="EK12" s="42"/>
      <c r="EL12" s="11"/>
      <c r="EM12" s="42">
        <f t="shared" si="14"/>
        <v>0</v>
      </c>
      <c r="EN12" s="42"/>
      <c r="EO12" s="42"/>
      <c r="EP12" s="42"/>
      <c r="EQ12" s="42"/>
      <c r="ER12" s="42"/>
      <c r="ES12" s="42"/>
      <c r="ET12" s="42"/>
      <c r="EU12" s="112"/>
      <c r="EV12" s="112"/>
      <c r="EW12" s="4"/>
      <c r="EX12" s="42"/>
      <c r="EY12" s="42"/>
      <c r="EZ12" s="11"/>
      <c r="FA12" s="11"/>
      <c r="FB12" s="42">
        <f t="shared" si="18"/>
        <v>0</v>
      </c>
      <c r="FC12" s="115"/>
      <c r="FD12" s="42"/>
      <c r="FE12" s="42"/>
      <c r="FF12" s="115"/>
      <c r="FG12" s="115"/>
      <c r="FH12" s="29"/>
      <c r="FI12" s="42"/>
      <c r="FJ12" s="42"/>
      <c r="FK12" s="55"/>
    </row>
    <row r="13" spans="1:167">
      <c r="A13" s="4">
        <v>2012</v>
      </c>
      <c r="B13" s="4"/>
      <c r="C13" s="29">
        <v>7069591619.67</v>
      </c>
      <c r="D13" s="29">
        <f>C13-K13</f>
        <v>5586524211.47</v>
      </c>
      <c r="E13" s="29">
        <v>4434275940.28</v>
      </c>
      <c r="F13" s="29">
        <v>49086538.5</v>
      </c>
      <c r="G13" s="23">
        <v>722932356.82</v>
      </c>
      <c r="H13" s="29">
        <v>392235132.26</v>
      </c>
      <c r="I13" s="29"/>
      <c r="J13" s="29">
        <v>-12005756.39</v>
      </c>
      <c r="K13" s="29">
        <v>1483067408.2</v>
      </c>
      <c r="L13" s="29">
        <v>1489635747.01</v>
      </c>
      <c r="M13" s="29">
        <v>282068894.05</v>
      </c>
      <c r="N13" s="29">
        <v>1207566852.96</v>
      </c>
      <c r="O13" s="11">
        <v>193219276.65</v>
      </c>
      <c r="P13" s="29">
        <v>525965.22</v>
      </c>
      <c r="Q13" s="29"/>
      <c r="R13" s="29">
        <v>5884690.05</v>
      </c>
      <c r="S13" s="29"/>
      <c r="T13" s="11">
        <f t="shared" si="22"/>
        <v>199629931.92</v>
      </c>
      <c r="U13" s="29">
        <v>471457199.4</v>
      </c>
      <c r="V13" s="29">
        <v>157569660</v>
      </c>
      <c r="W13" s="29"/>
      <c r="X13" s="42"/>
      <c r="Y13" s="100">
        <f t="shared" si="23"/>
        <v>471457199.4</v>
      </c>
      <c r="Z13" s="11">
        <f t="shared" si="24"/>
        <v>1407196784.88</v>
      </c>
      <c r="AA13" s="100">
        <f t="shared" si="25"/>
        <v>1407196784.88</v>
      </c>
      <c r="AB13" s="42"/>
      <c r="AC13" s="101"/>
      <c r="AD13" s="101">
        <f t="shared" si="26"/>
        <v>0.790218800747471</v>
      </c>
      <c r="AE13" s="42">
        <f t="shared" si="27"/>
        <v>0.627232261612162</v>
      </c>
      <c r="AF13" s="42">
        <f t="shared" si="28"/>
        <v>0.00694333437357606</v>
      </c>
      <c r="AG13" s="42">
        <f t="shared" si="29"/>
        <v>0.102259422568138</v>
      </c>
      <c r="AH13" s="42">
        <f t="shared" si="30"/>
        <v>0.0554820070750153</v>
      </c>
      <c r="AI13" s="42">
        <f t="shared" si="31"/>
        <v>0</v>
      </c>
      <c r="AJ13" s="42">
        <f t="shared" si="32"/>
        <v>0.209781199252529</v>
      </c>
      <c r="AK13" s="42">
        <f t="shared" si="33"/>
        <v>0.210710296598368</v>
      </c>
      <c r="AL13" s="42">
        <f t="shared" si="34"/>
        <v>0.170811401552551</v>
      </c>
      <c r="AM13" s="100"/>
      <c r="AN13" s="100"/>
      <c r="AO13" s="100"/>
      <c r="AP13" s="100"/>
      <c r="AQ13" s="100"/>
      <c r="AR13" s="100"/>
      <c r="AS13" s="100"/>
      <c r="AT13" s="100"/>
      <c r="AU13" s="100"/>
      <c r="AV13" s="100"/>
      <c r="AW13" s="42"/>
      <c r="AX13" s="42"/>
      <c r="AY13" s="42"/>
      <c r="AZ13" s="42"/>
      <c r="BA13" s="42"/>
      <c r="BB13" s="100"/>
      <c r="BC13" s="100"/>
      <c r="BD13" s="100"/>
      <c r="BE13" s="100"/>
      <c r="BF13" s="100"/>
      <c r="BG13" s="100"/>
      <c r="BH13" s="100"/>
      <c r="BI13" s="100"/>
      <c r="BJ13" s="100"/>
      <c r="BK13" s="100"/>
      <c r="BL13" s="42"/>
      <c r="BM13" s="42"/>
      <c r="BN13" s="42"/>
      <c r="BO13" s="42"/>
      <c r="BP13" s="42"/>
      <c r="BQ13" s="100"/>
      <c r="BR13" s="100"/>
      <c r="BS13" s="100"/>
      <c r="BT13" s="100"/>
      <c r="BU13" s="100"/>
      <c r="BV13" s="100"/>
      <c r="BW13" s="100"/>
      <c r="BX13" s="100"/>
      <c r="BY13" s="100"/>
      <c r="BZ13" s="100"/>
      <c r="CA13" s="42"/>
      <c r="CB13" s="42"/>
      <c r="CC13" s="42"/>
      <c r="CD13" s="42"/>
      <c r="CE13" s="42"/>
      <c r="CF13" s="100"/>
      <c r="CG13" s="100"/>
      <c r="CH13" s="100"/>
      <c r="CI13" s="100"/>
      <c r="CJ13" s="100"/>
      <c r="CK13" s="100"/>
      <c r="CL13" s="100"/>
      <c r="CM13" s="100"/>
      <c r="CN13" s="100"/>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0"/>
      <c r="DK13" s="100"/>
      <c r="DL13" s="100"/>
      <c r="DM13" s="100"/>
      <c r="DN13" s="100"/>
      <c r="DO13" s="42"/>
      <c r="DP13" s="42"/>
      <c r="DQ13" s="42"/>
      <c r="DR13" s="42"/>
      <c r="DS13" s="42"/>
      <c r="DT13" s="42">
        <f t="shared" si="77"/>
        <v>0.189354273094056</v>
      </c>
      <c r="DU13" s="42">
        <f t="shared" si="8"/>
        <v>0.190192901880534</v>
      </c>
      <c r="DV13" s="11"/>
      <c r="DW13" s="42">
        <f t="shared" si="9"/>
        <v>0</v>
      </c>
      <c r="DX13" s="42"/>
      <c r="DY13" s="42">
        <f t="shared" si="81"/>
        <v>0</v>
      </c>
      <c r="DZ13" s="42" t="e">
        <f t="shared" si="78"/>
        <v>#DIV/0!</v>
      </c>
      <c r="EA13" s="42"/>
      <c r="EB13" s="42"/>
      <c r="EC13" s="42"/>
      <c r="ED13" s="42"/>
      <c r="EE13" s="112"/>
      <c r="EF13" s="112"/>
      <c r="EG13" s="4"/>
      <c r="EH13" s="4"/>
      <c r="EI13" s="42">
        <f>AVERAGE(EI3:EI8)</f>
        <v>0.0940447179907955</v>
      </c>
      <c r="EJ13" s="4"/>
      <c r="EK13" s="42"/>
      <c r="EL13" s="11"/>
      <c r="EM13" s="42">
        <f t="shared" si="14"/>
        <v>0</v>
      </c>
      <c r="EN13" s="42"/>
      <c r="EO13" s="42"/>
      <c r="EP13" s="42"/>
      <c r="EQ13" s="42"/>
      <c r="ER13" s="42"/>
      <c r="ES13" s="42"/>
      <c r="ET13" s="42"/>
      <c r="EU13" s="112"/>
      <c r="EV13" s="112"/>
      <c r="EW13" s="4"/>
      <c r="EX13" s="42"/>
      <c r="EY13" s="42">
        <f>AVERAGE(EY3:EY8)</f>
        <v>0.133548328763672</v>
      </c>
      <c r="EZ13" s="11"/>
      <c r="FA13" s="11"/>
      <c r="FB13" s="42">
        <f t="shared" si="18"/>
        <v>0</v>
      </c>
      <c r="FC13" s="115"/>
      <c r="FD13" s="42"/>
      <c r="FE13" s="42"/>
      <c r="FF13" s="115"/>
      <c r="FG13" s="115"/>
      <c r="FH13" s="29"/>
      <c r="FI13" s="42"/>
      <c r="FJ13" s="42">
        <f>AVERAGE(FJ3:FJ8)</f>
        <v>0.0476800482081702</v>
      </c>
      <c r="FK13" s="55"/>
    </row>
    <row r="14" spans="1:167">
      <c r="A14" s="4"/>
      <c r="B14" s="4"/>
      <c r="C14" s="29"/>
      <c r="D14" s="29"/>
      <c r="E14" s="29"/>
      <c r="F14" s="29"/>
      <c r="G14" s="23"/>
      <c r="H14" s="29"/>
      <c r="I14" s="29"/>
      <c r="J14" s="29"/>
      <c r="K14" s="29"/>
      <c r="L14" s="29"/>
      <c r="M14" s="29"/>
      <c r="N14" s="29"/>
      <c r="O14" s="11"/>
      <c r="P14" s="29"/>
      <c r="Q14" s="29"/>
      <c r="R14" s="29"/>
      <c r="S14" s="29"/>
      <c r="T14" s="29"/>
      <c r="U14" s="29"/>
      <c r="V14" s="29"/>
      <c r="W14" s="29"/>
      <c r="X14" s="42"/>
      <c r="Y14" s="100">
        <f>AVERAGE(Y3:Y13)</f>
        <v>786363966.485455</v>
      </c>
      <c r="Z14" s="29"/>
      <c r="AA14" s="100">
        <f>AVERAGE(AA3:AA7)</f>
        <v>6259854237.58891</v>
      </c>
      <c r="AB14" s="42">
        <f>AVERAGE(AB3:AB7)</f>
        <v>0.105149065884513</v>
      </c>
      <c r="AC14" s="101"/>
      <c r="AD14" s="101"/>
      <c r="AE14" s="42"/>
      <c r="AF14" s="42"/>
      <c r="AG14" s="42"/>
      <c r="AH14" s="42"/>
      <c r="AI14" s="42"/>
      <c r="AJ14" s="42"/>
      <c r="AK14" s="42"/>
      <c r="AL14" s="42"/>
      <c r="AM14" s="100"/>
      <c r="AN14" s="100"/>
      <c r="AO14" s="100"/>
      <c r="AP14" s="100"/>
      <c r="AQ14" s="100"/>
      <c r="AR14" s="100"/>
      <c r="AS14" s="100"/>
      <c r="AT14" s="100"/>
      <c r="AU14" s="100"/>
      <c r="AV14" s="100"/>
      <c r="AW14" s="42"/>
      <c r="AX14" s="42"/>
      <c r="AY14" s="42"/>
      <c r="AZ14" s="42"/>
      <c r="BA14" s="42"/>
      <c r="BB14" s="100"/>
      <c r="BC14" s="100"/>
      <c r="BD14" s="100"/>
      <c r="BE14" s="100"/>
      <c r="BF14" s="100"/>
      <c r="BG14" s="100"/>
      <c r="BH14" s="100"/>
      <c r="BI14" s="100"/>
      <c r="BJ14" s="100"/>
      <c r="BK14" s="100"/>
      <c r="BL14" s="42"/>
      <c r="BM14" s="42"/>
      <c r="BN14" s="42"/>
      <c r="BO14" s="42"/>
      <c r="BP14" s="42"/>
      <c r="BQ14" s="100"/>
      <c r="BR14" s="100"/>
      <c r="BS14" s="100"/>
      <c r="BT14" s="100"/>
      <c r="BU14" s="100"/>
      <c r="BV14" s="100"/>
      <c r="BW14" s="100"/>
      <c r="BX14" s="100"/>
      <c r="BY14" s="100"/>
      <c r="BZ14" s="100"/>
      <c r="CA14" s="42"/>
      <c r="CB14" s="42"/>
      <c r="CC14" s="42"/>
      <c r="CD14" s="42"/>
      <c r="CE14" s="42"/>
      <c r="CF14" s="100"/>
      <c r="CG14" s="100"/>
      <c r="CH14" s="100"/>
      <c r="CI14" s="100"/>
      <c r="CJ14" s="100"/>
      <c r="CK14" s="100"/>
      <c r="CL14" s="100"/>
      <c r="CM14" s="100"/>
      <c r="CN14" s="100"/>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0"/>
      <c r="DK14" s="100"/>
      <c r="DL14" s="100"/>
      <c r="DM14" s="100"/>
      <c r="DN14" s="100"/>
      <c r="DO14" s="42"/>
      <c r="DP14" s="42"/>
      <c r="DQ14" s="42"/>
      <c r="DR14" s="42"/>
      <c r="DS14" s="42"/>
      <c r="DT14" s="42"/>
      <c r="DU14" s="42"/>
      <c r="DV14" s="11"/>
      <c r="DW14" s="42"/>
      <c r="DX14" s="42"/>
      <c r="DY14" s="42"/>
      <c r="DZ14" s="42"/>
      <c r="EA14" s="42"/>
      <c r="EB14" s="42"/>
      <c r="EC14" s="42"/>
      <c r="ED14" s="42"/>
      <c r="EE14" s="112"/>
      <c r="EF14" s="112"/>
      <c r="EG14" s="4"/>
      <c r="EH14" s="4"/>
      <c r="EI14" s="42"/>
      <c r="EJ14" s="4"/>
      <c r="EK14" s="42"/>
      <c r="EL14" s="11"/>
      <c r="EM14" s="42"/>
      <c r="EN14" s="42"/>
      <c r="EO14" s="42"/>
      <c r="EP14" s="42"/>
      <c r="EQ14" s="42"/>
      <c r="ER14" s="42"/>
      <c r="ES14" s="42"/>
      <c r="ET14" s="42"/>
      <c r="EU14" s="112"/>
      <c r="EV14" s="112"/>
      <c r="EW14" s="4"/>
      <c r="EX14" s="42"/>
      <c r="EY14" s="42"/>
      <c r="EZ14" s="11"/>
      <c r="FA14" s="11"/>
      <c r="FB14" s="42"/>
      <c r="FC14" s="115"/>
      <c r="FD14" s="42"/>
      <c r="FE14" s="42"/>
      <c r="FF14" s="115"/>
      <c r="FG14" s="115"/>
      <c r="FH14" s="29"/>
      <c r="FI14" s="42"/>
      <c r="FJ14" s="42"/>
      <c r="FK14" s="55"/>
    </row>
    <row r="15" spans="1:167">
      <c r="A15" s="4">
        <v>2022</v>
      </c>
      <c r="B15" s="4" t="s">
        <v>79</v>
      </c>
      <c r="C15" s="29">
        <v>5341040998.68</v>
      </c>
      <c r="D15" s="29">
        <v>4707096929.93</v>
      </c>
      <c r="E15" s="29">
        <v>3647876549.07</v>
      </c>
      <c r="F15" s="29">
        <v>88370313.75</v>
      </c>
      <c r="G15" s="23">
        <v>472899300.13</v>
      </c>
      <c r="H15" s="29">
        <v>323539701.93</v>
      </c>
      <c r="I15" s="29">
        <v>178601844.82</v>
      </c>
      <c r="J15" s="29">
        <v>-4190779.77</v>
      </c>
      <c r="K15" s="29">
        <v>705693335.16</v>
      </c>
      <c r="L15" s="29">
        <v>-474409780.91</v>
      </c>
      <c r="M15" s="29">
        <v>80152748.71</v>
      </c>
      <c r="N15" s="29">
        <v>-554562529.62</v>
      </c>
      <c r="O15" s="11"/>
      <c r="P15" s="29"/>
      <c r="Q15" s="29"/>
      <c r="R15" s="29"/>
      <c r="S15" s="29"/>
      <c r="T15" s="29"/>
      <c r="U15" s="29"/>
      <c r="V15" s="29"/>
      <c r="W15" s="29"/>
      <c r="X15" s="42"/>
      <c r="Y15" s="100"/>
      <c r="Z15" s="29"/>
      <c r="AA15" s="100">
        <f>AVERAGE(AA3:AA13)</f>
        <v>4270145451.29769</v>
      </c>
      <c r="AB15" s="42">
        <f>AVERAGE(AB3:AB12)</f>
        <v>0.168794605677102</v>
      </c>
      <c r="AC15" s="101"/>
      <c r="AD15" s="101">
        <f t="shared" ref="AD15:AD31" si="82">D15/C15</f>
        <v>0.881307020690035</v>
      </c>
      <c r="AE15" s="42">
        <f t="shared" ref="AE15:AE25" si="83">E15/$C15</f>
        <v>0.682989804791153</v>
      </c>
      <c r="AF15" s="42">
        <f t="shared" ref="AF15:AF25" si="84">F15/$C15</f>
        <v>0.0165455224499943</v>
      </c>
      <c r="AG15" s="42">
        <f t="shared" ref="AG15:AG25" si="85">G15/$C15</f>
        <v>0.0885406609398568</v>
      </c>
      <c r="AH15" s="42">
        <f t="shared" ref="AH15:AH25" si="86">H15/$C15</f>
        <v>0.0605761502317545</v>
      </c>
      <c r="AI15" s="42">
        <f t="shared" ref="AI15:AI25" si="87">I15/$C15</f>
        <v>0.0334395195363863</v>
      </c>
      <c r="AJ15" s="42">
        <f t="shared" ref="AJ14:AJ47" si="88">K15/C15</f>
        <v>0.132126552732774</v>
      </c>
      <c r="AK15" s="42">
        <f t="shared" ref="AK14:AK47" si="89">L15/C15</f>
        <v>-0.0888234673778477</v>
      </c>
      <c r="AL15" s="42">
        <f t="shared" ref="AL14:AL47" si="90">N15/C15</f>
        <v>-0.103830419904482</v>
      </c>
      <c r="AM15" s="100"/>
      <c r="AN15" s="100"/>
      <c r="AO15" s="100"/>
      <c r="AP15" s="100"/>
      <c r="AQ15" s="100"/>
      <c r="AR15" s="100"/>
      <c r="AS15" s="100"/>
      <c r="AT15" s="100"/>
      <c r="AU15" s="100"/>
      <c r="AV15" s="100"/>
      <c r="AW15" s="42"/>
      <c r="AX15" s="42"/>
      <c r="AY15" s="42"/>
      <c r="AZ15" s="42"/>
      <c r="BA15" s="42"/>
      <c r="BB15" s="100"/>
      <c r="BC15" s="100"/>
      <c r="BD15" s="100"/>
      <c r="BE15" s="100"/>
      <c r="BF15" s="100"/>
      <c r="BG15" s="100"/>
      <c r="BH15" s="100"/>
      <c r="BI15" s="100"/>
      <c r="BJ15" s="100"/>
      <c r="BK15" s="100"/>
      <c r="BL15" s="42"/>
      <c r="BM15" s="42"/>
      <c r="BN15" s="42"/>
      <c r="BO15" s="42"/>
      <c r="BP15" s="42"/>
      <c r="BQ15" s="100"/>
      <c r="BR15" s="100"/>
      <c r="BS15" s="100"/>
      <c r="BT15" s="100"/>
      <c r="BU15" s="100"/>
      <c r="BV15" s="100"/>
      <c r="BW15" s="100"/>
      <c r="BX15" s="100"/>
      <c r="BY15" s="100"/>
      <c r="BZ15" s="100"/>
      <c r="CA15" s="42"/>
      <c r="CB15" s="42"/>
      <c r="CC15" s="42"/>
      <c r="CD15" s="42"/>
      <c r="CE15" s="42"/>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42"/>
      <c r="DP15" s="42"/>
      <c r="DQ15" s="42"/>
      <c r="DR15" s="42"/>
      <c r="DS15" s="42"/>
      <c r="DT15" s="42">
        <f t="shared" ref="DT15:DT25" si="91">M15/L15</f>
        <v>-0.16895256365974</v>
      </c>
      <c r="DU15" s="42">
        <f t="shared" ref="DU15:DU25" si="92">M15/K15</f>
        <v>0.113580141283079</v>
      </c>
      <c r="DV15" s="11"/>
      <c r="DW15" s="42">
        <f t="shared" ref="DW15:DW47" si="93">DV15/C15</f>
        <v>0</v>
      </c>
      <c r="DX15" s="42"/>
      <c r="DY15" s="42">
        <f t="shared" ref="DY15:DY31" si="94">DX15/D15</f>
        <v>0</v>
      </c>
      <c r="DZ15" s="42" t="e">
        <f t="shared" ref="DZ15:DZ31" si="95">DX15/DV15</f>
        <v>#DIV/0!</v>
      </c>
      <c r="EA15" s="42"/>
      <c r="EB15" s="42"/>
      <c r="EC15" s="42"/>
      <c r="ED15" s="42"/>
      <c r="EE15" s="112"/>
      <c r="EF15" s="112"/>
      <c r="EG15" s="4"/>
      <c r="EH15" s="4"/>
      <c r="EI15" s="42"/>
      <c r="EJ15" s="4"/>
      <c r="EK15" s="42"/>
      <c r="EL15" s="11"/>
      <c r="EM15" s="42">
        <f t="shared" ref="EM15:EM47" si="96">EL15/C15</f>
        <v>0</v>
      </c>
      <c r="EN15" s="42"/>
      <c r="EO15" s="42"/>
      <c r="EP15" s="42"/>
      <c r="EQ15" s="42"/>
      <c r="ER15" s="42"/>
      <c r="ES15" s="42"/>
      <c r="ET15" s="42"/>
      <c r="EU15" s="112"/>
      <c r="EV15" s="112"/>
      <c r="EW15" s="4"/>
      <c r="EX15" s="42"/>
      <c r="EY15" s="42"/>
      <c r="EZ15" s="11"/>
      <c r="FA15" s="11"/>
      <c r="FB15" s="42">
        <f t="shared" ref="FB15:FB31" si="97">FA15/C15</f>
        <v>0</v>
      </c>
      <c r="FC15" s="115"/>
      <c r="FD15" s="42"/>
      <c r="FE15" s="42"/>
      <c r="FF15" s="115"/>
      <c r="FG15" s="115"/>
      <c r="FH15" s="29"/>
      <c r="FI15" s="42"/>
      <c r="FJ15" s="42"/>
      <c r="FK15" s="55"/>
    </row>
    <row r="16" spans="1:167">
      <c r="A16" s="4">
        <v>2021</v>
      </c>
      <c r="B16" s="4"/>
      <c r="C16" s="29">
        <v>5115649704.3</v>
      </c>
      <c r="D16" s="29">
        <v>4301356992.97</v>
      </c>
      <c r="E16" s="29">
        <v>3331842758.91</v>
      </c>
      <c r="F16" s="29">
        <v>112595334.52</v>
      </c>
      <c r="G16" s="23">
        <v>412424113.48</v>
      </c>
      <c r="H16" s="29">
        <v>254493095.03</v>
      </c>
      <c r="I16" s="29">
        <v>170105530.96</v>
      </c>
      <c r="J16" s="29">
        <v>19896160.07</v>
      </c>
      <c r="K16" s="29">
        <v>877495460.11</v>
      </c>
      <c r="L16" s="29">
        <v>876523604.02</v>
      </c>
      <c r="M16" s="29">
        <v>92303153.39</v>
      </c>
      <c r="N16" s="29">
        <v>784220450.63</v>
      </c>
      <c r="O16" s="11"/>
      <c r="P16" s="29"/>
      <c r="Q16" s="29"/>
      <c r="R16" s="29"/>
      <c r="S16" s="29"/>
      <c r="T16" s="29"/>
      <c r="U16" s="29"/>
      <c r="V16" s="29"/>
      <c r="W16" s="29"/>
      <c r="X16" s="42"/>
      <c r="Y16" s="100"/>
      <c r="Z16" s="29"/>
      <c r="AA16" s="100"/>
      <c r="AB16" s="42"/>
      <c r="AC16" s="101"/>
      <c r="AD16" s="101">
        <f t="shared" si="82"/>
        <v>0.840823207530113</v>
      </c>
      <c r="AE16" s="42">
        <f t="shared" si="83"/>
        <v>0.651303930390189</v>
      </c>
      <c r="AF16" s="42">
        <f t="shared" si="84"/>
        <v>0.0220099774277658</v>
      </c>
      <c r="AG16" s="42">
        <f t="shared" si="85"/>
        <v>0.0806200849001318</v>
      </c>
      <c r="AH16" s="42">
        <f t="shared" si="86"/>
        <v>0.0497479518224408</v>
      </c>
      <c r="AI16" s="42">
        <f t="shared" si="87"/>
        <v>0.0332519896381913</v>
      </c>
      <c r="AJ16" s="42">
        <f t="shared" si="88"/>
        <v>0.171531576795107</v>
      </c>
      <c r="AK16" s="42">
        <f t="shared" si="89"/>
        <v>0.171341599735265</v>
      </c>
      <c r="AL16" s="42">
        <f t="shared" si="90"/>
        <v>0.153298309297999</v>
      </c>
      <c r="AM16" s="100"/>
      <c r="AN16" s="100"/>
      <c r="AO16" s="100"/>
      <c r="AP16" s="100"/>
      <c r="AQ16" s="100"/>
      <c r="AR16" s="100"/>
      <c r="AS16" s="100"/>
      <c r="AT16" s="100"/>
      <c r="AU16" s="100"/>
      <c r="AV16" s="100"/>
      <c r="AW16" s="42"/>
      <c r="AX16" s="42"/>
      <c r="AY16" s="42"/>
      <c r="AZ16" s="42"/>
      <c r="BA16" s="42"/>
      <c r="BB16" s="100"/>
      <c r="BC16" s="100"/>
      <c r="BD16" s="100"/>
      <c r="BE16" s="100"/>
      <c r="BF16" s="100"/>
      <c r="BG16" s="100"/>
      <c r="BH16" s="100"/>
      <c r="BI16" s="100"/>
      <c r="BJ16" s="100"/>
      <c r="BK16" s="100"/>
      <c r="BL16" s="42"/>
      <c r="BM16" s="42"/>
      <c r="BN16" s="42"/>
      <c r="BO16" s="42"/>
      <c r="BP16" s="42"/>
      <c r="BQ16" s="100"/>
      <c r="BR16" s="100"/>
      <c r="BS16" s="100"/>
      <c r="BT16" s="100"/>
      <c r="BU16" s="100"/>
      <c r="BV16" s="100"/>
      <c r="BW16" s="100"/>
      <c r="BX16" s="100"/>
      <c r="BY16" s="100"/>
      <c r="BZ16" s="100"/>
      <c r="CA16" s="42"/>
      <c r="CB16" s="42"/>
      <c r="CC16" s="42"/>
      <c r="CD16" s="42"/>
      <c r="CE16" s="42"/>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42"/>
      <c r="DP16" s="42"/>
      <c r="DQ16" s="42"/>
      <c r="DR16" s="42"/>
      <c r="DS16" s="42"/>
      <c r="DT16" s="42">
        <f t="shared" si="91"/>
        <v>0.105305952933464</v>
      </c>
      <c r="DU16" s="42">
        <f t="shared" si="92"/>
        <v>0.105189323006217</v>
      </c>
      <c r="DV16" s="11"/>
      <c r="DW16" s="42">
        <f t="shared" si="93"/>
        <v>0</v>
      </c>
      <c r="DX16" s="42"/>
      <c r="DY16" s="42">
        <f t="shared" si="94"/>
        <v>0</v>
      </c>
      <c r="DZ16" s="42" t="e">
        <f t="shared" si="95"/>
        <v>#DIV/0!</v>
      </c>
      <c r="EA16" s="42"/>
      <c r="EB16" s="42"/>
      <c r="EC16" s="42"/>
      <c r="ED16" s="42"/>
      <c r="EE16" s="112"/>
      <c r="EF16" s="112"/>
      <c r="EG16" s="4"/>
      <c r="EH16" s="4"/>
      <c r="EI16" s="42"/>
      <c r="EJ16" s="4"/>
      <c r="EK16" s="42"/>
      <c r="EL16" s="11"/>
      <c r="EM16" s="42">
        <f t="shared" si="96"/>
        <v>0</v>
      </c>
      <c r="EN16" s="42"/>
      <c r="EO16" s="42"/>
      <c r="EP16" s="42"/>
      <c r="EQ16" s="42"/>
      <c r="ER16" s="42"/>
      <c r="ES16" s="42"/>
      <c r="ET16" s="42"/>
      <c r="EU16" s="112"/>
      <c r="EV16" s="112"/>
      <c r="EW16" s="4"/>
      <c r="EX16" s="42"/>
      <c r="EY16" s="42"/>
      <c r="EZ16" s="11"/>
      <c r="FA16" s="11"/>
      <c r="FB16" s="42">
        <f t="shared" si="97"/>
        <v>0</v>
      </c>
      <c r="FC16" s="115"/>
      <c r="FD16" s="42"/>
      <c r="FE16" s="42"/>
      <c r="FF16" s="115"/>
      <c r="FG16" s="115"/>
      <c r="FH16" s="29"/>
      <c r="FI16" s="42"/>
      <c r="FJ16" s="42"/>
      <c r="FK16" s="55"/>
    </row>
    <row r="17" spans="1:167">
      <c r="A17" s="4">
        <v>2020</v>
      </c>
      <c r="B17" s="4"/>
      <c r="C17" s="29">
        <v>5123374813.83</v>
      </c>
      <c r="D17" s="29">
        <v>4066474772.09</v>
      </c>
      <c r="E17" s="29">
        <v>3163314751.7</v>
      </c>
      <c r="F17" s="29">
        <v>58071354.48</v>
      </c>
      <c r="G17" s="23">
        <v>396987588.96</v>
      </c>
      <c r="H17" s="29">
        <v>280653551.38</v>
      </c>
      <c r="I17" s="29">
        <v>154130171.85</v>
      </c>
      <c r="J17" s="29">
        <v>13317353.72</v>
      </c>
      <c r="K17" s="29">
        <v>1168764469.56</v>
      </c>
      <c r="L17" s="29">
        <v>1130076526.92</v>
      </c>
      <c r="M17" s="29">
        <v>158704875.24</v>
      </c>
      <c r="N17" s="29">
        <v>971371651.68</v>
      </c>
      <c r="O17" s="11"/>
      <c r="P17" s="29"/>
      <c r="Q17" s="29"/>
      <c r="R17" s="29"/>
      <c r="S17" s="29"/>
      <c r="T17" s="29"/>
      <c r="U17" s="29"/>
      <c r="V17" s="29"/>
      <c r="W17" s="29"/>
      <c r="X17" s="42"/>
      <c r="Y17" s="100"/>
      <c r="Z17" s="29"/>
      <c r="AA17" s="100"/>
      <c r="AB17" s="42"/>
      <c r="AC17" s="101"/>
      <c r="AD17" s="101">
        <f t="shared" si="82"/>
        <v>0.79371018515237</v>
      </c>
      <c r="AE17" s="42">
        <f t="shared" si="83"/>
        <v>0.617427938936065</v>
      </c>
      <c r="AF17" s="42">
        <f t="shared" si="84"/>
        <v>0.0113345903023223</v>
      </c>
      <c r="AG17" s="42">
        <f t="shared" si="85"/>
        <v>0.0774855643761168</v>
      </c>
      <c r="AH17" s="42">
        <f t="shared" si="86"/>
        <v>0.0547790395155954</v>
      </c>
      <c r="AI17" s="42">
        <f t="shared" si="87"/>
        <v>0.0300837197063822</v>
      </c>
      <c r="AJ17" s="42">
        <f t="shared" si="88"/>
        <v>0.228123944085653</v>
      </c>
      <c r="AK17" s="42">
        <f t="shared" si="89"/>
        <v>0.220572682652356</v>
      </c>
      <c r="AL17" s="42">
        <f t="shared" si="90"/>
        <v>0.189596054744597</v>
      </c>
      <c r="AM17" s="100"/>
      <c r="AN17" s="100"/>
      <c r="AO17" s="100"/>
      <c r="AP17" s="100"/>
      <c r="AQ17" s="100"/>
      <c r="AR17" s="100"/>
      <c r="AS17" s="100"/>
      <c r="AT17" s="100"/>
      <c r="AU17" s="100"/>
      <c r="AV17" s="100"/>
      <c r="AW17" s="42"/>
      <c r="AX17" s="42"/>
      <c r="AY17" s="42"/>
      <c r="AZ17" s="42"/>
      <c r="BA17" s="42"/>
      <c r="BB17" s="100"/>
      <c r="BC17" s="100"/>
      <c r="BD17" s="100"/>
      <c r="BE17" s="100"/>
      <c r="BF17" s="100"/>
      <c r="BG17" s="100"/>
      <c r="BH17" s="100"/>
      <c r="BI17" s="100"/>
      <c r="BJ17" s="100"/>
      <c r="BK17" s="100"/>
      <c r="BL17" s="42"/>
      <c r="BM17" s="42"/>
      <c r="BN17" s="42"/>
      <c r="BO17" s="42"/>
      <c r="BP17" s="42"/>
      <c r="BQ17" s="100"/>
      <c r="BR17" s="100"/>
      <c r="BS17" s="100"/>
      <c r="BT17" s="100"/>
      <c r="BU17" s="100"/>
      <c r="BV17" s="100"/>
      <c r="BW17" s="100"/>
      <c r="BX17" s="100"/>
      <c r="BY17" s="100"/>
      <c r="BZ17" s="100"/>
      <c r="CA17" s="42"/>
      <c r="CB17" s="42"/>
      <c r="CC17" s="42"/>
      <c r="CD17" s="42"/>
      <c r="CE17" s="42"/>
      <c r="CF17" s="100"/>
      <c r="CG17" s="100"/>
      <c r="CH17" s="100"/>
      <c r="CI17" s="100"/>
      <c r="CJ17" s="100"/>
      <c r="CK17" s="100"/>
      <c r="CL17" s="100"/>
      <c r="CM17" s="100"/>
      <c r="CN17" s="100"/>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0"/>
      <c r="DK17" s="100"/>
      <c r="DL17" s="100"/>
      <c r="DM17" s="100"/>
      <c r="DN17" s="100"/>
      <c r="DO17" s="42"/>
      <c r="DP17" s="42"/>
      <c r="DQ17" s="42"/>
      <c r="DR17" s="42"/>
      <c r="DS17" s="42"/>
      <c r="DT17" s="42">
        <f t="shared" si="91"/>
        <v>0.140437281422477</v>
      </c>
      <c r="DU17" s="42">
        <f t="shared" si="92"/>
        <v>0.135788586471787</v>
      </c>
      <c r="DV17" s="11"/>
      <c r="DW17" s="42">
        <f t="shared" si="93"/>
        <v>0</v>
      </c>
      <c r="DX17" s="42"/>
      <c r="DY17" s="42">
        <f t="shared" si="94"/>
        <v>0</v>
      </c>
      <c r="DZ17" s="42" t="e">
        <f t="shared" si="95"/>
        <v>#DIV/0!</v>
      </c>
      <c r="EA17" s="42"/>
      <c r="EB17" s="42"/>
      <c r="EC17" s="42"/>
      <c r="ED17" s="42"/>
      <c r="EE17" s="112"/>
      <c r="EF17" s="112"/>
      <c r="EG17" s="4"/>
      <c r="EH17" s="4"/>
      <c r="EI17" s="42"/>
      <c r="EJ17" s="4"/>
      <c r="EK17" s="42"/>
      <c r="EL17" s="11"/>
      <c r="EM17" s="42">
        <f t="shared" si="96"/>
        <v>0</v>
      </c>
      <c r="EN17" s="42"/>
      <c r="EO17" s="42"/>
      <c r="EP17" s="42"/>
      <c r="EQ17" s="42"/>
      <c r="ER17" s="42"/>
      <c r="ES17" s="42"/>
      <c r="ET17" s="42"/>
      <c r="EU17" s="112"/>
      <c r="EV17" s="112"/>
      <c r="EW17" s="4"/>
      <c r="EX17" s="42"/>
      <c r="EY17" s="42"/>
      <c r="EZ17" s="11"/>
      <c r="FA17" s="11"/>
      <c r="FB17" s="42">
        <f t="shared" si="97"/>
        <v>0</v>
      </c>
      <c r="FC17" s="115"/>
      <c r="FD17" s="42"/>
      <c r="FE17" s="42"/>
      <c r="FF17" s="115"/>
      <c r="FG17" s="115"/>
      <c r="FH17" s="29"/>
      <c r="FI17" s="42"/>
      <c r="FJ17" s="42"/>
      <c r="FK17" s="55"/>
    </row>
    <row r="18" spans="1:167">
      <c r="A18" s="4">
        <v>2019</v>
      </c>
      <c r="B18" s="4"/>
      <c r="C18" s="29">
        <v>4674844437.35</v>
      </c>
      <c r="D18" s="29">
        <v>3834499268.75</v>
      </c>
      <c r="E18" s="29">
        <v>2826059472.05</v>
      </c>
      <c r="F18" s="29">
        <v>60986903.06</v>
      </c>
      <c r="G18" s="23">
        <v>456289303.83</v>
      </c>
      <c r="H18" s="29">
        <v>295102319.26</v>
      </c>
      <c r="I18" s="29">
        <v>147189722.34</v>
      </c>
      <c r="J18" s="29">
        <v>48871548.21</v>
      </c>
      <c r="K18" s="29">
        <v>930945243.71</v>
      </c>
      <c r="L18" s="29">
        <v>928021905.68</v>
      </c>
      <c r="M18" s="29">
        <v>136691992.21</v>
      </c>
      <c r="N18" s="29">
        <v>791329913.47</v>
      </c>
      <c r="O18" s="11"/>
      <c r="P18" s="29"/>
      <c r="Q18" s="29"/>
      <c r="R18" s="29"/>
      <c r="S18" s="29"/>
      <c r="T18" s="29"/>
      <c r="U18" s="29"/>
      <c r="V18" s="29"/>
      <c r="W18" s="29"/>
      <c r="X18" s="42"/>
      <c r="Y18" s="100"/>
      <c r="Z18" s="29"/>
      <c r="AA18" s="100"/>
      <c r="AB18" s="42"/>
      <c r="AC18" s="101"/>
      <c r="AD18" s="101">
        <f t="shared" si="82"/>
        <v>0.820241041202141</v>
      </c>
      <c r="AE18" s="42">
        <f t="shared" si="83"/>
        <v>0.60452481572884</v>
      </c>
      <c r="AF18" s="42">
        <f t="shared" si="84"/>
        <v>0.0130457609611008</v>
      </c>
      <c r="AG18" s="42">
        <f t="shared" si="85"/>
        <v>0.0976052379806362</v>
      </c>
      <c r="AH18" s="42">
        <f t="shared" si="86"/>
        <v>0.0631255912821952</v>
      </c>
      <c r="AI18" s="42">
        <f t="shared" si="87"/>
        <v>0.0314854802790906</v>
      </c>
      <c r="AJ18" s="42">
        <f t="shared" si="88"/>
        <v>0.199139298897766</v>
      </c>
      <c r="AK18" s="42">
        <f t="shared" si="89"/>
        <v>0.198513965141921</v>
      </c>
      <c r="AL18" s="42">
        <f t="shared" si="90"/>
        <v>0.16927406335655</v>
      </c>
      <c r="AM18" s="100"/>
      <c r="AN18" s="100"/>
      <c r="AO18" s="100"/>
      <c r="AP18" s="100"/>
      <c r="AQ18" s="100"/>
      <c r="AR18" s="100"/>
      <c r="AS18" s="100"/>
      <c r="AT18" s="100"/>
      <c r="AU18" s="100"/>
      <c r="AV18" s="100"/>
      <c r="AW18" s="42"/>
      <c r="AX18" s="42"/>
      <c r="AY18" s="42"/>
      <c r="AZ18" s="42"/>
      <c r="BA18" s="42"/>
      <c r="BB18" s="100"/>
      <c r="BC18" s="100"/>
      <c r="BD18" s="100"/>
      <c r="BE18" s="100"/>
      <c r="BF18" s="100"/>
      <c r="BG18" s="100"/>
      <c r="BH18" s="100"/>
      <c r="BI18" s="100"/>
      <c r="BJ18" s="100"/>
      <c r="BK18" s="100"/>
      <c r="BL18" s="42"/>
      <c r="BM18" s="42"/>
      <c r="BN18" s="42"/>
      <c r="BO18" s="42"/>
      <c r="BP18" s="42"/>
      <c r="BQ18" s="100"/>
      <c r="BR18" s="100"/>
      <c r="BS18" s="100"/>
      <c r="BT18" s="100"/>
      <c r="BU18" s="100"/>
      <c r="BV18" s="100"/>
      <c r="BW18" s="100"/>
      <c r="BX18" s="100"/>
      <c r="BY18" s="100"/>
      <c r="BZ18" s="100"/>
      <c r="CA18" s="42"/>
      <c r="CB18" s="42"/>
      <c r="CC18" s="42"/>
      <c r="CD18" s="42"/>
      <c r="CE18" s="42"/>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42"/>
      <c r="DP18" s="42"/>
      <c r="DQ18" s="42"/>
      <c r="DR18" s="42"/>
      <c r="DS18" s="42"/>
      <c r="DT18" s="42">
        <f t="shared" si="91"/>
        <v>0.147293928487432</v>
      </c>
      <c r="DU18" s="42">
        <f t="shared" si="92"/>
        <v>0.1468313986602</v>
      </c>
      <c r="DV18" s="11"/>
      <c r="DW18" s="42">
        <f t="shared" si="93"/>
        <v>0</v>
      </c>
      <c r="DX18" s="42"/>
      <c r="DY18" s="42">
        <f t="shared" si="94"/>
        <v>0</v>
      </c>
      <c r="DZ18" s="42" t="e">
        <f t="shared" si="95"/>
        <v>#DIV/0!</v>
      </c>
      <c r="EA18" s="42"/>
      <c r="EB18" s="42"/>
      <c r="EC18" s="42"/>
      <c r="ED18" s="42"/>
      <c r="EE18" s="112"/>
      <c r="EF18" s="112"/>
      <c r="EG18" s="4"/>
      <c r="EH18" s="4"/>
      <c r="EI18" s="42"/>
      <c r="EJ18" s="4"/>
      <c r="EK18" s="42"/>
      <c r="EL18" s="11"/>
      <c r="EM18" s="42">
        <f t="shared" si="96"/>
        <v>0</v>
      </c>
      <c r="EN18" s="42"/>
      <c r="EO18" s="42"/>
      <c r="EP18" s="42"/>
      <c r="EQ18" s="42"/>
      <c r="ER18" s="42"/>
      <c r="ES18" s="42"/>
      <c r="ET18" s="42"/>
      <c r="EU18" s="112"/>
      <c r="EV18" s="112"/>
      <c r="EW18" s="4"/>
      <c r="EX18" s="42"/>
      <c r="EY18" s="42"/>
      <c r="EZ18" s="11"/>
      <c r="FA18" s="11"/>
      <c r="FB18" s="42">
        <f t="shared" si="97"/>
        <v>0</v>
      </c>
      <c r="FC18" s="115"/>
      <c r="FD18" s="42"/>
      <c r="FE18" s="42"/>
      <c r="FF18" s="115"/>
      <c r="FG18" s="115"/>
      <c r="FH18" s="29"/>
      <c r="FI18" s="42"/>
      <c r="FJ18" s="42"/>
      <c r="FK18" s="55"/>
    </row>
    <row r="19" spans="1:167">
      <c r="A19" s="4">
        <v>2018</v>
      </c>
      <c r="B19" s="4"/>
      <c r="C19" s="29">
        <v>4166464950.31</v>
      </c>
      <c r="D19" s="29">
        <v>3489399802.6</v>
      </c>
      <c r="E19" s="29">
        <v>2536752982.51</v>
      </c>
      <c r="F19" s="29">
        <v>69471930.17</v>
      </c>
      <c r="G19" s="23">
        <v>431287622.3</v>
      </c>
      <c r="H19" s="29">
        <v>275838076.26</v>
      </c>
      <c r="I19" s="29">
        <v>121868260.76</v>
      </c>
      <c r="J19" s="29">
        <v>54180930.6</v>
      </c>
      <c r="K19" s="29">
        <v>798545569.45</v>
      </c>
      <c r="L19" s="29">
        <v>792565637.37</v>
      </c>
      <c r="M19" s="29">
        <v>111327569.02</v>
      </c>
      <c r="N19" s="29">
        <v>681238068.35</v>
      </c>
      <c r="O19" s="11"/>
      <c r="P19" s="29"/>
      <c r="Q19" s="29"/>
      <c r="R19" s="29"/>
      <c r="S19" s="29"/>
      <c r="T19" s="29"/>
      <c r="U19" s="29"/>
      <c r="V19" s="29"/>
      <c r="W19" s="29"/>
      <c r="X19" s="42"/>
      <c r="Y19" s="100"/>
      <c r="Z19" s="29"/>
      <c r="AA19" s="100"/>
      <c r="AB19" s="42"/>
      <c r="AC19" s="101"/>
      <c r="AD19" s="101">
        <f t="shared" si="82"/>
        <v>0.837496497442124</v>
      </c>
      <c r="AE19" s="42">
        <f t="shared" si="83"/>
        <v>0.608850191412568</v>
      </c>
      <c r="AF19" s="42">
        <f t="shared" si="84"/>
        <v>0.0166740704646588</v>
      </c>
      <c r="AG19" s="42">
        <f t="shared" si="85"/>
        <v>0.103514040666035</v>
      </c>
      <c r="AH19" s="42">
        <f t="shared" si="86"/>
        <v>0.0662043433821462</v>
      </c>
      <c r="AI19" s="42">
        <f t="shared" si="87"/>
        <v>0.0292497986214747</v>
      </c>
      <c r="AJ19" s="42">
        <f t="shared" si="88"/>
        <v>0.191660215308084</v>
      </c>
      <c r="AK19" s="42">
        <f t="shared" si="89"/>
        <v>0.190224962125514</v>
      </c>
      <c r="AL19" s="42">
        <f t="shared" si="90"/>
        <v>0.163505051998413</v>
      </c>
      <c r="AM19" s="100"/>
      <c r="AN19" s="100"/>
      <c r="AO19" s="100"/>
      <c r="AP19" s="100"/>
      <c r="AQ19" s="100"/>
      <c r="AR19" s="100"/>
      <c r="AS19" s="100"/>
      <c r="AT19" s="100"/>
      <c r="AU19" s="100"/>
      <c r="AV19" s="100"/>
      <c r="AW19" s="42"/>
      <c r="AX19" s="42"/>
      <c r="AY19" s="42"/>
      <c r="AZ19" s="42"/>
      <c r="BA19" s="42"/>
      <c r="BB19" s="100"/>
      <c r="BC19" s="100"/>
      <c r="BD19" s="100"/>
      <c r="BE19" s="100"/>
      <c r="BF19" s="100"/>
      <c r="BG19" s="100"/>
      <c r="BH19" s="100"/>
      <c r="BI19" s="100"/>
      <c r="BJ19" s="100"/>
      <c r="BK19" s="100"/>
      <c r="BL19" s="42"/>
      <c r="BM19" s="42"/>
      <c r="BN19" s="42"/>
      <c r="BO19" s="42"/>
      <c r="BP19" s="42"/>
      <c r="BQ19" s="100"/>
      <c r="BR19" s="100"/>
      <c r="BS19" s="100"/>
      <c r="BT19" s="100"/>
      <c r="BU19" s="100"/>
      <c r="BV19" s="100"/>
      <c r="BW19" s="100"/>
      <c r="BX19" s="100"/>
      <c r="BY19" s="100"/>
      <c r="BZ19" s="100"/>
      <c r="CA19" s="42"/>
      <c r="CB19" s="42"/>
      <c r="CC19" s="42"/>
      <c r="CD19" s="42"/>
      <c r="CE19" s="42"/>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DN19" s="100"/>
      <c r="DO19" s="42"/>
      <c r="DP19" s="42"/>
      <c r="DQ19" s="42"/>
      <c r="DR19" s="42"/>
      <c r="DS19" s="42"/>
      <c r="DT19" s="42">
        <f t="shared" si="91"/>
        <v>0.140464794044595</v>
      </c>
      <c r="DU19" s="42">
        <f t="shared" si="92"/>
        <v>0.139412919286093</v>
      </c>
      <c r="DV19" s="11"/>
      <c r="DW19" s="42">
        <f t="shared" si="93"/>
        <v>0</v>
      </c>
      <c r="DX19" s="42"/>
      <c r="DY19" s="42">
        <f t="shared" si="94"/>
        <v>0</v>
      </c>
      <c r="DZ19" s="42" t="e">
        <f t="shared" si="95"/>
        <v>#DIV/0!</v>
      </c>
      <c r="EA19" s="42"/>
      <c r="EB19" s="42"/>
      <c r="EC19" s="42"/>
      <c r="ED19" s="42"/>
      <c r="EE19" s="112"/>
      <c r="EF19" s="112"/>
      <c r="EG19" s="4"/>
      <c r="EH19" s="4"/>
      <c r="EI19" s="42"/>
      <c r="EJ19" s="4"/>
      <c r="EK19" s="42"/>
      <c r="EL19" s="11"/>
      <c r="EM19" s="42">
        <f t="shared" si="96"/>
        <v>0</v>
      </c>
      <c r="EN19" s="42"/>
      <c r="EO19" s="42"/>
      <c r="EP19" s="42"/>
      <c r="EQ19" s="42"/>
      <c r="ER19" s="42"/>
      <c r="ES19" s="42"/>
      <c r="ET19" s="42"/>
      <c r="EU19" s="112"/>
      <c r="EV19" s="112"/>
      <c r="EW19" s="4"/>
      <c r="EX19" s="42"/>
      <c r="EY19" s="42"/>
      <c r="EZ19" s="11"/>
      <c r="FA19" s="11"/>
      <c r="FB19" s="42">
        <f t="shared" si="97"/>
        <v>0</v>
      </c>
      <c r="FC19" s="115"/>
      <c r="FD19" s="42"/>
      <c r="FE19" s="42"/>
      <c r="FF19" s="115"/>
      <c r="FG19" s="115"/>
      <c r="FH19" s="29"/>
      <c r="FI19" s="42"/>
      <c r="FJ19" s="42"/>
      <c r="FK19" s="55"/>
    </row>
    <row r="20" spans="1:167">
      <c r="A20" s="4">
        <v>2017</v>
      </c>
      <c r="B20" s="4"/>
      <c r="C20" s="29">
        <v>3609371700.99</v>
      </c>
      <c r="D20" s="29">
        <v>3097741167.65</v>
      </c>
      <c r="E20" s="29">
        <v>2191888497.77</v>
      </c>
      <c r="F20" s="29">
        <v>48204939.73</v>
      </c>
      <c r="G20" s="23">
        <v>426343808.79</v>
      </c>
      <c r="H20" s="29">
        <v>348081031.29</v>
      </c>
      <c r="I20" s="29"/>
      <c r="J20" s="29">
        <v>60447141.58</v>
      </c>
      <c r="K20" s="29">
        <v>611029991.65</v>
      </c>
      <c r="L20" s="29">
        <v>609177803.64</v>
      </c>
      <c r="M20" s="29">
        <v>97773235.58</v>
      </c>
      <c r="N20" s="29">
        <v>511404568.06</v>
      </c>
      <c r="O20" s="11"/>
      <c r="P20" s="29"/>
      <c r="Q20" s="29"/>
      <c r="R20" s="29"/>
      <c r="S20" s="29"/>
      <c r="T20" s="29"/>
      <c r="U20" s="29"/>
      <c r="V20" s="29"/>
      <c r="W20" s="29"/>
      <c r="X20" s="42"/>
      <c r="Y20" s="100"/>
      <c r="Z20" s="29"/>
      <c r="AA20" s="100"/>
      <c r="AB20" s="42"/>
      <c r="AC20" s="101"/>
      <c r="AD20" s="101">
        <f t="shared" si="82"/>
        <v>0.858249419642852</v>
      </c>
      <c r="AE20" s="42">
        <f t="shared" si="83"/>
        <v>0.60727702197277</v>
      </c>
      <c r="AF20" s="42">
        <f t="shared" si="84"/>
        <v>0.0133554933443896</v>
      </c>
      <c r="AG20" s="42">
        <f t="shared" si="85"/>
        <v>0.118121336373602</v>
      </c>
      <c r="AH20" s="42">
        <f t="shared" si="86"/>
        <v>0.0964381227886633</v>
      </c>
      <c r="AI20" s="42">
        <f t="shared" si="87"/>
        <v>0</v>
      </c>
      <c r="AJ20" s="42">
        <f t="shared" si="88"/>
        <v>0.169289849389134</v>
      </c>
      <c r="AK20" s="42">
        <f t="shared" si="89"/>
        <v>0.16877668860564</v>
      </c>
      <c r="AL20" s="42">
        <f t="shared" si="90"/>
        <v>0.141687975200706</v>
      </c>
      <c r="AM20" s="100"/>
      <c r="AN20" s="100"/>
      <c r="AO20" s="100"/>
      <c r="AP20" s="100"/>
      <c r="AQ20" s="100"/>
      <c r="AR20" s="100"/>
      <c r="AS20" s="100"/>
      <c r="AT20" s="100"/>
      <c r="AU20" s="100"/>
      <c r="AV20" s="100"/>
      <c r="AW20" s="42"/>
      <c r="AX20" s="42"/>
      <c r="AY20" s="42"/>
      <c r="AZ20" s="42"/>
      <c r="BA20" s="42"/>
      <c r="BB20" s="100"/>
      <c r="BC20" s="100"/>
      <c r="BD20" s="100"/>
      <c r="BE20" s="100"/>
      <c r="BF20" s="100"/>
      <c r="BG20" s="100"/>
      <c r="BH20" s="100"/>
      <c r="BI20" s="100"/>
      <c r="BJ20" s="100"/>
      <c r="BK20" s="100"/>
      <c r="BL20" s="42"/>
      <c r="BM20" s="42"/>
      <c r="BN20" s="42"/>
      <c r="BO20" s="42"/>
      <c r="BP20" s="42"/>
      <c r="BQ20" s="100"/>
      <c r="BR20" s="100"/>
      <c r="BS20" s="100"/>
      <c r="BT20" s="100"/>
      <c r="BU20" s="100"/>
      <c r="BV20" s="100"/>
      <c r="BW20" s="100"/>
      <c r="BX20" s="100"/>
      <c r="BY20" s="100"/>
      <c r="BZ20" s="100"/>
      <c r="CA20" s="42"/>
      <c r="CB20" s="42"/>
      <c r="CC20" s="42"/>
      <c r="CD20" s="42"/>
      <c r="CE20" s="42"/>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42"/>
      <c r="DP20" s="42"/>
      <c r="DQ20" s="42"/>
      <c r="DR20" s="42"/>
      <c r="DS20" s="42"/>
      <c r="DT20" s="42">
        <f t="shared" si="91"/>
        <v>0.160500325185486</v>
      </c>
      <c r="DU20" s="42">
        <f t="shared" si="92"/>
        <v>0.160013807695392</v>
      </c>
      <c r="DV20" s="11"/>
      <c r="DW20" s="42">
        <f t="shared" si="93"/>
        <v>0</v>
      </c>
      <c r="DX20" s="42"/>
      <c r="DY20" s="42">
        <f t="shared" si="94"/>
        <v>0</v>
      </c>
      <c r="DZ20" s="42" t="e">
        <f t="shared" si="95"/>
        <v>#DIV/0!</v>
      </c>
      <c r="EA20" s="42"/>
      <c r="EB20" s="42"/>
      <c r="EC20" s="42"/>
      <c r="ED20" s="42"/>
      <c r="EE20" s="112"/>
      <c r="EF20" s="112"/>
      <c r="EG20" s="4"/>
      <c r="EH20" s="4"/>
      <c r="EI20" s="42"/>
      <c r="EJ20" s="4"/>
      <c r="EK20" s="42"/>
      <c r="EL20" s="11"/>
      <c r="EM20" s="42">
        <f t="shared" si="96"/>
        <v>0</v>
      </c>
      <c r="EN20" s="42"/>
      <c r="EO20" s="42"/>
      <c r="EP20" s="42"/>
      <c r="EQ20" s="42"/>
      <c r="ER20" s="42"/>
      <c r="ES20" s="42"/>
      <c r="ET20" s="42"/>
      <c r="EU20" s="112"/>
      <c r="EV20" s="112"/>
      <c r="EW20" s="4"/>
      <c r="EX20" s="42"/>
      <c r="EY20" s="42"/>
      <c r="EZ20" s="11"/>
      <c r="FA20" s="11"/>
      <c r="FB20" s="42">
        <f t="shared" si="97"/>
        <v>0</v>
      </c>
      <c r="FC20" s="115"/>
      <c r="FD20" s="42"/>
      <c r="FE20" s="42"/>
      <c r="FF20" s="115"/>
      <c r="FG20" s="115"/>
      <c r="FH20" s="29"/>
      <c r="FI20" s="42"/>
      <c r="FJ20" s="42"/>
      <c r="FK20" s="55"/>
    </row>
    <row r="21" spans="1:167">
      <c r="A21" s="4">
        <v>2016</v>
      </c>
      <c r="B21" s="4"/>
      <c r="C21" s="29">
        <v>3157988862.51</v>
      </c>
      <c r="D21" s="29">
        <v>2735988306.5</v>
      </c>
      <c r="E21" s="29">
        <v>1999375701.46</v>
      </c>
      <c r="F21" s="29">
        <v>41681585.92</v>
      </c>
      <c r="G21" s="23">
        <v>275356128.36</v>
      </c>
      <c r="H21" s="29">
        <v>348943660.53</v>
      </c>
      <c r="I21" s="29"/>
      <c r="J21" s="29">
        <v>63247203.54</v>
      </c>
      <c r="K21" s="29">
        <v>467390978.29</v>
      </c>
      <c r="L21" s="29">
        <v>486262492.39</v>
      </c>
      <c r="M21" s="29">
        <v>75998454.21</v>
      </c>
      <c r="N21" s="29">
        <v>410264038.18</v>
      </c>
      <c r="O21" s="11"/>
      <c r="P21" s="29"/>
      <c r="Q21" s="29"/>
      <c r="R21" s="29"/>
      <c r="S21" s="29"/>
      <c r="T21" s="29"/>
      <c r="U21" s="29"/>
      <c r="V21" s="29"/>
      <c r="W21" s="29"/>
      <c r="X21" s="42"/>
      <c r="Y21" s="100"/>
      <c r="Z21" s="29"/>
      <c r="AA21" s="100"/>
      <c r="AB21" s="42"/>
      <c r="AC21" s="101"/>
      <c r="AD21" s="101">
        <f t="shared" si="82"/>
        <v>0.866370473620167</v>
      </c>
      <c r="AE21" s="42">
        <f t="shared" si="83"/>
        <v>0.633116767825101</v>
      </c>
      <c r="AF21" s="42">
        <f t="shared" si="84"/>
        <v>0.0131987754658739</v>
      </c>
      <c r="AG21" s="42">
        <f t="shared" si="85"/>
        <v>0.0871935083840493</v>
      </c>
      <c r="AH21" s="42">
        <f t="shared" si="86"/>
        <v>0.110495532353669</v>
      </c>
      <c r="AI21" s="42">
        <f t="shared" si="87"/>
        <v>0</v>
      </c>
      <c r="AJ21" s="42">
        <f t="shared" si="88"/>
        <v>0.148002731687443</v>
      </c>
      <c r="AK21" s="42">
        <f t="shared" si="89"/>
        <v>0.15397853303495</v>
      </c>
      <c r="AL21" s="42">
        <f t="shared" si="90"/>
        <v>0.129913073174653</v>
      </c>
      <c r="AM21" s="100"/>
      <c r="AN21" s="100"/>
      <c r="AO21" s="100"/>
      <c r="AP21" s="100"/>
      <c r="AQ21" s="100"/>
      <c r="AR21" s="100"/>
      <c r="AS21" s="100"/>
      <c r="AT21" s="100"/>
      <c r="AU21" s="100"/>
      <c r="AV21" s="100"/>
      <c r="AW21" s="42"/>
      <c r="AX21" s="42"/>
      <c r="AY21" s="42"/>
      <c r="AZ21" s="42"/>
      <c r="BA21" s="42"/>
      <c r="BB21" s="100"/>
      <c r="BC21" s="100"/>
      <c r="BD21" s="100"/>
      <c r="BE21" s="100"/>
      <c r="BF21" s="100"/>
      <c r="BG21" s="100"/>
      <c r="BH21" s="100"/>
      <c r="BI21" s="100"/>
      <c r="BJ21" s="100"/>
      <c r="BK21" s="100"/>
      <c r="BL21" s="42"/>
      <c r="BM21" s="42"/>
      <c r="BN21" s="42"/>
      <c r="BO21" s="42"/>
      <c r="BP21" s="42"/>
      <c r="BQ21" s="100"/>
      <c r="BR21" s="100"/>
      <c r="BS21" s="100"/>
      <c r="BT21" s="100"/>
      <c r="BU21" s="100"/>
      <c r="BV21" s="100"/>
      <c r="BW21" s="100"/>
      <c r="BX21" s="100"/>
      <c r="BY21" s="100"/>
      <c r="BZ21" s="100"/>
      <c r="CA21" s="42"/>
      <c r="CB21" s="42"/>
      <c r="CC21" s="42"/>
      <c r="CD21" s="42"/>
      <c r="CE21" s="42"/>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42"/>
      <c r="DP21" s="42"/>
      <c r="DQ21" s="42"/>
      <c r="DR21" s="42"/>
      <c r="DS21" s="42"/>
      <c r="DT21" s="42">
        <f t="shared" si="91"/>
        <v>0.156291006193927</v>
      </c>
      <c r="DU21" s="42">
        <f t="shared" si="92"/>
        <v>0.162601457323906</v>
      </c>
      <c r="DV21" s="11"/>
      <c r="DW21" s="42">
        <f t="shared" si="93"/>
        <v>0</v>
      </c>
      <c r="DX21" s="42"/>
      <c r="DY21" s="42">
        <f t="shared" si="94"/>
        <v>0</v>
      </c>
      <c r="DZ21" s="42" t="e">
        <f t="shared" si="95"/>
        <v>#DIV/0!</v>
      </c>
      <c r="EA21" s="42"/>
      <c r="EB21" s="42"/>
      <c r="EC21" s="42"/>
      <c r="ED21" s="42"/>
      <c r="EE21" s="112"/>
      <c r="EF21" s="112"/>
      <c r="EG21" s="4"/>
      <c r="EH21" s="4"/>
      <c r="EI21" s="42"/>
      <c r="EJ21" s="4"/>
      <c r="EK21" s="42"/>
      <c r="EL21" s="11"/>
      <c r="EM21" s="42">
        <f t="shared" si="96"/>
        <v>0</v>
      </c>
      <c r="EN21" s="42"/>
      <c r="EO21" s="42"/>
      <c r="EP21" s="42"/>
      <c r="EQ21" s="42"/>
      <c r="ER21" s="42"/>
      <c r="ES21" s="42"/>
      <c r="ET21" s="42"/>
      <c r="EU21" s="112"/>
      <c r="EV21" s="112"/>
      <c r="EW21" s="4"/>
      <c r="EX21" s="42"/>
      <c r="EY21" s="42"/>
      <c r="EZ21" s="11"/>
      <c r="FA21" s="11"/>
      <c r="FB21" s="42">
        <f t="shared" si="97"/>
        <v>0</v>
      </c>
      <c r="FC21" s="115"/>
      <c r="FD21" s="42"/>
      <c r="FE21" s="42"/>
      <c r="FF21" s="115"/>
      <c r="FG21" s="115"/>
      <c r="FH21" s="29"/>
      <c r="FI21" s="42"/>
      <c r="FJ21" s="42"/>
      <c r="FK21" s="55"/>
    </row>
    <row r="22" spans="1:167">
      <c r="A22" s="4">
        <v>2015</v>
      </c>
      <c r="B22" s="4"/>
      <c r="C22" s="29">
        <v>2758585298.86</v>
      </c>
      <c r="D22" s="29">
        <v>2486714457.66</v>
      </c>
      <c r="E22" s="29">
        <v>1791235863.03</v>
      </c>
      <c r="F22" s="29">
        <v>29457220.43</v>
      </c>
      <c r="G22" s="23">
        <v>270375444.3</v>
      </c>
      <c r="H22" s="29">
        <v>331331465.35</v>
      </c>
      <c r="I22" s="29"/>
      <c r="J22" s="29">
        <v>61164838.68</v>
      </c>
      <c r="K22" s="29">
        <v>300808951.67</v>
      </c>
      <c r="L22" s="29">
        <v>339119271.56</v>
      </c>
      <c r="M22" s="29">
        <v>65056564.18</v>
      </c>
      <c r="N22" s="29">
        <v>274062707.38</v>
      </c>
      <c r="O22" s="11"/>
      <c r="P22" s="29"/>
      <c r="Q22" s="29"/>
      <c r="R22" s="29"/>
      <c r="S22" s="29"/>
      <c r="T22" s="29"/>
      <c r="U22" s="29"/>
      <c r="V22" s="29"/>
      <c r="W22" s="29"/>
      <c r="X22" s="42"/>
      <c r="Y22" s="100"/>
      <c r="Z22" s="29"/>
      <c r="AA22" s="100"/>
      <c r="AB22" s="42"/>
      <c r="AC22" s="101"/>
      <c r="AD22" s="101">
        <f t="shared" si="82"/>
        <v>0.901445555693945</v>
      </c>
      <c r="AE22" s="42">
        <f t="shared" si="83"/>
        <v>0.64933133072602</v>
      </c>
      <c r="AF22" s="42">
        <f t="shared" si="84"/>
        <v>0.0106783794005476</v>
      </c>
      <c r="AG22" s="42">
        <f t="shared" si="85"/>
        <v>0.0980123559752653</v>
      </c>
      <c r="AH22" s="42">
        <f t="shared" si="86"/>
        <v>0.120109197089872</v>
      </c>
      <c r="AI22" s="42">
        <f t="shared" si="87"/>
        <v>0</v>
      </c>
      <c r="AJ22" s="42">
        <f t="shared" si="88"/>
        <v>0.109044643931914</v>
      </c>
      <c r="AK22" s="42">
        <f t="shared" si="89"/>
        <v>0.122932313059213</v>
      </c>
      <c r="AL22" s="42">
        <f t="shared" si="90"/>
        <v>0.0993490059898666</v>
      </c>
      <c r="AM22" s="100"/>
      <c r="AN22" s="100"/>
      <c r="AO22" s="100"/>
      <c r="AP22" s="100"/>
      <c r="AQ22" s="100"/>
      <c r="AR22" s="100"/>
      <c r="AS22" s="100"/>
      <c r="AT22" s="100"/>
      <c r="AU22" s="100"/>
      <c r="AV22" s="100"/>
      <c r="AW22" s="42"/>
      <c r="AX22" s="42"/>
      <c r="AY22" s="42"/>
      <c r="AZ22" s="42"/>
      <c r="BA22" s="42"/>
      <c r="BB22" s="100"/>
      <c r="BC22" s="100"/>
      <c r="BD22" s="100"/>
      <c r="BE22" s="100"/>
      <c r="BF22" s="100"/>
      <c r="BG22" s="100"/>
      <c r="BH22" s="100"/>
      <c r="BI22" s="100"/>
      <c r="BJ22" s="100"/>
      <c r="BK22" s="100"/>
      <c r="BL22" s="42"/>
      <c r="BM22" s="42"/>
      <c r="BN22" s="42"/>
      <c r="BO22" s="42"/>
      <c r="BP22" s="42"/>
      <c r="BQ22" s="100"/>
      <c r="BR22" s="100"/>
      <c r="BS22" s="100"/>
      <c r="BT22" s="100"/>
      <c r="BU22" s="100"/>
      <c r="BV22" s="100"/>
      <c r="BW22" s="100"/>
      <c r="BX22" s="100"/>
      <c r="BY22" s="100"/>
      <c r="BZ22" s="100"/>
      <c r="CA22" s="42"/>
      <c r="CB22" s="42"/>
      <c r="CC22" s="42"/>
      <c r="CD22" s="42"/>
      <c r="CE22" s="42"/>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42"/>
      <c r="DP22" s="42"/>
      <c r="DQ22" s="42"/>
      <c r="DR22" s="42"/>
      <c r="DS22" s="42"/>
      <c r="DT22" s="42">
        <f t="shared" si="91"/>
        <v>0.191839773306689</v>
      </c>
      <c r="DU22" s="42">
        <f t="shared" si="92"/>
        <v>0.216272035186538</v>
      </c>
      <c r="DV22" s="11"/>
      <c r="DW22" s="42">
        <f t="shared" si="93"/>
        <v>0</v>
      </c>
      <c r="DX22" s="42"/>
      <c r="DY22" s="42">
        <f t="shared" si="94"/>
        <v>0</v>
      </c>
      <c r="DZ22" s="42" t="e">
        <f t="shared" si="95"/>
        <v>#DIV/0!</v>
      </c>
      <c r="EA22" s="42"/>
      <c r="EB22" s="42"/>
      <c r="EC22" s="42"/>
      <c r="ED22" s="42"/>
      <c r="EE22" s="112"/>
      <c r="EF22" s="112"/>
      <c r="EG22" s="4"/>
      <c r="EH22" s="4"/>
      <c r="EI22" s="42"/>
      <c r="EJ22" s="4"/>
      <c r="EK22" s="42"/>
      <c r="EL22" s="11"/>
      <c r="EM22" s="42">
        <f t="shared" si="96"/>
        <v>0</v>
      </c>
      <c r="EN22" s="42"/>
      <c r="EO22" s="42"/>
      <c r="EP22" s="42"/>
      <c r="EQ22" s="42"/>
      <c r="ER22" s="42"/>
      <c r="ES22" s="42"/>
      <c r="ET22" s="42"/>
      <c r="EU22" s="112"/>
      <c r="EV22" s="112"/>
      <c r="EW22" s="4"/>
      <c r="EX22" s="42"/>
      <c r="EY22" s="42"/>
      <c r="EZ22" s="11"/>
      <c r="FA22" s="11"/>
      <c r="FB22" s="42">
        <f t="shared" si="97"/>
        <v>0</v>
      </c>
      <c r="FC22" s="115"/>
      <c r="FD22" s="42"/>
      <c r="FE22" s="42"/>
      <c r="FF22" s="115"/>
      <c r="FG22" s="115"/>
      <c r="FH22" s="29"/>
      <c r="FI22" s="42"/>
      <c r="FJ22" s="42"/>
      <c r="FK22" s="55"/>
    </row>
    <row r="23" spans="1:167">
      <c r="A23" s="4">
        <v>2014</v>
      </c>
      <c r="B23" s="4"/>
      <c r="C23" s="29">
        <v>2641896888.88</v>
      </c>
      <c r="D23" s="29">
        <v>2329690792.25</v>
      </c>
      <c r="E23" s="29">
        <v>1731095659.02</v>
      </c>
      <c r="F23" s="29">
        <v>45245619.17</v>
      </c>
      <c r="G23" s="23">
        <v>230995802.07</v>
      </c>
      <c r="H23" s="29">
        <v>288307740.26</v>
      </c>
      <c r="I23" s="29"/>
      <c r="J23" s="29">
        <v>33214100.66</v>
      </c>
      <c r="K23" s="29">
        <v>322787675.72</v>
      </c>
      <c r="L23" s="29">
        <v>344024306.1</v>
      </c>
      <c r="M23" s="29">
        <v>51394587.66</v>
      </c>
      <c r="N23" s="29">
        <v>292629718.44</v>
      </c>
      <c r="O23" s="11"/>
      <c r="P23" s="29"/>
      <c r="Q23" s="29"/>
      <c r="R23" s="29"/>
      <c r="S23" s="29"/>
      <c r="T23" s="29"/>
      <c r="U23" s="29"/>
      <c r="V23" s="29"/>
      <c r="W23" s="29"/>
      <c r="X23" s="42"/>
      <c r="Y23" s="100"/>
      <c r="Z23" s="29"/>
      <c r="AA23" s="100"/>
      <c r="AB23" s="42"/>
      <c r="AC23" s="101"/>
      <c r="AD23" s="101">
        <f t="shared" si="82"/>
        <v>0.881825025819855</v>
      </c>
      <c r="AE23" s="42">
        <f t="shared" si="83"/>
        <v>0.655247245381282</v>
      </c>
      <c r="AF23" s="42">
        <f t="shared" si="84"/>
        <v>0.0171261866276626</v>
      </c>
      <c r="AG23" s="42">
        <f t="shared" si="85"/>
        <v>0.0874355857877284</v>
      </c>
      <c r="AH23" s="42">
        <f t="shared" si="86"/>
        <v>0.109129066116666</v>
      </c>
      <c r="AI23" s="42">
        <f t="shared" si="87"/>
        <v>0</v>
      </c>
      <c r="AJ23" s="42">
        <f t="shared" si="88"/>
        <v>0.122180270198525</v>
      </c>
      <c r="AK23" s="42">
        <f t="shared" si="89"/>
        <v>0.130218672631787</v>
      </c>
      <c r="AL23" s="42">
        <f t="shared" si="90"/>
        <v>0.110765003612256</v>
      </c>
      <c r="AM23" s="100"/>
      <c r="AN23" s="100"/>
      <c r="AO23" s="100"/>
      <c r="AP23" s="100"/>
      <c r="AQ23" s="100"/>
      <c r="AR23" s="100"/>
      <c r="AS23" s="100"/>
      <c r="AT23" s="100"/>
      <c r="AU23" s="100"/>
      <c r="AV23" s="100"/>
      <c r="AW23" s="42"/>
      <c r="AX23" s="42"/>
      <c r="AY23" s="42"/>
      <c r="AZ23" s="42"/>
      <c r="BA23" s="42"/>
      <c r="BB23" s="100"/>
      <c r="BC23" s="100"/>
      <c r="BD23" s="100"/>
      <c r="BE23" s="100"/>
      <c r="BF23" s="100"/>
      <c r="BG23" s="100"/>
      <c r="BH23" s="100"/>
      <c r="BI23" s="100"/>
      <c r="BJ23" s="100"/>
      <c r="BK23" s="100"/>
      <c r="BL23" s="42"/>
      <c r="BM23" s="42"/>
      <c r="BN23" s="42"/>
      <c r="BO23" s="42"/>
      <c r="BP23" s="42"/>
      <c r="BQ23" s="100"/>
      <c r="BR23" s="100"/>
      <c r="BS23" s="100"/>
      <c r="BT23" s="100"/>
      <c r="BU23" s="100"/>
      <c r="BV23" s="100"/>
      <c r="BW23" s="100"/>
      <c r="BX23" s="100"/>
      <c r="BY23" s="100"/>
      <c r="BZ23" s="100"/>
      <c r="CA23" s="42"/>
      <c r="CB23" s="42"/>
      <c r="CC23" s="42"/>
      <c r="CD23" s="42"/>
      <c r="CE23" s="42"/>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42"/>
      <c r="DP23" s="42"/>
      <c r="DQ23" s="42"/>
      <c r="DR23" s="42"/>
      <c r="DS23" s="42"/>
      <c r="DT23" s="42">
        <f t="shared" si="91"/>
        <v>0.149392315451864</v>
      </c>
      <c r="DU23" s="42">
        <f t="shared" si="92"/>
        <v>0.159221034524818</v>
      </c>
      <c r="DV23" s="11"/>
      <c r="DW23" s="42">
        <f t="shared" si="93"/>
        <v>0</v>
      </c>
      <c r="DX23" s="42"/>
      <c r="DY23" s="42">
        <f t="shared" si="94"/>
        <v>0</v>
      </c>
      <c r="DZ23" s="42" t="e">
        <f t="shared" si="95"/>
        <v>#DIV/0!</v>
      </c>
      <c r="EA23" s="42"/>
      <c r="EB23" s="42"/>
      <c r="EC23" s="42"/>
      <c r="ED23" s="42"/>
      <c r="EE23" s="112"/>
      <c r="EF23" s="112"/>
      <c r="EG23" s="4"/>
      <c r="EH23" s="4"/>
      <c r="EI23" s="42"/>
      <c r="EJ23" s="4"/>
      <c r="EK23" s="42"/>
      <c r="EL23" s="11"/>
      <c r="EM23" s="42">
        <f t="shared" si="96"/>
        <v>0</v>
      </c>
      <c r="EN23" s="42"/>
      <c r="EO23" s="42"/>
      <c r="EP23" s="42"/>
      <c r="EQ23" s="42"/>
      <c r="ER23" s="42"/>
      <c r="ES23" s="42"/>
      <c r="ET23" s="42"/>
      <c r="EU23" s="112"/>
      <c r="EV23" s="112"/>
      <c r="EW23" s="4"/>
      <c r="EX23" s="42"/>
      <c r="EY23" s="42"/>
      <c r="EZ23" s="11"/>
      <c r="FA23" s="11"/>
      <c r="FB23" s="42">
        <f t="shared" si="97"/>
        <v>0</v>
      </c>
      <c r="FC23" s="115"/>
      <c r="FD23" s="42"/>
      <c r="FE23" s="42"/>
      <c r="FF23" s="115"/>
      <c r="FG23" s="115"/>
      <c r="FH23" s="29"/>
      <c r="FI23" s="42"/>
      <c r="FJ23" s="42"/>
      <c r="FK23" s="55"/>
    </row>
    <row r="24" spans="1:167">
      <c r="A24" s="4">
        <v>2013</v>
      </c>
      <c r="B24" s="4"/>
      <c r="C24" s="29">
        <v>2318190695.54</v>
      </c>
      <c r="D24" s="29">
        <v>2075917816.89</v>
      </c>
      <c r="E24" s="29">
        <v>1592757028.23</v>
      </c>
      <c r="F24" s="29">
        <v>37720238.9</v>
      </c>
      <c r="G24" s="23">
        <v>185459727.61</v>
      </c>
      <c r="H24" s="29">
        <v>225358687.3</v>
      </c>
      <c r="I24" s="29"/>
      <c r="J24" s="29">
        <v>33833713.16</v>
      </c>
      <c r="K24" s="29">
        <v>254249235.99</v>
      </c>
      <c r="L24" s="29">
        <v>262357521.58</v>
      </c>
      <c r="M24" s="29">
        <v>42004915.4</v>
      </c>
      <c r="N24" s="29">
        <v>220352606.18</v>
      </c>
      <c r="O24" s="11"/>
      <c r="P24" s="29"/>
      <c r="Q24" s="29"/>
      <c r="R24" s="29"/>
      <c r="S24" s="29"/>
      <c r="T24" s="29"/>
      <c r="U24" s="29"/>
      <c r="V24" s="29"/>
      <c r="W24" s="29"/>
      <c r="X24" s="42"/>
      <c r="Y24" s="100"/>
      <c r="Z24" s="29"/>
      <c r="AA24" s="100"/>
      <c r="AB24" s="42"/>
      <c r="AC24" s="101"/>
      <c r="AD24" s="101">
        <f t="shared" si="82"/>
        <v>0.895490530992074</v>
      </c>
      <c r="AE24" s="42">
        <f t="shared" si="83"/>
        <v>0.687069028140924</v>
      </c>
      <c r="AF24" s="42">
        <f t="shared" si="84"/>
        <v>0.0162714132933803</v>
      </c>
      <c r="AG24" s="42">
        <f t="shared" si="85"/>
        <v>0.0800019290763304</v>
      </c>
      <c r="AH24" s="42">
        <f t="shared" si="86"/>
        <v>0.0972131791114384</v>
      </c>
      <c r="AI24" s="42">
        <f t="shared" si="87"/>
        <v>0</v>
      </c>
      <c r="AJ24" s="42">
        <f t="shared" si="88"/>
        <v>0.109675721017755</v>
      </c>
      <c r="AK24" s="42">
        <f t="shared" si="89"/>
        <v>0.113173399446712</v>
      </c>
      <c r="AL24" s="42">
        <f t="shared" si="90"/>
        <v>0.095053701407714</v>
      </c>
      <c r="AM24" s="100"/>
      <c r="AN24" s="100"/>
      <c r="AO24" s="100"/>
      <c r="AP24" s="100"/>
      <c r="AQ24" s="100"/>
      <c r="AR24" s="100"/>
      <c r="AS24" s="100"/>
      <c r="AT24" s="100"/>
      <c r="AU24" s="100"/>
      <c r="AV24" s="100"/>
      <c r="AW24" s="42"/>
      <c r="AX24" s="42"/>
      <c r="AY24" s="42"/>
      <c r="AZ24" s="42"/>
      <c r="BA24" s="42"/>
      <c r="BB24" s="100"/>
      <c r="BC24" s="100"/>
      <c r="BD24" s="100"/>
      <c r="BE24" s="100"/>
      <c r="BF24" s="100"/>
      <c r="BG24" s="100"/>
      <c r="BH24" s="100"/>
      <c r="BI24" s="100"/>
      <c r="BJ24" s="100"/>
      <c r="BK24" s="100"/>
      <c r="BL24" s="42"/>
      <c r="BM24" s="42"/>
      <c r="BN24" s="42"/>
      <c r="BO24" s="42"/>
      <c r="BP24" s="42"/>
      <c r="BQ24" s="100"/>
      <c r="BR24" s="100"/>
      <c r="BS24" s="100"/>
      <c r="BT24" s="100"/>
      <c r="BU24" s="100"/>
      <c r="BV24" s="100"/>
      <c r="BW24" s="100"/>
      <c r="BX24" s="100"/>
      <c r="BY24" s="100"/>
      <c r="BZ24" s="100"/>
      <c r="CA24" s="42"/>
      <c r="CB24" s="42"/>
      <c r="CC24" s="42"/>
      <c r="CD24" s="42"/>
      <c r="CE24" s="42"/>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42"/>
      <c r="DP24" s="42"/>
      <c r="DQ24" s="42"/>
      <c r="DR24" s="42"/>
      <c r="DS24" s="42"/>
      <c r="DT24" s="42">
        <f t="shared" si="91"/>
        <v>0.160105626654167</v>
      </c>
      <c r="DU24" s="42">
        <f t="shared" si="92"/>
        <v>0.165211569806456</v>
      </c>
      <c r="DV24" s="11"/>
      <c r="DW24" s="42">
        <f t="shared" si="93"/>
        <v>0</v>
      </c>
      <c r="DX24" s="42"/>
      <c r="DY24" s="42">
        <f t="shared" si="94"/>
        <v>0</v>
      </c>
      <c r="DZ24" s="42" t="e">
        <f t="shared" si="95"/>
        <v>#DIV/0!</v>
      </c>
      <c r="EA24" s="42"/>
      <c r="EB24" s="42"/>
      <c r="EC24" s="42"/>
      <c r="ED24" s="42"/>
      <c r="EE24" s="112"/>
      <c r="EF24" s="112"/>
      <c r="EG24" s="4"/>
      <c r="EH24" s="4"/>
      <c r="EI24" s="42"/>
      <c r="EJ24" s="4"/>
      <c r="EK24" s="42"/>
      <c r="EL24" s="11"/>
      <c r="EM24" s="42">
        <f t="shared" si="96"/>
        <v>0</v>
      </c>
      <c r="EN24" s="42"/>
      <c r="EO24" s="42"/>
      <c r="EP24" s="42"/>
      <c r="EQ24" s="42"/>
      <c r="ER24" s="42"/>
      <c r="ES24" s="42"/>
      <c r="ET24" s="42"/>
      <c r="EU24" s="112"/>
      <c r="EV24" s="112"/>
      <c r="EW24" s="4"/>
      <c r="EX24" s="42"/>
      <c r="EY24" s="42"/>
      <c r="EZ24" s="11"/>
      <c r="FA24" s="11"/>
      <c r="FB24" s="42">
        <f t="shared" si="97"/>
        <v>0</v>
      </c>
      <c r="FC24" s="115"/>
      <c r="FD24" s="42"/>
      <c r="FE24" s="42"/>
      <c r="FF24" s="115"/>
      <c r="FG24" s="115"/>
      <c r="FH24" s="29"/>
      <c r="FI24" s="42"/>
      <c r="FJ24" s="42"/>
      <c r="FK24" s="55"/>
    </row>
    <row r="25" spans="1:167">
      <c r="A25" s="4">
        <v>2012</v>
      </c>
      <c r="B25" s="4"/>
      <c r="C25" s="29">
        <v>1754338281.65</v>
      </c>
      <c r="D25" s="29">
        <v>1656603745.64</v>
      </c>
      <c r="E25" s="29">
        <v>1254360858.52</v>
      </c>
      <c r="F25" s="29">
        <v>18491234.05</v>
      </c>
      <c r="G25" s="23">
        <v>159860886.9</v>
      </c>
      <c r="H25" s="29">
        <v>174611764.93</v>
      </c>
      <c r="I25" s="29"/>
      <c r="J25" s="29">
        <v>40927808.72</v>
      </c>
      <c r="K25" s="29">
        <v>117736589.57</v>
      </c>
      <c r="L25" s="29">
        <v>145320131.28</v>
      </c>
      <c r="M25" s="29">
        <v>22906699.05</v>
      </c>
      <c r="N25" s="29">
        <v>122413432.23</v>
      </c>
      <c r="O25" s="11"/>
      <c r="P25" s="29"/>
      <c r="Q25" s="29"/>
      <c r="R25" s="29"/>
      <c r="S25" s="29"/>
      <c r="T25" s="29"/>
      <c r="U25" s="29"/>
      <c r="V25" s="29"/>
      <c r="W25" s="29"/>
      <c r="X25" s="42"/>
      <c r="Y25" s="100"/>
      <c r="Z25" s="29"/>
      <c r="AA25" s="100"/>
      <c r="AB25" s="42"/>
      <c r="AC25" s="101"/>
      <c r="AD25" s="101">
        <f t="shared" si="82"/>
        <v>0.944289800301184</v>
      </c>
      <c r="AE25" s="42">
        <f t="shared" si="83"/>
        <v>0.715005122809178</v>
      </c>
      <c r="AF25" s="42">
        <f t="shared" si="84"/>
        <v>0.0105402898878821</v>
      </c>
      <c r="AG25" s="42">
        <f t="shared" si="85"/>
        <v>0.0911231822118404</v>
      </c>
      <c r="AH25" s="42">
        <f t="shared" si="86"/>
        <v>0.0995314112200602</v>
      </c>
      <c r="AI25" s="42">
        <f t="shared" si="87"/>
        <v>0</v>
      </c>
      <c r="AJ25" s="42">
        <f t="shared" si="88"/>
        <v>0.0671116801140916</v>
      </c>
      <c r="AK25" s="42">
        <f t="shared" si="89"/>
        <v>0.0828347262326868</v>
      </c>
      <c r="AL25" s="42">
        <f t="shared" si="90"/>
        <v>0.0697775528872727</v>
      </c>
      <c r="AM25" s="100"/>
      <c r="AN25" s="100"/>
      <c r="AO25" s="100"/>
      <c r="AP25" s="100"/>
      <c r="AQ25" s="100"/>
      <c r="AR25" s="100"/>
      <c r="AS25" s="100"/>
      <c r="AT25" s="100"/>
      <c r="AU25" s="100"/>
      <c r="AV25" s="100"/>
      <c r="AW25" s="42"/>
      <c r="AX25" s="42"/>
      <c r="AY25" s="42"/>
      <c r="AZ25" s="42"/>
      <c r="BA25" s="42"/>
      <c r="BB25" s="100"/>
      <c r="BC25" s="100"/>
      <c r="BD25" s="100"/>
      <c r="BE25" s="100"/>
      <c r="BF25" s="100"/>
      <c r="BG25" s="100"/>
      <c r="BH25" s="100"/>
      <c r="BI25" s="100"/>
      <c r="BJ25" s="100"/>
      <c r="BK25" s="100"/>
      <c r="BL25" s="42"/>
      <c r="BM25" s="42"/>
      <c r="BN25" s="42"/>
      <c r="BO25" s="42"/>
      <c r="BP25" s="42"/>
      <c r="BQ25" s="100"/>
      <c r="BR25" s="100"/>
      <c r="BS25" s="100"/>
      <c r="BT25" s="100"/>
      <c r="BU25" s="100"/>
      <c r="BV25" s="100"/>
      <c r="BW25" s="100"/>
      <c r="BX25" s="100"/>
      <c r="BY25" s="100"/>
      <c r="BZ25" s="100"/>
      <c r="CA25" s="42"/>
      <c r="CB25" s="42"/>
      <c r="CC25" s="42"/>
      <c r="CD25" s="42"/>
      <c r="CE25" s="42"/>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42"/>
      <c r="DP25" s="42"/>
      <c r="DQ25" s="42"/>
      <c r="DR25" s="42"/>
      <c r="DS25" s="42"/>
      <c r="DT25" s="42">
        <f t="shared" si="91"/>
        <v>0.157629220729672</v>
      </c>
      <c r="DU25" s="42">
        <f t="shared" si="92"/>
        <v>0.194558880409738</v>
      </c>
      <c r="DV25" s="11"/>
      <c r="DW25" s="42">
        <f t="shared" si="93"/>
        <v>0</v>
      </c>
      <c r="DX25" s="42"/>
      <c r="DY25" s="42">
        <f t="shared" si="94"/>
        <v>0</v>
      </c>
      <c r="DZ25" s="42" t="e">
        <f t="shared" si="95"/>
        <v>#DIV/0!</v>
      </c>
      <c r="EA25" s="42"/>
      <c r="EB25" s="42"/>
      <c r="EC25" s="42"/>
      <c r="ED25" s="42"/>
      <c r="EE25" s="112"/>
      <c r="EF25" s="112"/>
      <c r="EG25" s="23"/>
      <c r="EH25" s="23"/>
      <c r="EI25" s="23"/>
      <c r="EJ25" s="85"/>
      <c r="EK25" s="42"/>
      <c r="EL25" s="11"/>
      <c r="EM25" s="42">
        <f t="shared" si="96"/>
        <v>0</v>
      </c>
      <c r="EN25" s="42"/>
      <c r="EO25" s="42"/>
      <c r="EP25" s="42"/>
      <c r="EQ25" s="42"/>
      <c r="ER25" s="42"/>
      <c r="ES25" s="42"/>
      <c r="ET25" s="42"/>
      <c r="EU25" s="112"/>
      <c r="EV25" s="112"/>
      <c r="EW25" s="4"/>
      <c r="EX25" s="42"/>
      <c r="EY25" s="42"/>
      <c r="EZ25" s="11"/>
      <c r="FA25" s="11"/>
      <c r="FB25" s="42">
        <f t="shared" si="97"/>
        <v>0</v>
      </c>
      <c r="FC25" s="115"/>
      <c r="FD25" s="42"/>
      <c r="FE25" s="42"/>
      <c r="FF25" s="115"/>
      <c r="FG25" s="115"/>
      <c r="FH25" s="29"/>
      <c r="FI25" s="42"/>
      <c r="FJ25" s="42"/>
      <c r="FK25" s="55"/>
    </row>
    <row r="26" spans="1:167">
      <c r="A26" s="4">
        <v>2022</v>
      </c>
      <c r="B26" s="4" t="s">
        <v>81</v>
      </c>
      <c r="C26" s="29">
        <v>2436471672.19</v>
      </c>
      <c r="D26" s="29">
        <v>2026838681.39</v>
      </c>
      <c r="E26" s="11">
        <v>1545770407.17</v>
      </c>
      <c r="F26" s="11">
        <v>20935801.51</v>
      </c>
      <c r="G26" s="23">
        <v>330951760.6</v>
      </c>
      <c r="H26" s="11">
        <v>72964563.24</v>
      </c>
      <c r="I26" s="11">
        <v>64524845.73</v>
      </c>
      <c r="J26" s="11">
        <v>-8308696.86</v>
      </c>
      <c r="K26" s="11">
        <v>400347681.7</v>
      </c>
      <c r="L26" s="11">
        <v>401660975.31</v>
      </c>
      <c r="M26" s="11">
        <v>57707967.16</v>
      </c>
      <c r="N26" s="11">
        <v>343953008.15</v>
      </c>
      <c r="O26" s="11"/>
      <c r="P26" s="11"/>
      <c r="Q26" s="11"/>
      <c r="R26" s="11"/>
      <c r="S26" s="11"/>
      <c r="T26" s="11"/>
      <c r="U26" s="11"/>
      <c r="V26" s="11"/>
      <c r="W26" s="11"/>
      <c r="X26" s="42"/>
      <c r="Y26" s="100"/>
      <c r="Z26" s="11"/>
      <c r="AA26" s="100"/>
      <c r="AB26" s="42"/>
      <c r="AC26" s="42"/>
      <c r="AD26" s="42">
        <f t="shared" ref="AD26:AD31" si="98">E26/C26</f>
        <v>0.634429870379161</v>
      </c>
      <c r="AE26" s="42">
        <f t="shared" ref="AE26:AE33" si="99">E26/$C26</f>
        <v>0.634429870379161</v>
      </c>
      <c r="AF26" s="42">
        <f t="shared" ref="AF26:AF33" si="100">F26/$C26</f>
        <v>0.00859267183319314</v>
      </c>
      <c r="AG26" s="42">
        <f t="shared" ref="AG26:AG33" si="101">G26/$C26</f>
        <v>0.135832385977436</v>
      </c>
      <c r="AH26" s="42">
        <f t="shared" ref="AH26:AH33" si="102">H26/$C26</f>
        <v>0.0299468136949101</v>
      </c>
      <c r="AI26" s="42">
        <f t="shared" ref="AI26:AI33" si="103">I26/$C26</f>
        <v>0.0264829041381805</v>
      </c>
      <c r="AJ26" s="42">
        <f t="shared" si="88"/>
        <v>0.16431452344371</v>
      </c>
      <c r="AK26" s="42">
        <f t="shared" si="89"/>
        <v>0.16485353796417</v>
      </c>
      <c r="AL26" s="42">
        <f t="shared" si="90"/>
        <v>0.141168482308206</v>
      </c>
      <c r="AM26" s="100"/>
      <c r="AN26" s="100"/>
      <c r="AO26" s="100"/>
      <c r="AP26" s="100"/>
      <c r="AQ26" s="100"/>
      <c r="AR26" s="100"/>
      <c r="AS26" s="100"/>
      <c r="AT26" s="100"/>
      <c r="AU26" s="100"/>
      <c r="AV26" s="100"/>
      <c r="AW26" s="42"/>
      <c r="AX26" s="42"/>
      <c r="AY26" s="42"/>
      <c r="AZ26" s="42"/>
      <c r="BA26" s="42"/>
      <c r="BB26" s="100"/>
      <c r="BC26" s="100"/>
      <c r="BD26" s="100"/>
      <c r="BE26" s="100"/>
      <c r="BF26" s="100"/>
      <c r="BG26" s="100"/>
      <c r="BH26" s="100"/>
      <c r="BI26" s="100"/>
      <c r="BJ26" s="100"/>
      <c r="BK26" s="100"/>
      <c r="BL26" s="42"/>
      <c r="BM26" s="42"/>
      <c r="BN26" s="42"/>
      <c r="BO26" s="42"/>
      <c r="BP26" s="42"/>
      <c r="BQ26" s="100"/>
      <c r="BR26" s="100"/>
      <c r="BS26" s="100"/>
      <c r="BT26" s="100"/>
      <c r="BU26" s="100"/>
      <c r="BV26" s="100"/>
      <c r="BW26" s="100"/>
      <c r="BX26" s="100"/>
      <c r="BY26" s="100"/>
      <c r="BZ26" s="100"/>
      <c r="CA26" s="42"/>
      <c r="CB26" s="42"/>
      <c r="CC26" s="42"/>
      <c r="CD26" s="42"/>
      <c r="CE26" s="42"/>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42"/>
      <c r="DP26" s="42"/>
      <c r="DQ26" s="42"/>
      <c r="DR26" s="42"/>
      <c r="DS26" s="42"/>
      <c r="DT26" s="42">
        <f t="shared" ref="DT26:DT41" si="104">M26/L26</f>
        <v>0.143673323293261</v>
      </c>
      <c r="DU26" s="42">
        <f t="shared" ref="DU26:DU41" si="105">M26/K26</f>
        <v>0.14414462677779</v>
      </c>
      <c r="DV26" s="11">
        <v>1513144072.56</v>
      </c>
      <c r="DW26" s="42">
        <f t="shared" si="93"/>
        <v>0.62103905817215</v>
      </c>
      <c r="DX26" s="11">
        <v>950994337.4</v>
      </c>
      <c r="DY26" s="42">
        <f t="shared" ref="DY26:DY31" si="106">DX26/E26</f>
        <v>0.615223537071772</v>
      </c>
      <c r="DZ26" s="42">
        <f t="shared" si="95"/>
        <v>0.628488955312146</v>
      </c>
      <c r="EA26" s="42"/>
      <c r="EB26" s="42"/>
      <c r="EC26" s="42"/>
      <c r="ED26" s="42"/>
      <c r="EE26" s="112">
        <v>336024</v>
      </c>
      <c r="EF26" s="112">
        <v>345013</v>
      </c>
      <c r="EG26" s="23">
        <f t="shared" ref="EG26:EG31" si="107">DV26/EE26</f>
        <v>4503.08332904792</v>
      </c>
      <c r="EH26" s="23"/>
      <c r="EI26" s="23"/>
      <c r="EJ26" s="85">
        <v>41924</v>
      </c>
      <c r="EK26" s="42"/>
      <c r="EL26" s="11"/>
      <c r="EM26" s="42">
        <f t="shared" si="96"/>
        <v>0</v>
      </c>
      <c r="EN26" s="42"/>
      <c r="EO26" s="42"/>
      <c r="EP26" s="42"/>
      <c r="EQ26" s="42"/>
      <c r="ER26" s="42"/>
      <c r="ES26" s="42"/>
      <c r="ET26" s="42"/>
      <c r="EU26" s="112"/>
      <c r="EV26" s="112"/>
      <c r="EW26" s="4"/>
      <c r="EX26" s="42"/>
      <c r="EY26" s="42"/>
      <c r="EZ26" s="11"/>
      <c r="FA26" s="11"/>
      <c r="FB26" s="42">
        <f t="shared" si="97"/>
        <v>0</v>
      </c>
      <c r="FC26" s="115"/>
      <c r="FD26" s="42"/>
      <c r="FE26" s="42"/>
      <c r="FF26" s="115"/>
      <c r="FG26" s="115"/>
      <c r="FH26" s="29"/>
      <c r="FI26" s="42"/>
      <c r="FJ26" s="42"/>
      <c r="FK26" s="55"/>
    </row>
    <row r="27" spans="1:167">
      <c r="A27" s="4">
        <v>2021</v>
      </c>
      <c r="B27" s="4"/>
      <c r="C27" s="29">
        <v>1925286294.09</v>
      </c>
      <c r="D27" s="29">
        <v>1669845150.73</v>
      </c>
      <c r="E27" s="11">
        <v>1147871732</v>
      </c>
      <c r="F27" s="11">
        <v>16340427.33</v>
      </c>
      <c r="G27" s="23">
        <v>387948874.88</v>
      </c>
      <c r="H27" s="11">
        <v>64998547.08</v>
      </c>
      <c r="I27" s="11">
        <v>55389752.79</v>
      </c>
      <c r="J27" s="11">
        <v>-2704183.35</v>
      </c>
      <c r="K27" s="11">
        <v>269992984.84</v>
      </c>
      <c r="L27" s="11">
        <v>261242466.36</v>
      </c>
      <c r="M27" s="11">
        <v>39840870.93</v>
      </c>
      <c r="N27" s="11">
        <v>221401595.43</v>
      </c>
      <c r="O27" s="11"/>
      <c r="P27" s="11"/>
      <c r="Q27" s="11"/>
      <c r="R27" s="11"/>
      <c r="S27" s="11"/>
      <c r="T27" s="11"/>
      <c r="U27" s="11"/>
      <c r="V27" s="11"/>
      <c r="W27" s="11"/>
      <c r="X27" s="42"/>
      <c r="Y27" s="100"/>
      <c r="Z27" s="11"/>
      <c r="AA27" s="100"/>
      <c r="AB27" s="42"/>
      <c r="AC27" s="42"/>
      <c r="AD27" s="42">
        <f t="shared" si="98"/>
        <v>0.596208333027452</v>
      </c>
      <c r="AE27" s="42">
        <f t="shared" si="99"/>
        <v>0.596208333027452</v>
      </c>
      <c r="AF27" s="42">
        <f t="shared" si="100"/>
        <v>0.00848727141524862</v>
      </c>
      <c r="AG27" s="42">
        <f t="shared" si="101"/>
        <v>0.201501914842939</v>
      </c>
      <c r="AH27" s="42">
        <f t="shared" si="102"/>
        <v>0.0337604580054012</v>
      </c>
      <c r="AI27" s="42">
        <f t="shared" si="103"/>
        <v>0.0287696188146295</v>
      </c>
      <c r="AJ27" s="42">
        <f t="shared" si="88"/>
        <v>0.140235239646587</v>
      </c>
      <c r="AK27" s="42">
        <f t="shared" si="89"/>
        <v>0.135690191719501</v>
      </c>
      <c r="AL27" s="42">
        <f t="shared" si="90"/>
        <v>0.114996713013348</v>
      </c>
      <c r="AM27" s="100"/>
      <c r="AN27" s="100"/>
      <c r="AO27" s="100"/>
      <c r="AP27" s="100"/>
      <c r="AQ27" s="100"/>
      <c r="AR27" s="100"/>
      <c r="AS27" s="100"/>
      <c r="AT27" s="100"/>
      <c r="AU27" s="100"/>
      <c r="AV27" s="100"/>
      <c r="AW27" s="42"/>
      <c r="AX27" s="42"/>
      <c r="AY27" s="42"/>
      <c r="AZ27" s="42"/>
      <c r="BA27" s="42"/>
      <c r="BB27" s="100"/>
      <c r="BC27" s="100"/>
      <c r="BD27" s="100"/>
      <c r="BE27" s="100"/>
      <c r="BF27" s="100"/>
      <c r="BG27" s="100"/>
      <c r="BH27" s="100"/>
      <c r="BI27" s="100"/>
      <c r="BJ27" s="100"/>
      <c r="BK27" s="100"/>
      <c r="BL27" s="42"/>
      <c r="BM27" s="42"/>
      <c r="BN27" s="42"/>
      <c r="BO27" s="42"/>
      <c r="BP27" s="42"/>
      <c r="BQ27" s="100"/>
      <c r="BR27" s="100"/>
      <c r="BS27" s="100"/>
      <c r="BT27" s="100"/>
      <c r="BU27" s="100"/>
      <c r="BV27" s="100"/>
      <c r="BW27" s="100"/>
      <c r="BX27" s="100"/>
      <c r="BY27" s="100"/>
      <c r="BZ27" s="100"/>
      <c r="CA27" s="42"/>
      <c r="CB27" s="42"/>
      <c r="CC27" s="42"/>
      <c r="CD27" s="42"/>
      <c r="CE27" s="42"/>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42"/>
      <c r="DP27" s="42"/>
      <c r="DQ27" s="42"/>
      <c r="DR27" s="42"/>
      <c r="DS27" s="42"/>
      <c r="DT27" s="42">
        <f t="shared" si="104"/>
        <v>0.152505339139993</v>
      </c>
      <c r="DU27" s="42">
        <f t="shared" si="105"/>
        <v>0.147562615205021</v>
      </c>
      <c r="DV27" s="11">
        <v>1182064447.78</v>
      </c>
      <c r="DW27" s="42">
        <f t="shared" si="93"/>
        <v>0.613968141469947</v>
      </c>
      <c r="DX27" s="11">
        <v>662778435.01</v>
      </c>
      <c r="DY27" s="42">
        <f t="shared" si="106"/>
        <v>0.577397645166507</v>
      </c>
      <c r="DZ27" s="42">
        <f t="shared" si="95"/>
        <v>0.560695684786684</v>
      </c>
      <c r="EA27" s="42"/>
      <c r="EB27" s="42"/>
      <c r="EC27" s="42"/>
      <c r="ED27" s="42"/>
      <c r="EE27" s="112">
        <v>263559</v>
      </c>
      <c r="EF27" s="112">
        <v>275340</v>
      </c>
      <c r="EG27" s="23">
        <f t="shared" si="107"/>
        <v>4485.00885107319</v>
      </c>
      <c r="EH27" s="23"/>
      <c r="EI27" s="23"/>
      <c r="EJ27" s="85">
        <v>32935</v>
      </c>
      <c r="EK27" s="42"/>
      <c r="EL27" s="11"/>
      <c r="EM27" s="42">
        <f t="shared" si="96"/>
        <v>0</v>
      </c>
      <c r="EN27" s="42"/>
      <c r="EO27" s="42"/>
      <c r="EP27" s="42"/>
      <c r="EQ27" s="42"/>
      <c r="ER27" s="42"/>
      <c r="ES27" s="42"/>
      <c r="ET27" s="42"/>
      <c r="EU27" s="112"/>
      <c r="EV27" s="112"/>
      <c r="EW27" s="4"/>
      <c r="EX27" s="42"/>
      <c r="EY27" s="42"/>
      <c r="EZ27" s="11"/>
      <c r="FA27" s="11"/>
      <c r="FB27" s="42">
        <f t="shared" si="97"/>
        <v>0</v>
      </c>
      <c r="FC27" s="115"/>
      <c r="FD27" s="42"/>
      <c r="FE27" s="42"/>
      <c r="FF27" s="115"/>
      <c r="FG27" s="115"/>
      <c r="FH27" s="29"/>
      <c r="FI27" s="42"/>
      <c r="FJ27" s="42"/>
      <c r="FK27" s="55"/>
    </row>
    <row r="28" spans="1:167">
      <c r="A28" s="4">
        <v>2020</v>
      </c>
      <c r="B28" s="4"/>
      <c r="C28" s="29">
        <v>1693273982.03</v>
      </c>
      <c r="D28" s="29">
        <v>1356874804.36</v>
      </c>
      <c r="E28" s="11">
        <v>950816655.19</v>
      </c>
      <c r="F28" s="11">
        <v>15790503.76</v>
      </c>
      <c r="G28" s="23">
        <v>286850462.86</v>
      </c>
      <c r="H28" s="11">
        <v>61411717.01</v>
      </c>
      <c r="I28" s="11">
        <v>45221538.75</v>
      </c>
      <c r="J28" s="11">
        <v>-3216073.21</v>
      </c>
      <c r="K28" s="11">
        <v>261914264.2</v>
      </c>
      <c r="L28" s="11">
        <v>256945009.47</v>
      </c>
      <c r="M28" s="11">
        <v>51143969.08</v>
      </c>
      <c r="N28" s="11">
        <v>205801040.39</v>
      </c>
      <c r="O28" s="11"/>
      <c r="P28" s="11"/>
      <c r="Q28" s="11"/>
      <c r="R28" s="11"/>
      <c r="S28" s="11"/>
      <c r="T28" s="11"/>
      <c r="U28" s="11"/>
      <c r="V28" s="11"/>
      <c r="W28" s="11"/>
      <c r="X28" s="42"/>
      <c r="Y28" s="100"/>
      <c r="Z28" s="11"/>
      <c r="AA28" s="100"/>
      <c r="AB28" s="42"/>
      <c r="AC28" s="42"/>
      <c r="AD28" s="42">
        <f t="shared" si="98"/>
        <v>0.56152558019589</v>
      </c>
      <c r="AE28" s="42">
        <f t="shared" si="99"/>
        <v>0.56152558019589</v>
      </c>
      <c r="AF28" s="42">
        <f t="shared" si="100"/>
        <v>0.00932542750173801</v>
      </c>
      <c r="AG28" s="42">
        <f t="shared" si="101"/>
        <v>0.169405817312628</v>
      </c>
      <c r="AH28" s="42">
        <f t="shared" si="102"/>
        <v>0.0362680332077009</v>
      </c>
      <c r="AI28" s="42">
        <f t="shared" si="103"/>
        <v>0.0267065691848555</v>
      </c>
      <c r="AJ28" s="42">
        <f t="shared" si="88"/>
        <v>0.154679199574071</v>
      </c>
      <c r="AK28" s="42">
        <f t="shared" si="89"/>
        <v>0.151744497462814</v>
      </c>
      <c r="AL28" s="42">
        <f t="shared" si="90"/>
        <v>0.121540307460033</v>
      </c>
      <c r="AM28" s="100"/>
      <c r="AN28" s="100"/>
      <c r="AO28" s="100"/>
      <c r="AP28" s="100"/>
      <c r="AQ28" s="100"/>
      <c r="AR28" s="100"/>
      <c r="AS28" s="100"/>
      <c r="AT28" s="100"/>
      <c r="AU28" s="100"/>
      <c r="AV28" s="100"/>
      <c r="AW28" s="42"/>
      <c r="AX28" s="42"/>
      <c r="AY28" s="42"/>
      <c r="AZ28" s="42"/>
      <c r="BA28" s="42"/>
      <c r="BB28" s="100"/>
      <c r="BC28" s="100"/>
      <c r="BD28" s="100"/>
      <c r="BE28" s="100"/>
      <c r="BF28" s="100"/>
      <c r="BG28" s="100"/>
      <c r="BH28" s="100"/>
      <c r="BI28" s="100"/>
      <c r="BJ28" s="100"/>
      <c r="BK28" s="100"/>
      <c r="BL28" s="42"/>
      <c r="BM28" s="42"/>
      <c r="BN28" s="42"/>
      <c r="BO28" s="42"/>
      <c r="BP28" s="42"/>
      <c r="BQ28" s="100"/>
      <c r="BR28" s="100"/>
      <c r="BS28" s="100"/>
      <c r="BT28" s="100"/>
      <c r="BU28" s="100"/>
      <c r="BV28" s="100"/>
      <c r="BW28" s="100"/>
      <c r="BX28" s="100"/>
      <c r="BY28" s="100"/>
      <c r="BZ28" s="100"/>
      <c r="CA28" s="42"/>
      <c r="CB28" s="42"/>
      <c r="CC28" s="42"/>
      <c r="CD28" s="42"/>
      <c r="CE28" s="42"/>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42"/>
      <c r="DP28" s="42"/>
      <c r="DQ28" s="42"/>
      <c r="DR28" s="42"/>
      <c r="DS28" s="42"/>
      <c r="DT28" s="42">
        <f t="shared" si="104"/>
        <v>0.199046360875016</v>
      </c>
      <c r="DU28" s="42">
        <f t="shared" si="105"/>
        <v>0.195269888168237</v>
      </c>
      <c r="DV28" s="11">
        <v>1053969814.05</v>
      </c>
      <c r="DW28" s="42">
        <f t="shared" si="93"/>
        <v>0.622444935217416</v>
      </c>
      <c r="DX28" s="11">
        <v>544506620.14</v>
      </c>
      <c r="DY28" s="42">
        <f t="shared" si="106"/>
        <v>0.572672572748731</v>
      </c>
      <c r="DZ28" s="42">
        <f t="shared" si="95"/>
        <v>0.51662449235398</v>
      </c>
      <c r="EA28" s="42"/>
      <c r="EB28" s="42"/>
      <c r="EC28" s="42"/>
      <c r="ED28" s="42"/>
      <c r="EE28" s="112">
        <v>202456.02</v>
      </c>
      <c r="EF28" s="112">
        <v>203078.04</v>
      </c>
      <c r="EG28" s="23">
        <f t="shared" si="107"/>
        <v>5205.9198538527</v>
      </c>
      <c r="EH28" s="23"/>
      <c r="EI28" s="23"/>
      <c r="EJ28" s="23">
        <v>21155.2</v>
      </c>
      <c r="EK28" s="42"/>
      <c r="EL28" s="11"/>
      <c r="EM28" s="42">
        <f t="shared" si="96"/>
        <v>0</v>
      </c>
      <c r="EN28" s="42"/>
      <c r="EO28" s="42"/>
      <c r="EP28" s="42"/>
      <c r="EQ28" s="42"/>
      <c r="ER28" s="42"/>
      <c r="ES28" s="42"/>
      <c r="ET28" s="42"/>
      <c r="EU28" s="112"/>
      <c r="EV28" s="112"/>
      <c r="EW28" s="4"/>
      <c r="EX28" s="42"/>
      <c r="EY28" s="42"/>
      <c r="EZ28" s="11"/>
      <c r="FA28" s="11"/>
      <c r="FB28" s="42">
        <f t="shared" si="97"/>
        <v>0</v>
      </c>
      <c r="FC28" s="115"/>
      <c r="FD28" s="42"/>
      <c r="FE28" s="42"/>
      <c r="FF28" s="115"/>
      <c r="FG28" s="115"/>
      <c r="FH28" s="29"/>
      <c r="FI28" s="42"/>
      <c r="FJ28" s="42"/>
      <c r="FK28" s="55"/>
    </row>
    <row r="29" spans="1:167">
      <c r="A29" s="4">
        <v>2019</v>
      </c>
      <c r="B29" s="4"/>
      <c r="C29" s="29">
        <v>1355147203.67</v>
      </c>
      <c r="D29" s="29">
        <v>1136669474.22</v>
      </c>
      <c r="E29" s="11">
        <v>728988143.54</v>
      </c>
      <c r="F29" s="11">
        <v>13048238.93</v>
      </c>
      <c r="G29" s="23">
        <v>308762684.45</v>
      </c>
      <c r="H29" s="11">
        <v>53903006.32</v>
      </c>
      <c r="I29" s="11">
        <v>39482608.83</v>
      </c>
      <c r="J29" s="11">
        <v>-7515207.85</v>
      </c>
      <c r="K29" s="11">
        <v>231836026.43</v>
      </c>
      <c r="L29" s="11">
        <v>232004461.83</v>
      </c>
      <c r="M29" s="11">
        <v>33750491.3</v>
      </c>
      <c r="N29" s="11">
        <v>198253970.53</v>
      </c>
      <c r="O29" s="11"/>
      <c r="P29" s="11"/>
      <c r="Q29" s="11"/>
      <c r="R29" s="11"/>
      <c r="S29" s="11"/>
      <c r="T29" s="11"/>
      <c r="U29" s="11"/>
      <c r="V29" s="11"/>
      <c r="W29" s="11"/>
      <c r="X29" s="42"/>
      <c r="Y29" s="100"/>
      <c r="Z29" s="11"/>
      <c r="AA29" s="100"/>
      <c r="AB29" s="42"/>
      <c r="AC29" s="42"/>
      <c r="AD29" s="42">
        <f t="shared" si="98"/>
        <v>0.537940189498056</v>
      </c>
      <c r="AE29" s="42">
        <f t="shared" si="99"/>
        <v>0.537940189498056</v>
      </c>
      <c r="AF29" s="42">
        <f t="shared" si="100"/>
        <v>0.00962865059578978</v>
      </c>
      <c r="AG29" s="42">
        <f t="shared" si="101"/>
        <v>0.227844387394824</v>
      </c>
      <c r="AH29" s="42">
        <f t="shared" si="102"/>
        <v>0.0397764952575043</v>
      </c>
      <c r="AI29" s="42">
        <f t="shared" si="103"/>
        <v>0.0291352915189387</v>
      </c>
      <c r="AJ29" s="42">
        <f t="shared" si="88"/>
        <v>0.171078112991816</v>
      </c>
      <c r="AK29" s="42">
        <f t="shared" si="89"/>
        <v>0.171202406057207</v>
      </c>
      <c r="AL29" s="42">
        <f t="shared" si="90"/>
        <v>0.146297000055116</v>
      </c>
      <c r="AM29" s="100"/>
      <c r="AN29" s="100"/>
      <c r="AO29" s="100"/>
      <c r="AP29" s="100"/>
      <c r="AQ29" s="100"/>
      <c r="AR29" s="100"/>
      <c r="AS29" s="100"/>
      <c r="AT29" s="100"/>
      <c r="AU29" s="100"/>
      <c r="AV29" s="100"/>
      <c r="AW29" s="42"/>
      <c r="AX29" s="42"/>
      <c r="AY29" s="42"/>
      <c r="AZ29" s="42"/>
      <c r="BA29" s="42"/>
      <c r="BB29" s="100"/>
      <c r="BC29" s="100"/>
      <c r="BD29" s="100"/>
      <c r="BE29" s="100"/>
      <c r="BF29" s="100"/>
      <c r="BG29" s="100"/>
      <c r="BH29" s="100"/>
      <c r="BI29" s="100"/>
      <c r="BJ29" s="100"/>
      <c r="BK29" s="100"/>
      <c r="BL29" s="42"/>
      <c r="BM29" s="42"/>
      <c r="BN29" s="42"/>
      <c r="BO29" s="42"/>
      <c r="BP29" s="42"/>
      <c r="BQ29" s="100"/>
      <c r="BR29" s="100"/>
      <c r="BS29" s="100"/>
      <c r="BT29" s="100"/>
      <c r="BU29" s="100"/>
      <c r="BV29" s="100"/>
      <c r="BW29" s="100"/>
      <c r="BX29" s="100"/>
      <c r="BY29" s="100"/>
      <c r="BZ29" s="100"/>
      <c r="CA29" s="42"/>
      <c r="CB29" s="42"/>
      <c r="CC29" s="42"/>
      <c r="CD29" s="42"/>
      <c r="CE29" s="42"/>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42"/>
      <c r="DP29" s="42"/>
      <c r="DQ29" s="42"/>
      <c r="DR29" s="42"/>
      <c r="DS29" s="42"/>
      <c r="DT29" s="42">
        <f t="shared" si="104"/>
        <v>0.145473457854145</v>
      </c>
      <c r="DU29" s="42">
        <f t="shared" si="105"/>
        <v>0.145579148416739</v>
      </c>
      <c r="DV29" s="23">
        <v>835148173.63</v>
      </c>
      <c r="DW29" s="42">
        <f t="shared" si="93"/>
        <v>0.616278564696335</v>
      </c>
      <c r="DX29" s="11">
        <v>414874034.26</v>
      </c>
      <c r="DY29" s="42">
        <f t="shared" si="106"/>
        <v>0.569109440169154</v>
      </c>
      <c r="DZ29" s="42">
        <f t="shared" si="95"/>
        <v>0.496766977836682</v>
      </c>
      <c r="EA29" s="42"/>
      <c r="EB29" s="42"/>
      <c r="EC29" s="42"/>
      <c r="ED29" s="42"/>
      <c r="EE29" s="112">
        <v>151841.23</v>
      </c>
      <c r="EF29" s="112">
        <v>158306.88</v>
      </c>
      <c r="EG29" s="23">
        <f t="shared" si="107"/>
        <v>5500.1409935233</v>
      </c>
      <c r="EH29" s="23"/>
      <c r="EI29" s="23"/>
      <c r="EJ29" s="23">
        <v>20533.18</v>
      </c>
      <c r="EK29" s="42"/>
      <c r="EL29" s="11"/>
      <c r="EM29" s="42">
        <f t="shared" si="96"/>
        <v>0</v>
      </c>
      <c r="EN29" s="42"/>
      <c r="EO29" s="42"/>
      <c r="EP29" s="42"/>
      <c r="EQ29" s="42"/>
      <c r="ER29" s="42"/>
      <c r="ES29" s="42"/>
      <c r="ET29" s="42"/>
      <c r="EU29" s="112"/>
      <c r="EV29" s="112"/>
      <c r="EW29" s="4"/>
      <c r="EX29" s="42"/>
      <c r="EY29" s="42"/>
      <c r="EZ29" s="11"/>
      <c r="FA29" s="11"/>
      <c r="FB29" s="42">
        <f t="shared" si="97"/>
        <v>0</v>
      </c>
      <c r="FC29" s="115"/>
      <c r="FD29" s="42"/>
      <c r="FE29" s="42"/>
      <c r="FF29" s="115"/>
      <c r="FG29" s="115"/>
      <c r="FH29" s="29"/>
      <c r="FI29" s="42"/>
      <c r="FJ29" s="42"/>
      <c r="FK29" s="55"/>
    </row>
    <row r="30" spans="1:167">
      <c r="A30" s="4">
        <v>2018</v>
      </c>
      <c r="B30" s="4"/>
      <c r="C30" s="29">
        <v>1065445794.48</v>
      </c>
      <c r="D30" s="29">
        <v>881735362.24</v>
      </c>
      <c r="E30" s="11">
        <v>578058411.02</v>
      </c>
      <c r="F30" s="11">
        <v>12108757.57</v>
      </c>
      <c r="G30" s="23">
        <v>216326402.44</v>
      </c>
      <c r="H30" s="11">
        <v>52211721.01</v>
      </c>
      <c r="I30" s="11">
        <v>20360287.94</v>
      </c>
      <c r="J30" s="11">
        <v>1697152.63</v>
      </c>
      <c r="K30" s="11">
        <v>285175272.21</v>
      </c>
      <c r="L30" s="11">
        <v>285154328.18</v>
      </c>
      <c r="M30" s="11">
        <v>45130726.95</v>
      </c>
      <c r="N30" s="11">
        <v>240023601.23</v>
      </c>
      <c r="O30" s="11"/>
      <c r="P30" s="11"/>
      <c r="Q30" s="11"/>
      <c r="R30" s="11"/>
      <c r="S30" s="11"/>
      <c r="T30" s="11"/>
      <c r="U30" s="11"/>
      <c r="V30" s="11"/>
      <c r="W30" s="11"/>
      <c r="X30" s="42"/>
      <c r="Y30" s="100"/>
      <c r="Z30" s="11"/>
      <c r="AA30" s="100"/>
      <c r="AB30" s="42"/>
      <c r="AC30" s="42"/>
      <c r="AD30" s="42">
        <f t="shared" si="98"/>
        <v>0.542550746377601</v>
      </c>
      <c r="AE30" s="42">
        <f t="shared" si="99"/>
        <v>0.542550746377601</v>
      </c>
      <c r="AF30" s="42">
        <f t="shared" si="100"/>
        <v>0.0113649681971008</v>
      </c>
      <c r="AG30" s="42">
        <f t="shared" si="101"/>
        <v>0.203038393469449</v>
      </c>
      <c r="AH30" s="42">
        <f t="shared" si="102"/>
        <v>0.0490045775022111</v>
      </c>
      <c r="AI30" s="42">
        <f t="shared" si="103"/>
        <v>0.0191096422225187</v>
      </c>
      <c r="AJ30" s="42">
        <f t="shared" si="88"/>
        <v>0.267658170586878</v>
      </c>
      <c r="AK30" s="42">
        <f t="shared" si="89"/>
        <v>0.267638513059383</v>
      </c>
      <c r="AL30" s="42">
        <f t="shared" si="90"/>
        <v>0.225279974329567</v>
      </c>
      <c r="AM30" s="100"/>
      <c r="AN30" s="100"/>
      <c r="AO30" s="100"/>
      <c r="AP30" s="100"/>
      <c r="AQ30" s="100"/>
      <c r="AR30" s="100"/>
      <c r="AS30" s="100"/>
      <c r="AT30" s="100"/>
      <c r="AU30" s="100"/>
      <c r="AV30" s="100"/>
      <c r="AW30" s="42"/>
      <c r="AX30" s="42"/>
      <c r="AY30" s="42"/>
      <c r="AZ30" s="42"/>
      <c r="BA30" s="42"/>
      <c r="BB30" s="100"/>
      <c r="BC30" s="100"/>
      <c r="BD30" s="100"/>
      <c r="BE30" s="100"/>
      <c r="BF30" s="100"/>
      <c r="BG30" s="100"/>
      <c r="BH30" s="100"/>
      <c r="BI30" s="100"/>
      <c r="BJ30" s="100"/>
      <c r="BK30" s="100"/>
      <c r="BL30" s="42"/>
      <c r="BM30" s="42"/>
      <c r="BN30" s="42"/>
      <c r="BO30" s="42"/>
      <c r="BP30" s="42"/>
      <c r="BQ30" s="100"/>
      <c r="BR30" s="100"/>
      <c r="BS30" s="100"/>
      <c r="BT30" s="100"/>
      <c r="BU30" s="100"/>
      <c r="BV30" s="100"/>
      <c r="BW30" s="100"/>
      <c r="BX30" s="100"/>
      <c r="BY30" s="100"/>
      <c r="BZ30" s="100"/>
      <c r="CA30" s="42"/>
      <c r="CB30" s="42"/>
      <c r="CC30" s="42"/>
      <c r="CD30" s="42"/>
      <c r="CE30" s="42"/>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42"/>
      <c r="DP30" s="42"/>
      <c r="DQ30" s="42"/>
      <c r="DR30" s="42"/>
      <c r="DS30" s="42"/>
      <c r="DT30" s="42">
        <f t="shared" si="104"/>
        <v>0.158267725543734</v>
      </c>
      <c r="DU30" s="42">
        <f t="shared" si="105"/>
        <v>0.158256101941287</v>
      </c>
      <c r="DV30" s="11">
        <v>608688964</v>
      </c>
      <c r="DW30" s="42">
        <f t="shared" si="93"/>
        <v>0.571299795028123</v>
      </c>
      <c r="DX30" s="56">
        <v>303308325.77</v>
      </c>
      <c r="DY30" s="42">
        <f t="shared" si="106"/>
        <v>0.524701864011985</v>
      </c>
      <c r="DZ30" s="42">
        <f t="shared" si="95"/>
        <v>0.498297724632313</v>
      </c>
      <c r="EA30" s="42"/>
      <c r="EB30" s="42"/>
      <c r="EC30" s="42"/>
      <c r="ED30" s="42"/>
      <c r="EE30" s="112">
        <v>111023.73</v>
      </c>
      <c r="EF30" s="112">
        <v>114261.34</v>
      </c>
      <c r="EG30" s="23">
        <f t="shared" si="107"/>
        <v>5482.51228813876</v>
      </c>
      <c r="EH30" s="23"/>
      <c r="EI30" s="23"/>
      <c r="EJ30" s="23">
        <v>14067.53</v>
      </c>
      <c r="EK30" s="42"/>
      <c r="EL30" s="11"/>
      <c r="EM30" s="42">
        <f t="shared" si="96"/>
        <v>0</v>
      </c>
      <c r="EN30" s="42"/>
      <c r="EO30" s="42"/>
      <c r="EP30" s="42"/>
      <c r="EQ30" s="42"/>
      <c r="ER30" s="42"/>
      <c r="ES30" s="42"/>
      <c r="ET30" s="42"/>
      <c r="EU30" s="112"/>
      <c r="EV30" s="112"/>
      <c r="EW30" s="4"/>
      <c r="EX30" s="42"/>
      <c r="EY30" s="42"/>
      <c r="EZ30" s="11"/>
      <c r="FA30" s="11"/>
      <c r="FB30" s="42">
        <f t="shared" si="97"/>
        <v>0</v>
      </c>
      <c r="FC30" s="115"/>
      <c r="FD30" s="42"/>
      <c r="FE30" s="42"/>
      <c r="FF30" s="115"/>
      <c r="FG30" s="115"/>
      <c r="FH30" s="29"/>
      <c r="FI30" s="42"/>
      <c r="FJ30" s="42"/>
      <c r="FK30" s="55"/>
    </row>
    <row r="31" spans="1:167">
      <c r="A31" s="4">
        <v>2017</v>
      </c>
      <c r="B31" s="4"/>
      <c r="C31" s="29">
        <v>948167111.51</v>
      </c>
      <c r="D31" s="29">
        <v>792202600.28</v>
      </c>
      <c r="E31" s="11">
        <v>537261639.44</v>
      </c>
      <c r="F31" s="11">
        <v>10944053.81</v>
      </c>
      <c r="G31" s="23">
        <v>175636458.9</v>
      </c>
      <c r="H31" s="11">
        <v>43985811.78</v>
      </c>
      <c r="I31" s="11">
        <v>22412654.12</v>
      </c>
      <c r="J31" s="11">
        <v>1193171.8</v>
      </c>
      <c r="K31" s="11">
        <v>169196845.16</v>
      </c>
      <c r="L31" s="11">
        <v>170816896.19</v>
      </c>
      <c r="M31" s="11">
        <v>26757461.94</v>
      </c>
      <c r="N31" s="11">
        <v>144059434.25</v>
      </c>
      <c r="O31" s="11"/>
      <c r="P31" s="11"/>
      <c r="Q31" s="11"/>
      <c r="R31" s="11"/>
      <c r="S31" s="11"/>
      <c r="T31" s="11"/>
      <c r="U31" s="11"/>
      <c r="V31" s="11"/>
      <c r="W31" s="11"/>
      <c r="X31" s="42"/>
      <c r="Y31" s="100"/>
      <c r="Z31" s="11"/>
      <c r="AA31" s="100"/>
      <c r="AB31" s="42"/>
      <c r="AC31" s="42"/>
      <c r="AD31" s="42">
        <f t="shared" si="98"/>
        <v>0.566631802472442</v>
      </c>
      <c r="AE31" s="42">
        <f t="shared" si="99"/>
        <v>0.566631802472442</v>
      </c>
      <c r="AF31" s="42">
        <f t="shared" si="100"/>
        <v>0.0115423259013605</v>
      </c>
      <c r="AG31" s="42">
        <f t="shared" si="101"/>
        <v>0.185237872910705</v>
      </c>
      <c r="AH31" s="42">
        <f t="shared" si="102"/>
        <v>0.0463903580350415</v>
      </c>
      <c r="AI31" s="42">
        <f t="shared" si="103"/>
        <v>0.0236378733747755</v>
      </c>
      <c r="AJ31" s="42">
        <f t="shared" si="88"/>
        <v>0.178446228630042</v>
      </c>
      <c r="AK31" s="42">
        <f t="shared" si="89"/>
        <v>0.180154842027758</v>
      </c>
      <c r="AL31" s="42">
        <f t="shared" si="90"/>
        <v>0.151934645803711</v>
      </c>
      <c r="AM31" s="100"/>
      <c r="AN31" s="100"/>
      <c r="AO31" s="100"/>
      <c r="AP31" s="100"/>
      <c r="AQ31" s="100"/>
      <c r="AR31" s="100"/>
      <c r="AS31" s="100"/>
      <c r="AT31" s="100"/>
      <c r="AU31" s="100"/>
      <c r="AV31" s="100"/>
      <c r="AW31" s="42"/>
      <c r="AX31" s="42"/>
      <c r="AY31" s="42"/>
      <c r="AZ31" s="42"/>
      <c r="BA31" s="42"/>
      <c r="BB31" s="100"/>
      <c r="BC31" s="100"/>
      <c r="BD31" s="100"/>
      <c r="BE31" s="100"/>
      <c r="BF31" s="100"/>
      <c r="BG31" s="100"/>
      <c r="BH31" s="100"/>
      <c r="BI31" s="100"/>
      <c r="BJ31" s="100"/>
      <c r="BK31" s="100"/>
      <c r="BL31" s="42"/>
      <c r="BM31" s="42"/>
      <c r="BN31" s="42"/>
      <c r="BO31" s="42"/>
      <c r="BP31" s="42"/>
      <c r="BQ31" s="100"/>
      <c r="BR31" s="100"/>
      <c r="BS31" s="100"/>
      <c r="BT31" s="100"/>
      <c r="BU31" s="100"/>
      <c r="BV31" s="100"/>
      <c r="BW31" s="100"/>
      <c r="BX31" s="100"/>
      <c r="BY31" s="100"/>
      <c r="BZ31" s="100"/>
      <c r="CA31" s="42"/>
      <c r="CB31" s="42"/>
      <c r="CC31" s="42"/>
      <c r="CD31" s="42"/>
      <c r="CE31" s="42"/>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42"/>
      <c r="DP31" s="42"/>
      <c r="DQ31" s="42"/>
      <c r="DR31" s="42"/>
      <c r="DS31" s="42"/>
      <c r="DT31" s="42">
        <f t="shared" si="104"/>
        <v>0.156644117395961</v>
      </c>
      <c r="DU31" s="42">
        <f t="shared" si="105"/>
        <v>0.158143976707704</v>
      </c>
      <c r="DV31" s="11">
        <v>505576221.65</v>
      </c>
      <c r="DW31" s="42">
        <f t="shared" si="93"/>
        <v>0.533214256762024</v>
      </c>
      <c r="DX31" s="11">
        <v>258682460.69</v>
      </c>
      <c r="DY31" s="42">
        <f t="shared" si="106"/>
        <v>0.481483213578454</v>
      </c>
      <c r="DZ31" s="42">
        <f t="shared" si="95"/>
        <v>0.511658676995851</v>
      </c>
      <c r="EA31" s="42"/>
      <c r="EB31" s="42"/>
      <c r="EC31" s="42"/>
      <c r="ED31" s="42"/>
      <c r="EE31" s="112">
        <v>94958.7</v>
      </c>
      <c r="EF31" s="112">
        <v>96349.95</v>
      </c>
      <c r="EG31" s="23">
        <f t="shared" si="107"/>
        <v>5324.16957740576</v>
      </c>
      <c r="EH31" s="23"/>
      <c r="EI31" s="23"/>
      <c r="EJ31" s="23">
        <v>10829.88</v>
      </c>
      <c r="EK31" s="42"/>
      <c r="EL31" s="11"/>
      <c r="EM31" s="42">
        <f t="shared" si="96"/>
        <v>0</v>
      </c>
      <c r="EN31" s="42"/>
      <c r="EO31" s="42"/>
      <c r="EP31" s="42"/>
      <c r="EQ31" s="42"/>
      <c r="ER31" s="42"/>
      <c r="ES31" s="42"/>
      <c r="ET31" s="42"/>
      <c r="EU31" s="112"/>
      <c r="EV31" s="112"/>
      <c r="EW31" s="4"/>
      <c r="EX31" s="42"/>
      <c r="EY31" s="42"/>
      <c r="EZ31" s="11"/>
      <c r="FA31" s="11"/>
      <c r="FB31" s="42">
        <f t="shared" si="97"/>
        <v>0</v>
      </c>
      <c r="FC31" s="115"/>
      <c r="FD31" s="42"/>
      <c r="FE31" s="42"/>
      <c r="FF31" s="115"/>
      <c r="FG31" s="115"/>
      <c r="FH31" s="29"/>
      <c r="FI31" s="42"/>
      <c r="FJ31" s="42"/>
      <c r="FK31" s="55"/>
    </row>
    <row r="32" spans="1:167">
      <c r="A32" s="4">
        <v>2016</v>
      </c>
      <c r="B32" s="4"/>
      <c r="C32" s="29">
        <v>770860990.83</v>
      </c>
      <c r="D32" s="29">
        <v>662796851.61</v>
      </c>
      <c r="E32" s="29">
        <v>455044993.65</v>
      </c>
      <c r="F32" s="29">
        <v>9939920.51</v>
      </c>
      <c r="G32" s="23">
        <v>155584380.12</v>
      </c>
      <c r="H32" s="29">
        <v>41627306.42</v>
      </c>
      <c r="I32" s="29"/>
      <c r="J32" s="29">
        <v>-744236.12</v>
      </c>
      <c r="K32" s="29">
        <v>109805144.07</v>
      </c>
      <c r="L32" s="29">
        <v>121972177.66</v>
      </c>
      <c r="M32" s="29">
        <v>21883612.08</v>
      </c>
      <c r="N32" s="29">
        <v>100088565.58</v>
      </c>
      <c r="O32" s="11"/>
      <c r="P32" s="29"/>
      <c r="Q32" s="29"/>
      <c r="R32" s="29"/>
      <c r="S32" s="29"/>
      <c r="T32" s="29"/>
      <c r="U32" s="29"/>
      <c r="V32" s="29"/>
      <c r="W32" s="29"/>
      <c r="X32" s="42"/>
      <c r="Y32" s="100"/>
      <c r="Z32" s="29"/>
      <c r="AA32" s="100"/>
      <c r="AB32" s="42"/>
      <c r="AC32" s="42"/>
      <c r="AD32" s="42">
        <f>D32/C32</f>
        <v>0.859813714138466</v>
      </c>
      <c r="AE32" s="42">
        <f t="shared" si="99"/>
        <v>0.590307460181692</v>
      </c>
      <c r="AF32" s="42">
        <f t="shared" si="100"/>
        <v>0.0128945693558802</v>
      </c>
      <c r="AG32" s="42">
        <f t="shared" si="101"/>
        <v>0.201831954101711</v>
      </c>
      <c r="AH32" s="42">
        <f t="shared" si="102"/>
        <v>0.0540010545548285</v>
      </c>
      <c r="AI32" s="42">
        <f t="shared" si="103"/>
        <v>0</v>
      </c>
      <c r="AJ32" s="42">
        <f t="shared" si="88"/>
        <v>0.142444805712338</v>
      </c>
      <c r="AK32" s="42">
        <f t="shared" si="89"/>
        <v>0.158228499185917</v>
      </c>
      <c r="AL32" s="42">
        <f t="shared" si="90"/>
        <v>0.129839966959844</v>
      </c>
      <c r="AM32" s="100"/>
      <c r="AN32" s="100"/>
      <c r="AO32" s="100"/>
      <c r="AP32" s="100"/>
      <c r="AQ32" s="100"/>
      <c r="AR32" s="100"/>
      <c r="AS32" s="100"/>
      <c r="AT32" s="100"/>
      <c r="AU32" s="100"/>
      <c r="AV32" s="100"/>
      <c r="AW32" s="42"/>
      <c r="AX32" s="42"/>
      <c r="AY32" s="42"/>
      <c r="AZ32" s="42"/>
      <c r="BA32" s="42"/>
      <c r="BB32" s="100"/>
      <c r="BC32" s="100"/>
      <c r="BD32" s="100"/>
      <c r="BE32" s="100"/>
      <c r="BF32" s="100"/>
      <c r="BG32" s="100"/>
      <c r="BH32" s="100"/>
      <c r="BI32" s="100"/>
      <c r="BJ32" s="100"/>
      <c r="BK32" s="100"/>
      <c r="BL32" s="42"/>
      <c r="BM32" s="42"/>
      <c r="BN32" s="42"/>
      <c r="BO32" s="42"/>
      <c r="BP32" s="42"/>
      <c r="BQ32" s="100"/>
      <c r="BR32" s="100"/>
      <c r="BS32" s="100"/>
      <c r="BT32" s="100"/>
      <c r="BU32" s="100"/>
      <c r="BV32" s="100"/>
      <c r="BW32" s="100"/>
      <c r="BX32" s="100"/>
      <c r="BY32" s="100"/>
      <c r="BZ32" s="100"/>
      <c r="CA32" s="42"/>
      <c r="CB32" s="42"/>
      <c r="CC32" s="42"/>
      <c r="CD32" s="42"/>
      <c r="CE32" s="42"/>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42"/>
      <c r="DP32" s="42"/>
      <c r="DQ32" s="42"/>
      <c r="DR32" s="42"/>
      <c r="DS32" s="42"/>
      <c r="DT32" s="42">
        <f t="shared" si="104"/>
        <v>0.179414785402955</v>
      </c>
      <c r="DU32" s="42">
        <f t="shared" si="105"/>
        <v>0.199294962593459</v>
      </c>
      <c r="DV32" s="11"/>
      <c r="DW32" s="42">
        <f t="shared" si="93"/>
        <v>0</v>
      </c>
      <c r="DX32" s="42"/>
      <c r="DY32" s="42"/>
      <c r="DZ32" s="42"/>
      <c r="EA32" s="42"/>
      <c r="EB32" s="42"/>
      <c r="EC32" s="42"/>
      <c r="ED32" s="42"/>
      <c r="EE32" s="112"/>
      <c r="EF32" s="112"/>
      <c r="EG32" s="4"/>
      <c r="EH32" s="4"/>
      <c r="EI32" s="4"/>
      <c r="EJ32" s="4"/>
      <c r="EK32" s="42"/>
      <c r="EL32" s="11"/>
      <c r="EM32" s="42">
        <f t="shared" si="96"/>
        <v>0</v>
      </c>
      <c r="EN32" s="42"/>
      <c r="EO32" s="42"/>
      <c r="EP32" s="42"/>
      <c r="EQ32" s="42"/>
      <c r="ER32" s="42"/>
      <c r="ES32" s="42"/>
      <c r="ET32" s="42"/>
      <c r="EU32" s="112"/>
      <c r="EV32" s="112"/>
      <c r="EW32" s="4"/>
      <c r="EX32" s="42"/>
      <c r="EY32" s="42"/>
      <c r="EZ32" s="11"/>
      <c r="FA32" s="11"/>
      <c r="FB32" s="42">
        <f t="shared" ref="FB32:FB47" si="108">FA32/C32</f>
        <v>0</v>
      </c>
      <c r="FC32" s="115"/>
      <c r="FD32" s="42"/>
      <c r="FE32" s="42"/>
      <c r="FF32" s="115"/>
      <c r="FG32" s="115"/>
      <c r="FH32" s="29"/>
      <c r="FI32" s="42"/>
      <c r="FJ32" s="42"/>
      <c r="FK32" s="55"/>
    </row>
    <row r="33" spans="1:167">
      <c r="A33" s="4">
        <v>2015</v>
      </c>
      <c r="B33" s="4"/>
      <c r="C33" s="29">
        <v>623585955.63</v>
      </c>
      <c r="D33" s="29">
        <v>545148782.2</v>
      </c>
      <c r="E33" s="29">
        <v>391673640.37</v>
      </c>
      <c r="F33" s="29">
        <v>3996952.62</v>
      </c>
      <c r="G33" s="23">
        <v>103835008.44</v>
      </c>
      <c r="H33" s="29">
        <v>38146814.99</v>
      </c>
      <c r="I33" s="29"/>
      <c r="J33" s="29">
        <v>7181535.02</v>
      </c>
      <c r="K33" s="29">
        <v>78437173.43</v>
      </c>
      <c r="L33" s="29">
        <v>80884690</v>
      </c>
      <c r="M33" s="29">
        <v>14353571.4</v>
      </c>
      <c r="N33" s="29">
        <v>66531118.6</v>
      </c>
      <c r="O33" s="11"/>
      <c r="P33" s="29"/>
      <c r="Q33" s="29"/>
      <c r="R33" s="29"/>
      <c r="S33" s="29"/>
      <c r="T33" s="29"/>
      <c r="U33" s="29"/>
      <c r="V33" s="29"/>
      <c r="W33" s="29"/>
      <c r="X33" s="42"/>
      <c r="Y33" s="100"/>
      <c r="Z33" s="29"/>
      <c r="AA33" s="100"/>
      <c r="AB33" s="42"/>
      <c r="AC33" s="42"/>
      <c r="AD33" s="42">
        <f>D33/C33</f>
        <v>0.874215939724371</v>
      </c>
      <c r="AE33" s="42">
        <f t="shared" si="99"/>
        <v>0.628098880088307</v>
      </c>
      <c r="AF33" s="42">
        <f t="shared" si="100"/>
        <v>0.0064096257844068</v>
      </c>
      <c r="AG33" s="42">
        <f t="shared" si="101"/>
        <v>0.166512743756548</v>
      </c>
      <c r="AH33" s="42">
        <f t="shared" si="102"/>
        <v>0.0611733068161563</v>
      </c>
      <c r="AI33" s="42">
        <f t="shared" si="103"/>
        <v>0</v>
      </c>
      <c r="AJ33" s="42">
        <f t="shared" si="88"/>
        <v>0.12578406027563</v>
      </c>
      <c r="AK33" s="42">
        <f t="shared" si="89"/>
        <v>0.12970896677473</v>
      </c>
      <c r="AL33" s="42">
        <f t="shared" si="90"/>
        <v>0.106691175449557</v>
      </c>
      <c r="AM33" s="100"/>
      <c r="AN33" s="100"/>
      <c r="AO33" s="100"/>
      <c r="AP33" s="100"/>
      <c r="AQ33" s="100"/>
      <c r="AR33" s="100"/>
      <c r="AS33" s="100"/>
      <c r="AT33" s="100"/>
      <c r="AU33" s="100"/>
      <c r="AV33" s="100"/>
      <c r="AW33" s="42"/>
      <c r="AX33" s="42"/>
      <c r="AY33" s="42"/>
      <c r="AZ33" s="42"/>
      <c r="BA33" s="42"/>
      <c r="BB33" s="100"/>
      <c r="BC33" s="100"/>
      <c r="BD33" s="100"/>
      <c r="BE33" s="100"/>
      <c r="BF33" s="100"/>
      <c r="BG33" s="100"/>
      <c r="BH33" s="100"/>
      <c r="BI33" s="100"/>
      <c r="BJ33" s="100"/>
      <c r="BK33" s="100"/>
      <c r="BL33" s="42"/>
      <c r="BM33" s="42"/>
      <c r="BN33" s="42"/>
      <c r="BO33" s="42"/>
      <c r="BP33" s="42"/>
      <c r="BQ33" s="100"/>
      <c r="BR33" s="100"/>
      <c r="BS33" s="100"/>
      <c r="BT33" s="100"/>
      <c r="BU33" s="100"/>
      <c r="BV33" s="100"/>
      <c r="BW33" s="100"/>
      <c r="BX33" s="100"/>
      <c r="BY33" s="100"/>
      <c r="BZ33" s="100"/>
      <c r="CA33" s="42"/>
      <c r="CB33" s="42"/>
      <c r="CC33" s="42"/>
      <c r="CD33" s="42"/>
      <c r="CE33" s="42"/>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42"/>
      <c r="DP33" s="42"/>
      <c r="DQ33" s="42"/>
      <c r="DR33" s="42"/>
      <c r="DS33" s="42"/>
      <c r="DT33" s="42">
        <f t="shared" si="104"/>
        <v>0.177457209763677</v>
      </c>
      <c r="DU33" s="42">
        <f t="shared" si="105"/>
        <v>0.182994500851176</v>
      </c>
      <c r="DV33" s="11"/>
      <c r="DW33" s="42">
        <f t="shared" si="93"/>
        <v>0</v>
      </c>
      <c r="DX33" s="42"/>
      <c r="DY33" s="42"/>
      <c r="DZ33" s="42"/>
      <c r="EA33" s="42"/>
      <c r="EB33" s="42"/>
      <c r="EC33" s="42"/>
      <c r="ED33" s="42"/>
      <c r="EE33" s="112"/>
      <c r="EF33" s="112"/>
      <c r="EG33" s="4"/>
      <c r="EH33" s="4"/>
      <c r="EI33" s="4"/>
      <c r="EJ33" s="4"/>
      <c r="EK33" s="42"/>
      <c r="EL33" s="11"/>
      <c r="EM33" s="42">
        <f t="shared" si="96"/>
        <v>0</v>
      </c>
      <c r="EN33" s="42"/>
      <c r="EO33" s="42"/>
      <c r="EP33" s="42"/>
      <c r="EQ33" s="42"/>
      <c r="ER33" s="42"/>
      <c r="ES33" s="42"/>
      <c r="ET33" s="42"/>
      <c r="EU33" s="112"/>
      <c r="EV33" s="112"/>
      <c r="EW33" s="4"/>
      <c r="EX33" s="42"/>
      <c r="EY33" s="42"/>
      <c r="EZ33" s="11"/>
      <c r="FA33" s="11"/>
      <c r="FB33" s="42">
        <f t="shared" si="108"/>
        <v>0</v>
      </c>
      <c r="FC33" s="115"/>
      <c r="FD33" s="42"/>
      <c r="FE33" s="42"/>
      <c r="FF33" s="115"/>
      <c r="FG33" s="115"/>
      <c r="FH33" s="29"/>
      <c r="FI33" s="42"/>
      <c r="FJ33" s="42"/>
      <c r="FK33" s="55"/>
    </row>
    <row r="34" spans="1:167">
      <c r="A34" s="4">
        <v>2014</v>
      </c>
      <c r="B34" s="4"/>
      <c r="C34" s="29"/>
      <c r="D34" s="29"/>
      <c r="E34" s="29"/>
      <c r="F34" s="29"/>
      <c r="G34" s="4"/>
      <c r="H34" s="29"/>
      <c r="I34" s="29"/>
      <c r="J34" s="29"/>
      <c r="K34" s="29"/>
      <c r="L34" s="29"/>
      <c r="M34" s="29"/>
      <c r="N34" s="29"/>
      <c r="O34" s="11"/>
      <c r="P34" s="29"/>
      <c r="Q34" s="29"/>
      <c r="R34" s="29"/>
      <c r="S34" s="29"/>
      <c r="T34" s="29"/>
      <c r="U34" s="29"/>
      <c r="V34" s="29"/>
      <c r="W34" s="29"/>
      <c r="X34" s="42"/>
      <c r="Y34" s="100"/>
      <c r="Z34" s="29"/>
      <c r="AA34" s="100"/>
      <c r="AB34" s="42"/>
      <c r="AC34" s="42"/>
      <c r="AD34" s="42"/>
      <c r="AE34" s="42"/>
      <c r="AF34" s="42"/>
      <c r="AG34" s="42"/>
      <c r="AH34" s="42"/>
      <c r="AI34" s="42"/>
      <c r="AJ34" s="42"/>
      <c r="AK34" s="42"/>
      <c r="AL34" s="42"/>
      <c r="AM34" s="100"/>
      <c r="AN34" s="100"/>
      <c r="AO34" s="100"/>
      <c r="AP34" s="100"/>
      <c r="AQ34" s="100"/>
      <c r="AR34" s="100"/>
      <c r="AS34" s="100"/>
      <c r="AT34" s="100"/>
      <c r="AU34" s="100"/>
      <c r="AV34" s="100"/>
      <c r="AW34" s="42"/>
      <c r="AX34" s="42"/>
      <c r="AY34" s="42"/>
      <c r="AZ34" s="42"/>
      <c r="BA34" s="42"/>
      <c r="BB34" s="100"/>
      <c r="BC34" s="100"/>
      <c r="BD34" s="100"/>
      <c r="BE34" s="100"/>
      <c r="BF34" s="100"/>
      <c r="BG34" s="100"/>
      <c r="BH34" s="100"/>
      <c r="BI34" s="100"/>
      <c r="BJ34" s="100"/>
      <c r="BK34" s="100"/>
      <c r="BL34" s="42"/>
      <c r="BM34" s="42"/>
      <c r="BN34" s="42"/>
      <c r="BO34" s="42"/>
      <c r="BP34" s="42"/>
      <c r="BQ34" s="100"/>
      <c r="BR34" s="100"/>
      <c r="BS34" s="100"/>
      <c r="BT34" s="100"/>
      <c r="BU34" s="100"/>
      <c r="BV34" s="100"/>
      <c r="BW34" s="100"/>
      <c r="BX34" s="100"/>
      <c r="BY34" s="100"/>
      <c r="BZ34" s="100"/>
      <c r="CA34" s="42"/>
      <c r="CB34" s="42"/>
      <c r="CC34" s="42"/>
      <c r="CD34" s="42"/>
      <c r="CE34" s="42"/>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42"/>
      <c r="DP34" s="42"/>
      <c r="DQ34" s="42"/>
      <c r="DR34" s="42"/>
      <c r="DS34" s="42"/>
      <c r="DT34" s="42"/>
      <c r="DU34" s="42"/>
      <c r="DV34" s="11"/>
      <c r="DW34" s="42" t="e">
        <f t="shared" si="93"/>
        <v>#DIV/0!</v>
      </c>
      <c r="DX34" s="42"/>
      <c r="DY34" s="42"/>
      <c r="DZ34" s="42"/>
      <c r="EA34" s="42"/>
      <c r="EB34" s="42"/>
      <c r="EC34" s="42"/>
      <c r="ED34" s="42"/>
      <c r="EE34" s="112"/>
      <c r="EF34" s="112"/>
      <c r="EG34" s="4"/>
      <c r="EH34" s="4"/>
      <c r="EI34" s="4"/>
      <c r="EJ34" s="4"/>
      <c r="EK34" s="42"/>
      <c r="EL34" s="11"/>
      <c r="EM34" s="42" t="e">
        <f t="shared" si="96"/>
        <v>#DIV/0!</v>
      </c>
      <c r="EN34" s="42"/>
      <c r="EO34" s="42"/>
      <c r="EP34" s="42"/>
      <c r="EQ34" s="42"/>
      <c r="ER34" s="42"/>
      <c r="ES34" s="42"/>
      <c r="ET34" s="42"/>
      <c r="EU34" s="112"/>
      <c r="EV34" s="112"/>
      <c r="EW34" s="4"/>
      <c r="EX34" s="42"/>
      <c r="EY34" s="42"/>
      <c r="EZ34" s="11"/>
      <c r="FA34" s="11"/>
      <c r="FB34" s="42" t="e">
        <f t="shared" si="108"/>
        <v>#DIV/0!</v>
      </c>
      <c r="FC34" s="115"/>
      <c r="FD34" s="42"/>
      <c r="FE34" s="42"/>
      <c r="FF34" s="115"/>
      <c r="FG34" s="115"/>
      <c r="FH34" s="29"/>
      <c r="FI34" s="42"/>
      <c r="FJ34" s="42"/>
      <c r="FK34" s="55"/>
    </row>
    <row r="35" spans="1:167">
      <c r="A35" s="4">
        <v>2013</v>
      </c>
      <c r="B35" s="4"/>
      <c r="C35" s="29"/>
      <c r="D35" s="29"/>
      <c r="E35" s="29"/>
      <c r="F35" s="29"/>
      <c r="G35" s="4"/>
      <c r="H35" s="29"/>
      <c r="I35" s="29"/>
      <c r="J35" s="29"/>
      <c r="K35" s="29"/>
      <c r="L35" s="29"/>
      <c r="M35" s="29"/>
      <c r="N35" s="29"/>
      <c r="O35" s="11"/>
      <c r="P35" s="29"/>
      <c r="Q35" s="29"/>
      <c r="R35" s="29"/>
      <c r="S35" s="29"/>
      <c r="T35" s="29"/>
      <c r="U35" s="29"/>
      <c r="V35" s="29"/>
      <c r="W35" s="29"/>
      <c r="X35" s="42"/>
      <c r="Y35" s="100"/>
      <c r="Z35" s="29"/>
      <c r="AA35" s="100"/>
      <c r="AB35" s="42"/>
      <c r="AC35" s="42"/>
      <c r="AD35" s="42"/>
      <c r="AE35" s="42"/>
      <c r="AF35" s="42"/>
      <c r="AG35" s="42"/>
      <c r="AH35" s="42"/>
      <c r="AI35" s="42"/>
      <c r="AJ35" s="42"/>
      <c r="AK35" s="42"/>
      <c r="AL35" s="42"/>
      <c r="AM35" s="100"/>
      <c r="AN35" s="100"/>
      <c r="AO35" s="100"/>
      <c r="AP35" s="100"/>
      <c r="AQ35" s="100"/>
      <c r="AR35" s="100"/>
      <c r="AS35" s="100"/>
      <c r="AT35" s="100"/>
      <c r="AU35" s="100"/>
      <c r="AV35" s="100"/>
      <c r="AW35" s="42"/>
      <c r="AX35" s="42"/>
      <c r="AY35" s="42"/>
      <c r="AZ35" s="42"/>
      <c r="BA35" s="42"/>
      <c r="BB35" s="100"/>
      <c r="BC35" s="100"/>
      <c r="BD35" s="100"/>
      <c r="BE35" s="100"/>
      <c r="BF35" s="100"/>
      <c r="BG35" s="100"/>
      <c r="BH35" s="100"/>
      <c r="BI35" s="100"/>
      <c r="BJ35" s="100"/>
      <c r="BK35" s="100"/>
      <c r="BL35" s="42"/>
      <c r="BM35" s="42"/>
      <c r="BN35" s="42"/>
      <c r="BO35" s="42"/>
      <c r="BP35" s="42"/>
      <c r="BQ35" s="100"/>
      <c r="BR35" s="100"/>
      <c r="BS35" s="100"/>
      <c r="BT35" s="100"/>
      <c r="BU35" s="100"/>
      <c r="BV35" s="100"/>
      <c r="BW35" s="100"/>
      <c r="BX35" s="100"/>
      <c r="BY35" s="100"/>
      <c r="BZ35" s="100"/>
      <c r="CA35" s="42"/>
      <c r="CB35" s="42"/>
      <c r="CC35" s="42"/>
      <c r="CD35" s="42"/>
      <c r="CE35" s="42"/>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42"/>
      <c r="DP35" s="42"/>
      <c r="DQ35" s="42"/>
      <c r="DR35" s="42"/>
      <c r="DS35" s="42"/>
      <c r="DT35" s="42"/>
      <c r="DU35" s="42"/>
      <c r="DV35" s="11"/>
      <c r="DW35" s="42" t="e">
        <f t="shared" si="93"/>
        <v>#DIV/0!</v>
      </c>
      <c r="DX35" s="42"/>
      <c r="DY35" s="42"/>
      <c r="DZ35" s="42"/>
      <c r="EA35" s="42"/>
      <c r="EB35" s="42"/>
      <c r="EC35" s="42"/>
      <c r="ED35" s="42"/>
      <c r="EE35" s="112"/>
      <c r="EF35" s="112"/>
      <c r="EG35" s="4"/>
      <c r="EH35" s="4"/>
      <c r="EI35" s="4"/>
      <c r="EJ35" s="4"/>
      <c r="EK35" s="42"/>
      <c r="EL35" s="11"/>
      <c r="EM35" s="42" t="e">
        <f t="shared" si="96"/>
        <v>#DIV/0!</v>
      </c>
      <c r="EN35" s="42"/>
      <c r="EO35" s="42"/>
      <c r="EP35" s="42"/>
      <c r="EQ35" s="42"/>
      <c r="ER35" s="42"/>
      <c r="ES35" s="42"/>
      <c r="ET35" s="42"/>
      <c r="EU35" s="112"/>
      <c r="EV35" s="112"/>
      <c r="EW35" s="4"/>
      <c r="EX35" s="42"/>
      <c r="EY35" s="42"/>
      <c r="EZ35" s="11"/>
      <c r="FA35" s="11"/>
      <c r="FB35" s="42" t="e">
        <f t="shared" si="108"/>
        <v>#DIV/0!</v>
      </c>
      <c r="FC35" s="115"/>
      <c r="FD35" s="42"/>
      <c r="FE35" s="42"/>
      <c r="FF35" s="115"/>
      <c r="FG35" s="115"/>
      <c r="FH35" s="29"/>
      <c r="FI35" s="42"/>
      <c r="FJ35" s="42"/>
      <c r="FK35" s="55"/>
    </row>
    <row r="36" spans="1:167">
      <c r="A36" s="4">
        <v>2012</v>
      </c>
      <c r="B36" s="4"/>
      <c r="C36" s="29"/>
      <c r="D36" s="29"/>
      <c r="E36" s="29"/>
      <c r="F36" s="29"/>
      <c r="G36" s="4"/>
      <c r="H36" s="29"/>
      <c r="I36" s="29"/>
      <c r="J36" s="29"/>
      <c r="K36" s="29"/>
      <c r="L36" s="29"/>
      <c r="M36" s="29"/>
      <c r="N36" s="29"/>
      <c r="O36" s="11"/>
      <c r="P36" s="29"/>
      <c r="Q36" s="29"/>
      <c r="R36" s="29"/>
      <c r="S36" s="29"/>
      <c r="T36" s="29"/>
      <c r="U36" s="29"/>
      <c r="V36" s="29"/>
      <c r="W36" s="29"/>
      <c r="X36" s="42"/>
      <c r="Y36" s="100"/>
      <c r="Z36" s="29"/>
      <c r="AA36" s="100"/>
      <c r="AB36" s="42"/>
      <c r="AC36" s="42"/>
      <c r="AD36" s="42"/>
      <c r="AE36" s="42"/>
      <c r="AF36" s="42"/>
      <c r="AG36" s="42"/>
      <c r="AH36" s="42"/>
      <c r="AI36" s="42"/>
      <c r="AJ36" s="42"/>
      <c r="AK36" s="42"/>
      <c r="AL36" s="42"/>
      <c r="AM36" s="100"/>
      <c r="AN36" s="100"/>
      <c r="AO36" s="100"/>
      <c r="AP36" s="100"/>
      <c r="AQ36" s="100"/>
      <c r="AR36" s="100"/>
      <c r="AS36" s="100"/>
      <c r="AT36" s="100"/>
      <c r="AU36" s="100"/>
      <c r="AV36" s="100"/>
      <c r="AW36" s="42"/>
      <c r="AX36" s="42"/>
      <c r="AY36" s="42"/>
      <c r="AZ36" s="42"/>
      <c r="BA36" s="42"/>
      <c r="BB36" s="100"/>
      <c r="BC36" s="100"/>
      <c r="BD36" s="100"/>
      <c r="BE36" s="100"/>
      <c r="BF36" s="100"/>
      <c r="BG36" s="100"/>
      <c r="BH36" s="100"/>
      <c r="BI36" s="100"/>
      <c r="BJ36" s="100"/>
      <c r="BK36" s="100"/>
      <c r="BL36" s="42"/>
      <c r="BM36" s="42"/>
      <c r="BN36" s="42"/>
      <c r="BO36" s="42"/>
      <c r="BP36" s="42"/>
      <c r="BQ36" s="100"/>
      <c r="BR36" s="100"/>
      <c r="BS36" s="100"/>
      <c r="BT36" s="100"/>
      <c r="BU36" s="100"/>
      <c r="BV36" s="100"/>
      <c r="BW36" s="100"/>
      <c r="BX36" s="100"/>
      <c r="BY36" s="100"/>
      <c r="BZ36" s="100"/>
      <c r="CA36" s="42"/>
      <c r="CB36" s="42"/>
      <c r="CC36" s="42"/>
      <c r="CD36" s="42"/>
      <c r="CE36" s="42"/>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42"/>
      <c r="DP36" s="42"/>
      <c r="DQ36" s="42"/>
      <c r="DR36" s="42"/>
      <c r="DS36" s="42"/>
      <c r="DT36" s="42"/>
      <c r="DU36" s="42"/>
      <c r="DV36" s="11"/>
      <c r="DW36" s="42" t="e">
        <f t="shared" si="93"/>
        <v>#DIV/0!</v>
      </c>
      <c r="DX36" s="42"/>
      <c r="DY36" s="42"/>
      <c r="DZ36" s="42"/>
      <c r="EA36" s="42"/>
      <c r="EB36" s="42"/>
      <c r="EC36" s="42"/>
      <c r="ED36" s="42"/>
      <c r="EE36" s="112"/>
      <c r="EF36" s="112"/>
      <c r="EG36" s="4"/>
      <c r="EH36" s="4"/>
      <c r="EI36" s="4"/>
      <c r="EJ36" s="4"/>
      <c r="EK36" s="42"/>
      <c r="EL36" s="11"/>
      <c r="EM36" s="42" t="e">
        <f t="shared" si="96"/>
        <v>#DIV/0!</v>
      </c>
      <c r="EN36" s="42"/>
      <c r="EO36" s="42"/>
      <c r="EP36" s="42"/>
      <c r="EQ36" s="42"/>
      <c r="ER36" s="42"/>
      <c r="ES36" s="42"/>
      <c r="ET36" s="42"/>
      <c r="EU36" s="112"/>
      <c r="EV36" s="112"/>
      <c r="EW36" s="4"/>
      <c r="EX36" s="42"/>
      <c r="EY36" s="42"/>
      <c r="EZ36" s="11"/>
      <c r="FA36" s="11"/>
      <c r="FB36" s="42" t="e">
        <f t="shared" si="108"/>
        <v>#DIV/0!</v>
      </c>
      <c r="FC36" s="115"/>
      <c r="FD36" s="42"/>
      <c r="FE36" s="42"/>
      <c r="FF36" s="115"/>
      <c r="FG36" s="115"/>
      <c r="FH36" s="29"/>
      <c r="FI36" s="42"/>
      <c r="FJ36" s="42"/>
      <c r="FK36" s="55"/>
    </row>
    <row r="37" spans="1:167">
      <c r="A37" s="4">
        <v>2022</v>
      </c>
      <c r="B37" s="4" t="s">
        <v>82</v>
      </c>
      <c r="C37" s="29">
        <v>2690710152.71</v>
      </c>
      <c r="D37" s="29">
        <v>2344058242.16</v>
      </c>
      <c r="E37" s="29">
        <v>1769938971.73</v>
      </c>
      <c r="F37" s="29">
        <v>22361664.84</v>
      </c>
      <c r="G37" s="23">
        <v>387943092.86</v>
      </c>
      <c r="H37" s="29">
        <v>150045026.66</v>
      </c>
      <c r="I37" s="29">
        <v>31973976.51</v>
      </c>
      <c r="J37" s="29">
        <v>-18204490.44</v>
      </c>
      <c r="K37" s="29">
        <v>405819152.23</v>
      </c>
      <c r="L37" s="29">
        <v>403799001.87</v>
      </c>
      <c r="M37" s="29">
        <v>63187916.37</v>
      </c>
      <c r="N37" s="29">
        <v>340611085.5</v>
      </c>
      <c r="O37" s="11"/>
      <c r="P37" s="29"/>
      <c r="Q37" s="29"/>
      <c r="R37" s="29"/>
      <c r="S37" s="29"/>
      <c r="T37" s="29"/>
      <c r="U37" s="29"/>
      <c r="V37" s="29"/>
      <c r="W37" s="29"/>
      <c r="X37" s="42"/>
      <c r="Y37" s="100"/>
      <c r="Z37" s="29"/>
      <c r="AA37" s="100"/>
      <c r="AB37" s="42"/>
      <c r="AC37" s="42"/>
      <c r="AD37" s="42">
        <f>D37/C37</f>
        <v>0.87116713028311</v>
      </c>
      <c r="AE37" s="42">
        <f>E37/$C37</f>
        <v>0.657796221546707</v>
      </c>
      <c r="AF37" s="42">
        <f>F37/$C37</f>
        <v>0.00831069255730797</v>
      </c>
      <c r="AG37" s="42">
        <f>G37/$C37</f>
        <v>0.144178700358816</v>
      </c>
      <c r="AH37" s="42">
        <f>H37/$C37</f>
        <v>0.0557640987487557</v>
      </c>
      <c r="AI37" s="42">
        <f>I37/$C37</f>
        <v>0.0118830995147496</v>
      </c>
      <c r="AJ37" s="42">
        <f t="shared" si="88"/>
        <v>0.150822321691272</v>
      </c>
      <c r="AK37" s="42">
        <f t="shared" si="89"/>
        <v>0.15007153463308</v>
      </c>
      <c r="AL37" s="42">
        <f t="shared" si="90"/>
        <v>0.126587802538652</v>
      </c>
      <c r="AM37" s="100"/>
      <c r="AN37" s="100"/>
      <c r="AO37" s="100"/>
      <c r="AP37" s="100"/>
      <c r="AQ37" s="100"/>
      <c r="AR37" s="100"/>
      <c r="AS37" s="100"/>
      <c r="AT37" s="100"/>
      <c r="AU37" s="100"/>
      <c r="AV37" s="100"/>
      <c r="AW37" s="42"/>
      <c r="AX37" s="42"/>
      <c r="AY37" s="42"/>
      <c r="AZ37" s="42"/>
      <c r="BA37" s="42"/>
      <c r="BB37" s="100"/>
      <c r="BC37" s="100"/>
      <c r="BD37" s="100"/>
      <c r="BE37" s="100"/>
      <c r="BF37" s="100"/>
      <c r="BG37" s="100"/>
      <c r="BH37" s="100"/>
      <c r="BI37" s="100"/>
      <c r="BJ37" s="100"/>
      <c r="BK37" s="100"/>
      <c r="BL37" s="42"/>
      <c r="BM37" s="42"/>
      <c r="BN37" s="42"/>
      <c r="BO37" s="42"/>
      <c r="BP37" s="42"/>
      <c r="BQ37" s="100"/>
      <c r="BR37" s="100"/>
      <c r="BS37" s="100"/>
      <c r="BT37" s="100"/>
      <c r="BU37" s="100"/>
      <c r="BV37" s="100"/>
      <c r="BW37" s="100"/>
      <c r="BX37" s="100"/>
      <c r="BY37" s="100"/>
      <c r="BZ37" s="100"/>
      <c r="CA37" s="42"/>
      <c r="CB37" s="42"/>
      <c r="CC37" s="42"/>
      <c r="CD37" s="42"/>
      <c r="CE37" s="42"/>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42"/>
      <c r="DP37" s="42"/>
      <c r="DQ37" s="42"/>
      <c r="DR37" s="42"/>
      <c r="DS37" s="42"/>
      <c r="DT37" s="42">
        <f t="shared" si="104"/>
        <v>0.156483587322841</v>
      </c>
      <c r="DU37" s="42">
        <f t="shared" si="105"/>
        <v>0.155704618726787</v>
      </c>
      <c r="DV37" s="11"/>
      <c r="DW37" s="42">
        <f t="shared" si="93"/>
        <v>0</v>
      </c>
      <c r="DX37" s="42"/>
      <c r="DY37" s="42"/>
      <c r="DZ37" s="42"/>
      <c r="EA37" s="42"/>
      <c r="EB37" s="42"/>
      <c r="EC37" s="42"/>
      <c r="ED37" s="42"/>
      <c r="EE37" s="112"/>
      <c r="EF37" s="112"/>
      <c r="EG37" s="4"/>
      <c r="EH37" s="4"/>
      <c r="EI37" s="4"/>
      <c r="EJ37" s="4"/>
      <c r="EK37" s="42"/>
      <c r="EL37" s="11"/>
      <c r="EM37" s="42">
        <f t="shared" si="96"/>
        <v>0</v>
      </c>
      <c r="EN37" s="42"/>
      <c r="EO37" s="42"/>
      <c r="EP37" s="42"/>
      <c r="EQ37" s="42"/>
      <c r="ER37" s="42"/>
      <c r="ES37" s="42"/>
      <c r="ET37" s="42"/>
      <c r="EU37" s="112"/>
      <c r="EV37" s="112"/>
      <c r="EW37" s="4"/>
      <c r="EX37" s="42"/>
      <c r="EY37" s="42"/>
      <c r="EZ37" s="11"/>
      <c r="FA37" s="11"/>
      <c r="FB37" s="42">
        <f t="shared" si="108"/>
        <v>0</v>
      </c>
      <c r="FC37" s="115"/>
      <c r="FD37" s="42"/>
      <c r="FE37" s="42"/>
      <c r="FF37" s="115"/>
      <c r="FG37" s="115"/>
      <c r="FH37" s="29"/>
      <c r="FI37" s="42"/>
      <c r="FJ37" s="42"/>
      <c r="FK37" s="55"/>
    </row>
    <row r="38" spans="1:167">
      <c r="A38" s="4">
        <v>2021</v>
      </c>
      <c r="B38" s="4"/>
      <c r="C38" s="29">
        <v>2025535449.58</v>
      </c>
      <c r="D38" s="29">
        <v>1884573153.51</v>
      </c>
      <c r="E38" s="29">
        <v>1372877842.63</v>
      </c>
      <c r="F38" s="29">
        <v>15862951.03</v>
      </c>
      <c r="G38" s="23">
        <v>394344221.15</v>
      </c>
      <c r="H38" s="29">
        <v>110003591.66</v>
      </c>
      <c r="I38" s="29">
        <v>26207842.6</v>
      </c>
      <c r="J38" s="29">
        <v>-34723295.56</v>
      </c>
      <c r="K38" s="29">
        <v>189048659.22</v>
      </c>
      <c r="L38" s="29">
        <v>216128285.6</v>
      </c>
      <c r="M38" s="29">
        <v>31742347.75</v>
      </c>
      <c r="N38" s="29">
        <v>184385937.85</v>
      </c>
      <c r="O38" s="11"/>
      <c r="P38" s="29"/>
      <c r="Q38" s="29"/>
      <c r="R38" s="29"/>
      <c r="S38" s="29"/>
      <c r="T38" s="29"/>
      <c r="U38" s="29"/>
      <c r="V38" s="29"/>
      <c r="W38" s="29"/>
      <c r="X38" s="42"/>
      <c r="Y38" s="100"/>
      <c r="Z38" s="29"/>
      <c r="AA38" s="100"/>
      <c r="AB38" s="42"/>
      <c r="AC38" s="42"/>
      <c r="AD38" s="42">
        <f>D38/C38</f>
        <v>0.930407391241052</v>
      </c>
      <c r="AE38" s="42">
        <f>E38/$C38</f>
        <v>0.677785147090203</v>
      </c>
      <c r="AF38" s="42">
        <f>F38/$C38</f>
        <v>0.00783148526642139</v>
      </c>
      <c r="AG38" s="42">
        <f>G38/$C38</f>
        <v>0.194686408096076</v>
      </c>
      <c r="AH38" s="42">
        <f>H38/$C38</f>
        <v>0.054308401110832</v>
      </c>
      <c r="AI38" s="42">
        <f>I38/$C38</f>
        <v>0.0129387232425057</v>
      </c>
      <c r="AJ38" s="42">
        <f t="shared" si="88"/>
        <v>0.0933326835919854</v>
      </c>
      <c r="AK38" s="42">
        <f t="shared" si="89"/>
        <v>0.106701803537832</v>
      </c>
      <c r="AL38" s="42">
        <f t="shared" si="90"/>
        <v>0.0910307138234648</v>
      </c>
      <c r="AM38" s="100"/>
      <c r="AN38" s="100"/>
      <c r="AO38" s="100"/>
      <c r="AP38" s="100"/>
      <c r="AQ38" s="100"/>
      <c r="AR38" s="100"/>
      <c r="AS38" s="100"/>
      <c r="AT38" s="100"/>
      <c r="AU38" s="100"/>
      <c r="AV38" s="100"/>
      <c r="AW38" s="42"/>
      <c r="AX38" s="42"/>
      <c r="AY38" s="42"/>
      <c r="AZ38" s="42"/>
      <c r="BA38" s="42"/>
      <c r="BB38" s="100"/>
      <c r="BC38" s="100"/>
      <c r="BD38" s="100"/>
      <c r="BE38" s="100"/>
      <c r="BF38" s="100"/>
      <c r="BG38" s="100"/>
      <c r="BH38" s="100"/>
      <c r="BI38" s="100"/>
      <c r="BJ38" s="100"/>
      <c r="BK38" s="100"/>
      <c r="BL38" s="42"/>
      <c r="BM38" s="42"/>
      <c r="BN38" s="42"/>
      <c r="BO38" s="42"/>
      <c r="BP38" s="42"/>
      <c r="BQ38" s="100"/>
      <c r="BR38" s="100"/>
      <c r="BS38" s="100"/>
      <c r="BT38" s="100"/>
      <c r="BU38" s="100"/>
      <c r="BV38" s="100"/>
      <c r="BW38" s="100"/>
      <c r="BX38" s="100"/>
      <c r="BY38" s="100"/>
      <c r="BZ38" s="100"/>
      <c r="CA38" s="42"/>
      <c r="CB38" s="42"/>
      <c r="CC38" s="42"/>
      <c r="CD38" s="42"/>
      <c r="CE38" s="42"/>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42"/>
      <c r="DP38" s="42"/>
      <c r="DQ38" s="42"/>
      <c r="DR38" s="42"/>
      <c r="DS38" s="42"/>
      <c r="DT38" s="42">
        <f t="shared" si="104"/>
        <v>0.146868086524997</v>
      </c>
      <c r="DU38" s="42">
        <f t="shared" si="105"/>
        <v>0.167905701531904</v>
      </c>
      <c r="DV38" s="11"/>
      <c r="DW38" s="42">
        <f t="shared" si="93"/>
        <v>0</v>
      </c>
      <c r="DX38" s="42"/>
      <c r="DY38" s="42"/>
      <c r="DZ38" s="42"/>
      <c r="EA38" s="42"/>
      <c r="EB38" s="42"/>
      <c r="EC38" s="42"/>
      <c r="ED38" s="42"/>
      <c r="EE38" s="112"/>
      <c r="EF38" s="112"/>
      <c r="EG38" s="4"/>
      <c r="EH38" s="4"/>
      <c r="EI38" s="4"/>
      <c r="EJ38" s="4"/>
      <c r="EK38" s="42"/>
      <c r="EL38" s="11"/>
      <c r="EM38" s="42">
        <f t="shared" si="96"/>
        <v>0</v>
      </c>
      <c r="EN38" s="42"/>
      <c r="EO38" s="42"/>
      <c r="EP38" s="42"/>
      <c r="EQ38" s="42"/>
      <c r="ER38" s="42"/>
      <c r="ES38" s="42"/>
      <c r="ET38" s="42"/>
      <c r="EU38" s="112"/>
      <c r="EV38" s="112"/>
      <c r="EW38" s="4"/>
      <c r="EX38" s="42"/>
      <c r="EY38" s="42"/>
      <c r="EZ38" s="11"/>
      <c r="FA38" s="11"/>
      <c r="FB38" s="42">
        <f t="shared" si="108"/>
        <v>0</v>
      </c>
      <c r="FC38" s="115"/>
      <c r="FD38" s="42"/>
      <c r="FE38" s="42"/>
      <c r="FF38" s="115"/>
      <c r="FG38" s="115"/>
      <c r="FH38" s="29"/>
      <c r="FI38" s="42"/>
      <c r="FJ38" s="42"/>
      <c r="FK38" s="55"/>
    </row>
    <row r="39" spans="1:167">
      <c r="A39" s="4">
        <v>2020</v>
      </c>
      <c r="B39" s="4"/>
      <c r="C39" s="29">
        <v>2364655862.43</v>
      </c>
      <c r="D39" s="29">
        <v>1994384575.28</v>
      </c>
      <c r="E39" s="29">
        <v>1450679446.32</v>
      </c>
      <c r="F39" s="29">
        <v>19194850.06</v>
      </c>
      <c r="G39" s="23">
        <v>407005338.28</v>
      </c>
      <c r="H39" s="29">
        <v>102317884.88</v>
      </c>
      <c r="I39" s="29">
        <v>30394819.68</v>
      </c>
      <c r="J39" s="29">
        <v>-15207763.94</v>
      </c>
      <c r="K39" s="29">
        <v>406926001.61</v>
      </c>
      <c r="L39" s="29">
        <v>428054028.52</v>
      </c>
      <c r="M39" s="29">
        <v>63782745.42</v>
      </c>
      <c r="N39" s="29">
        <v>364271283.1</v>
      </c>
      <c r="O39" s="11"/>
      <c r="P39" s="29"/>
      <c r="Q39" s="29"/>
      <c r="R39" s="29"/>
      <c r="S39" s="29"/>
      <c r="T39" s="29"/>
      <c r="U39" s="29"/>
      <c r="V39" s="29"/>
      <c r="W39" s="29"/>
      <c r="X39" s="42"/>
      <c r="Y39" s="100"/>
      <c r="Z39" s="29"/>
      <c r="AA39" s="100"/>
      <c r="AB39" s="42"/>
      <c r="AC39" s="42"/>
      <c r="AD39" s="42">
        <f>D39/C39</f>
        <v>0.843414302675952</v>
      </c>
      <c r="AE39" s="42">
        <f>E39/$C39</f>
        <v>0.61348438450119</v>
      </c>
      <c r="AF39" s="42">
        <f>F39/$C39</f>
        <v>0.00811739685464198</v>
      </c>
      <c r="AG39" s="42">
        <f>G39/$C39</f>
        <v>0.172120326152554</v>
      </c>
      <c r="AH39" s="42">
        <f>H39/$C39</f>
        <v>0.0432696725581264</v>
      </c>
      <c r="AI39" s="42">
        <f>I39/$C39</f>
        <v>0.012853802603126</v>
      </c>
      <c r="AJ39" s="42">
        <f t="shared" si="88"/>
        <v>0.172086775109774</v>
      </c>
      <c r="AK39" s="42">
        <f t="shared" si="89"/>
        <v>0.181021701855642</v>
      </c>
      <c r="AL39" s="42">
        <f t="shared" si="90"/>
        <v>0.154048328506315</v>
      </c>
      <c r="AM39" s="100"/>
      <c r="AN39" s="100"/>
      <c r="AO39" s="100"/>
      <c r="AP39" s="100"/>
      <c r="AQ39" s="100"/>
      <c r="AR39" s="100"/>
      <c r="AS39" s="100"/>
      <c r="AT39" s="100"/>
      <c r="AU39" s="100"/>
      <c r="AV39" s="100"/>
      <c r="AW39" s="42"/>
      <c r="AX39" s="42"/>
      <c r="AY39" s="42"/>
      <c r="AZ39" s="42"/>
      <c r="BA39" s="42"/>
      <c r="BB39" s="100"/>
      <c r="BC39" s="100"/>
      <c r="BD39" s="100"/>
      <c r="BE39" s="100"/>
      <c r="BF39" s="100"/>
      <c r="BG39" s="100"/>
      <c r="BH39" s="100"/>
      <c r="BI39" s="100"/>
      <c r="BJ39" s="100"/>
      <c r="BK39" s="100"/>
      <c r="BL39" s="42"/>
      <c r="BM39" s="42"/>
      <c r="BN39" s="42"/>
      <c r="BO39" s="42"/>
      <c r="BP39" s="42"/>
      <c r="BQ39" s="100"/>
      <c r="BR39" s="100"/>
      <c r="BS39" s="100"/>
      <c r="BT39" s="100"/>
      <c r="BU39" s="100"/>
      <c r="BV39" s="100"/>
      <c r="BW39" s="100"/>
      <c r="BX39" s="100"/>
      <c r="BY39" s="100"/>
      <c r="BZ39" s="100"/>
      <c r="CA39" s="42"/>
      <c r="CB39" s="42"/>
      <c r="CC39" s="42"/>
      <c r="CD39" s="42"/>
      <c r="CE39" s="42"/>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42"/>
      <c r="DP39" s="42"/>
      <c r="DQ39" s="42"/>
      <c r="DR39" s="42"/>
      <c r="DS39" s="42"/>
      <c r="DT39" s="42">
        <f t="shared" si="104"/>
        <v>0.149006296332567</v>
      </c>
      <c r="DU39" s="42">
        <f t="shared" si="105"/>
        <v>0.156742860293134</v>
      </c>
      <c r="DV39" s="11"/>
      <c r="DW39" s="42">
        <f t="shared" si="93"/>
        <v>0</v>
      </c>
      <c r="DX39" s="42"/>
      <c r="DY39" s="42"/>
      <c r="DZ39" s="42"/>
      <c r="EA39" s="42"/>
      <c r="EB39" s="42"/>
      <c r="EC39" s="42"/>
      <c r="ED39" s="42"/>
      <c r="EE39" s="112"/>
      <c r="EF39" s="112"/>
      <c r="EG39" s="4"/>
      <c r="EH39" s="4"/>
      <c r="EI39" s="4"/>
      <c r="EJ39" s="4"/>
      <c r="EK39" s="42"/>
      <c r="EL39" s="11"/>
      <c r="EM39" s="42">
        <f t="shared" si="96"/>
        <v>0</v>
      </c>
      <c r="EN39" s="42"/>
      <c r="EO39" s="42"/>
      <c r="EP39" s="42"/>
      <c r="EQ39" s="42"/>
      <c r="ER39" s="42"/>
      <c r="ES39" s="42"/>
      <c r="ET39" s="42"/>
      <c r="EU39" s="112"/>
      <c r="EV39" s="112"/>
      <c r="EW39" s="4"/>
      <c r="EX39" s="42"/>
      <c r="EY39" s="42"/>
      <c r="EZ39" s="11"/>
      <c r="FA39" s="11"/>
      <c r="FB39" s="42">
        <f t="shared" si="108"/>
        <v>0</v>
      </c>
      <c r="FC39" s="115"/>
      <c r="FD39" s="42"/>
      <c r="FE39" s="42"/>
      <c r="FF39" s="115"/>
      <c r="FG39" s="115"/>
      <c r="FH39" s="29"/>
      <c r="FI39" s="42"/>
      <c r="FJ39" s="42"/>
      <c r="FK39" s="55"/>
    </row>
    <row r="40" spans="1:167">
      <c r="A40" s="4">
        <v>2019</v>
      </c>
      <c r="B40" s="4"/>
      <c r="C40" s="29">
        <v>1727329107.54</v>
      </c>
      <c r="D40" s="29">
        <v>1424597668.63</v>
      </c>
      <c r="E40" s="29">
        <v>1083250464.25</v>
      </c>
      <c r="F40" s="29">
        <v>15339150.73</v>
      </c>
      <c r="G40" s="23">
        <v>240888678.81</v>
      </c>
      <c r="H40" s="29">
        <v>63906612.2</v>
      </c>
      <c r="I40" s="29">
        <v>25760060.33</v>
      </c>
      <c r="J40" s="29">
        <v>-4547297.69</v>
      </c>
      <c r="K40" s="29">
        <v>333719198.48</v>
      </c>
      <c r="L40" s="29">
        <v>346426076.51</v>
      </c>
      <c r="M40" s="29">
        <v>49454352.38</v>
      </c>
      <c r="N40" s="29">
        <v>296971724.13</v>
      </c>
      <c r="O40" s="11"/>
      <c r="P40" s="29"/>
      <c r="Q40" s="29"/>
      <c r="R40" s="29"/>
      <c r="S40" s="29"/>
      <c r="T40" s="29"/>
      <c r="U40" s="29"/>
      <c r="V40" s="29"/>
      <c r="W40" s="29"/>
      <c r="X40" s="42"/>
      <c r="Y40" s="100"/>
      <c r="Z40" s="29"/>
      <c r="AA40" s="100"/>
      <c r="AB40" s="42"/>
      <c r="AC40" s="42"/>
      <c r="AD40" s="42">
        <f>D40/C40</f>
        <v>0.824740150797818</v>
      </c>
      <c r="AE40" s="42">
        <f>E40/$C40</f>
        <v>0.627124535516411</v>
      </c>
      <c r="AF40" s="42">
        <f>F40/$C40</f>
        <v>0.00888027108617736</v>
      </c>
      <c r="AG40" s="42">
        <f>G40/$C40</f>
        <v>0.139457314624348</v>
      </c>
      <c r="AH40" s="42">
        <f>H40/$C40</f>
        <v>0.0369973573194824</v>
      </c>
      <c r="AI40" s="42">
        <f>I40/$C40</f>
        <v>0.0149132323525113</v>
      </c>
      <c r="AJ40" s="42">
        <f t="shared" si="88"/>
        <v>0.193199545485151</v>
      </c>
      <c r="AK40" s="42">
        <f t="shared" si="89"/>
        <v>0.200555918960555</v>
      </c>
      <c r="AL40" s="42">
        <f t="shared" si="90"/>
        <v>0.171925386328339</v>
      </c>
      <c r="AM40" s="100"/>
      <c r="AN40" s="100"/>
      <c r="AO40" s="100"/>
      <c r="AP40" s="100"/>
      <c r="AQ40" s="100"/>
      <c r="AR40" s="100"/>
      <c r="AS40" s="100"/>
      <c r="AT40" s="100"/>
      <c r="AU40" s="100"/>
      <c r="AV40" s="100"/>
      <c r="AW40" s="42"/>
      <c r="AX40" s="42"/>
      <c r="AY40" s="42"/>
      <c r="AZ40" s="42"/>
      <c r="BA40" s="42"/>
      <c r="BB40" s="100"/>
      <c r="BC40" s="100"/>
      <c r="BD40" s="100"/>
      <c r="BE40" s="100"/>
      <c r="BF40" s="100"/>
      <c r="BG40" s="100"/>
      <c r="BH40" s="100"/>
      <c r="BI40" s="100"/>
      <c r="BJ40" s="100"/>
      <c r="BK40" s="100"/>
      <c r="BL40" s="42"/>
      <c r="BM40" s="42"/>
      <c r="BN40" s="42"/>
      <c r="BO40" s="42"/>
      <c r="BP40" s="42"/>
      <c r="BQ40" s="100"/>
      <c r="BR40" s="100"/>
      <c r="BS40" s="100"/>
      <c r="BT40" s="100"/>
      <c r="BU40" s="100"/>
      <c r="BV40" s="100"/>
      <c r="BW40" s="100"/>
      <c r="BX40" s="100"/>
      <c r="BY40" s="100"/>
      <c r="BZ40" s="100"/>
      <c r="CA40" s="42"/>
      <c r="CB40" s="42"/>
      <c r="CC40" s="42"/>
      <c r="CD40" s="42"/>
      <c r="CE40" s="42"/>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42"/>
      <c r="DP40" s="42"/>
      <c r="DQ40" s="42"/>
      <c r="DR40" s="42"/>
      <c r="DS40" s="42"/>
      <c r="DT40" s="42">
        <f t="shared" si="104"/>
        <v>0.142755859715348</v>
      </c>
      <c r="DU40" s="42">
        <f t="shared" si="105"/>
        <v>0.148191511322247</v>
      </c>
      <c r="DV40" s="11"/>
      <c r="DW40" s="42">
        <f t="shared" si="93"/>
        <v>0</v>
      </c>
      <c r="DX40" s="42"/>
      <c r="DY40" s="42"/>
      <c r="DZ40" s="42"/>
      <c r="EA40" s="42"/>
      <c r="EB40" s="42"/>
      <c r="EC40" s="42"/>
      <c r="ED40" s="42"/>
      <c r="EE40" s="112"/>
      <c r="EF40" s="112"/>
      <c r="EG40" s="4"/>
      <c r="EH40" s="4"/>
      <c r="EI40" s="4"/>
      <c r="EJ40" s="4"/>
      <c r="EK40" s="42"/>
      <c r="EL40" s="11"/>
      <c r="EM40" s="42">
        <f t="shared" si="96"/>
        <v>0</v>
      </c>
      <c r="EN40" s="42"/>
      <c r="EO40" s="42"/>
      <c r="EP40" s="42"/>
      <c r="EQ40" s="42"/>
      <c r="ER40" s="42"/>
      <c r="ES40" s="42"/>
      <c r="ET40" s="42"/>
      <c r="EU40" s="112"/>
      <c r="EV40" s="112"/>
      <c r="EW40" s="4"/>
      <c r="EX40" s="42"/>
      <c r="EY40" s="42"/>
      <c r="EZ40" s="11"/>
      <c r="FA40" s="11"/>
      <c r="FB40" s="42">
        <f t="shared" si="108"/>
        <v>0</v>
      </c>
      <c r="FC40" s="115"/>
      <c r="FD40" s="42"/>
      <c r="FE40" s="42"/>
      <c r="FF40" s="115"/>
      <c r="FG40" s="115"/>
      <c r="FH40" s="29"/>
      <c r="FI40" s="42"/>
      <c r="FJ40" s="42"/>
      <c r="FK40" s="55"/>
    </row>
    <row r="41" spans="1:167">
      <c r="A41" s="4">
        <v>2018</v>
      </c>
      <c r="B41" s="4"/>
      <c r="C41" s="29">
        <v>1412861058.41</v>
      </c>
      <c r="D41" s="29">
        <v>1131914434.48</v>
      </c>
      <c r="E41" s="29">
        <v>856522660.65</v>
      </c>
      <c r="F41" s="29">
        <v>15932635.82</v>
      </c>
      <c r="G41" s="23">
        <v>183115250.62</v>
      </c>
      <c r="H41" s="29">
        <v>55757125.96</v>
      </c>
      <c r="I41" s="29">
        <v>22381832.77</v>
      </c>
      <c r="J41" s="29">
        <v>-1795071.34</v>
      </c>
      <c r="K41" s="29">
        <v>299580768.26</v>
      </c>
      <c r="L41" s="29">
        <v>310714328.49</v>
      </c>
      <c r="M41" s="29">
        <v>44107324.88</v>
      </c>
      <c r="N41" s="29">
        <v>266607003.61</v>
      </c>
      <c r="O41" s="11"/>
      <c r="P41" s="29"/>
      <c r="Q41" s="29"/>
      <c r="R41" s="29"/>
      <c r="S41" s="29"/>
      <c r="T41" s="29"/>
      <c r="U41" s="29"/>
      <c r="V41" s="29"/>
      <c r="W41" s="29"/>
      <c r="X41" s="42"/>
      <c r="Y41" s="100"/>
      <c r="Z41" s="29"/>
      <c r="AA41" s="100"/>
      <c r="AB41" s="42"/>
      <c r="AC41" s="42"/>
      <c r="AD41" s="42">
        <f>D41/C41</f>
        <v>0.801150564482136</v>
      </c>
      <c r="AE41" s="42">
        <f>E41/$C41</f>
        <v>0.606232761212847</v>
      </c>
      <c r="AF41" s="42">
        <f>F41/$C41</f>
        <v>0.0112768596212357</v>
      </c>
      <c r="AG41" s="42">
        <f>G41/$C41</f>
        <v>0.129605986045134</v>
      </c>
      <c r="AH41" s="42">
        <f>H41/$C41</f>
        <v>0.0394639838277854</v>
      </c>
      <c r="AI41" s="42">
        <f>I41/$C41</f>
        <v>0.0158414959749743</v>
      </c>
      <c r="AJ41" s="42">
        <f t="shared" si="88"/>
        <v>0.212038378775292</v>
      </c>
      <c r="AK41" s="42">
        <f t="shared" si="89"/>
        <v>0.219918531012293</v>
      </c>
      <c r="AL41" s="42">
        <f t="shared" si="90"/>
        <v>0.188700086270361</v>
      </c>
      <c r="AM41" s="100"/>
      <c r="AN41" s="100"/>
      <c r="AO41" s="100"/>
      <c r="AP41" s="100"/>
      <c r="AQ41" s="100"/>
      <c r="AR41" s="100"/>
      <c r="AS41" s="100"/>
      <c r="AT41" s="100"/>
      <c r="AU41" s="100"/>
      <c r="AV41" s="100"/>
      <c r="AW41" s="42"/>
      <c r="AX41" s="42"/>
      <c r="AY41" s="42"/>
      <c r="AZ41" s="42"/>
      <c r="BA41" s="42"/>
      <c r="BB41" s="100"/>
      <c r="BC41" s="100"/>
      <c r="BD41" s="100"/>
      <c r="BE41" s="100"/>
      <c r="BF41" s="100"/>
      <c r="BG41" s="100"/>
      <c r="BH41" s="100"/>
      <c r="BI41" s="100"/>
      <c r="BJ41" s="100"/>
      <c r="BK41" s="100"/>
      <c r="BL41" s="42"/>
      <c r="BM41" s="42"/>
      <c r="BN41" s="42"/>
      <c r="BO41" s="42"/>
      <c r="BP41" s="42"/>
      <c r="BQ41" s="100"/>
      <c r="BR41" s="100"/>
      <c r="BS41" s="100"/>
      <c r="BT41" s="100"/>
      <c r="BU41" s="100"/>
      <c r="BV41" s="100"/>
      <c r="BW41" s="100"/>
      <c r="BX41" s="100"/>
      <c r="BY41" s="100"/>
      <c r="BZ41" s="100"/>
      <c r="CA41" s="42"/>
      <c r="CB41" s="42"/>
      <c r="CC41" s="42"/>
      <c r="CD41" s="42"/>
      <c r="CE41" s="42"/>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00"/>
      <c r="DO41" s="42"/>
      <c r="DP41" s="42"/>
      <c r="DQ41" s="42"/>
      <c r="DR41" s="42"/>
      <c r="DS41" s="42"/>
      <c r="DT41" s="42">
        <f t="shared" si="104"/>
        <v>0.141954589266454</v>
      </c>
      <c r="DU41" s="42">
        <f t="shared" si="105"/>
        <v>0.147230161455892</v>
      </c>
      <c r="DV41" s="11"/>
      <c r="DW41" s="42">
        <f t="shared" si="93"/>
        <v>0</v>
      </c>
      <c r="DX41" s="42"/>
      <c r="DY41" s="42"/>
      <c r="DZ41" s="42"/>
      <c r="EA41" s="42"/>
      <c r="EB41" s="42"/>
      <c r="EC41" s="42"/>
      <c r="ED41" s="42"/>
      <c r="EE41" s="112"/>
      <c r="EF41" s="112"/>
      <c r="EG41" s="4"/>
      <c r="EH41" s="4"/>
      <c r="EI41" s="4"/>
      <c r="EJ41" s="4"/>
      <c r="EK41" s="42"/>
      <c r="EL41" s="11"/>
      <c r="EM41" s="42">
        <f t="shared" si="96"/>
        <v>0</v>
      </c>
      <c r="EN41" s="42"/>
      <c r="EO41" s="42"/>
      <c r="EP41" s="42"/>
      <c r="EQ41" s="42"/>
      <c r="ER41" s="42"/>
      <c r="ES41" s="42"/>
      <c r="ET41" s="42"/>
      <c r="EU41" s="112"/>
      <c r="EV41" s="112"/>
      <c r="EW41" s="4"/>
      <c r="EX41" s="42"/>
      <c r="EY41" s="42"/>
      <c r="EZ41" s="11"/>
      <c r="FA41" s="11"/>
      <c r="FB41" s="42">
        <f t="shared" si="108"/>
        <v>0</v>
      </c>
      <c r="FC41" s="115"/>
      <c r="FD41" s="42"/>
      <c r="FE41" s="42"/>
      <c r="FF41" s="115"/>
      <c r="FG41" s="115"/>
      <c r="FH41" s="29"/>
      <c r="FI41" s="42"/>
      <c r="FJ41" s="42"/>
      <c r="FK41" s="55"/>
    </row>
    <row r="42" spans="1:167">
      <c r="A42" s="4">
        <v>2017</v>
      </c>
      <c r="B42" s="4"/>
      <c r="C42" s="29"/>
      <c r="D42" s="29"/>
      <c r="E42" s="29"/>
      <c r="F42" s="29"/>
      <c r="G42" s="4"/>
      <c r="H42" s="29"/>
      <c r="I42" s="29"/>
      <c r="J42" s="29"/>
      <c r="K42" s="29"/>
      <c r="L42" s="29"/>
      <c r="M42" s="29"/>
      <c r="N42" s="29"/>
      <c r="O42" s="11"/>
      <c r="P42" s="29"/>
      <c r="Q42" s="29"/>
      <c r="R42" s="29"/>
      <c r="S42" s="29"/>
      <c r="T42" s="29"/>
      <c r="U42" s="29"/>
      <c r="V42" s="29"/>
      <c r="W42" s="29"/>
      <c r="X42" s="42"/>
      <c r="Y42" s="100"/>
      <c r="Z42" s="29"/>
      <c r="AA42" s="100"/>
      <c r="AB42" s="42"/>
      <c r="AC42" s="42"/>
      <c r="AD42" s="42"/>
      <c r="AE42" s="42"/>
      <c r="AF42" s="42"/>
      <c r="AG42" s="42"/>
      <c r="AH42" s="42"/>
      <c r="AI42" s="42"/>
      <c r="AJ42" s="42"/>
      <c r="AK42" s="42"/>
      <c r="AL42" s="42"/>
      <c r="AM42" s="100"/>
      <c r="AN42" s="100"/>
      <c r="AO42" s="100"/>
      <c r="AP42" s="100"/>
      <c r="AQ42" s="100"/>
      <c r="AR42" s="100"/>
      <c r="AS42" s="100"/>
      <c r="AT42" s="100"/>
      <c r="AU42" s="100"/>
      <c r="AV42" s="100"/>
      <c r="AW42" s="42"/>
      <c r="AX42" s="42"/>
      <c r="AY42" s="42"/>
      <c r="AZ42" s="42"/>
      <c r="BA42" s="42"/>
      <c r="BB42" s="100"/>
      <c r="BC42" s="100"/>
      <c r="BD42" s="100"/>
      <c r="BE42" s="100"/>
      <c r="BF42" s="100"/>
      <c r="BG42" s="100"/>
      <c r="BH42" s="100"/>
      <c r="BI42" s="100"/>
      <c r="BJ42" s="100"/>
      <c r="BK42" s="100"/>
      <c r="BL42" s="42"/>
      <c r="BM42" s="42"/>
      <c r="BN42" s="42"/>
      <c r="BO42" s="42"/>
      <c r="BP42" s="42"/>
      <c r="BQ42" s="100"/>
      <c r="BR42" s="100"/>
      <c r="BS42" s="100"/>
      <c r="BT42" s="100"/>
      <c r="BU42" s="100"/>
      <c r="BV42" s="100"/>
      <c r="BW42" s="100"/>
      <c r="BX42" s="100"/>
      <c r="BY42" s="100"/>
      <c r="BZ42" s="100"/>
      <c r="CA42" s="42"/>
      <c r="CB42" s="42"/>
      <c r="CC42" s="42"/>
      <c r="CD42" s="42"/>
      <c r="CE42" s="42"/>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c r="DJ42" s="100"/>
      <c r="DK42" s="100"/>
      <c r="DL42" s="100"/>
      <c r="DM42" s="100"/>
      <c r="DN42" s="100"/>
      <c r="DO42" s="42"/>
      <c r="DP42" s="42"/>
      <c r="DQ42" s="42"/>
      <c r="DR42" s="42"/>
      <c r="DS42" s="42"/>
      <c r="DT42" s="42"/>
      <c r="DU42" s="42"/>
      <c r="DV42" s="11"/>
      <c r="DW42" s="42" t="e">
        <f t="shared" si="93"/>
        <v>#DIV/0!</v>
      </c>
      <c r="DX42" s="42"/>
      <c r="DY42" s="42"/>
      <c r="DZ42" s="42"/>
      <c r="EA42" s="42"/>
      <c r="EB42" s="42"/>
      <c r="EC42" s="42"/>
      <c r="ED42" s="42"/>
      <c r="EE42" s="112"/>
      <c r="EF42" s="112"/>
      <c r="EG42" s="4"/>
      <c r="EH42" s="4"/>
      <c r="EI42" s="4"/>
      <c r="EJ42" s="4"/>
      <c r="EK42" s="42"/>
      <c r="EL42" s="11"/>
      <c r="EM42" s="42" t="e">
        <f t="shared" si="96"/>
        <v>#DIV/0!</v>
      </c>
      <c r="EN42" s="42"/>
      <c r="EO42" s="42"/>
      <c r="EP42" s="42"/>
      <c r="EQ42" s="42"/>
      <c r="ER42" s="42"/>
      <c r="ES42" s="42"/>
      <c r="ET42" s="42"/>
      <c r="EU42" s="112"/>
      <c r="EV42" s="112"/>
      <c r="EW42" s="4"/>
      <c r="EX42" s="42"/>
      <c r="EY42" s="42"/>
      <c r="EZ42" s="11"/>
      <c r="FA42" s="11"/>
      <c r="FB42" s="42" t="e">
        <f t="shared" si="108"/>
        <v>#DIV/0!</v>
      </c>
      <c r="FC42" s="115"/>
      <c r="FD42" s="42"/>
      <c r="FE42" s="42"/>
      <c r="FF42" s="115"/>
      <c r="FG42" s="115"/>
      <c r="FH42" s="29"/>
      <c r="FI42" s="42"/>
      <c r="FJ42" s="42"/>
      <c r="FK42" s="55"/>
    </row>
    <row r="43" spans="1:167">
      <c r="A43" s="4">
        <v>2016</v>
      </c>
      <c r="B43" s="4"/>
      <c r="C43" s="29"/>
      <c r="D43" s="29"/>
      <c r="E43" s="29"/>
      <c r="F43" s="29"/>
      <c r="G43" s="4"/>
      <c r="H43" s="29"/>
      <c r="I43" s="29"/>
      <c r="J43" s="29"/>
      <c r="K43" s="29"/>
      <c r="L43" s="29"/>
      <c r="M43" s="29"/>
      <c r="N43" s="29"/>
      <c r="O43" s="11"/>
      <c r="P43" s="29"/>
      <c r="Q43" s="29"/>
      <c r="R43" s="29"/>
      <c r="S43" s="29"/>
      <c r="T43" s="29"/>
      <c r="U43" s="29"/>
      <c r="V43" s="29"/>
      <c r="W43" s="29"/>
      <c r="X43" s="42"/>
      <c r="Y43" s="100"/>
      <c r="Z43" s="29"/>
      <c r="AA43" s="100"/>
      <c r="AB43" s="42"/>
      <c r="AC43" s="42"/>
      <c r="AD43" s="42"/>
      <c r="AE43" s="42"/>
      <c r="AF43" s="42"/>
      <c r="AG43" s="42"/>
      <c r="AH43" s="42"/>
      <c r="AI43" s="42"/>
      <c r="AJ43" s="42"/>
      <c r="AK43" s="42"/>
      <c r="AL43" s="42"/>
      <c r="AM43" s="100"/>
      <c r="AN43" s="100"/>
      <c r="AO43" s="100"/>
      <c r="AP43" s="100"/>
      <c r="AQ43" s="100"/>
      <c r="AR43" s="100"/>
      <c r="AS43" s="100"/>
      <c r="AT43" s="100"/>
      <c r="AU43" s="100"/>
      <c r="AV43" s="100"/>
      <c r="AW43" s="42"/>
      <c r="AX43" s="42"/>
      <c r="AY43" s="42"/>
      <c r="AZ43" s="42"/>
      <c r="BA43" s="42"/>
      <c r="BB43" s="100"/>
      <c r="BC43" s="100"/>
      <c r="BD43" s="100"/>
      <c r="BE43" s="100"/>
      <c r="BF43" s="100"/>
      <c r="BG43" s="100"/>
      <c r="BH43" s="100"/>
      <c r="BI43" s="100"/>
      <c r="BJ43" s="100"/>
      <c r="BK43" s="100"/>
      <c r="BL43" s="42"/>
      <c r="BM43" s="42"/>
      <c r="BN43" s="42"/>
      <c r="BO43" s="42"/>
      <c r="BP43" s="42"/>
      <c r="BQ43" s="100"/>
      <c r="BR43" s="100"/>
      <c r="BS43" s="100"/>
      <c r="BT43" s="100"/>
      <c r="BU43" s="100"/>
      <c r="BV43" s="100"/>
      <c r="BW43" s="100"/>
      <c r="BX43" s="100"/>
      <c r="BY43" s="100"/>
      <c r="BZ43" s="100"/>
      <c r="CA43" s="42"/>
      <c r="CB43" s="42"/>
      <c r="CC43" s="42"/>
      <c r="CD43" s="42"/>
      <c r="CE43" s="42"/>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42"/>
      <c r="DP43" s="42"/>
      <c r="DQ43" s="42"/>
      <c r="DR43" s="42"/>
      <c r="DS43" s="42"/>
      <c r="DT43" s="42"/>
      <c r="DU43" s="42"/>
      <c r="DV43" s="11"/>
      <c r="DW43" s="42" t="e">
        <f t="shared" si="93"/>
        <v>#DIV/0!</v>
      </c>
      <c r="DX43" s="42"/>
      <c r="DY43" s="42"/>
      <c r="DZ43" s="42"/>
      <c r="EA43" s="42"/>
      <c r="EB43" s="42"/>
      <c r="EC43" s="42"/>
      <c r="ED43" s="42"/>
      <c r="EE43" s="112"/>
      <c r="EF43" s="112"/>
      <c r="EG43" s="4"/>
      <c r="EH43" s="4"/>
      <c r="EI43" s="4"/>
      <c r="EJ43" s="4"/>
      <c r="EK43" s="42"/>
      <c r="EL43" s="11"/>
      <c r="EM43" s="42" t="e">
        <f t="shared" si="96"/>
        <v>#DIV/0!</v>
      </c>
      <c r="EN43" s="42"/>
      <c r="EO43" s="42"/>
      <c r="EP43" s="42"/>
      <c r="EQ43" s="42"/>
      <c r="ER43" s="42"/>
      <c r="ES43" s="42"/>
      <c r="ET43" s="42"/>
      <c r="EU43" s="112"/>
      <c r="EV43" s="112"/>
      <c r="EW43" s="4"/>
      <c r="EX43" s="42"/>
      <c r="EY43" s="42"/>
      <c r="EZ43" s="11"/>
      <c r="FA43" s="11"/>
      <c r="FB43" s="42" t="e">
        <f t="shared" si="108"/>
        <v>#DIV/0!</v>
      </c>
      <c r="FC43" s="115"/>
      <c r="FD43" s="42"/>
      <c r="FE43" s="42"/>
      <c r="FF43" s="115"/>
      <c r="FG43" s="115"/>
      <c r="FH43" s="29"/>
      <c r="FI43" s="42"/>
      <c r="FJ43" s="42"/>
      <c r="FK43" s="55"/>
    </row>
    <row r="44" spans="1:167">
      <c r="A44" s="4">
        <v>2015</v>
      </c>
      <c r="B44" s="4"/>
      <c r="C44" s="29"/>
      <c r="D44" s="29"/>
      <c r="E44" s="29"/>
      <c r="F44" s="29"/>
      <c r="G44" s="4"/>
      <c r="H44" s="29"/>
      <c r="I44" s="29"/>
      <c r="J44" s="29"/>
      <c r="K44" s="29"/>
      <c r="L44" s="29"/>
      <c r="M44" s="29"/>
      <c r="N44" s="29"/>
      <c r="O44" s="11"/>
      <c r="P44" s="29"/>
      <c r="Q44" s="29"/>
      <c r="R44" s="29"/>
      <c r="S44" s="29"/>
      <c r="T44" s="29"/>
      <c r="U44" s="29"/>
      <c r="V44" s="29"/>
      <c r="W44" s="29"/>
      <c r="X44" s="42"/>
      <c r="Y44" s="100"/>
      <c r="Z44" s="29"/>
      <c r="AA44" s="100"/>
      <c r="AB44" s="42"/>
      <c r="AC44" s="42"/>
      <c r="AD44" s="42"/>
      <c r="AE44" s="42"/>
      <c r="AF44" s="42"/>
      <c r="AG44" s="42"/>
      <c r="AH44" s="42"/>
      <c r="AI44" s="42"/>
      <c r="AJ44" s="42"/>
      <c r="AK44" s="42"/>
      <c r="AL44" s="42"/>
      <c r="AM44" s="100"/>
      <c r="AN44" s="100"/>
      <c r="AO44" s="100"/>
      <c r="AP44" s="100"/>
      <c r="AQ44" s="100"/>
      <c r="AR44" s="100"/>
      <c r="AS44" s="100"/>
      <c r="AT44" s="100"/>
      <c r="AU44" s="100"/>
      <c r="AV44" s="100"/>
      <c r="AW44" s="42"/>
      <c r="AX44" s="42"/>
      <c r="AY44" s="42"/>
      <c r="AZ44" s="42"/>
      <c r="BA44" s="42"/>
      <c r="BB44" s="100"/>
      <c r="BC44" s="100"/>
      <c r="BD44" s="100"/>
      <c r="BE44" s="100"/>
      <c r="BF44" s="100"/>
      <c r="BG44" s="100"/>
      <c r="BH44" s="100"/>
      <c r="BI44" s="100"/>
      <c r="BJ44" s="100"/>
      <c r="BK44" s="100"/>
      <c r="BL44" s="42"/>
      <c r="BM44" s="42"/>
      <c r="BN44" s="42"/>
      <c r="BO44" s="42"/>
      <c r="BP44" s="42"/>
      <c r="BQ44" s="100"/>
      <c r="BR44" s="100"/>
      <c r="BS44" s="100"/>
      <c r="BT44" s="100"/>
      <c r="BU44" s="100"/>
      <c r="BV44" s="100"/>
      <c r="BW44" s="100"/>
      <c r="BX44" s="100"/>
      <c r="BY44" s="100"/>
      <c r="BZ44" s="100"/>
      <c r="CA44" s="42"/>
      <c r="CB44" s="42"/>
      <c r="CC44" s="42"/>
      <c r="CD44" s="42"/>
      <c r="CE44" s="42"/>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42"/>
      <c r="DP44" s="42"/>
      <c r="DQ44" s="42"/>
      <c r="DR44" s="42"/>
      <c r="DS44" s="42"/>
      <c r="DT44" s="42"/>
      <c r="DU44" s="42"/>
      <c r="DV44" s="11"/>
      <c r="DW44" s="42" t="e">
        <f t="shared" si="93"/>
        <v>#DIV/0!</v>
      </c>
      <c r="DX44" s="42"/>
      <c r="DY44" s="42"/>
      <c r="DZ44" s="42"/>
      <c r="EA44" s="42"/>
      <c r="EB44" s="42"/>
      <c r="EC44" s="42"/>
      <c r="ED44" s="42"/>
      <c r="EE44" s="112"/>
      <c r="EF44" s="112"/>
      <c r="EG44" s="4"/>
      <c r="EH44" s="4"/>
      <c r="EI44" s="4"/>
      <c r="EJ44" s="4"/>
      <c r="EK44" s="42"/>
      <c r="EL44" s="11"/>
      <c r="EM44" s="42" t="e">
        <f t="shared" si="96"/>
        <v>#DIV/0!</v>
      </c>
      <c r="EN44" s="42"/>
      <c r="EO44" s="42"/>
      <c r="EP44" s="42"/>
      <c r="EQ44" s="42"/>
      <c r="ER44" s="42"/>
      <c r="ES44" s="42"/>
      <c r="ET44" s="42"/>
      <c r="EU44" s="112"/>
      <c r="EV44" s="112"/>
      <c r="EW44" s="4"/>
      <c r="EX44" s="42"/>
      <c r="EY44" s="42"/>
      <c r="EZ44" s="11"/>
      <c r="FA44" s="11"/>
      <c r="FB44" s="42" t="e">
        <f t="shared" si="108"/>
        <v>#DIV/0!</v>
      </c>
      <c r="FC44" s="115"/>
      <c r="FD44" s="42"/>
      <c r="FE44" s="42"/>
      <c r="FF44" s="115"/>
      <c r="FG44" s="115"/>
      <c r="FH44" s="29"/>
      <c r="FI44" s="42"/>
      <c r="FJ44" s="42"/>
      <c r="FK44" s="55"/>
    </row>
    <row r="45" spans="1:167">
      <c r="A45" s="4">
        <v>2014</v>
      </c>
      <c r="B45" s="4"/>
      <c r="C45" s="29"/>
      <c r="D45" s="29"/>
      <c r="E45" s="29"/>
      <c r="F45" s="29"/>
      <c r="G45" s="4"/>
      <c r="H45" s="29"/>
      <c r="I45" s="29"/>
      <c r="J45" s="29"/>
      <c r="K45" s="29"/>
      <c r="L45" s="29"/>
      <c r="M45" s="29"/>
      <c r="N45" s="29"/>
      <c r="O45" s="11"/>
      <c r="P45" s="29"/>
      <c r="Q45" s="29"/>
      <c r="R45" s="29"/>
      <c r="S45" s="29"/>
      <c r="T45" s="29"/>
      <c r="U45" s="29"/>
      <c r="V45" s="29"/>
      <c r="W45" s="29"/>
      <c r="X45" s="42"/>
      <c r="Y45" s="100"/>
      <c r="Z45" s="29"/>
      <c r="AA45" s="100"/>
      <c r="AB45" s="42"/>
      <c r="AC45" s="42"/>
      <c r="AD45" s="42"/>
      <c r="AE45" s="42"/>
      <c r="AF45" s="42"/>
      <c r="AG45" s="42"/>
      <c r="AH45" s="42"/>
      <c r="AI45" s="42"/>
      <c r="AJ45" s="42"/>
      <c r="AK45" s="42"/>
      <c r="AL45" s="42"/>
      <c r="AM45" s="100"/>
      <c r="AN45" s="100"/>
      <c r="AO45" s="100"/>
      <c r="AP45" s="100"/>
      <c r="AQ45" s="100"/>
      <c r="AR45" s="100"/>
      <c r="AS45" s="100"/>
      <c r="AT45" s="100"/>
      <c r="AU45" s="100"/>
      <c r="AV45" s="100"/>
      <c r="AW45" s="42"/>
      <c r="AX45" s="42"/>
      <c r="AY45" s="42"/>
      <c r="AZ45" s="42"/>
      <c r="BA45" s="42"/>
      <c r="BB45" s="100"/>
      <c r="BC45" s="100"/>
      <c r="BD45" s="100"/>
      <c r="BE45" s="100"/>
      <c r="BF45" s="100"/>
      <c r="BG45" s="100"/>
      <c r="BH45" s="100"/>
      <c r="BI45" s="100"/>
      <c r="BJ45" s="100"/>
      <c r="BK45" s="100"/>
      <c r="BL45" s="42"/>
      <c r="BM45" s="42"/>
      <c r="BN45" s="42"/>
      <c r="BO45" s="42"/>
      <c r="BP45" s="42"/>
      <c r="BQ45" s="100"/>
      <c r="BR45" s="100"/>
      <c r="BS45" s="100"/>
      <c r="BT45" s="100"/>
      <c r="BU45" s="100"/>
      <c r="BV45" s="100"/>
      <c r="BW45" s="100"/>
      <c r="BX45" s="100"/>
      <c r="BY45" s="100"/>
      <c r="BZ45" s="100"/>
      <c r="CA45" s="42"/>
      <c r="CB45" s="42"/>
      <c r="CC45" s="42"/>
      <c r="CD45" s="42"/>
      <c r="CE45" s="42"/>
      <c r="CF45" s="100"/>
      <c r="CG45" s="100"/>
      <c r="CH45" s="100"/>
      <c r="CI45" s="100"/>
      <c r="CJ45" s="100"/>
      <c r="CK45" s="100"/>
      <c r="CL45" s="100"/>
      <c r="CM45" s="100"/>
      <c r="CN45" s="100"/>
      <c r="CO45" s="100"/>
      <c r="CP45" s="100"/>
      <c r="CQ45" s="100"/>
      <c r="CR45" s="100"/>
      <c r="CS45" s="100"/>
      <c r="CT45" s="100"/>
      <c r="CU45" s="100"/>
      <c r="CV45" s="100"/>
      <c r="CW45" s="100"/>
      <c r="CX45" s="100"/>
      <c r="CY45" s="100"/>
      <c r="CZ45" s="100"/>
      <c r="DA45" s="100"/>
      <c r="DB45" s="100"/>
      <c r="DC45" s="100"/>
      <c r="DD45" s="100"/>
      <c r="DE45" s="100"/>
      <c r="DF45" s="100"/>
      <c r="DG45" s="100"/>
      <c r="DH45" s="100"/>
      <c r="DI45" s="100"/>
      <c r="DJ45" s="100"/>
      <c r="DK45" s="100"/>
      <c r="DL45" s="100"/>
      <c r="DM45" s="100"/>
      <c r="DN45" s="100"/>
      <c r="DO45" s="42"/>
      <c r="DP45" s="42"/>
      <c r="DQ45" s="42"/>
      <c r="DR45" s="42"/>
      <c r="DS45" s="42"/>
      <c r="DT45" s="42"/>
      <c r="DU45" s="42"/>
      <c r="DV45" s="11"/>
      <c r="DW45" s="42" t="e">
        <f t="shared" si="93"/>
        <v>#DIV/0!</v>
      </c>
      <c r="DX45" s="42"/>
      <c r="DY45" s="42"/>
      <c r="DZ45" s="42"/>
      <c r="EA45" s="42"/>
      <c r="EB45" s="42"/>
      <c r="EC45" s="42"/>
      <c r="ED45" s="42"/>
      <c r="EE45" s="112"/>
      <c r="EF45" s="112"/>
      <c r="EG45" s="4"/>
      <c r="EH45" s="4"/>
      <c r="EI45" s="4"/>
      <c r="EJ45" s="4"/>
      <c r="EK45" s="42"/>
      <c r="EL45" s="11"/>
      <c r="EM45" s="42" t="e">
        <f t="shared" si="96"/>
        <v>#DIV/0!</v>
      </c>
      <c r="EN45" s="42"/>
      <c r="EO45" s="42"/>
      <c r="EP45" s="42"/>
      <c r="EQ45" s="42"/>
      <c r="ER45" s="42"/>
      <c r="ES45" s="42"/>
      <c r="ET45" s="42"/>
      <c r="EU45" s="112"/>
      <c r="EV45" s="112"/>
      <c r="EW45" s="4"/>
      <c r="EX45" s="42"/>
      <c r="EY45" s="42"/>
      <c r="EZ45" s="11"/>
      <c r="FA45" s="11"/>
      <c r="FB45" s="42" t="e">
        <f t="shared" si="108"/>
        <v>#DIV/0!</v>
      </c>
      <c r="FC45" s="115"/>
      <c r="FD45" s="42"/>
      <c r="FE45" s="42"/>
      <c r="FF45" s="115"/>
      <c r="FG45" s="115"/>
      <c r="FH45" s="29"/>
      <c r="FI45" s="42"/>
      <c r="FJ45" s="42"/>
      <c r="FK45" s="55"/>
    </row>
    <row r="46" spans="1:167">
      <c r="A46" s="4">
        <v>2013</v>
      </c>
      <c r="B46" s="4"/>
      <c r="C46" s="29"/>
      <c r="D46" s="29"/>
      <c r="E46" s="29"/>
      <c r="F46" s="29"/>
      <c r="G46" s="4"/>
      <c r="H46" s="29"/>
      <c r="I46" s="29"/>
      <c r="J46" s="29"/>
      <c r="K46" s="29"/>
      <c r="L46" s="29"/>
      <c r="M46" s="29"/>
      <c r="N46" s="29"/>
      <c r="O46" s="11"/>
      <c r="P46" s="29"/>
      <c r="Q46" s="29"/>
      <c r="R46" s="29"/>
      <c r="S46" s="29"/>
      <c r="T46" s="29"/>
      <c r="U46" s="29"/>
      <c r="V46" s="29"/>
      <c r="W46" s="29"/>
      <c r="X46" s="42"/>
      <c r="Y46" s="100"/>
      <c r="Z46" s="29"/>
      <c r="AA46" s="100"/>
      <c r="AB46" s="42"/>
      <c r="AC46" s="42"/>
      <c r="AD46" s="42"/>
      <c r="AE46" s="42"/>
      <c r="AF46" s="42"/>
      <c r="AG46" s="42"/>
      <c r="AH46" s="42"/>
      <c r="AI46" s="42"/>
      <c r="AJ46" s="42"/>
      <c r="AK46" s="42"/>
      <c r="AL46" s="42"/>
      <c r="AM46" s="100"/>
      <c r="AN46" s="100"/>
      <c r="AO46" s="100"/>
      <c r="AP46" s="100"/>
      <c r="AQ46" s="100"/>
      <c r="AR46" s="100"/>
      <c r="AS46" s="100"/>
      <c r="AT46" s="100"/>
      <c r="AU46" s="100"/>
      <c r="AV46" s="100"/>
      <c r="AW46" s="42"/>
      <c r="AX46" s="42"/>
      <c r="AY46" s="42"/>
      <c r="AZ46" s="42"/>
      <c r="BA46" s="42"/>
      <c r="BB46" s="100"/>
      <c r="BC46" s="100"/>
      <c r="BD46" s="100"/>
      <c r="BE46" s="100"/>
      <c r="BF46" s="100"/>
      <c r="BG46" s="100"/>
      <c r="BH46" s="100"/>
      <c r="BI46" s="100"/>
      <c r="BJ46" s="100"/>
      <c r="BK46" s="100"/>
      <c r="BL46" s="42"/>
      <c r="BM46" s="42"/>
      <c r="BN46" s="42"/>
      <c r="BO46" s="42"/>
      <c r="BP46" s="42"/>
      <c r="BQ46" s="100"/>
      <c r="BR46" s="100"/>
      <c r="BS46" s="100"/>
      <c r="BT46" s="100"/>
      <c r="BU46" s="100"/>
      <c r="BV46" s="100"/>
      <c r="BW46" s="100"/>
      <c r="BX46" s="100"/>
      <c r="BY46" s="100"/>
      <c r="BZ46" s="100"/>
      <c r="CA46" s="42"/>
      <c r="CB46" s="42"/>
      <c r="CC46" s="42"/>
      <c r="CD46" s="42"/>
      <c r="CE46" s="42"/>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42"/>
      <c r="DP46" s="42"/>
      <c r="DQ46" s="42"/>
      <c r="DR46" s="42"/>
      <c r="DS46" s="42"/>
      <c r="DT46" s="42"/>
      <c r="DU46" s="42"/>
      <c r="DV46" s="11"/>
      <c r="DW46" s="42" t="e">
        <f t="shared" si="93"/>
        <v>#DIV/0!</v>
      </c>
      <c r="DX46" s="42"/>
      <c r="DY46" s="42"/>
      <c r="DZ46" s="42"/>
      <c r="EA46" s="42"/>
      <c r="EB46" s="42"/>
      <c r="EC46" s="42"/>
      <c r="ED46" s="42"/>
      <c r="EE46" s="112"/>
      <c r="EF46" s="112"/>
      <c r="EG46" s="4"/>
      <c r="EH46" s="4"/>
      <c r="EI46" s="4"/>
      <c r="EJ46" s="4"/>
      <c r="EK46" s="42"/>
      <c r="EL46" s="11"/>
      <c r="EM46" s="42" t="e">
        <f t="shared" si="96"/>
        <v>#DIV/0!</v>
      </c>
      <c r="EN46" s="42"/>
      <c r="EO46" s="42"/>
      <c r="EP46" s="42"/>
      <c r="EQ46" s="42"/>
      <c r="ER46" s="42"/>
      <c r="ES46" s="42"/>
      <c r="ET46" s="42"/>
      <c r="EU46" s="112"/>
      <c r="EV46" s="112"/>
      <c r="EW46" s="4"/>
      <c r="EX46" s="42"/>
      <c r="EY46" s="42"/>
      <c r="EZ46" s="11"/>
      <c r="FA46" s="11"/>
      <c r="FB46" s="42" t="e">
        <f t="shared" si="108"/>
        <v>#DIV/0!</v>
      </c>
      <c r="FC46" s="115"/>
      <c r="FD46" s="42"/>
      <c r="FE46" s="42"/>
      <c r="FF46" s="115"/>
      <c r="FG46" s="115"/>
      <c r="FH46" s="29"/>
      <c r="FI46" s="42"/>
      <c r="FJ46" s="42"/>
      <c r="FK46" s="55"/>
    </row>
    <row r="47" spans="1:167">
      <c r="A47" s="4">
        <v>2012</v>
      </c>
      <c r="B47" s="4"/>
      <c r="C47" s="29"/>
      <c r="D47" s="29"/>
      <c r="E47" s="29"/>
      <c r="F47" s="29"/>
      <c r="G47" s="4"/>
      <c r="H47" s="29"/>
      <c r="I47" s="29"/>
      <c r="J47" s="29"/>
      <c r="K47" s="29"/>
      <c r="L47" s="29"/>
      <c r="M47" s="29"/>
      <c r="N47" s="29"/>
      <c r="O47" s="11"/>
      <c r="P47" s="29"/>
      <c r="Q47" s="29"/>
      <c r="R47" s="29"/>
      <c r="S47" s="29"/>
      <c r="T47" s="29"/>
      <c r="U47" s="29"/>
      <c r="V47" s="29"/>
      <c r="W47" s="29"/>
      <c r="X47" s="42"/>
      <c r="Y47" s="100"/>
      <c r="Z47" s="29"/>
      <c r="AA47" s="100"/>
      <c r="AB47" s="42"/>
      <c r="AC47" s="42"/>
      <c r="AD47" s="42"/>
      <c r="AE47" s="42"/>
      <c r="AF47" s="42"/>
      <c r="AG47" s="42"/>
      <c r="AH47" s="42"/>
      <c r="AI47" s="42"/>
      <c r="AJ47" s="42"/>
      <c r="AK47" s="42"/>
      <c r="AL47" s="42"/>
      <c r="AM47" s="100"/>
      <c r="AN47" s="100"/>
      <c r="AO47" s="100"/>
      <c r="AP47" s="100"/>
      <c r="AQ47" s="100"/>
      <c r="AR47" s="100"/>
      <c r="AS47" s="100"/>
      <c r="AT47" s="100"/>
      <c r="AU47" s="100"/>
      <c r="AV47" s="100"/>
      <c r="AW47" s="42"/>
      <c r="AX47" s="42"/>
      <c r="AY47" s="42"/>
      <c r="AZ47" s="42"/>
      <c r="BA47" s="42"/>
      <c r="BB47" s="100"/>
      <c r="BC47" s="100"/>
      <c r="BD47" s="100"/>
      <c r="BE47" s="100"/>
      <c r="BF47" s="100"/>
      <c r="BG47" s="100"/>
      <c r="BH47" s="100"/>
      <c r="BI47" s="100"/>
      <c r="BJ47" s="100"/>
      <c r="BK47" s="100"/>
      <c r="BL47" s="42"/>
      <c r="BM47" s="42"/>
      <c r="BN47" s="42"/>
      <c r="BO47" s="42"/>
      <c r="BP47" s="42"/>
      <c r="BQ47" s="100"/>
      <c r="BR47" s="100"/>
      <c r="BS47" s="100"/>
      <c r="BT47" s="100"/>
      <c r="BU47" s="100"/>
      <c r="BV47" s="100"/>
      <c r="BW47" s="100"/>
      <c r="BX47" s="100"/>
      <c r="BY47" s="100"/>
      <c r="BZ47" s="100"/>
      <c r="CA47" s="42"/>
      <c r="CB47" s="42"/>
      <c r="CC47" s="42"/>
      <c r="CD47" s="42"/>
      <c r="CE47" s="42"/>
      <c r="CF47" s="100"/>
      <c r="CG47" s="100"/>
      <c r="CH47" s="100"/>
      <c r="CI47" s="100"/>
      <c r="CJ47" s="100"/>
      <c r="CK47" s="100"/>
      <c r="CL47" s="100"/>
      <c r="CM47" s="100"/>
      <c r="CN47" s="100"/>
      <c r="CO47" s="100"/>
      <c r="CP47" s="100"/>
      <c r="CQ47" s="100"/>
      <c r="CR47" s="100"/>
      <c r="CS47" s="100"/>
      <c r="CT47" s="100"/>
      <c r="CU47" s="100"/>
      <c r="CV47" s="100"/>
      <c r="CW47" s="100"/>
      <c r="CX47" s="100"/>
      <c r="CY47" s="100"/>
      <c r="CZ47" s="100"/>
      <c r="DA47" s="100"/>
      <c r="DB47" s="100"/>
      <c r="DC47" s="100"/>
      <c r="DD47" s="100"/>
      <c r="DE47" s="100"/>
      <c r="DF47" s="100"/>
      <c r="DG47" s="100"/>
      <c r="DH47" s="100"/>
      <c r="DI47" s="100"/>
      <c r="DJ47" s="100"/>
      <c r="DK47" s="100"/>
      <c r="DL47" s="100"/>
      <c r="DM47" s="100"/>
      <c r="DN47" s="100"/>
      <c r="DO47" s="42"/>
      <c r="DP47" s="42"/>
      <c r="DQ47" s="42"/>
      <c r="DR47" s="42"/>
      <c r="DS47" s="42"/>
      <c r="DT47" s="42"/>
      <c r="DU47" s="42"/>
      <c r="DV47" s="11"/>
      <c r="DW47" s="42" t="e">
        <f t="shared" si="93"/>
        <v>#DIV/0!</v>
      </c>
      <c r="DX47" s="42"/>
      <c r="DY47" s="42"/>
      <c r="DZ47" s="42"/>
      <c r="EA47" s="42"/>
      <c r="EB47" s="42"/>
      <c r="EC47" s="42"/>
      <c r="ED47" s="42"/>
      <c r="EE47" s="112"/>
      <c r="EF47" s="112"/>
      <c r="EG47" s="4"/>
      <c r="EH47" s="4"/>
      <c r="EI47" s="4"/>
      <c r="EJ47" s="4"/>
      <c r="EK47" s="42"/>
      <c r="EL47" s="11"/>
      <c r="EM47" s="42" t="e">
        <f t="shared" si="96"/>
        <v>#DIV/0!</v>
      </c>
      <c r="EN47" s="42"/>
      <c r="EO47" s="42"/>
      <c r="EP47" s="42"/>
      <c r="EQ47" s="42"/>
      <c r="ER47" s="42"/>
      <c r="ES47" s="42"/>
      <c r="ET47" s="42"/>
      <c r="EU47" s="112"/>
      <c r="EV47" s="112"/>
      <c r="EW47" s="4"/>
      <c r="EX47" s="42"/>
      <c r="EY47" s="42"/>
      <c r="EZ47" s="11"/>
      <c r="FA47" s="11"/>
      <c r="FB47" s="42" t="e">
        <f t="shared" si="108"/>
        <v>#DIV/0!</v>
      </c>
      <c r="FC47" s="115"/>
      <c r="FD47" s="42"/>
      <c r="FE47" s="42"/>
      <c r="FF47" s="115"/>
      <c r="FG47" s="115"/>
      <c r="FH47" s="29"/>
      <c r="FI47" s="42"/>
      <c r="FJ47" s="42"/>
      <c r="FK47" s="55"/>
    </row>
  </sheetData>
  <mergeCells count="43">
    <mergeCell ref="O1:T1"/>
    <mergeCell ref="U1:Y1"/>
    <mergeCell ref="AD1:AL1"/>
    <mergeCell ref="AM1:AQ1"/>
    <mergeCell ref="AR1:AV1"/>
    <mergeCell ref="AW1:BA1"/>
    <mergeCell ref="BB1:BF1"/>
    <mergeCell ref="BG1:BK1"/>
    <mergeCell ref="BL1:BP1"/>
    <mergeCell ref="BQ1:BU1"/>
    <mergeCell ref="BV1:BZ1"/>
    <mergeCell ref="CA1:CE1"/>
    <mergeCell ref="CH1:DD1"/>
    <mergeCell ref="DE1:DI1"/>
    <mergeCell ref="DJ1:DN1"/>
    <mergeCell ref="DO1:DS1"/>
    <mergeCell ref="DV1:EK1"/>
    <mergeCell ref="EL1:EZ1"/>
    <mergeCell ref="FA1:FK1"/>
    <mergeCell ref="A1:A2"/>
    <mergeCell ref="B1:B2"/>
    <mergeCell ref="B3:B13"/>
    <mergeCell ref="B15:B25"/>
    <mergeCell ref="B26:B36"/>
    <mergeCell ref="B37:B47"/>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DT1:DT2"/>
    <mergeCell ref="DU1:DU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83"/>
  </cols>
  <sheetData>
    <row r="1" spans="1:9">
      <c r="A1" s="4" t="s">
        <v>1</v>
      </c>
      <c r="B1" s="4" t="s">
        <v>176</v>
      </c>
      <c r="C1" s="4" t="s">
        <v>177</v>
      </c>
      <c r="D1" s="4" t="s">
        <v>178</v>
      </c>
      <c r="E1" s="4"/>
      <c r="F1" s="4"/>
      <c r="G1" s="4"/>
      <c r="H1" s="4"/>
      <c r="I1" s="4"/>
    </row>
    <row r="2" ht="101" spans="1:9">
      <c r="A2" s="4"/>
      <c r="B2" s="4"/>
      <c r="C2" s="4"/>
      <c r="D2" s="84" t="s">
        <v>179</v>
      </c>
      <c r="E2" s="84" t="s">
        <v>180</v>
      </c>
      <c r="F2" s="84" t="s">
        <v>181</v>
      </c>
      <c r="G2" s="84" t="s">
        <v>182</v>
      </c>
      <c r="H2" s="84" t="s">
        <v>183</v>
      </c>
      <c r="I2" s="88" t="s">
        <v>184</v>
      </c>
    </row>
    <row r="3" spans="1:9">
      <c r="A3" s="4">
        <v>2022</v>
      </c>
      <c r="B3" s="85">
        <v>4633833787</v>
      </c>
      <c r="C3" s="85">
        <v>156565</v>
      </c>
      <c r="D3" s="4">
        <v>2</v>
      </c>
      <c r="E3" s="4">
        <v>7</v>
      </c>
      <c r="F3" s="4">
        <v>0</v>
      </c>
      <c r="G3" s="23">
        <v>3243683650.9</v>
      </c>
      <c r="H3" s="23">
        <v>6197716943.78</v>
      </c>
      <c r="I3" s="42">
        <f>G3/H3</f>
        <v>0.523367504570428</v>
      </c>
    </row>
    <row r="4" spans="1:9">
      <c r="A4" s="4">
        <v>2021</v>
      </c>
      <c r="B4" s="85">
        <v>4212576170</v>
      </c>
      <c r="C4" s="85">
        <v>174861</v>
      </c>
      <c r="D4" s="4">
        <v>1</v>
      </c>
      <c r="E4" s="4">
        <v>7.6</v>
      </c>
      <c r="F4" s="4">
        <v>0</v>
      </c>
      <c r="G4" s="23">
        <v>3201557889.2</v>
      </c>
      <c r="H4" s="23">
        <v>6670757811.72</v>
      </c>
      <c r="I4" s="42">
        <f>G4/H4</f>
        <v>0.47993915827301</v>
      </c>
    </row>
    <row r="5" spans="1:9">
      <c r="A5" s="4">
        <v>2020</v>
      </c>
      <c r="B5" s="85">
        <v>3240443208</v>
      </c>
      <c r="C5" s="85">
        <v>66719</v>
      </c>
      <c r="D5" s="86">
        <v>1</v>
      </c>
      <c r="E5" s="4">
        <v>10.3</v>
      </c>
      <c r="F5" s="4">
        <v>2</v>
      </c>
      <c r="G5" s="23">
        <v>3337656504.24</v>
      </c>
      <c r="H5" s="23">
        <v>6402859991.91</v>
      </c>
      <c r="I5" s="42">
        <f t="shared" ref="I5:I13" si="0">G5/H5</f>
        <v>0.521275884285635</v>
      </c>
    </row>
    <row r="6" spans="1:9">
      <c r="A6" s="4">
        <v>2019</v>
      </c>
      <c r="B6" s="85">
        <v>2700369340</v>
      </c>
      <c r="C6" s="85">
        <v>31382</v>
      </c>
      <c r="D6" s="4">
        <v>0</v>
      </c>
      <c r="E6" s="4">
        <v>10.8</v>
      </c>
      <c r="F6" s="4">
        <v>2</v>
      </c>
      <c r="G6" s="23">
        <v>2916398887.2</v>
      </c>
      <c r="H6" s="23">
        <v>5353185029.35</v>
      </c>
      <c r="I6" s="42">
        <f t="shared" si="0"/>
        <v>0.544796951947338</v>
      </c>
    </row>
    <row r="7" spans="1:9">
      <c r="A7" s="4">
        <v>2018</v>
      </c>
      <c r="B7" s="85">
        <v>2700369340</v>
      </c>
      <c r="C7" s="85">
        <v>21112</v>
      </c>
      <c r="D7" s="86">
        <v>0</v>
      </c>
      <c r="E7" s="4">
        <v>9.8</v>
      </c>
      <c r="F7" s="4">
        <v>0</v>
      </c>
      <c r="G7" s="23">
        <v>2646361953.2</v>
      </c>
      <c r="H7" s="23">
        <v>4364813027.88</v>
      </c>
      <c r="I7" s="42">
        <f t="shared" si="0"/>
        <v>0.606294458959985</v>
      </c>
    </row>
    <row r="8" spans="1:9">
      <c r="A8" s="87">
        <v>2017</v>
      </c>
      <c r="B8" s="85">
        <v>2701206700</v>
      </c>
      <c r="C8" s="85">
        <v>19346</v>
      </c>
      <c r="D8" s="4">
        <v>0</v>
      </c>
      <c r="E8" s="4">
        <v>8.5</v>
      </c>
      <c r="F8" s="4">
        <v>0</v>
      </c>
      <c r="G8" s="23">
        <v>2296025695</v>
      </c>
      <c r="H8" s="23">
        <v>3531436928.16</v>
      </c>
      <c r="I8" s="42">
        <f t="shared" si="0"/>
        <v>0.650167549841053</v>
      </c>
    </row>
    <row r="9" spans="1:9">
      <c r="A9" s="4">
        <v>2016</v>
      </c>
      <c r="B9" s="85">
        <v>2704950700</v>
      </c>
      <c r="C9" s="85">
        <v>23169</v>
      </c>
      <c r="D9" s="86">
        <v>0</v>
      </c>
      <c r="E9" s="4">
        <v>6.8</v>
      </c>
      <c r="F9" s="4">
        <v>0</v>
      </c>
      <c r="G9" s="23">
        <v>1839366476</v>
      </c>
      <c r="H9" s="23">
        <v>2843133968.17</v>
      </c>
      <c r="I9" s="42">
        <f t="shared" si="0"/>
        <v>0.646950335999791</v>
      </c>
    </row>
    <row r="10" spans="1:9">
      <c r="A10" s="4">
        <v>2015</v>
      </c>
      <c r="B10" s="85">
        <v>2706246000</v>
      </c>
      <c r="C10" s="85">
        <v>27577</v>
      </c>
      <c r="D10" s="86">
        <v>0</v>
      </c>
      <c r="E10" s="4">
        <v>6</v>
      </c>
      <c r="F10" s="4">
        <v>0</v>
      </c>
      <c r="G10" s="23">
        <v>1623747600</v>
      </c>
      <c r="H10" s="23">
        <v>2509632367.33</v>
      </c>
      <c r="I10" s="42">
        <f t="shared" si="0"/>
        <v>0.647006159602375</v>
      </c>
    </row>
    <row r="11" spans="1:9">
      <c r="A11" s="4">
        <v>2014</v>
      </c>
      <c r="B11" s="85">
        <v>1503580000</v>
      </c>
      <c r="C11" s="85">
        <v>20304</v>
      </c>
      <c r="D11" s="4">
        <v>0</v>
      </c>
      <c r="E11" s="4">
        <v>8.5</v>
      </c>
      <c r="F11" s="4">
        <v>8</v>
      </c>
      <c r="G11" s="23">
        <v>1278043000</v>
      </c>
      <c r="H11" s="23">
        <v>2090275690.29</v>
      </c>
      <c r="I11" s="42">
        <f t="shared" si="0"/>
        <v>0.611423175391131</v>
      </c>
    </row>
    <row r="12" spans="1:9">
      <c r="A12" s="4">
        <v>2013</v>
      </c>
      <c r="B12" s="85">
        <v>711000000</v>
      </c>
      <c r="C12" s="4">
        <v>60</v>
      </c>
      <c r="D12" s="86">
        <v>0</v>
      </c>
      <c r="E12" s="4">
        <v>13.5</v>
      </c>
      <c r="F12" s="4">
        <v>10</v>
      </c>
      <c r="G12" s="23">
        <v>978600000</v>
      </c>
      <c r="H12" s="23">
        <v>1606418791.67</v>
      </c>
      <c r="I12" s="42">
        <f t="shared" si="0"/>
        <v>0.609181120810139</v>
      </c>
    </row>
    <row r="13" spans="1:9">
      <c r="A13" s="4">
        <v>2012</v>
      </c>
      <c r="B13" s="85"/>
      <c r="C13" s="4"/>
      <c r="D13" s="86">
        <v>0</v>
      </c>
      <c r="E13" s="4">
        <v>10.5</v>
      </c>
      <c r="F13" s="4">
        <v>0</v>
      </c>
      <c r="G13" s="23">
        <v>746550000</v>
      </c>
      <c r="H13" s="23">
        <v>1207566852.96</v>
      </c>
      <c r="I13" s="42">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F15" sqref="F15"/>
    </sheetView>
  </sheetViews>
  <sheetFormatPr defaultColWidth="9.23076923076923" defaultRowHeight="16.8" outlineLevelCol="7"/>
  <cols>
    <col min="1" max="1" width="9.23076923076923" style="72"/>
    <col min="2" max="2" width="10.9230769230769" style="72"/>
    <col min="3" max="3" width="46.6923076923077" customWidth="1"/>
    <col min="4" max="4" width="21.3846153846154" style="72" customWidth="1"/>
    <col min="5" max="5" width="13.4615384615385" style="72" customWidth="1"/>
    <col min="6" max="6" width="12.7692307692308" style="72" customWidth="1"/>
    <col min="7" max="7" width="20.6730769230769" style="72" customWidth="1"/>
    <col min="8" max="8" width="17.6153846153846" style="73" customWidth="1"/>
  </cols>
  <sheetData>
    <row r="1" spans="1:8">
      <c r="A1" s="72" t="s">
        <v>1</v>
      </c>
      <c r="B1" s="72" t="s">
        <v>185</v>
      </c>
      <c r="C1" t="s">
        <v>186</v>
      </c>
      <c r="D1" s="72" t="s">
        <v>187</v>
      </c>
      <c r="E1" s="72" t="s">
        <v>188</v>
      </c>
      <c r="F1" s="72" t="s">
        <v>189</v>
      </c>
      <c r="G1" s="72" t="s">
        <v>190</v>
      </c>
      <c r="H1" s="73" t="s">
        <v>191</v>
      </c>
    </row>
    <row r="2" spans="1:8">
      <c r="A2" s="72">
        <v>2014</v>
      </c>
      <c r="B2" s="74">
        <v>41820</v>
      </c>
      <c r="C2" t="s">
        <v>192</v>
      </c>
      <c r="D2" s="75" t="s">
        <v>193</v>
      </c>
      <c r="E2" s="75">
        <v>17177837.38</v>
      </c>
      <c r="F2" s="78">
        <v>0.25</v>
      </c>
      <c r="G2" s="78">
        <v>0.15</v>
      </c>
      <c r="H2" s="79">
        <v>0.13</v>
      </c>
    </row>
    <row r="3" spans="1:2">
      <c r="A3" s="72">
        <v>2015</v>
      </c>
      <c r="B3" s="74"/>
    </row>
    <row r="4" spans="1:1">
      <c r="A4" s="72">
        <v>2016</v>
      </c>
    </row>
    <row r="5" spans="1:8">
      <c r="A5" s="72">
        <v>2017</v>
      </c>
      <c r="B5" s="72" t="s">
        <v>194</v>
      </c>
      <c r="C5" t="s">
        <v>192</v>
      </c>
      <c r="D5" s="72" t="s">
        <v>194</v>
      </c>
      <c r="E5" s="72" t="s">
        <v>194</v>
      </c>
      <c r="F5" s="72" t="s">
        <v>195</v>
      </c>
      <c r="G5" s="72" t="s">
        <v>196</v>
      </c>
      <c r="H5" s="80">
        <v>0.105</v>
      </c>
    </row>
    <row r="6" ht="34" spans="2:8">
      <c r="B6" s="74">
        <v>42767</v>
      </c>
      <c r="C6" t="s">
        <v>197</v>
      </c>
      <c r="D6" s="75" t="s">
        <v>198</v>
      </c>
      <c r="E6" s="75">
        <v>15090466.13</v>
      </c>
      <c r="F6" s="72" t="s">
        <v>199</v>
      </c>
      <c r="G6" s="81" t="s">
        <v>200</v>
      </c>
      <c r="H6" s="80">
        <v>0.105</v>
      </c>
    </row>
    <row r="7" spans="1:1">
      <c r="A7" s="72">
        <v>2018</v>
      </c>
    </row>
    <row r="8" spans="1:8">
      <c r="A8" s="72">
        <v>2019</v>
      </c>
      <c r="C8" t="s">
        <v>192</v>
      </c>
      <c r="F8" s="72" t="s">
        <v>201</v>
      </c>
      <c r="G8" s="72" t="s">
        <v>202</v>
      </c>
      <c r="H8" s="80">
        <v>0.1436</v>
      </c>
    </row>
    <row r="9" spans="3:8">
      <c r="C9" t="s">
        <v>197</v>
      </c>
      <c r="F9" s="72" t="s">
        <v>203</v>
      </c>
      <c r="G9" s="72" t="s">
        <v>204</v>
      </c>
      <c r="H9" s="80">
        <v>0.1436</v>
      </c>
    </row>
    <row r="10" spans="1:3">
      <c r="A10" s="72">
        <v>2020</v>
      </c>
      <c r="C10" t="s">
        <v>192</v>
      </c>
    </row>
    <row r="11" spans="3:8">
      <c r="C11" t="s">
        <v>197</v>
      </c>
      <c r="F11" s="72" t="s">
        <v>205</v>
      </c>
      <c r="G11" s="72" t="s">
        <v>206</v>
      </c>
      <c r="H11" s="80">
        <v>0.1382</v>
      </c>
    </row>
    <row r="12" spans="3:8">
      <c r="C12" t="s">
        <v>207</v>
      </c>
      <c r="F12" s="72" t="s">
        <v>208</v>
      </c>
      <c r="G12" s="72" t="s">
        <v>209</v>
      </c>
      <c r="H12" s="80">
        <v>0.1382</v>
      </c>
    </row>
    <row r="13" spans="1:3">
      <c r="A13" s="72">
        <v>2021</v>
      </c>
      <c r="C13" t="s">
        <v>192</v>
      </c>
    </row>
    <row r="14" spans="3:8">
      <c r="C14" t="s">
        <v>197</v>
      </c>
      <c r="D14" s="76"/>
      <c r="F14" s="72" t="s">
        <v>210</v>
      </c>
      <c r="G14" s="72" t="s">
        <v>211</v>
      </c>
      <c r="H14" s="80">
        <v>0.1382</v>
      </c>
    </row>
    <row r="15" spans="3:8">
      <c r="C15" t="s">
        <v>207</v>
      </c>
      <c r="D15" s="76"/>
      <c r="F15" s="72" t="s">
        <v>212</v>
      </c>
      <c r="G15" s="72" t="s">
        <v>213</v>
      </c>
      <c r="H15" s="80">
        <v>0.1382</v>
      </c>
    </row>
    <row r="16" spans="1:8">
      <c r="A16" s="72">
        <v>2022</v>
      </c>
      <c r="C16" t="s">
        <v>192</v>
      </c>
      <c r="D16" s="76"/>
      <c r="H16" s="80"/>
    </row>
    <row r="17" spans="3:8">
      <c r="C17" t="s">
        <v>197</v>
      </c>
      <c r="D17" s="76"/>
      <c r="F17" s="78">
        <v>0.27</v>
      </c>
      <c r="G17" s="72" t="s">
        <v>214</v>
      </c>
      <c r="H17" s="80">
        <v>0.1382</v>
      </c>
    </row>
    <row r="18" spans="3:8">
      <c r="C18" t="s">
        <v>207</v>
      </c>
      <c r="D18" s="76"/>
      <c r="F18" s="72" t="s">
        <v>215</v>
      </c>
      <c r="G18" s="72" t="s">
        <v>216</v>
      </c>
      <c r="H18" s="80">
        <v>0.1382</v>
      </c>
    </row>
    <row r="19" ht="17" spans="2:8">
      <c r="B19" s="72">
        <v>2022</v>
      </c>
      <c r="C19" s="77" t="s">
        <v>217</v>
      </c>
      <c r="D19" s="76">
        <v>440181000</v>
      </c>
      <c r="E19" s="75">
        <v>97846575.6</v>
      </c>
      <c r="F19" s="72" t="s">
        <v>218</v>
      </c>
      <c r="G19" s="72" t="s">
        <v>219</v>
      </c>
      <c r="H19" s="82">
        <v>0.1382</v>
      </c>
    </row>
    <row r="20" spans="2:8">
      <c r="B20" s="72">
        <v>2022</v>
      </c>
      <c r="C20" t="s">
        <v>220</v>
      </c>
      <c r="D20" s="75" t="s">
        <v>221</v>
      </c>
      <c r="E20" s="75">
        <v>97491384.51</v>
      </c>
      <c r="F20" s="72" t="s">
        <v>222</v>
      </c>
      <c r="G20" s="72" t="s">
        <v>223</v>
      </c>
      <c r="H20" s="80">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F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0" customWidth="1"/>
    <col min="2" max="3" width="9" style="60"/>
    <col min="4" max="4" width="90.5769230769231" style="61" customWidth="1"/>
    <col min="5" max="5" width="32.8557692307692" style="62" customWidth="1"/>
    <col min="6" max="6" width="138.144230769231" customWidth="1"/>
    <col min="7" max="7" width="116.923076923077" customWidth="1"/>
  </cols>
  <sheetData>
    <row r="1" spans="1:7">
      <c r="A1" s="12" t="s">
        <v>0</v>
      </c>
      <c r="B1" s="63" t="s">
        <v>1</v>
      </c>
      <c r="C1" s="63" t="s">
        <v>224</v>
      </c>
      <c r="D1" s="64"/>
      <c r="E1" s="12" t="s">
        <v>225</v>
      </c>
      <c r="F1" s="4"/>
      <c r="G1" s="1" t="s">
        <v>226</v>
      </c>
    </row>
    <row r="2" spans="1:7">
      <c r="A2" s="12"/>
      <c r="B2" s="63"/>
      <c r="C2" s="63" t="s">
        <v>227</v>
      </c>
      <c r="D2" s="65" t="s">
        <v>228</v>
      </c>
      <c r="E2" s="62" t="s">
        <v>227</v>
      </c>
      <c r="F2" s="55" t="s">
        <v>228</v>
      </c>
      <c r="G2" s="1"/>
    </row>
    <row r="3" ht="409.5" spans="1:7">
      <c r="A3" s="12" t="s">
        <v>68</v>
      </c>
      <c r="B3" s="63">
        <v>2022</v>
      </c>
      <c r="C3" s="63"/>
      <c r="D3" s="65"/>
      <c r="E3" s="69" t="s">
        <v>229</v>
      </c>
      <c r="F3" s="70" t="s">
        <v>230</v>
      </c>
      <c r="G3" t="s">
        <v>231</v>
      </c>
    </row>
    <row r="4" ht="409.5" spans="1:6">
      <c r="A4" s="12"/>
      <c r="B4" s="63">
        <v>2021</v>
      </c>
      <c r="C4" s="63"/>
      <c r="D4" s="66"/>
      <c r="E4" s="69" t="s">
        <v>232</v>
      </c>
      <c r="F4" s="70" t="s">
        <v>233</v>
      </c>
    </row>
    <row r="5" ht="409.5" spans="1:6">
      <c r="A5" s="12"/>
      <c r="B5" s="63">
        <v>2020</v>
      </c>
      <c r="C5" s="63"/>
      <c r="D5" s="65"/>
      <c r="E5" s="69" t="s">
        <v>234</v>
      </c>
      <c r="F5" s="70" t="s">
        <v>235</v>
      </c>
    </row>
    <row r="6" ht="409.5" spans="1:6">
      <c r="A6" s="12"/>
      <c r="B6" s="63">
        <v>2019</v>
      </c>
      <c r="C6" s="63"/>
      <c r="D6" s="65"/>
      <c r="E6" s="69" t="s">
        <v>236</v>
      </c>
      <c r="F6" s="70" t="s">
        <v>237</v>
      </c>
    </row>
    <row r="7" ht="409.5" spans="1:6">
      <c r="A7" s="12"/>
      <c r="B7" s="63">
        <v>2018</v>
      </c>
      <c r="C7" s="63"/>
      <c r="D7" s="65"/>
      <c r="E7" s="69" t="s">
        <v>238</v>
      </c>
      <c r="F7" s="70" t="s">
        <v>239</v>
      </c>
    </row>
    <row r="8" ht="409.5" spans="1:6">
      <c r="A8" s="12"/>
      <c r="B8" s="63">
        <v>2017</v>
      </c>
      <c r="C8" s="63"/>
      <c r="D8" s="65"/>
      <c r="E8" s="69" t="s">
        <v>240</v>
      </c>
      <c r="F8" s="70" t="s">
        <v>241</v>
      </c>
    </row>
    <row r="9" ht="370" spans="1:6">
      <c r="A9" s="12"/>
      <c r="B9" s="63">
        <v>2016</v>
      </c>
      <c r="C9" s="63"/>
      <c r="D9" s="65"/>
      <c r="E9" s="69" t="s">
        <v>242</v>
      </c>
      <c r="F9" s="70" t="s">
        <v>243</v>
      </c>
    </row>
    <row r="10" ht="387" spans="1:6">
      <c r="A10" s="12"/>
      <c r="B10" s="63">
        <v>2015</v>
      </c>
      <c r="C10" s="63"/>
      <c r="D10" s="65"/>
      <c r="E10" s="69" t="s">
        <v>244</v>
      </c>
      <c r="F10" s="70" t="s">
        <v>245</v>
      </c>
    </row>
    <row r="11" ht="404" spans="1:6">
      <c r="A11" s="12"/>
      <c r="B11" s="63">
        <v>2014</v>
      </c>
      <c r="C11" s="63"/>
      <c r="D11" s="65"/>
      <c r="E11" s="69" t="s">
        <v>246</v>
      </c>
      <c r="F11" s="70" t="s">
        <v>247</v>
      </c>
    </row>
    <row r="12" ht="409.5" spans="1:6">
      <c r="A12" s="12"/>
      <c r="B12" s="63">
        <v>2013</v>
      </c>
      <c r="C12" s="63"/>
      <c r="D12" s="65"/>
      <c r="E12" s="69" t="s">
        <v>248</v>
      </c>
      <c r="F12" s="70" t="s">
        <v>249</v>
      </c>
    </row>
    <row r="13" spans="1:6">
      <c r="A13" s="12"/>
      <c r="B13" s="63">
        <v>2012</v>
      </c>
      <c r="C13" s="63"/>
      <c r="D13" s="65"/>
      <c r="F13" s="55"/>
    </row>
    <row r="14" customFormat="1" spans="1:6">
      <c r="A14" s="12" t="s">
        <v>79</v>
      </c>
      <c r="B14" s="63">
        <v>2022</v>
      </c>
      <c r="C14" s="63"/>
      <c r="D14" s="65"/>
      <c r="E14" s="62"/>
      <c r="F14" s="55"/>
    </row>
    <row r="15" customFormat="1" spans="1:6">
      <c r="A15" s="12"/>
      <c r="B15" s="63">
        <v>2021</v>
      </c>
      <c r="C15" s="63"/>
      <c r="D15" s="65"/>
      <c r="E15" s="62"/>
      <c r="F15" s="55"/>
    </row>
    <row r="16" customFormat="1" spans="1:6">
      <c r="A16" s="12"/>
      <c r="B16" s="63">
        <v>2020</v>
      </c>
      <c r="C16" s="63"/>
      <c r="D16" s="65"/>
      <c r="E16" s="62"/>
      <c r="F16" s="55"/>
    </row>
    <row r="17" customFormat="1" spans="1:6">
      <c r="A17" s="12"/>
      <c r="B17" s="63">
        <v>2019</v>
      </c>
      <c r="C17" s="63"/>
      <c r="D17" s="65"/>
      <c r="E17" s="62"/>
      <c r="F17" s="55"/>
    </row>
    <row r="18" customFormat="1" spans="1:6">
      <c r="A18" s="12"/>
      <c r="B18" s="63">
        <v>2018</v>
      </c>
      <c r="C18" s="63"/>
      <c r="D18" s="65"/>
      <c r="E18" s="62"/>
      <c r="F18" s="55"/>
    </row>
    <row r="19" customFormat="1" spans="1:6">
      <c r="A19" s="12"/>
      <c r="B19" s="63">
        <v>2017</v>
      </c>
      <c r="C19" s="63"/>
      <c r="D19" s="65"/>
      <c r="E19" s="62"/>
      <c r="F19" s="55"/>
    </row>
    <row r="20" customFormat="1" spans="1:6">
      <c r="A20" s="12"/>
      <c r="B20" s="63">
        <v>2016</v>
      </c>
      <c r="C20" s="63"/>
      <c r="D20" s="65"/>
      <c r="E20" s="62"/>
      <c r="F20" s="55"/>
    </row>
    <row r="21" customFormat="1" spans="1:6">
      <c r="A21" s="12"/>
      <c r="B21" s="63">
        <v>2015</v>
      </c>
      <c r="C21" s="63"/>
      <c r="D21" s="65"/>
      <c r="E21" s="62"/>
      <c r="F21" s="55"/>
    </row>
    <row r="22" customFormat="1" spans="1:6">
      <c r="A22" s="12"/>
      <c r="B22" s="63">
        <v>2014</v>
      </c>
      <c r="C22" s="63"/>
      <c r="D22" s="65"/>
      <c r="E22" s="62"/>
      <c r="F22" s="55"/>
    </row>
    <row r="23" customFormat="1" spans="1:6">
      <c r="A23" s="12"/>
      <c r="B23" s="63">
        <v>2013</v>
      </c>
      <c r="C23" s="63"/>
      <c r="D23" s="65"/>
      <c r="E23" s="62"/>
      <c r="F23" s="55"/>
    </row>
    <row r="24" customFormat="1" spans="1:6">
      <c r="A24" s="12"/>
      <c r="B24" s="63">
        <v>2012</v>
      </c>
      <c r="C24" s="63"/>
      <c r="D24" s="65"/>
      <c r="E24" s="62"/>
      <c r="F24" s="55"/>
    </row>
    <row r="25" ht="409.5" spans="1:6">
      <c r="A25" s="6" t="s">
        <v>81</v>
      </c>
      <c r="B25" s="63">
        <v>2022</v>
      </c>
      <c r="C25" s="63"/>
      <c r="D25" s="66" t="s">
        <v>250</v>
      </c>
      <c r="F25" s="70" t="s">
        <v>251</v>
      </c>
    </row>
    <row r="26" ht="409.5" spans="1:6">
      <c r="A26" s="67"/>
      <c r="B26" s="63">
        <v>2021</v>
      </c>
      <c r="C26" s="63"/>
      <c r="D26" s="66" t="s">
        <v>252</v>
      </c>
      <c r="F26" s="70" t="s">
        <v>253</v>
      </c>
    </row>
    <row r="27" ht="409.5" spans="1:6">
      <c r="A27" s="67"/>
      <c r="B27" s="63">
        <v>2020</v>
      </c>
      <c r="C27" s="63"/>
      <c r="D27" s="66" t="s">
        <v>254</v>
      </c>
      <c r="F27" s="70" t="s">
        <v>255</v>
      </c>
    </row>
    <row r="28" ht="409.5" spans="1:6">
      <c r="A28" s="67"/>
      <c r="B28" s="63">
        <v>2019</v>
      </c>
      <c r="C28" s="63"/>
      <c r="D28" s="66" t="s">
        <v>254</v>
      </c>
      <c r="F28" s="70" t="s">
        <v>256</v>
      </c>
    </row>
    <row r="29" ht="409.5" spans="1:6">
      <c r="A29" s="67"/>
      <c r="B29" s="63">
        <v>2018</v>
      </c>
      <c r="C29" s="63"/>
      <c r="D29" s="66" t="s">
        <v>254</v>
      </c>
      <c r="F29" s="70" t="s">
        <v>257</v>
      </c>
    </row>
    <row r="30" ht="409.5" spans="1:6">
      <c r="A30" s="67"/>
      <c r="B30" s="63">
        <v>2017</v>
      </c>
      <c r="C30" s="63" t="s">
        <v>258</v>
      </c>
      <c r="D30" s="66" t="s">
        <v>259</v>
      </c>
      <c r="F30" s="70" t="s">
        <v>260</v>
      </c>
    </row>
    <row r="31" ht="409.5" spans="1:6">
      <c r="A31" s="67"/>
      <c r="B31" s="63">
        <v>2016</v>
      </c>
      <c r="C31" s="68" t="s">
        <v>261</v>
      </c>
      <c r="D31" s="66" t="s">
        <v>262</v>
      </c>
      <c r="F31" s="70" t="s">
        <v>263</v>
      </c>
    </row>
    <row r="32" spans="1:6">
      <c r="A32" s="67"/>
      <c r="B32" s="63">
        <v>2015</v>
      </c>
      <c r="C32" s="63"/>
      <c r="D32" s="65"/>
      <c r="F32" s="55"/>
    </row>
    <row r="33" spans="1:6">
      <c r="A33" s="67"/>
      <c r="B33" s="63">
        <v>2014</v>
      </c>
      <c r="C33" s="63"/>
      <c r="D33" s="65"/>
      <c r="F33" s="55"/>
    </row>
    <row r="34" spans="1:6">
      <c r="A34" s="67"/>
      <c r="B34" s="63">
        <v>2013</v>
      </c>
      <c r="C34" s="63"/>
      <c r="D34" s="65"/>
      <c r="F34" s="55"/>
    </row>
    <row r="35" spans="1:6">
      <c r="A35" s="8"/>
      <c r="B35" s="63">
        <v>2012</v>
      </c>
      <c r="C35" s="63"/>
      <c r="D35" s="65"/>
      <c r="F35" s="55"/>
    </row>
    <row r="36" ht="409.5" spans="1:6">
      <c r="A36" s="12" t="s">
        <v>82</v>
      </c>
      <c r="B36" s="63">
        <v>2022</v>
      </c>
      <c r="C36" s="63"/>
      <c r="D36" s="66" t="s">
        <v>264</v>
      </c>
      <c r="F36" s="70" t="s">
        <v>265</v>
      </c>
    </row>
    <row r="37" ht="409.5" spans="1:6">
      <c r="A37" s="12"/>
      <c r="B37" s="63">
        <v>2021</v>
      </c>
      <c r="C37" s="63"/>
      <c r="D37" s="66" t="s">
        <v>266</v>
      </c>
      <c r="F37" s="70" t="s">
        <v>267</v>
      </c>
    </row>
    <row r="38" ht="409.5" spans="1:6">
      <c r="A38" s="12"/>
      <c r="B38" s="63">
        <v>2020</v>
      </c>
      <c r="C38" s="63"/>
      <c r="D38" s="65"/>
      <c r="F38" s="70" t="s">
        <v>268</v>
      </c>
    </row>
    <row r="39" ht="409.5" spans="1:6">
      <c r="A39" s="12"/>
      <c r="B39" s="63">
        <v>2019</v>
      </c>
      <c r="C39" s="63"/>
      <c r="D39" s="65"/>
      <c r="E39" s="69"/>
      <c r="F39" s="70" t="s">
        <v>269</v>
      </c>
    </row>
    <row r="40" spans="1:6">
      <c r="A40" s="12"/>
      <c r="B40" s="63">
        <v>2018</v>
      </c>
      <c r="C40" s="63"/>
      <c r="D40" s="65"/>
      <c r="F40" s="55"/>
    </row>
    <row r="41" spans="1:6">
      <c r="A41" s="12"/>
      <c r="B41" s="63">
        <v>2017</v>
      </c>
      <c r="C41" s="63"/>
      <c r="D41" s="65"/>
      <c r="F41" s="55"/>
    </row>
    <row r="42" spans="1:6">
      <c r="A42" s="12"/>
      <c r="B42" s="63">
        <v>2016</v>
      </c>
      <c r="C42" s="63"/>
      <c r="D42" s="65"/>
      <c r="F42" s="55"/>
    </row>
    <row r="43" spans="1:6">
      <c r="A43" s="12"/>
      <c r="B43" s="63">
        <v>2015</v>
      </c>
      <c r="C43" s="63"/>
      <c r="D43" s="65"/>
      <c r="F43" s="55"/>
    </row>
    <row r="44" spans="1:6">
      <c r="A44" s="12"/>
      <c r="B44" s="63">
        <v>2014</v>
      </c>
      <c r="C44" s="63"/>
      <c r="D44" s="65"/>
      <c r="F44" s="55"/>
    </row>
    <row r="45" spans="1:6">
      <c r="A45" s="12"/>
      <c r="B45" s="63">
        <v>2013</v>
      </c>
      <c r="C45" s="63"/>
      <c r="D45" s="65"/>
      <c r="F45" s="55"/>
    </row>
    <row r="46" spans="1:6">
      <c r="A46" s="12"/>
      <c r="B46" s="63">
        <v>2012</v>
      </c>
      <c r="C46" s="63"/>
      <c r="D46" s="65"/>
      <c r="F46" s="55"/>
    </row>
    <row r="47" spans="1:6">
      <c r="A47" s="6" t="s">
        <v>84</v>
      </c>
      <c r="B47" s="63">
        <v>2022</v>
      </c>
      <c r="C47" s="63"/>
      <c r="D47" s="65"/>
      <c r="F47" s="55"/>
    </row>
    <row r="48" spans="1:6">
      <c r="A48" s="67"/>
      <c r="B48" s="63">
        <v>2021</v>
      </c>
      <c r="C48" s="63"/>
      <c r="D48" s="65"/>
      <c r="F48" s="55"/>
    </row>
    <row r="49" spans="1:6">
      <c r="A49" s="67"/>
      <c r="B49" s="63">
        <v>2020</v>
      </c>
      <c r="C49" s="63"/>
      <c r="D49" s="65"/>
      <c r="F49" s="55"/>
    </row>
    <row r="50" spans="1:6">
      <c r="A50" s="67"/>
      <c r="B50" s="63">
        <v>2019</v>
      </c>
      <c r="C50" s="63"/>
      <c r="D50" s="65"/>
      <c r="F50" s="55"/>
    </row>
    <row r="51" spans="1:6">
      <c r="A51" s="67"/>
      <c r="B51" s="63">
        <v>2018</v>
      </c>
      <c r="C51" s="63"/>
      <c r="D51" s="65"/>
      <c r="F51" s="55"/>
    </row>
    <row r="52" spans="1:6">
      <c r="A52" s="67"/>
      <c r="B52" s="63">
        <v>2017</v>
      </c>
      <c r="C52" s="63"/>
      <c r="D52" s="65"/>
      <c r="F52" s="55"/>
    </row>
    <row r="53" spans="1:6">
      <c r="A53" s="67"/>
      <c r="B53" s="63">
        <v>2016</v>
      </c>
      <c r="C53" s="63"/>
      <c r="D53" s="65"/>
      <c r="F53" s="55"/>
    </row>
    <row r="54" spans="1:6">
      <c r="A54" s="67"/>
      <c r="B54" s="63">
        <v>2015</v>
      </c>
      <c r="C54" s="63"/>
      <c r="D54" s="65"/>
      <c r="F54" s="55"/>
    </row>
    <row r="55" spans="1:6">
      <c r="A55" s="67"/>
      <c r="B55" s="63">
        <v>2014</v>
      </c>
      <c r="C55" s="63"/>
      <c r="D55" s="65"/>
      <c r="F55" s="55"/>
    </row>
    <row r="56" spans="1:6">
      <c r="A56" s="67"/>
      <c r="B56" s="63">
        <v>2013</v>
      </c>
      <c r="C56" s="63"/>
      <c r="D56" s="65"/>
      <c r="F56" s="55"/>
    </row>
    <row r="57" spans="1:6">
      <c r="A57" s="8"/>
      <c r="B57" s="63">
        <v>2012</v>
      </c>
      <c r="C57" s="63"/>
      <c r="D57" s="65"/>
      <c r="F57" s="55"/>
    </row>
    <row r="58" spans="1:6">
      <c r="A58" s="12" t="s">
        <v>83</v>
      </c>
      <c r="B58" s="63">
        <v>2022</v>
      </c>
      <c r="C58" s="63"/>
      <c r="D58" s="65"/>
      <c r="F58" s="55"/>
    </row>
    <row r="59" spans="1:6">
      <c r="A59" s="12"/>
      <c r="B59" s="63">
        <v>2021</v>
      </c>
      <c r="C59" s="63"/>
      <c r="D59" s="65"/>
      <c r="F59" s="55"/>
    </row>
    <row r="60" spans="1:6">
      <c r="A60" s="12"/>
      <c r="B60" s="63">
        <v>2020</v>
      </c>
      <c r="C60" s="63"/>
      <c r="D60" s="65"/>
      <c r="F60" s="55"/>
    </row>
    <row r="61" spans="1:6">
      <c r="A61" s="12"/>
      <c r="B61" s="63">
        <v>2019</v>
      </c>
      <c r="C61" s="63"/>
      <c r="D61" s="65"/>
      <c r="F61" s="55"/>
    </row>
    <row r="62" spans="1:6">
      <c r="A62" s="12"/>
      <c r="B62" s="63">
        <v>2018</v>
      </c>
      <c r="C62" s="63"/>
      <c r="D62" s="65"/>
      <c r="F62" s="55"/>
    </row>
    <row r="63" spans="1:6">
      <c r="A63" s="12"/>
      <c r="B63" s="63">
        <v>2017</v>
      </c>
      <c r="C63" s="63"/>
      <c r="D63" s="65"/>
      <c r="F63" s="55"/>
    </row>
    <row r="64" spans="1:6">
      <c r="A64" s="12"/>
      <c r="B64" s="63">
        <v>2016</v>
      </c>
      <c r="C64" s="63"/>
      <c r="D64" s="65"/>
      <c r="F64" s="55"/>
    </row>
    <row r="65" spans="1:6">
      <c r="A65" s="12"/>
      <c r="B65" s="63">
        <v>2015</v>
      </c>
      <c r="C65" s="63"/>
      <c r="D65" s="65"/>
      <c r="F65" s="55"/>
    </row>
    <row r="66" spans="1:6">
      <c r="A66" s="12"/>
      <c r="B66" s="63">
        <v>2014</v>
      </c>
      <c r="C66" s="63"/>
      <c r="D66" s="65"/>
      <c r="F66" s="55"/>
    </row>
    <row r="67" spans="1:6">
      <c r="A67" s="12"/>
      <c r="B67" s="63">
        <v>2013</v>
      </c>
      <c r="C67" s="63"/>
      <c r="D67" s="65"/>
      <c r="F67" s="55"/>
    </row>
    <row r="68" spans="1:6">
      <c r="A68" s="12"/>
      <c r="B68" s="63">
        <v>2012</v>
      </c>
      <c r="C68" s="63"/>
      <c r="D68" s="65"/>
      <c r="F68" s="55"/>
    </row>
    <row r="69" spans="1:6">
      <c r="A69" s="12" t="s">
        <v>85</v>
      </c>
      <c r="B69" s="63">
        <v>2022</v>
      </c>
      <c r="C69" s="63"/>
      <c r="D69" s="65"/>
      <c r="F69" s="55"/>
    </row>
    <row r="70" spans="1:6">
      <c r="A70" s="12"/>
      <c r="B70" s="63">
        <v>2021</v>
      </c>
      <c r="C70" s="63"/>
      <c r="D70" s="65"/>
      <c r="F70" s="55"/>
    </row>
    <row r="71" spans="1:6">
      <c r="A71" s="12"/>
      <c r="B71" s="63">
        <v>2020</v>
      </c>
      <c r="C71" s="63"/>
      <c r="D71" s="65"/>
      <c r="F71" s="55"/>
    </row>
    <row r="72" spans="1:6">
      <c r="A72" s="12"/>
      <c r="B72" s="63">
        <v>2019</v>
      </c>
      <c r="C72" s="63"/>
      <c r="D72" s="65"/>
      <c r="F72" s="55"/>
    </row>
    <row r="73" spans="1:6">
      <c r="A73" s="12"/>
      <c r="B73" s="63">
        <v>2018</v>
      </c>
      <c r="C73" s="63"/>
      <c r="D73" s="65"/>
      <c r="F73" s="55"/>
    </row>
    <row r="74" spans="1:6">
      <c r="A74" s="12"/>
      <c r="B74" s="63">
        <v>2017</v>
      </c>
      <c r="C74" s="63"/>
      <c r="D74" s="65"/>
      <c r="F74" s="55"/>
    </row>
    <row r="75" spans="1:6">
      <c r="A75" s="12"/>
      <c r="B75" s="63">
        <v>2016</v>
      </c>
      <c r="C75" s="63"/>
      <c r="D75" s="65"/>
      <c r="F75" s="55"/>
    </row>
    <row r="76" spans="1:6">
      <c r="A76" s="12"/>
      <c r="B76" s="63">
        <v>2015</v>
      </c>
      <c r="C76" s="63"/>
      <c r="D76" s="65"/>
      <c r="F76" s="55"/>
    </row>
    <row r="77" spans="1:6">
      <c r="A77" s="12"/>
      <c r="B77" s="63">
        <v>2014</v>
      </c>
      <c r="C77" s="63"/>
      <c r="D77" s="65"/>
      <c r="F77" s="55"/>
    </row>
    <row r="78" spans="1:6">
      <c r="A78" s="12"/>
      <c r="B78" s="63">
        <v>2013</v>
      </c>
      <c r="C78" s="63"/>
      <c r="D78" s="65"/>
      <c r="F78" s="55"/>
    </row>
    <row r="79" spans="1:6">
      <c r="A79" s="12"/>
      <c r="B79" s="63">
        <v>2012</v>
      </c>
      <c r="C79" s="63"/>
      <c r="D79" s="65"/>
      <c r="F79" s="55"/>
    </row>
    <row r="80" spans="1:6">
      <c r="A80" s="12" t="s">
        <v>86</v>
      </c>
      <c r="B80" s="63">
        <v>2022</v>
      </c>
      <c r="C80" s="63"/>
      <c r="D80" s="65"/>
      <c r="F80" s="55"/>
    </row>
    <row r="81" spans="1:6">
      <c r="A81" s="12"/>
      <c r="B81" s="63">
        <v>2021</v>
      </c>
      <c r="C81" s="63"/>
      <c r="D81" s="65"/>
      <c r="F81" s="55"/>
    </row>
    <row r="82" spans="1:6">
      <c r="A82" s="12"/>
      <c r="B82" s="63">
        <v>2020</v>
      </c>
      <c r="C82" s="63"/>
      <c r="D82" s="65"/>
      <c r="F82" s="55"/>
    </row>
    <row r="83" spans="1:6">
      <c r="A83" s="12"/>
      <c r="B83" s="63">
        <v>2019</v>
      </c>
      <c r="C83" s="63"/>
      <c r="D83" s="65"/>
      <c r="F83" s="55"/>
    </row>
    <row r="84" spans="1:6">
      <c r="A84" s="12"/>
      <c r="B84" s="63">
        <v>2018</v>
      </c>
      <c r="C84" s="63"/>
      <c r="D84" s="65"/>
      <c r="F84" s="55"/>
    </row>
    <row r="85" spans="1:6">
      <c r="A85" s="12"/>
      <c r="B85" s="63">
        <v>2017</v>
      </c>
      <c r="C85" s="63"/>
      <c r="D85" s="65"/>
      <c r="F85" s="55"/>
    </row>
    <row r="86" spans="1:6">
      <c r="A86" s="12"/>
      <c r="B86" s="63">
        <v>2016</v>
      </c>
      <c r="C86" s="63"/>
      <c r="D86" s="65"/>
      <c r="F86" s="55"/>
    </row>
    <row r="87" spans="1:6">
      <c r="A87" s="12"/>
      <c r="B87" s="63">
        <v>2015</v>
      </c>
      <c r="C87" s="63"/>
      <c r="D87" s="65"/>
      <c r="F87" s="55"/>
    </row>
    <row r="88" spans="1:6">
      <c r="A88" s="12"/>
      <c r="B88" s="63">
        <v>2014</v>
      </c>
      <c r="C88" s="63"/>
      <c r="D88" s="65"/>
      <c r="F88" s="55"/>
    </row>
    <row r="89" spans="1:6">
      <c r="A89" s="12"/>
      <c r="B89" s="63">
        <v>2013</v>
      </c>
      <c r="C89" s="63"/>
      <c r="D89" s="65"/>
      <c r="F89" s="55"/>
    </row>
    <row r="90" spans="1:6">
      <c r="A90" s="12"/>
      <c r="B90" s="63">
        <v>2012</v>
      </c>
      <c r="C90" s="63"/>
      <c r="D90" s="65"/>
      <c r="F90" s="55"/>
    </row>
    <row r="91" spans="1:6">
      <c r="A91" s="12" t="s">
        <v>87</v>
      </c>
      <c r="B91" s="63">
        <v>2022</v>
      </c>
      <c r="C91" s="63"/>
      <c r="D91" s="65"/>
      <c r="F91" s="55"/>
    </row>
    <row r="92" spans="1:6">
      <c r="A92" s="12"/>
      <c r="B92" s="63">
        <v>2021</v>
      </c>
      <c r="C92" s="63"/>
      <c r="D92" s="65"/>
      <c r="F92" s="55"/>
    </row>
    <row r="93" spans="1:6">
      <c r="A93" s="12"/>
      <c r="B93" s="63">
        <v>2020</v>
      </c>
      <c r="C93" s="63"/>
      <c r="D93" s="65"/>
      <c r="F93" s="55"/>
    </row>
    <row r="94" spans="1:6">
      <c r="A94" s="12"/>
      <c r="B94" s="63">
        <v>2019</v>
      </c>
      <c r="C94" s="63"/>
      <c r="D94" s="65"/>
      <c r="F94" s="55"/>
    </row>
    <row r="95" spans="1:6">
      <c r="A95" s="12"/>
      <c r="B95" s="63">
        <v>2018</v>
      </c>
      <c r="C95" s="63"/>
      <c r="D95" s="65"/>
      <c r="F95" s="55"/>
    </row>
    <row r="96" spans="1:6">
      <c r="A96" s="12"/>
      <c r="B96" s="63">
        <v>2017</v>
      </c>
      <c r="C96" s="63"/>
      <c r="D96" s="65"/>
      <c r="F96" s="55"/>
    </row>
    <row r="97" spans="1:6">
      <c r="A97" s="12"/>
      <c r="B97" s="63">
        <v>2016</v>
      </c>
      <c r="C97" s="63"/>
      <c r="D97" s="65"/>
      <c r="F97" s="55"/>
    </row>
    <row r="98" spans="1:6">
      <c r="A98" s="12"/>
      <c r="B98" s="63">
        <v>2015</v>
      </c>
      <c r="C98" s="63"/>
      <c r="D98" s="65"/>
      <c r="F98" s="55"/>
    </row>
    <row r="99" spans="1:6">
      <c r="A99" s="12"/>
      <c r="B99" s="63">
        <v>2014</v>
      </c>
      <c r="C99" s="63"/>
      <c r="D99" s="65"/>
      <c r="F99" s="55"/>
    </row>
    <row r="100" spans="1:6">
      <c r="A100" s="12"/>
      <c r="B100" s="63">
        <v>2013</v>
      </c>
      <c r="C100" s="63"/>
      <c r="D100" s="65"/>
      <c r="F100" s="55"/>
    </row>
    <row r="101" spans="1:6">
      <c r="A101" s="12"/>
      <c r="B101" s="63">
        <v>2012</v>
      </c>
      <c r="C101" s="63"/>
      <c r="D101" s="65"/>
      <c r="F101" s="55"/>
    </row>
    <row r="102" spans="5:5">
      <c r="E102" s="71"/>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4" t="s">
        <v>0</v>
      </c>
      <c r="B1" s="4" t="s">
        <v>1</v>
      </c>
      <c r="C1" s="5" t="s">
        <v>2</v>
      </c>
      <c r="D1" s="6" t="s">
        <v>4</v>
      </c>
      <c r="E1" s="6" t="s">
        <v>6</v>
      </c>
      <c r="F1" s="19" t="s">
        <v>7</v>
      </c>
      <c r="G1" s="20" t="s">
        <v>10</v>
      </c>
      <c r="H1" s="21"/>
      <c r="I1" s="21"/>
      <c r="J1" s="21"/>
      <c r="K1" s="21"/>
      <c r="L1" s="21"/>
      <c r="M1" s="21"/>
      <c r="N1" s="25"/>
      <c r="O1" s="26" t="s">
        <v>11</v>
      </c>
      <c r="P1" s="27" t="s">
        <v>12</v>
      </c>
      <c r="Q1" s="27"/>
      <c r="R1" s="27"/>
      <c r="S1" s="27"/>
      <c r="T1" s="27"/>
      <c r="U1" s="27"/>
      <c r="V1" s="27"/>
      <c r="W1" s="27"/>
      <c r="X1" s="27"/>
      <c r="Y1" s="26" t="s">
        <v>13</v>
      </c>
      <c r="Z1" s="30" t="s">
        <v>14</v>
      </c>
      <c r="AA1" s="31" t="s">
        <v>15</v>
      </c>
      <c r="AB1" s="32" t="s">
        <v>16</v>
      </c>
      <c r="AC1" s="36" t="s">
        <v>17</v>
      </c>
      <c r="AD1" s="37" t="s">
        <v>18</v>
      </c>
      <c r="AE1" s="38" t="s">
        <v>19</v>
      </c>
      <c r="AF1" s="39" t="s">
        <v>20</v>
      </c>
      <c r="AG1" s="45" t="s">
        <v>270</v>
      </c>
      <c r="AH1" s="46" t="s">
        <v>271</v>
      </c>
      <c r="AI1" s="47" t="s">
        <v>43</v>
      </c>
      <c r="AJ1" s="10" t="s">
        <v>44</v>
      </c>
      <c r="AK1" s="48" t="s">
        <v>272</v>
      </c>
      <c r="AL1" s="48"/>
      <c r="AM1" s="48"/>
      <c r="AN1" s="48"/>
      <c r="AO1" s="50" t="s">
        <v>273</v>
      </c>
      <c r="AP1" s="51" t="s">
        <v>45</v>
      </c>
      <c r="AQ1" s="52" t="s">
        <v>46</v>
      </c>
      <c r="AR1" s="12" t="s">
        <v>31</v>
      </c>
      <c r="AS1" s="12" t="s">
        <v>32</v>
      </c>
      <c r="AT1" s="12" t="s">
        <v>33</v>
      </c>
      <c r="AU1" s="12" t="s">
        <v>34</v>
      </c>
      <c r="AV1" s="12" t="s">
        <v>35</v>
      </c>
      <c r="AW1" s="12" t="s">
        <v>36</v>
      </c>
      <c r="AX1" s="12" t="s">
        <v>37</v>
      </c>
      <c r="AY1" s="12" t="s">
        <v>38</v>
      </c>
      <c r="AZ1" s="57" t="s">
        <v>48</v>
      </c>
    </row>
    <row r="2" ht="409.5" spans="1:52">
      <c r="A2" s="4"/>
      <c r="B2" s="4"/>
      <c r="C2" s="7"/>
      <c r="D2" s="8"/>
      <c r="E2" s="8"/>
      <c r="F2" s="19"/>
      <c r="G2" s="22" t="s">
        <v>51</v>
      </c>
      <c r="H2" s="22" t="s">
        <v>52</v>
      </c>
      <c r="I2" s="22" t="s">
        <v>53</v>
      </c>
      <c r="J2" s="22" t="s">
        <v>54</v>
      </c>
      <c r="K2" s="22" t="s">
        <v>55</v>
      </c>
      <c r="L2" s="22" t="s">
        <v>56</v>
      </c>
      <c r="M2" s="22" t="s">
        <v>57</v>
      </c>
      <c r="N2" s="22" t="s">
        <v>58</v>
      </c>
      <c r="O2" s="26"/>
      <c r="P2" s="27" t="s">
        <v>59</v>
      </c>
      <c r="Q2" s="27" t="s">
        <v>60</v>
      </c>
      <c r="R2" s="27" t="s">
        <v>61</v>
      </c>
      <c r="S2" s="27" t="s">
        <v>62</v>
      </c>
      <c r="T2" s="28" t="s">
        <v>63</v>
      </c>
      <c r="U2" s="28" t="s">
        <v>64</v>
      </c>
      <c r="V2" s="28" t="s">
        <v>65</v>
      </c>
      <c r="W2" s="28" t="s">
        <v>66</v>
      </c>
      <c r="X2" s="28" t="s">
        <v>67</v>
      </c>
      <c r="Y2" s="26"/>
      <c r="Z2" s="33"/>
      <c r="AA2" s="34"/>
      <c r="AB2" s="35"/>
      <c r="AC2" s="40"/>
      <c r="AD2" s="37"/>
      <c r="AE2" s="38"/>
      <c r="AF2" s="41"/>
      <c r="AG2" s="45"/>
      <c r="AH2" s="46"/>
      <c r="AI2" s="47"/>
      <c r="AJ2" s="10"/>
      <c r="AK2" s="48" t="s">
        <v>274</v>
      </c>
      <c r="AL2" s="49" t="s">
        <v>275</v>
      </c>
      <c r="AM2" s="49" t="s">
        <v>276</v>
      </c>
      <c r="AN2" s="48" t="s">
        <v>277</v>
      </c>
      <c r="AO2" s="50"/>
      <c r="AP2" s="53"/>
      <c r="AQ2" s="52"/>
      <c r="AR2" s="12"/>
      <c r="AS2" s="12"/>
      <c r="AT2" s="12"/>
      <c r="AU2" s="12"/>
      <c r="AV2" s="12"/>
      <c r="AW2" s="12"/>
      <c r="AX2" s="12"/>
      <c r="AY2" s="12"/>
      <c r="AZ2" s="57"/>
    </row>
    <row r="3" spans="1:52">
      <c r="A3" s="9" t="s">
        <v>68</v>
      </c>
      <c r="B3" s="9">
        <v>2022</v>
      </c>
      <c r="C3" s="10">
        <f>3688.53*100000000</f>
        <v>368853000000</v>
      </c>
      <c r="D3" s="11">
        <v>4633833787</v>
      </c>
      <c r="E3" s="23">
        <v>34059175850.3</v>
      </c>
      <c r="F3" s="11">
        <v>26884479411.22</v>
      </c>
      <c r="G3" s="11"/>
      <c r="H3" s="11">
        <v>93653455.89</v>
      </c>
      <c r="I3" s="11"/>
      <c r="J3" s="11">
        <v>29745723.29</v>
      </c>
      <c r="K3" s="11"/>
      <c r="L3" s="11">
        <v>131720077.32</v>
      </c>
      <c r="M3" s="11"/>
      <c r="N3" s="11"/>
      <c r="O3" s="11">
        <f>SUM(G3:N3)</f>
        <v>255119256.5</v>
      </c>
      <c r="P3" s="11"/>
      <c r="Q3" s="11"/>
      <c r="R3" s="11"/>
      <c r="S3" s="11"/>
      <c r="T3" s="29">
        <v>100000</v>
      </c>
      <c r="U3" s="29">
        <v>4131328.25</v>
      </c>
      <c r="V3" s="29">
        <v>18223307402.03</v>
      </c>
      <c r="W3" s="29"/>
      <c r="X3" s="29">
        <v>6081662998.97</v>
      </c>
      <c r="Y3" s="29">
        <f>SUM(P3:X3)</f>
        <v>24309201729.25</v>
      </c>
      <c r="Z3" s="29">
        <f t="shared" ref="Z3:Z13" si="0">SUM(P3:U3)</f>
        <v>4231328.25</v>
      </c>
      <c r="AA3" s="29">
        <f t="shared" ref="AA3:AA13" si="1">SUM(V3:X3)</f>
        <v>24304970401</v>
      </c>
      <c r="AB3" s="29">
        <f t="shared" ref="AB3:AB13" si="2">E3-Y3</f>
        <v>9749974121.05</v>
      </c>
      <c r="AC3" s="11">
        <v>4206780719.87</v>
      </c>
      <c r="AD3" s="11">
        <v>1179878268.77</v>
      </c>
      <c r="AE3" s="11">
        <v>684643779.66</v>
      </c>
      <c r="AF3" s="42">
        <f t="shared" ref="AF3:AF13" si="3">SUM(AC3:AE3)/AB3</f>
        <v>0.622699372626249</v>
      </c>
      <c r="AG3" s="29">
        <f>F3+O3-Y3</f>
        <v>2830396938.47</v>
      </c>
      <c r="AH3" s="29">
        <v>7364206015.29</v>
      </c>
      <c r="AI3" s="29">
        <v>-732179071.06</v>
      </c>
      <c r="AJ3" s="11">
        <f t="shared" ref="AJ3:AJ66" si="4">AH3+AI3</f>
        <v>6632026944.23</v>
      </c>
      <c r="AK3" s="11">
        <v>1190223.85</v>
      </c>
      <c r="AL3" s="11">
        <v>144183702.42</v>
      </c>
      <c r="AM3" s="11">
        <v>134371757.35</v>
      </c>
      <c r="AN3" s="11">
        <v>11925091.07</v>
      </c>
      <c r="AO3" s="11">
        <f t="shared" ref="AO3:AO13" si="5">SUM(AK3:AN3)</f>
        <v>291670774.69</v>
      </c>
      <c r="AP3" s="11">
        <f t="shared" ref="AP3:AP57" si="6">AJ3-AO3</f>
        <v>6340356169.54</v>
      </c>
      <c r="AQ3" s="54">
        <f t="shared" ref="AQ3:AQ24" si="7">AP3/AG3</f>
        <v>2.24009434272754</v>
      </c>
      <c r="AR3" s="55"/>
      <c r="AS3" s="56">
        <v>142498802.39</v>
      </c>
      <c r="AT3" s="55"/>
      <c r="AU3" s="55"/>
      <c r="AV3" s="55"/>
      <c r="AW3" s="56">
        <v>2335492509.4</v>
      </c>
      <c r="AX3" s="55"/>
      <c r="AY3" s="56">
        <v>19285851426.62</v>
      </c>
      <c r="AZ3" s="58" t="s">
        <v>278</v>
      </c>
    </row>
    <row r="4" spans="1:52">
      <c r="A4" s="9"/>
      <c r="B4" s="9">
        <v>2021</v>
      </c>
      <c r="C4" s="10">
        <f>4427.84*100000000</f>
        <v>442784000000</v>
      </c>
      <c r="D4" s="11">
        <v>4212576170</v>
      </c>
      <c r="E4" s="23">
        <v>33337724549.58</v>
      </c>
      <c r="F4" s="11">
        <v>23499848566.38</v>
      </c>
      <c r="G4" s="11"/>
      <c r="H4" s="11"/>
      <c r="I4" s="11"/>
      <c r="J4" s="11">
        <v>54070173.8</v>
      </c>
      <c r="K4" s="11"/>
      <c r="L4" s="11">
        <v>104600000</v>
      </c>
      <c r="M4" s="11"/>
      <c r="N4" s="11"/>
      <c r="O4" s="11">
        <f>SUM(G4:N4)</f>
        <v>158670173.8</v>
      </c>
      <c r="P4" s="11"/>
      <c r="Q4" s="11"/>
      <c r="R4" s="11"/>
      <c r="S4" s="11"/>
      <c r="T4" s="29">
        <v>100000</v>
      </c>
      <c r="U4" s="29">
        <v>4496708</v>
      </c>
      <c r="V4" s="29">
        <v>19813767427.18</v>
      </c>
      <c r="W4" s="29"/>
      <c r="X4" s="29">
        <v>5377818664.42</v>
      </c>
      <c r="Y4" s="29">
        <f>SUM(P4:X4)</f>
        <v>25196182799.6</v>
      </c>
      <c r="Z4" s="29">
        <f t="shared" si="0"/>
        <v>4596708</v>
      </c>
      <c r="AA4" s="29">
        <f t="shared" si="1"/>
        <v>25191586091.6</v>
      </c>
      <c r="AB4" s="29">
        <f t="shared" si="2"/>
        <v>8141541749.98</v>
      </c>
      <c r="AC4" s="11">
        <v>3614222644.29</v>
      </c>
      <c r="AD4" s="11">
        <v>923163979.01</v>
      </c>
      <c r="AE4" s="11">
        <v>376666046.75</v>
      </c>
      <c r="AF4" s="42">
        <f t="shared" si="3"/>
        <v>0.603577654080331</v>
      </c>
      <c r="AG4" s="29">
        <f t="shared" ref="AG4:AG67" si="8">F4+H4+I4+K4+L4+M4+N4-P4-Q4-R4-S4-T4-U4-V4-W4-X4</f>
        <v>-1591734233.22</v>
      </c>
      <c r="AH4" s="29">
        <v>7820740015.8</v>
      </c>
      <c r="AI4" s="29">
        <v>-584217366.43</v>
      </c>
      <c r="AJ4" s="11">
        <f t="shared" si="4"/>
        <v>7236522649.37</v>
      </c>
      <c r="AK4" s="11">
        <v>1185218.28</v>
      </c>
      <c r="AL4" s="11">
        <v>143522595.27</v>
      </c>
      <c r="AM4" s="11">
        <v>167631810.36</v>
      </c>
      <c r="AN4" s="11">
        <v>320719.29</v>
      </c>
      <c r="AO4" s="11">
        <f t="shared" si="5"/>
        <v>312660343.2</v>
      </c>
      <c r="AP4" s="11">
        <f t="shared" si="6"/>
        <v>6923862306.17</v>
      </c>
      <c r="AQ4" s="54">
        <f t="shared" si="7"/>
        <v>-4.3498859053646</v>
      </c>
      <c r="AR4" s="55"/>
      <c r="AS4" s="56">
        <v>142498802.39</v>
      </c>
      <c r="AT4" s="55"/>
      <c r="AU4" s="55"/>
      <c r="AV4" s="55"/>
      <c r="AW4" s="56">
        <v>2124863700.9</v>
      </c>
      <c r="AX4" s="55"/>
      <c r="AY4" s="56">
        <v>16921578797.54</v>
      </c>
      <c r="AZ4" s="58"/>
    </row>
    <row r="5" spans="1:52">
      <c r="A5" s="9"/>
      <c r="B5" s="9">
        <v>2020</v>
      </c>
      <c r="C5" s="10">
        <f>6498.38*100000000</f>
        <v>649838000000</v>
      </c>
      <c r="D5" s="11">
        <v>3240443208</v>
      </c>
      <c r="E5" s="23">
        <v>29533620038.66</v>
      </c>
      <c r="F5" s="11">
        <v>20166034544.96</v>
      </c>
      <c r="G5" s="11"/>
      <c r="H5" s="11"/>
      <c r="I5" s="11"/>
      <c r="J5" s="11"/>
      <c r="K5" s="11"/>
      <c r="L5" s="11">
        <v>92600000</v>
      </c>
      <c r="M5" s="11"/>
      <c r="N5" s="11"/>
      <c r="O5" s="11">
        <f t="shared" ref="O5:O68" si="9">H5+I5+K5+L5+M5+N5</f>
        <v>92600000</v>
      </c>
      <c r="P5" s="11"/>
      <c r="Q5" s="11"/>
      <c r="R5" s="11"/>
      <c r="S5" s="11"/>
      <c r="T5" s="29">
        <v>100000</v>
      </c>
      <c r="U5" s="29">
        <v>4912608.29</v>
      </c>
      <c r="V5" s="29">
        <v>16957675015.45</v>
      </c>
      <c r="W5" s="29"/>
      <c r="X5" s="29">
        <v>5054735186.75</v>
      </c>
      <c r="Y5" s="29">
        <f t="shared" ref="Y5:Y68" si="10">P5+Q5+R5+S5+T5+U5+V5+W5+X5</f>
        <v>22017422810.49</v>
      </c>
      <c r="Z5" s="29">
        <f t="shared" si="0"/>
        <v>5012608.29</v>
      </c>
      <c r="AA5" s="29">
        <f t="shared" si="1"/>
        <v>22012410202.2</v>
      </c>
      <c r="AB5" s="29">
        <f t="shared" si="2"/>
        <v>7516197228.17</v>
      </c>
      <c r="AC5" s="11">
        <v>3913914242.44</v>
      </c>
      <c r="AD5" s="11">
        <v>368803829.98</v>
      </c>
      <c r="AE5" s="11">
        <v>385298787.75</v>
      </c>
      <c r="AF5" s="42">
        <f t="shared" si="3"/>
        <v>0.621060985823351</v>
      </c>
      <c r="AG5" s="29">
        <f t="shared" si="8"/>
        <v>-1758788265.53</v>
      </c>
      <c r="AH5" s="29">
        <v>7642422274.71</v>
      </c>
      <c r="AI5" s="29">
        <v>-392238055.13</v>
      </c>
      <c r="AJ5" s="11">
        <f t="shared" si="4"/>
        <v>7250184219.58</v>
      </c>
      <c r="AK5" s="11">
        <v>-4856278.4</v>
      </c>
      <c r="AL5" s="11">
        <v>122379388.5</v>
      </c>
      <c r="AM5" s="11">
        <v>174713056.45</v>
      </c>
      <c r="AN5" s="11">
        <v>-1446950.2</v>
      </c>
      <c r="AO5" s="11">
        <f t="shared" si="5"/>
        <v>290789216.35</v>
      </c>
      <c r="AP5" s="11">
        <f t="shared" si="6"/>
        <v>6959395003.23</v>
      </c>
      <c r="AQ5" s="54">
        <f t="shared" si="7"/>
        <v>-3.95692599252862</v>
      </c>
      <c r="AR5" s="55"/>
      <c r="AS5" s="56">
        <v>790587443.39</v>
      </c>
      <c r="AT5" s="55"/>
      <c r="AU5" s="55"/>
      <c r="AV5" s="55"/>
      <c r="AW5" s="56">
        <v>1638797219.9</v>
      </c>
      <c r="AX5" s="55"/>
      <c r="AY5" s="56">
        <v>14398588292.06</v>
      </c>
      <c r="AZ5" s="58"/>
    </row>
    <row r="6" spans="1:52">
      <c r="A6" s="9"/>
      <c r="B6" s="9">
        <v>2019</v>
      </c>
      <c r="C6" s="10">
        <f>2903.17*100000000</f>
        <v>290317000000</v>
      </c>
      <c r="D6" s="11">
        <v>2700369340</v>
      </c>
      <c r="E6" s="23">
        <v>24753888098.68</v>
      </c>
      <c r="F6" s="11">
        <v>16597706781.83</v>
      </c>
      <c r="G6" s="11"/>
      <c r="H6" s="11"/>
      <c r="I6" s="11"/>
      <c r="J6" s="11"/>
      <c r="K6" s="11"/>
      <c r="L6" s="11">
        <v>19600000</v>
      </c>
      <c r="M6" s="11"/>
      <c r="N6" s="11"/>
      <c r="O6" s="11">
        <f t="shared" si="9"/>
        <v>19600000</v>
      </c>
      <c r="P6" s="11"/>
      <c r="Q6" s="11"/>
      <c r="R6" s="11"/>
      <c r="S6" s="11"/>
      <c r="T6" s="29">
        <v>100000</v>
      </c>
      <c r="U6" s="29">
        <v>5424533.82</v>
      </c>
      <c r="V6" s="29">
        <v>13455532720.24</v>
      </c>
      <c r="W6" s="29"/>
      <c r="X6" s="29">
        <v>4878142342.48</v>
      </c>
      <c r="Y6" s="29">
        <f t="shared" si="10"/>
        <v>18339199596.54</v>
      </c>
      <c r="Z6" s="29">
        <f t="shared" si="0"/>
        <v>5524533.82</v>
      </c>
      <c r="AA6" s="29">
        <f t="shared" si="1"/>
        <v>18333675062.72</v>
      </c>
      <c r="AB6" s="29">
        <f t="shared" si="2"/>
        <v>6414688502.14</v>
      </c>
      <c r="AC6" s="11">
        <v>3448256519.87</v>
      </c>
      <c r="AD6" s="11">
        <v>493515429.53</v>
      </c>
      <c r="AE6" s="11">
        <v>138370580.99</v>
      </c>
      <c r="AF6" s="42">
        <f t="shared" si="3"/>
        <v>0.636062457129263</v>
      </c>
      <c r="AG6" s="29">
        <f t="shared" si="8"/>
        <v>-1721892814.71</v>
      </c>
      <c r="AH6" s="29">
        <v>6377198678.77</v>
      </c>
      <c r="AI6" s="29">
        <v>-292740159.04</v>
      </c>
      <c r="AJ6" s="11">
        <f t="shared" si="4"/>
        <v>6084458519.73</v>
      </c>
      <c r="AK6" s="11">
        <v>-3538763.86</v>
      </c>
      <c r="AL6" s="11">
        <v>122367594.38</v>
      </c>
      <c r="AM6" s="11">
        <v>232377061.9</v>
      </c>
      <c r="AN6" s="11">
        <v>-2241161.48</v>
      </c>
      <c r="AO6" s="11">
        <f t="shared" si="5"/>
        <v>348964730.94</v>
      </c>
      <c r="AP6" s="11">
        <f t="shared" si="6"/>
        <v>5735493788.79</v>
      </c>
      <c r="AQ6" s="54">
        <f t="shared" si="7"/>
        <v>-3.33092381813323</v>
      </c>
      <c r="AR6" s="55"/>
      <c r="AS6" s="56">
        <v>1330661311.39</v>
      </c>
      <c r="AT6" s="55"/>
      <c r="AU6" s="55"/>
      <c r="AV6" s="55"/>
      <c r="AW6" s="56">
        <v>1368760285.9</v>
      </c>
      <c r="AX6" s="55"/>
      <c r="AY6" s="56">
        <v>11182164121.35</v>
      </c>
      <c r="AZ6" s="58"/>
    </row>
    <row r="7" spans="1:52">
      <c r="A7" s="9"/>
      <c r="B7" s="9">
        <v>2018</v>
      </c>
      <c r="C7" s="10">
        <f>1857.85*100000000</f>
        <v>185785000000</v>
      </c>
      <c r="D7" s="11">
        <v>2700369340</v>
      </c>
      <c r="E7" s="23">
        <v>20143788853.33</v>
      </c>
      <c r="F7" s="11">
        <v>13887826140.51</v>
      </c>
      <c r="G7" s="11"/>
      <c r="H7" s="11"/>
      <c r="I7" s="11"/>
      <c r="J7" s="11"/>
      <c r="K7" s="11"/>
      <c r="L7" s="11">
        <v>19600000</v>
      </c>
      <c r="M7" s="11"/>
      <c r="N7" s="11"/>
      <c r="O7" s="11">
        <f t="shared" si="9"/>
        <v>19600000</v>
      </c>
      <c r="P7" s="11">
        <v>100000</v>
      </c>
      <c r="Q7" s="11"/>
      <c r="R7" s="11"/>
      <c r="S7" s="11"/>
      <c r="T7" s="29"/>
      <c r="U7" s="29">
        <v>6128510.63</v>
      </c>
      <c r="V7" s="29">
        <v>9457209973</v>
      </c>
      <c r="W7" s="29"/>
      <c r="X7" s="29"/>
      <c r="Y7" s="29">
        <f t="shared" si="10"/>
        <v>9463438483.63</v>
      </c>
      <c r="Z7" s="29">
        <f t="shared" si="0"/>
        <v>6228510.63</v>
      </c>
      <c r="AA7" s="29">
        <f t="shared" si="1"/>
        <v>9457209973</v>
      </c>
      <c r="AB7" s="29">
        <f t="shared" si="2"/>
        <v>10680350369.7</v>
      </c>
      <c r="AC7" s="11">
        <v>3745504253.81</v>
      </c>
      <c r="AD7" s="11">
        <v>252302626.51</v>
      </c>
      <c r="AE7" s="11">
        <v>143566603.01</v>
      </c>
      <c r="AF7" s="42">
        <f t="shared" si="3"/>
        <v>0.387756331953212</v>
      </c>
      <c r="AG7" s="29">
        <f t="shared" si="8"/>
        <v>4443987656.88</v>
      </c>
      <c r="AH7" s="29">
        <v>5222806355.86</v>
      </c>
      <c r="AI7" s="29">
        <v>-152621887.7</v>
      </c>
      <c r="AJ7" s="11">
        <f t="shared" si="4"/>
        <v>5070184468.16</v>
      </c>
      <c r="AK7" s="11">
        <v>-3400520.36</v>
      </c>
      <c r="AL7" s="11">
        <v>46370750.36</v>
      </c>
      <c r="AM7" s="11">
        <v>294565763.76</v>
      </c>
      <c r="AN7" s="11">
        <v>-18199495.89</v>
      </c>
      <c r="AO7" s="11">
        <f t="shared" si="5"/>
        <v>319336497.87</v>
      </c>
      <c r="AP7" s="11">
        <f t="shared" si="6"/>
        <v>4750847970.29</v>
      </c>
      <c r="AQ7" s="54">
        <f t="shared" si="7"/>
        <v>1.06905066735164</v>
      </c>
      <c r="AR7" s="55"/>
      <c r="AS7" s="56">
        <v>1330661311.39</v>
      </c>
      <c r="AT7" s="55"/>
      <c r="AU7" s="56">
        <v>39309965.69</v>
      </c>
      <c r="AV7" s="55"/>
      <c r="AW7" s="56">
        <v>1368760285.9</v>
      </c>
      <c r="AX7" s="55"/>
      <c r="AY7" s="56">
        <v>8436031079.51</v>
      </c>
      <c r="AZ7" s="58"/>
    </row>
    <row r="8" spans="1:52">
      <c r="A8" s="9"/>
      <c r="B8" s="9">
        <v>2017</v>
      </c>
      <c r="C8" s="10">
        <f>1453.25*100000000</f>
        <v>145325000000</v>
      </c>
      <c r="D8" s="11">
        <v>2701206700</v>
      </c>
      <c r="E8" s="23">
        <v>16336012255.77</v>
      </c>
      <c r="F8" s="11">
        <v>11764173507.61</v>
      </c>
      <c r="G8" s="11"/>
      <c r="H8" s="11"/>
      <c r="I8" s="11"/>
      <c r="J8" s="11"/>
      <c r="K8" s="11"/>
      <c r="L8" s="11"/>
      <c r="M8" s="11"/>
      <c r="N8" s="11"/>
      <c r="O8" s="11">
        <f t="shared" si="9"/>
        <v>0</v>
      </c>
      <c r="P8" s="11">
        <v>100000</v>
      </c>
      <c r="Q8" s="11"/>
      <c r="R8" s="11"/>
      <c r="S8" s="11"/>
      <c r="T8" s="29"/>
      <c r="U8" s="29">
        <v>4705134.66</v>
      </c>
      <c r="V8" s="29">
        <v>5612919179.01</v>
      </c>
      <c r="W8" s="29"/>
      <c r="X8" s="29"/>
      <c r="Y8" s="29">
        <f t="shared" si="10"/>
        <v>5617724313.67</v>
      </c>
      <c r="Z8" s="29">
        <f t="shared" si="0"/>
        <v>4805134.66</v>
      </c>
      <c r="AA8" s="29">
        <f t="shared" si="1"/>
        <v>5612919179.01</v>
      </c>
      <c r="AB8" s="29">
        <f t="shared" si="2"/>
        <v>10718287942.1</v>
      </c>
      <c r="AC8" s="11">
        <v>3649646780.23</v>
      </c>
      <c r="AD8" s="11">
        <v>615135578.81</v>
      </c>
      <c r="AE8" s="11">
        <v>149567775.08</v>
      </c>
      <c r="AF8" s="42">
        <f t="shared" si="3"/>
        <v>0.411852168738724</v>
      </c>
      <c r="AG8" s="29">
        <f t="shared" si="8"/>
        <v>6146449193.94</v>
      </c>
      <c r="AH8" s="29">
        <v>4215288941.15</v>
      </c>
      <c r="AI8" s="29">
        <v>-82004118.81</v>
      </c>
      <c r="AJ8" s="11">
        <f t="shared" si="4"/>
        <v>4133284822.34</v>
      </c>
      <c r="AK8" s="11">
        <v>861477</v>
      </c>
      <c r="AL8" s="11">
        <v>43088674.62</v>
      </c>
      <c r="AM8" s="11">
        <v>143663576.05</v>
      </c>
      <c r="AN8" s="11">
        <v>4464719.3</v>
      </c>
      <c r="AO8" s="11">
        <f t="shared" si="5"/>
        <v>192078446.97</v>
      </c>
      <c r="AP8" s="11">
        <f t="shared" si="6"/>
        <v>3941206375.37</v>
      </c>
      <c r="AQ8" s="54">
        <f t="shared" si="7"/>
        <v>0.641216782407601</v>
      </c>
      <c r="AR8" s="55"/>
      <c r="AS8" s="56">
        <v>1291572608.6</v>
      </c>
      <c r="AT8" s="56">
        <v>37170173.18</v>
      </c>
      <c r="AU8" s="56">
        <v>61430054.74</v>
      </c>
      <c r="AV8" s="55"/>
      <c r="AW8" s="56">
        <v>1291224237.63</v>
      </c>
      <c r="AX8" s="55"/>
      <c r="AY8" s="56">
        <v>6445076571.28</v>
      </c>
      <c r="AZ8" s="58"/>
    </row>
    <row r="9" spans="1:52">
      <c r="A9" s="9"/>
      <c r="B9" s="9">
        <v>2016</v>
      </c>
      <c r="C9" s="10">
        <f>793.36*100000000</f>
        <v>79336000000</v>
      </c>
      <c r="D9" s="11">
        <v>2704950700</v>
      </c>
      <c r="E9" s="24">
        <v>13463592998.27</v>
      </c>
      <c r="F9" s="11">
        <v>10013769433.03</v>
      </c>
      <c r="G9" s="11"/>
      <c r="H9" s="11"/>
      <c r="I9" s="11"/>
      <c r="J9" s="11"/>
      <c r="K9" s="11"/>
      <c r="L9" s="11"/>
      <c r="M9" s="11"/>
      <c r="N9" s="11"/>
      <c r="O9" s="11">
        <f t="shared" si="9"/>
        <v>0</v>
      </c>
      <c r="P9" s="11">
        <v>100000</v>
      </c>
      <c r="Q9" s="11"/>
      <c r="R9" s="11"/>
      <c r="S9" s="11"/>
      <c r="T9" s="29"/>
      <c r="U9" s="29">
        <v>5314445.51</v>
      </c>
      <c r="V9" s="29">
        <v>5196574520.25</v>
      </c>
      <c r="W9" s="29"/>
      <c r="X9" s="29"/>
      <c r="Y9" s="29">
        <f t="shared" si="10"/>
        <v>5201988965.76</v>
      </c>
      <c r="Z9" s="29">
        <f t="shared" si="0"/>
        <v>5414445.51</v>
      </c>
      <c r="AA9" s="29">
        <f t="shared" si="1"/>
        <v>5196574520.25</v>
      </c>
      <c r="AB9" s="29">
        <f t="shared" si="2"/>
        <v>8261604032.51</v>
      </c>
      <c r="AC9" s="29">
        <v>3830285320.94</v>
      </c>
      <c r="AD9" s="29">
        <v>582415461.85</v>
      </c>
      <c r="AE9" s="29">
        <v>140015729.76</v>
      </c>
      <c r="AF9" s="42">
        <f t="shared" si="3"/>
        <v>0.551069319545543</v>
      </c>
      <c r="AG9" s="29">
        <f t="shared" si="8"/>
        <v>4811780467.27</v>
      </c>
      <c r="AH9" s="29">
        <v>3413378743.95</v>
      </c>
      <c r="AI9" s="29">
        <v>-45681637.22</v>
      </c>
      <c r="AJ9" s="11">
        <f t="shared" si="4"/>
        <v>3367697106.73</v>
      </c>
      <c r="AK9" s="11">
        <v>-365646.16</v>
      </c>
      <c r="AL9" s="11">
        <v>12030155.3</v>
      </c>
      <c r="AM9" s="11">
        <v>87079359.19</v>
      </c>
      <c r="AN9" s="11">
        <v>-254336.38</v>
      </c>
      <c r="AO9" s="11">
        <f t="shared" si="5"/>
        <v>98489531.95</v>
      </c>
      <c r="AP9" s="11">
        <f t="shared" si="6"/>
        <v>3269207574.78</v>
      </c>
      <c r="AQ9" s="54">
        <f t="shared" si="7"/>
        <v>0.679417441634616</v>
      </c>
      <c r="AR9" s="55"/>
      <c r="AS9" s="56">
        <v>1320136410.56</v>
      </c>
      <c r="AT9" s="56">
        <v>75623665.92</v>
      </c>
      <c r="AU9" s="56">
        <v>23734458.9</v>
      </c>
      <c r="AV9" s="55"/>
      <c r="AW9" s="56">
        <v>1041726620.6</v>
      </c>
      <c r="AX9" s="55"/>
      <c r="AY9" s="56">
        <v>4998844908.89</v>
      </c>
      <c r="AZ9" s="58"/>
    </row>
    <row r="10" spans="1:52">
      <c r="A10" s="9"/>
      <c r="B10" s="9">
        <v>2015</v>
      </c>
      <c r="C10" s="10">
        <f>956.66*100000000</f>
        <v>95666000000</v>
      </c>
      <c r="D10" s="11">
        <v>2706246000</v>
      </c>
      <c r="E10" s="24">
        <v>11498002242.84</v>
      </c>
      <c r="F10" s="11">
        <v>8751125601.73</v>
      </c>
      <c r="G10" s="11"/>
      <c r="H10" s="11"/>
      <c r="I10" s="11"/>
      <c r="J10" s="11"/>
      <c r="K10" s="11"/>
      <c r="L10" s="11"/>
      <c r="M10" s="11"/>
      <c r="N10" s="11"/>
      <c r="O10" s="11">
        <f t="shared" si="9"/>
        <v>0</v>
      </c>
      <c r="P10" s="11">
        <v>0.001</v>
      </c>
      <c r="Q10" s="11"/>
      <c r="R10" s="11"/>
      <c r="S10" s="11"/>
      <c r="T10" s="29"/>
      <c r="U10" s="29">
        <v>5923756.26</v>
      </c>
      <c r="V10" s="29">
        <v>4519091067.15</v>
      </c>
      <c r="W10" s="29"/>
      <c r="X10" s="29"/>
      <c r="Y10" s="29">
        <f t="shared" si="10"/>
        <v>4525014823.411</v>
      </c>
      <c r="Z10" s="29">
        <f t="shared" si="0"/>
        <v>5923756.261</v>
      </c>
      <c r="AA10" s="29">
        <f t="shared" si="1"/>
        <v>4519091067.15</v>
      </c>
      <c r="AB10" s="29">
        <f t="shared" si="2"/>
        <v>6972987419.429</v>
      </c>
      <c r="AC10" s="29">
        <v>3263644592.88</v>
      </c>
      <c r="AD10" s="43">
        <v>786640648.16</v>
      </c>
      <c r="AE10" s="29">
        <v>144144932.39</v>
      </c>
      <c r="AF10" s="42">
        <f t="shared" si="3"/>
        <v>0.601525561589708</v>
      </c>
      <c r="AG10" s="29">
        <f t="shared" si="8"/>
        <v>4226110778.319</v>
      </c>
      <c r="AH10" s="29">
        <v>3011302913.95</v>
      </c>
      <c r="AI10" s="29">
        <v>-48786754.34</v>
      </c>
      <c r="AJ10" s="11">
        <f t="shared" si="4"/>
        <v>2962516159.61</v>
      </c>
      <c r="AK10" s="11">
        <v>-497120.36</v>
      </c>
      <c r="AL10" s="11">
        <v>17545043.45</v>
      </c>
      <c r="AM10" s="11">
        <v>70568046.26</v>
      </c>
      <c r="AN10" s="11">
        <v>5114734.99</v>
      </c>
      <c r="AO10" s="11">
        <f t="shared" si="5"/>
        <v>92730704.34</v>
      </c>
      <c r="AP10" s="11">
        <f t="shared" si="6"/>
        <v>2869785455.27</v>
      </c>
      <c r="AQ10" s="54">
        <f t="shared" si="7"/>
        <v>0.679060631820801</v>
      </c>
      <c r="AR10" s="55"/>
      <c r="AS10" s="56">
        <v>1333875444.15</v>
      </c>
      <c r="AT10" s="56">
        <v>109179250</v>
      </c>
      <c r="AU10" s="56">
        <v>5022311.65</v>
      </c>
      <c r="AV10" s="55"/>
      <c r="AW10" s="56">
        <v>827373822.15</v>
      </c>
      <c r="AX10" s="55"/>
      <c r="AY10" s="56">
        <v>3987787273.78</v>
      </c>
      <c r="AZ10" s="58"/>
    </row>
    <row r="11" spans="1:52">
      <c r="A11" s="9"/>
      <c r="B11" s="9">
        <v>2014</v>
      </c>
      <c r="C11" s="10">
        <f>600.68*100000000</f>
        <v>60068000000</v>
      </c>
      <c r="D11" s="11">
        <v>1503580000</v>
      </c>
      <c r="E11" s="24">
        <v>11000594566.17</v>
      </c>
      <c r="F11" s="11">
        <v>7487912155.39</v>
      </c>
      <c r="G11" s="11"/>
      <c r="H11" s="11"/>
      <c r="I11" s="11"/>
      <c r="J11" s="11"/>
      <c r="K11" s="11">
        <v>115873800</v>
      </c>
      <c r="L11" s="11"/>
      <c r="M11" s="11"/>
      <c r="N11" s="11"/>
      <c r="O11" s="11">
        <f t="shared" si="9"/>
        <v>115873800</v>
      </c>
      <c r="P11" s="11">
        <v>100000</v>
      </c>
      <c r="Q11" s="11"/>
      <c r="R11" s="11"/>
      <c r="S11" s="11"/>
      <c r="T11" s="29"/>
      <c r="U11" s="29">
        <v>6533067.14</v>
      </c>
      <c r="V11" s="29">
        <v>5117565091.95</v>
      </c>
      <c r="W11" s="29"/>
      <c r="X11" s="29"/>
      <c r="Y11" s="29">
        <f t="shared" si="10"/>
        <v>5124198159.09</v>
      </c>
      <c r="Z11" s="29">
        <f t="shared" si="0"/>
        <v>6633067.14</v>
      </c>
      <c r="AA11" s="29">
        <f t="shared" si="1"/>
        <v>5117565091.95</v>
      </c>
      <c r="AB11" s="29">
        <f t="shared" si="2"/>
        <v>5876396407.08</v>
      </c>
      <c r="AC11" s="29">
        <v>3198675437.04</v>
      </c>
      <c r="AD11" s="29">
        <v>504653050.44</v>
      </c>
      <c r="AE11" s="29">
        <v>148693946.28</v>
      </c>
      <c r="AF11" s="42">
        <f t="shared" si="3"/>
        <v>0.655507587799728</v>
      </c>
      <c r="AG11" s="29">
        <f t="shared" si="8"/>
        <v>2479587796.3</v>
      </c>
      <c r="AH11" s="29">
        <v>2492226431.36</v>
      </c>
      <c r="AI11" s="29">
        <v>-48633317.83</v>
      </c>
      <c r="AJ11" s="11">
        <f t="shared" si="4"/>
        <v>2443593113.53</v>
      </c>
      <c r="AK11" s="11">
        <v>60161420</v>
      </c>
      <c r="AL11" s="11">
        <v>24224765.61</v>
      </c>
      <c r="AM11" s="11">
        <v>10097094.96</v>
      </c>
      <c r="AN11" s="11">
        <v>2723635.47</v>
      </c>
      <c r="AO11" s="11">
        <f t="shared" si="5"/>
        <v>97206916.04</v>
      </c>
      <c r="AP11" s="11">
        <f t="shared" si="6"/>
        <v>2346386197.49</v>
      </c>
      <c r="AQ11" s="54">
        <f t="shared" si="7"/>
        <v>0.946280749159695</v>
      </c>
      <c r="AR11" s="55"/>
      <c r="AS11" s="56">
        <v>2503954982.27</v>
      </c>
      <c r="AT11" s="56">
        <v>115873800</v>
      </c>
      <c r="AU11" s="56">
        <v>9077439.72</v>
      </c>
      <c r="AV11" s="55"/>
      <c r="AW11" s="56">
        <v>495518007.47</v>
      </c>
      <c r="AX11" s="55"/>
      <c r="AY11" s="56">
        <v>3091655525.93</v>
      </c>
      <c r="AZ11" s="58"/>
    </row>
    <row r="12" spans="1:52">
      <c r="A12" s="9"/>
      <c r="B12" s="9">
        <v>2013</v>
      </c>
      <c r="C12" s="12"/>
      <c r="D12" s="11">
        <f>71100*10000</f>
        <v>711000000</v>
      </c>
      <c r="E12" s="24">
        <v>6722123294.35</v>
      </c>
      <c r="F12" s="11">
        <v>3914438998.01</v>
      </c>
      <c r="G12" s="11"/>
      <c r="H12" s="11"/>
      <c r="I12" s="11"/>
      <c r="J12" s="11"/>
      <c r="K12" s="11"/>
      <c r="L12" s="11"/>
      <c r="M12" s="11"/>
      <c r="N12" s="11"/>
      <c r="O12" s="11">
        <f t="shared" si="9"/>
        <v>0</v>
      </c>
      <c r="P12" s="11">
        <v>100000</v>
      </c>
      <c r="Q12" s="11"/>
      <c r="R12" s="11"/>
      <c r="S12" s="11"/>
      <c r="T12" s="29"/>
      <c r="U12" s="29">
        <v>7142377.97</v>
      </c>
      <c r="V12" s="29">
        <v>2264838665.1</v>
      </c>
      <c r="W12" s="29"/>
      <c r="X12" s="29"/>
      <c r="Y12" s="29">
        <f t="shared" si="10"/>
        <v>2272081043.07</v>
      </c>
      <c r="Z12" s="29">
        <f t="shared" si="0"/>
        <v>7242377.97</v>
      </c>
      <c r="AA12" s="29">
        <f t="shared" si="1"/>
        <v>2264838665.1</v>
      </c>
      <c r="AB12" s="29">
        <f t="shared" si="2"/>
        <v>4450042251.28</v>
      </c>
      <c r="AC12" s="29">
        <v>2360669866.84</v>
      </c>
      <c r="AD12" s="29">
        <v>743177863.42</v>
      </c>
      <c r="AE12" s="29">
        <v>81874709.37</v>
      </c>
      <c r="AF12" s="42">
        <f t="shared" si="3"/>
        <v>0.715885885962918</v>
      </c>
      <c r="AG12" s="29">
        <f t="shared" si="8"/>
        <v>1642357954.94</v>
      </c>
      <c r="AH12" s="29">
        <v>1975619151.91</v>
      </c>
      <c r="AI12" s="29">
        <v>-14983980.52</v>
      </c>
      <c r="AJ12" s="11">
        <f t="shared" si="4"/>
        <v>1960635171.39</v>
      </c>
      <c r="AK12" s="11">
        <v>61229926.04</v>
      </c>
      <c r="AL12" s="11">
        <v>16474848.24</v>
      </c>
      <c r="AM12" s="11"/>
      <c r="AN12" s="11">
        <v>1761842.17</v>
      </c>
      <c r="AO12" s="11">
        <f t="shared" si="5"/>
        <v>79466616.45</v>
      </c>
      <c r="AP12" s="11">
        <f t="shared" si="6"/>
        <v>1881168554.94</v>
      </c>
      <c r="AQ12" s="54">
        <f t="shared" si="7"/>
        <v>1.14540715638859</v>
      </c>
      <c r="AR12" s="55"/>
      <c r="AS12" s="56">
        <v>1336719988.55</v>
      </c>
      <c r="AT12" s="55"/>
      <c r="AU12" s="56">
        <v>-4428833.65</v>
      </c>
      <c r="AV12" s="55"/>
      <c r="AW12" s="56">
        <v>327830534.63</v>
      </c>
      <c r="AX12" s="55"/>
      <c r="AY12" s="56">
        <v>1543317308.48</v>
      </c>
      <c r="AZ12" s="58"/>
    </row>
    <row r="13" spans="1:52">
      <c r="A13" s="9"/>
      <c r="B13" s="9">
        <v>2012</v>
      </c>
      <c r="C13" s="12"/>
      <c r="D13" s="11">
        <f>71100*10000</f>
        <v>711000000</v>
      </c>
      <c r="E13" s="24">
        <v>6110204366.74</v>
      </c>
      <c r="F13" s="11">
        <f>36.59*100000000</f>
        <v>3659000000</v>
      </c>
      <c r="G13" s="11"/>
      <c r="H13" s="11"/>
      <c r="I13" s="11"/>
      <c r="J13" s="11"/>
      <c r="K13" s="11"/>
      <c r="L13" s="11"/>
      <c r="M13" s="11"/>
      <c r="N13" s="11"/>
      <c r="O13" s="11">
        <f t="shared" si="9"/>
        <v>0</v>
      </c>
      <c r="P13" s="11"/>
      <c r="Q13" s="11"/>
      <c r="R13" s="11">
        <f>0.001*100000000</f>
        <v>100000</v>
      </c>
      <c r="S13" s="11"/>
      <c r="T13" s="29"/>
      <c r="U13" s="29">
        <f>0.060445*100000000</f>
        <v>6044500</v>
      </c>
      <c r="V13" s="29">
        <f>25.03*100000000</f>
        <v>2503000000</v>
      </c>
      <c r="W13" s="29"/>
      <c r="X13" s="29"/>
      <c r="Y13" s="29">
        <f t="shared" si="10"/>
        <v>2509144500</v>
      </c>
      <c r="Z13" s="29">
        <f t="shared" si="0"/>
        <v>6144500</v>
      </c>
      <c r="AA13" s="29">
        <f t="shared" si="1"/>
        <v>2503000000</v>
      </c>
      <c r="AB13" s="29">
        <f t="shared" si="2"/>
        <v>3601059866.74</v>
      </c>
      <c r="AC13" s="29">
        <v>2087720527.68</v>
      </c>
      <c r="AD13" s="29">
        <v>373939518.64</v>
      </c>
      <c r="AE13" s="29">
        <v>136055410.59</v>
      </c>
      <c r="AF13" s="42">
        <f t="shared" si="3"/>
        <v>0.721375248688016</v>
      </c>
      <c r="AG13" s="29">
        <f t="shared" si="8"/>
        <v>1149855500</v>
      </c>
      <c r="AH13" s="29">
        <f>14.9*100000000</f>
        <v>1490000000</v>
      </c>
      <c r="AI13" s="29">
        <f>-0.120058*100000000</f>
        <v>-12005800</v>
      </c>
      <c r="AJ13" s="11">
        <f t="shared" si="4"/>
        <v>1477994200</v>
      </c>
      <c r="AK13" s="11">
        <v>600599.61</v>
      </c>
      <c r="AL13" s="11">
        <v>5211796.24</v>
      </c>
      <c r="AM13" s="11"/>
      <c r="AN13" s="11">
        <v>755942.96</v>
      </c>
      <c r="AO13" s="11">
        <f t="shared" si="5"/>
        <v>6568338.81</v>
      </c>
      <c r="AP13" s="11">
        <f t="shared" si="6"/>
        <v>1471425861.19</v>
      </c>
      <c r="AQ13" s="54">
        <f t="shared" si="7"/>
        <v>1.27966154111538</v>
      </c>
      <c r="AR13" s="55"/>
      <c r="AS13" s="56">
        <v>1336719988.55</v>
      </c>
      <c r="AT13" s="55"/>
      <c r="AU13" s="55"/>
      <c r="AV13" s="55"/>
      <c r="AW13" s="56">
        <v>221020719.29</v>
      </c>
      <c r="AX13" s="55"/>
      <c r="AY13" s="56">
        <v>1394608332.15</v>
      </c>
      <c r="AZ13" s="58"/>
    </row>
    <row r="14" spans="1:43">
      <c r="A14" s="13" t="s">
        <v>279</v>
      </c>
      <c r="B14" s="4">
        <v>2022</v>
      </c>
      <c r="C14" s="12"/>
      <c r="D14" s="12"/>
      <c r="E14" s="12"/>
      <c r="F14" s="11">
        <v>221.82</v>
      </c>
      <c r="G14" s="11"/>
      <c r="H14" s="11">
        <v>0.122855</v>
      </c>
      <c r="I14" s="11"/>
      <c r="J14" s="11"/>
      <c r="K14" s="11"/>
      <c r="L14" s="11">
        <v>31.47</v>
      </c>
      <c r="M14" s="11"/>
      <c r="N14" s="11"/>
      <c r="O14" s="11">
        <f t="shared" si="9"/>
        <v>31.592855</v>
      </c>
      <c r="P14" s="11"/>
      <c r="Q14" s="11"/>
      <c r="R14" s="11">
        <v>1.82</v>
      </c>
      <c r="S14" s="11"/>
      <c r="T14" s="29">
        <v>0.636525</v>
      </c>
      <c r="U14" s="29"/>
      <c r="V14" s="29">
        <v>57.69</v>
      </c>
      <c r="W14" s="29">
        <v>1</v>
      </c>
      <c r="X14" s="29">
        <v>10.31</v>
      </c>
      <c r="Y14" s="29">
        <f t="shared" si="10"/>
        <v>71.456525</v>
      </c>
      <c r="Z14" s="29"/>
      <c r="AA14" s="29"/>
      <c r="AB14" s="29"/>
      <c r="AC14" s="29"/>
      <c r="AD14" s="29"/>
      <c r="AE14" s="29"/>
      <c r="AF14" s="44"/>
      <c r="AG14" s="29">
        <f t="shared" si="8"/>
        <v>181.95633</v>
      </c>
      <c r="AH14" s="29">
        <v>71.6</v>
      </c>
      <c r="AI14" s="29">
        <v>-0.60585</v>
      </c>
      <c r="AJ14" s="11">
        <f t="shared" si="4"/>
        <v>70.99415</v>
      </c>
      <c r="AK14" s="11"/>
      <c r="AL14" s="11"/>
      <c r="AM14" s="11"/>
      <c r="AN14" s="11"/>
      <c r="AO14" s="11"/>
      <c r="AP14" s="11">
        <f t="shared" si="6"/>
        <v>70.99415</v>
      </c>
      <c r="AQ14" s="54">
        <f t="shared" si="7"/>
        <v>0.390171366942826</v>
      </c>
    </row>
    <row r="15" spans="1:43">
      <c r="A15" s="14"/>
      <c r="B15" s="4">
        <v>2021</v>
      </c>
      <c r="C15" s="12"/>
      <c r="D15" s="12"/>
      <c r="E15" s="12"/>
      <c r="F15" s="11">
        <v>231.5</v>
      </c>
      <c r="G15" s="11"/>
      <c r="H15" s="11">
        <v>0.128303</v>
      </c>
      <c r="I15" s="11"/>
      <c r="J15" s="11"/>
      <c r="K15" s="11">
        <v>0.655159</v>
      </c>
      <c r="L15" s="11">
        <v>23.38</v>
      </c>
      <c r="M15" s="11"/>
      <c r="N15" s="11"/>
      <c r="O15" s="11">
        <f t="shared" si="9"/>
        <v>24.163462</v>
      </c>
      <c r="P15" s="11"/>
      <c r="Q15" s="11"/>
      <c r="R15" s="11">
        <v>3.39</v>
      </c>
      <c r="S15" s="11"/>
      <c r="T15" s="29">
        <v>0.774316</v>
      </c>
      <c r="U15" s="29"/>
      <c r="V15" s="29">
        <v>78.39</v>
      </c>
      <c r="W15" s="29"/>
      <c r="X15" s="29">
        <v>14.64</v>
      </c>
      <c r="Y15" s="29">
        <f t="shared" si="10"/>
        <v>97.194316</v>
      </c>
      <c r="Z15" s="29"/>
      <c r="AA15" s="29"/>
      <c r="AB15" s="29"/>
      <c r="AC15" s="29"/>
      <c r="AD15" s="29"/>
      <c r="AE15" s="29"/>
      <c r="AF15" s="44"/>
      <c r="AG15" s="29">
        <f t="shared" si="8"/>
        <v>158.469146</v>
      </c>
      <c r="AH15" s="29">
        <v>62.16</v>
      </c>
      <c r="AI15" s="29">
        <v>-0.107136</v>
      </c>
      <c r="AJ15" s="11">
        <f t="shared" si="4"/>
        <v>62.052864</v>
      </c>
      <c r="AK15" s="11"/>
      <c r="AL15" s="11"/>
      <c r="AM15" s="11"/>
      <c r="AN15" s="11"/>
      <c r="AO15" s="11"/>
      <c r="AP15" s="11">
        <f t="shared" si="6"/>
        <v>62.052864</v>
      </c>
      <c r="AQ15" s="54">
        <f t="shared" si="7"/>
        <v>0.391576944574435</v>
      </c>
    </row>
    <row r="16" spans="1:43">
      <c r="A16" s="14"/>
      <c r="B16" s="4">
        <v>2020</v>
      </c>
      <c r="C16" s="12"/>
      <c r="D16" s="12"/>
      <c r="E16" s="12"/>
      <c r="F16" s="11">
        <v>241.33</v>
      </c>
      <c r="G16" s="11"/>
      <c r="H16" s="11">
        <v>0.150985</v>
      </c>
      <c r="I16" s="11"/>
      <c r="J16" s="11"/>
      <c r="K16" s="11">
        <v>0.662161</v>
      </c>
      <c r="L16" s="11">
        <v>23.83</v>
      </c>
      <c r="M16" s="11"/>
      <c r="N16" s="11"/>
      <c r="O16" s="11">
        <f t="shared" si="9"/>
        <v>24.643146</v>
      </c>
      <c r="P16" s="11"/>
      <c r="Q16" s="11"/>
      <c r="R16" s="11">
        <v>2.62</v>
      </c>
      <c r="S16" s="11"/>
      <c r="T16" s="29">
        <v>0.677014</v>
      </c>
      <c r="U16" s="29"/>
      <c r="V16" s="29">
        <v>84.86</v>
      </c>
      <c r="W16" s="29">
        <v>3</v>
      </c>
      <c r="X16" s="29">
        <v>57.36</v>
      </c>
      <c r="Y16" s="29">
        <f t="shared" si="10"/>
        <v>148.517014</v>
      </c>
      <c r="Z16" s="29"/>
      <c r="AA16" s="29"/>
      <c r="AB16" s="29"/>
      <c r="AC16" s="29"/>
      <c r="AD16" s="29"/>
      <c r="AE16" s="29"/>
      <c r="AF16" s="44"/>
      <c r="AG16" s="29">
        <f t="shared" si="8"/>
        <v>117.456132</v>
      </c>
      <c r="AH16" s="29">
        <v>79.73</v>
      </c>
      <c r="AI16" s="29">
        <v>0.325132</v>
      </c>
      <c r="AJ16" s="11">
        <f t="shared" si="4"/>
        <v>80.055132</v>
      </c>
      <c r="AK16" s="11"/>
      <c r="AL16" s="11"/>
      <c r="AM16" s="11"/>
      <c r="AN16" s="11"/>
      <c r="AO16" s="11"/>
      <c r="AP16" s="11">
        <f t="shared" si="6"/>
        <v>80.055132</v>
      </c>
      <c r="AQ16" s="54">
        <f t="shared" si="7"/>
        <v>0.681574734642207</v>
      </c>
    </row>
    <row r="17" spans="1:43">
      <c r="A17" s="14"/>
      <c r="B17" s="4">
        <v>2019</v>
      </c>
      <c r="C17" s="12"/>
      <c r="D17" s="12"/>
      <c r="E17" s="12"/>
      <c r="F17" s="11">
        <v>171.15</v>
      </c>
      <c r="G17" s="11"/>
      <c r="H17" s="11">
        <v>0.161886</v>
      </c>
      <c r="I17" s="11"/>
      <c r="J17" s="11"/>
      <c r="K17" s="11"/>
      <c r="L17" s="11">
        <v>32.77</v>
      </c>
      <c r="M17" s="11"/>
      <c r="N17" s="11"/>
      <c r="O17" s="11">
        <f t="shared" si="9"/>
        <v>32.931886</v>
      </c>
      <c r="P17" s="11"/>
      <c r="Q17" s="11"/>
      <c r="R17" s="11">
        <v>1.78</v>
      </c>
      <c r="S17" s="11"/>
      <c r="T17" s="29">
        <v>0.6637</v>
      </c>
      <c r="U17" s="29"/>
      <c r="V17" s="29">
        <v>34.55</v>
      </c>
      <c r="W17" s="29">
        <v>1</v>
      </c>
      <c r="X17" s="29">
        <v>30.53</v>
      </c>
      <c r="Y17" s="29">
        <f t="shared" si="10"/>
        <v>68.5237</v>
      </c>
      <c r="Z17" s="29"/>
      <c r="AA17" s="29"/>
      <c r="AB17" s="29"/>
      <c r="AC17" s="29"/>
      <c r="AD17" s="29"/>
      <c r="AE17" s="29"/>
      <c r="AF17" s="44"/>
      <c r="AG17" s="29">
        <f t="shared" si="8"/>
        <v>135.558186</v>
      </c>
      <c r="AH17" s="29">
        <v>68.38</v>
      </c>
      <c r="AI17" s="29">
        <v>0.974472</v>
      </c>
      <c r="AJ17" s="11">
        <f t="shared" si="4"/>
        <v>69.354472</v>
      </c>
      <c r="AK17" s="11"/>
      <c r="AL17" s="11"/>
      <c r="AM17" s="11"/>
      <c r="AN17" s="11"/>
      <c r="AO17" s="11"/>
      <c r="AP17" s="11">
        <f t="shared" si="6"/>
        <v>69.354472</v>
      </c>
      <c r="AQ17" s="54">
        <f t="shared" si="7"/>
        <v>0.511621422847898</v>
      </c>
    </row>
    <row r="18" spans="1:43">
      <c r="A18" s="14"/>
      <c r="B18" s="4">
        <v>2018</v>
      </c>
      <c r="C18" s="12"/>
      <c r="D18" s="12"/>
      <c r="E18" s="12"/>
      <c r="F18" s="11">
        <v>137.05</v>
      </c>
      <c r="G18" s="11"/>
      <c r="H18" s="11">
        <v>0.173381</v>
      </c>
      <c r="I18" s="11"/>
      <c r="J18" s="11"/>
      <c r="K18" s="11">
        <v>0.6795</v>
      </c>
      <c r="L18" s="11">
        <v>31.31</v>
      </c>
      <c r="M18" s="11"/>
      <c r="N18" s="11"/>
      <c r="O18" s="11">
        <f t="shared" si="9"/>
        <v>32.162881</v>
      </c>
      <c r="P18" s="11">
        <v>0.466866</v>
      </c>
      <c r="Q18" s="11"/>
      <c r="R18" s="11">
        <v>1.78</v>
      </c>
      <c r="S18" s="11"/>
      <c r="T18" s="29"/>
      <c r="U18" s="29"/>
      <c r="V18" s="29">
        <v>28.01</v>
      </c>
      <c r="W18" s="29">
        <v>4.5</v>
      </c>
      <c r="X18" s="29">
        <v>21.71</v>
      </c>
      <c r="Y18" s="29">
        <f t="shared" si="10"/>
        <v>56.466866</v>
      </c>
      <c r="Z18" s="29"/>
      <c r="AA18" s="29"/>
      <c r="AB18" s="29"/>
      <c r="AC18" s="29"/>
      <c r="AD18" s="29"/>
      <c r="AE18" s="29"/>
      <c r="AF18" s="44"/>
      <c r="AG18" s="29">
        <f t="shared" si="8"/>
        <v>112.746015</v>
      </c>
      <c r="AH18" s="29">
        <v>62.8</v>
      </c>
      <c r="AI18" s="29">
        <v>1.63</v>
      </c>
      <c r="AJ18" s="11">
        <f t="shared" si="4"/>
        <v>64.43</v>
      </c>
      <c r="AK18" s="11"/>
      <c r="AL18" s="11"/>
      <c r="AM18" s="11"/>
      <c r="AN18" s="11"/>
      <c r="AO18" s="11"/>
      <c r="AP18" s="11">
        <f t="shared" si="6"/>
        <v>64.43</v>
      </c>
      <c r="AQ18" s="54">
        <f t="shared" si="7"/>
        <v>0.57146143923579</v>
      </c>
    </row>
    <row r="19" spans="1:43">
      <c r="A19" s="14"/>
      <c r="B19" s="4">
        <v>2017</v>
      </c>
      <c r="C19" s="12"/>
      <c r="D19" s="12"/>
      <c r="E19" s="12"/>
      <c r="F19" s="11">
        <v>154.67</v>
      </c>
      <c r="G19" s="11"/>
      <c r="H19" s="11">
        <v>0.051352</v>
      </c>
      <c r="I19" s="11"/>
      <c r="J19" s="11"/>
      <c r="K19" s="11">
        <v>0.683</v>
      </c>
      <c r="L19" s="11">
        <v>19.42</v>
      </c>
      <c r="M19" s="11"/>
      <c r="N19" s="11"/>
      <c r="O19" s="11">
        <f t="shared" si="9"/>
        <v>20.154352</v>
      </c>
      <c r="P19" s="11">
        <v>0.446866</v>
      </c>
      <c r="Q19" s="11"/>
      <c r="R19" s="11">
        <v>1.76</v>
      </c>
      <c r="S19" s="11"/>
      <c r="T19" s="29"/>
      <c r="U19" s="29"/>
      <c r="V19" s="29">
        <v>61.63</v>
      </c>
      <c r="W19" s="29"/>
      <c r="X19" s="29"/>
      <c r="Y19" s="29">
        <f t="shared" si="10"/>
        <v>63.836866</v>
      </c>
      <c r="Z19" s="29"/>
      <c r="AA19" s="29"/>
      <c r="AB19" s="29"/>
      <c r="AC19" s="29"/>
      <c r="AD19" s="29"/>
      <c r="AE19" s="29"/>
      <c r="AF19" s="44"/>
      <c r="AG19" s="29">
        <f t="shared" si="8"/>
        <v>110.987486</v>
      </c>
      <c r="AH19" s="29">
        <v>57.59</v>
      </c>
      <c r="AI19" s="29">
        <v>0.551203</v>
      </c>
      <c r="AJ19" s="11">
        <f t="shared" si="4"/>
        <v>58.141203</v>
      </c>
      <c r="AK19" s="11"/>
      <c r="AL19" s="11"/>
      <c r="AM19" s="11"/>
      <c r="AN19" s="11"/>
      <c r="AO19" s="11"/>
      <c r="AP19" s="11">
        <f t="shared" si="6"/>
        <v>58.141203</v>
      </c>
      <c r="AQ19" s="54">
        <f t="shared" si="7"/>
        <v>0.523853680224814</v>
      </c>
    </row>
    <row r="20" spans="1:43">
      <c r="A20" s="14"/>
      <c r="B20" s="4">
        <v>2016</v>
      </c>
      <c r="C20" s="12"/>
      <c r="D20" s="12"/>
      <c r="E20" s="12"/>
      <c r="F20" s="11">
        <v>150.69</v>
      </c>
      <c r="G20" s="11"/>
      <c r="H20" s="11">
        <v>0.05826</v>
      </c>
      <c r="I20" s="11"/>
      <c r="J20" s="11"/>
      <c r="K20" s="11"/>
      <c r="L20" s="11">
        <v>10.55</v>
      </c>
      <c r="M20" s="11"/>
      <c r="N20" s="11">
        <v>0.041446</v>
      </c>
      <c r="O20" s="11">
        <f t="shared" si="9"/>
        <v>10.649706</v>
      </c>
      <c r="P20" s="11">
        <v>0.340389</v>
      </c>
      <c r="Q20" s="11"/>
      <c r="R20" s="11">
        <v>1.77</v>
      </c>
      <c r="S20" s="11"/>
      <c r="T20" s="29"/>
      <c r="U20" s="29"/>
      <c r="V20" s="29">
        <v>33.04</v>
      </c>
      <c r="W20" s="29"/>
      <c r="X20" s="29"/>
      <c r="Y20" s="29">
        <f t="shared" si="10"/>
        <v>35.150389</v>
      </c>
      <c r="Z20" s="29"/>
      <c r="AA20" s="29"/>
      <c r="AB20" s="29"/>
      <c r="AC20" s="29"/>
      <c r="AD20" s="29"/>
      <c r="AE20" s="29"/>
      <c r="AF20" s="44"/>
      <c r="AG20" s="29">
        <f t="shared" si="8"/>
        <v>126.189317</v>
      </c>
      <c r="AH20" s="29">
        <v>58.62</v>
      </c>
      <c r="AI20" s="29">
        <v>-0.177634</v>
      </c>
      <c r="AJ20" s="11">
        <f t="shared" si="4"/>
        <v>58.442366</v>
      </c>
      <c r="AK20" s="11"/>
      <c r="AL20" s="11"/>
      <c r="AM20" s="11"/>
      <c r="AN20" s="11"/>
      <c r="AO20" s="11"/>
      <c r="AP20" s="11">
        <f t="shared" si="6"/>
        <v>58.442366</v>
      </c>
      <c r="AQ20" s="54">
        <f t="shared" si="7"/>
        <v>0.463132437748276</v>
      </c>
    </row>
    <row r="21" spans="1:43">
      <c r="A21" s="14"/>
      <c r="B21" s="4">
        <v>2015</v>
      </c>
      <c r="C21" s="12"/>
      <c r="D21" s="12"/>
      <c r="E21" s="12"/>
      <c r="F21" s="11">
        <v>176.87</v>
      </c>
      <c r="G21" s="11"/>
      <c r="H21" s="11">
        <v>0.057583</v>
      </c>
      <c r="I21" s="11"/>
      <c r="J21" s="11"/>
      <c r="K21" s="11"/>
      <c r="L21" s="11">
        <v>6</v>
      </c>
      <c r="M21" s="11"/>
      <c r="N21" s="11"/>
      <c r="O21" s="11">
        <f t="shared" si="9"/>
        <v>6.057583</v>
      </c>
      <c r="P21" s="11"/>
      <c r="Q21" s="11"/>
      <c r="R21" s="11">
        <v>1.62</v>
      </c>
      <c r="S21" s="11"/>
      <c r="T21" s="29"/>
      <c r="U21" s="29"/>
      <c r="V21" s="29">
        <v>24.27</v>
      </c>
      <c r="W21" s="29"/>
      <c r="X21" s="29"/>
      <c r="Y21" s="29">
        <f t="shared" si="10"/>
        <v>25.89</v>
      </c>
      <c r="Z21" s="29"/>
      <c r="AA21" s="29"/>
      <c r="AB21" s="29"/>
      <c r="AC21" s="29"/>
      <c r="AD21" s="29"/>
      <c r="AE21" s="29"/>
      <c r="AF21" s="44"/>
      <c r="AG21" s="29">
        <f t="shared" si="8"/>
        <v>157.037583</v>
      </c>
      <c r="AH21" s="29">
        <v>56.75</v>
      </c>
      <c r="AI21" s="29">
        <v>-0.037862</v>
      </c>
      <c r="AJ21" s="11">
        <f t="shared" si="4"/>
        <v>56.712138</v>
      </c>
      <c r="AK21" s="11"/>
      <c r="AL21" s="11"/>
      <c r="AM21" s="11"/>
      <c r="AN21" s="11"/>
      <c r="AO21" s="11"/>
      <c r="AP21" s="11">
        <f t="shared" si="6"/>
        <v>56.712138</v>
      </c>
      <c r="AQ21" s="54">
        <f t="shared" si="7"/>
        <v>0.361137359074101</v>
      </c>
    </row>
    <row r="22" spans="1:43">
      <c r="A22" s="14"/>
      <c r="B22" s="4">
        <v>2014</v>
      </c>
      <c r="C22" s="12"/>
      <c r="D22" s="12"/>
      <c r="E22" s="12"/>
      <c r="F22" s="11">
        <v>163.61</v>
      </c>
      <c r="G22" s="11"/>
      <c r="H22" s="11">
        <v>0.0557293</v>
      </c>
      <c r="I22" s="11"/>
      <c r="J22" s="11"/>
      <c r="K22" s="11"/>
      <c r="L22" s="11">
        <v>2.99</v>
      </c>
      <c r="M22" s="11"/>
      <c r="N22" s="11"/>
      <c r="O22" s="11">
        <f t="shared" si="9"/>
        <v>3.0457293</v>
      </c>
      <c r="P22" s="11"/>
      <c r="Q22" s="11"/>
      <c r="R22" s="11">
        <v>1.62</v>
      </c>
      <c r="S22" s="11"/>
      <c r="T22" s="29"/>
      <c r="U22" s="29"/>
      <c r="V22" s="29">
        <v>29.29</v>
      </c>
      <c r="W22" s="29"/>
      <c r="X22" s="29"/>
      <c r="Y22" s="29">
        <f t="shared" si="10"/>
        <v>30.91</v>
      </c>
      <c r="Z22" s="29"/>
      <c r="AA22" s="29"/>
      <c r="AB22" s="29"/>
      <c r="AC22" s="29"/>
      <c r="AD22" s="29"/>
      <c r="AE22" s="29"/>
      <c r="AF22" s="44"/>
      <c r="AG22" s="29">
        <f t="shared" si="8"/>
        <v>135.7457293</v>
      </c>
      <c r="AH22" s="29">
        <v>53.73</v>
      </c>
      <c r="AI22" s="29">
        <v>-0.394685</v>
      </c>
      <c r="AJ22" s="11">
        <f t="shared" si="4"/>
        <v>53.335315</v>
      </c>
      <c r="AK22" s="11"/>
      <c r="AL22" s="11"/>
      <c r="AM22" s="11"/>
      <c r="AN22" s="11"/>
      <c r="AO22" s="11"/>
      <c r="AP22" s="11">
        <f t="shared" si="6"/>
        <v>53.335315</v>
      </c>
      <c r="AQ22" s="54">
        <f t="shared" si="7"/>
        <v>0.392906025663085</v>
      </c>
    </row>
    <row r="23" spans="1:43">
      <c r="A23" s="14"/>
      <c r="B23" s="4">
        <v>2013</v>
      </c>
      <c r="C23" s="12"/>
      <c r="D23" s="12"/>
      <c r="E23" s="12"/>
      <c r="F23" s="11">
        <v>150.03</v>
      </c>
      <c r="G23" s="11"/>
      <c r="H23" s="11">
        <v>0.060091</v>
      </c>
      <c r="I23" s="11"/>
      <c r="J23" s="11"/>
      <c r="K23" s="11"/>
      <c r="L23" s="11">
        <v>1.89</v>
      </c>
      <c r="M23" s="11"/>
      <c r="N23" s="11"/>
      <c r="O23" s="11">
        <f t="shared" si="9"/>
        <v>1.950091</v>
      </c>
      <c r="P23" s="11"/>
      <c r="Q23" s="11"/>
      <c r="R23" s="11">
        <v>1.69</v>
      </c>
      <c r="S23" s="11"/>
      <c r="T23" s="29"/>
      <c r="U23" s="29"/>
      <c r="V23" s="29">
        <v>38.46</v>
      </c>
      <c r="W23" s="29"/>
      <c r="X23" s="29"/>
      <c r="Y23" s="29">
        <f t="shared" si="10"/>
        <v>40.15</v>
      </c>
      <c r="Z23" s="29"/>
      <c r="AA23" s="29"/>
      <c r="AB23" s="29"/>
      <c r="AC23" s="29"/>
      <c r="AD23" s="29"/>
      <c r="AE23" s="29"/>
      <c r="AF23" s="44"/>
      <c r="AG23" s="29">
        <f t="shared" si="8"/>
        <v>111.830091</v>
      </c>
      <c r="AH23" s="29">
        <v>51.48</v>
      </c>
      <c r="AI23" s="29">
        <v>-0.439045</v>
      </c>
      <c r="AJ23" s="11">
        <f t="shared" si="4"/>
        <v>51.040955</v>
      </c>
      <c r="AK23" s="11"/>
      <c r="AL23" s="11"/>
      <c r="AM23" s="11"/>
      <c r="AN23" s="11"/>
      <c r="AO23" s="11"/>
      <c r="AP23" s="11">
        <f t="shared" si="6"/>
        <v>51.040955</v>
      </c>
      <c r="AQ23" s="54">
        <f t="shared" si="7"/>
        <v>0.456415214756465</v>
      </c>
    </row>
    <row r="24" spans="1:43">
      <c r="A24" s="15"/>
      <c r="B24" s="4">
        <v>2012</v>
      </c>
      <c r="C24" s="12"/>
      <c r="D24" s="12"/>
      <c r="E24" s="12"/>
      <c r="F24" s="11">
        <v>125.54</v>
      </c>
      <c r="G24" s="11"/>
      <c r="H24" s="11">
        <v>1.78</v>
      </c>
      <c r="I24" s="11"/>
      <c r="J24" s="11"/>
      <c r="K24" s="11"/>
      <c r="L24" s="11">
        <v>2</v>
      </c>
      <c r="M24" s="11"/>
      <c r="N24" s="11"/>
      <c r="O24" s="11">
        <f t="shared" si="9"/>
        <v>3.78</v>
      </c>
      <c r="P24" s="11"/>
      <c r="Q24" s="11"/>
      <c r="R24" s="11">
        <v>1.69</v>
      </c>
      <c r="S24" s="11"/>
      <c r="T24" s="29"/>
      <c r="U24" s="29">
        <v>0.010113</v>
      </c>
      <c r="V24" s="29">
        <v>40.75</v>
      </c>
      <c r="W24" s="29"/>
      <c r="X24" s="29"/>
      <c r="Y24" s="29">
        <f t="shared" si="10"/>
        <v>42.450113</v>
      </c>
      <c r="Z24" s="29"/>
      <c r="AA24" s="29"/>
      <c r="AB24" s="29"/>
      <c r="AC24" s="29"/>
      <c r="AD24" s="29"/>
      <c r="AE24" s="29"/>
      <c r="AF24" s="44"/>
      <c r="AG24" s="29">
        <f t="shared" si="8"/>
        <v>86.869887</v>
      </c>
      <c r="AH24" s="29">
        <v>39.11</v>
      </c>
      <c r="AI24" s="29">
        <v>0.103632</v>
      </c>
      <c r="AJ24" s="11">
        <f t="shared" si="4"/>
        <v>39.213632</v>
      </c>
      <c r="AK24" s="11"/>
      <c r="AL24" s="11"/>
      <c r="AM24" s="11"/>
      <c r="AN24" s="11"/>
      <c r="AO24" s="11"/>
      <c r="AP24" s="11">
        <f t="shared" si="6"/>
        <v>39.213632</v>
      </c>
      <c r="AQ24" s="54">
        <f t="shared" si="7"/>
        <v>0.451406504074306</v>
      </c>
    </row>
    <row r="25" spans="1:43">
      <c r="A25" s="4" t="s">
        <v>280</v>
      </c>
      <c r="B25" s="4">
        <v>2022</v>
      </c>
      <c r="C25" s="12"/>
      <c r="D25" s="12"/>
      <c r="E25" s="12"/>
      <c r="F25" s="11">
        <v>70.73</v>
      </c>
      <c r="G25" s="11"/>
      <c r="H25" s="11"/>
      <c r="I25" s="11"/>
      <c r="J25" s="11"/>
      <c r="K25" s="11"/>
      <c r="L25" s="11"/>
      <c r="M25" s="11"/>
      <c r="N25" s="11"/>
      <c r="O25" s="11">
        <f t="shared" si="9"/>
        <v>0</v>
      </c>
      <c r="P25" s="11"/>
      <c r="Q25" s="11"/>
      <c r="R25" s="11">
        <v>0.621961</v>
      </c>
      <c r="S25" s="11"/>
      <c r="T25" s="29"/>
      <c r="U25" s="29"/>
      <c r="V25" s="29">
        <v>35.63</v>
      </c>
      <c r="W25" s="29"/>
      <c r="X25" s="29">
        <v>4.31</v>
      </c>
      <c r="Y25" s="29">
        <f t="shared" si="10"/>
        <v>40.561961</v>
      </c>
      <c r="Z25" s="29"/>
      <c r="AA25" s="29"/>
      <c r="AB25" s="29"/>
      <c r="AC25" s="29"/>
      <c r="AD25" s="29"/>
      <c r="AE25" s="29"/>
      <c r="AF25" s="44"/>
      <c r="AG25" s="29">
        <f t="shared" si="8"/>
        <v>30.168039</v>
      </c>
      <c r="AH25" s="29">
        <v>25.45</v>
      </c>
      <c r="AI25" s="29">
        <v>-0.974233</v>
      </c>
      <c r="AJ25" s="11">
        <f t="shared" si="4"/>
        <v>24.475767</v>
      </c>
      <c r="AK25" s="11"/>
      <c r="AL25" s="11"/>
      <c r="AM25" s="11"/>
      <c r="AN25" s="11"/>
      <c r="AO25" s="11"/>
      <c r="AP25" s="11">
        <f t="shared" si="6"/>
        <v>24.475767</v>
      </c>
      <c r="AQ25" s="54">
        <f t="shared" ref="AQ25:AQ46" si="11">AJ25/AG25</f>
        <v>0.811314484179764</v>
      </c>
    </row>
    <row r="26" spans="1:43">
      <c r="A26" s="4"/>
      <c r="B26" s="4">
        <v>2021</v>
      </c>
      <c r="C26" s="12"/>
      <c r="D26" s="12"/>
      <c r="E26" s="12"/>
      <c r="F26" s="11">
        <v>76.58</v>
      </c>
      <c r="G26" s="11"/>
      <c r="H26" s="11"/>
      <c r="I26" s="11"/>
      <c r="J26" s="11"/>
      <c r="K26" s="11"/>
      <c r="L26" s="11"/>
      <c r="M26" s="11"/>
      <c r="N26" s="11"/>
      <c r="O26" s="11">
        <f t="shared" si="9"/>
        <v>0</v>
      </c>
      <c r="P26" s="11"/>
      <c r="Q26" s="11"/>
      <c r="R26" s="11">
        <v>0.656006</v>
      </c>
      <c r="S26" s="11"/>
      <c r="T26" s="29"/>
      <c r="U26" s="29"/>
      <c r="V26" s="29">
        <v>26.54</v>
      </c>
      <c r="W26" s="29"/>
      <c r="X26" s="29">
        <v>1.8</v>
      </c>
      <c r="Y26" s="29">
        <f t="shared" si="10"/>
        <v>28.996006</v>
      </c>
      <c r="Z26" s="29"/>
      <c r="AA26" s="29"/>
      <c r="AB26" s="29"/>
      <c r="AC26" s="29"/>
      <c r="AD26" s="29"/>
      <c r="AE26" s="29"/>
      <c r="AF26" s="44"/>
      <c r="AG26" s="29">
        <f t="shared" si="8"/>
        <v>47.583994</v>
      </c>
      <c r="AH26" s="29">
        <v>23.86</v>
      </c>
      <c r="AI26" s="29">
        <v>-0.064823</v>
      </c>
      <c r="AJ26" s="11">
        <f t="shared" si="4"/>
        <v>23.795177</v>
      </c>
      <c r="AK26" s="11"/>
      <c r="AL26" s="11"/>
      <c r="AM26" s="11"/>
      <c r="AN26" s="11"/>
      <c r="AO26" s="11"/>
      <c r="AP26" s="11">
        <f t="shared" si="6"/>
        <v>23.795177</v>
      </c>
      <c r="AQ26" s="54">
        <f t="shared" si="11"/>
        <v>0.500066829194708</v>
      </c>
    </row>
    <row r="27" spans="1:43">
      <c r="A27" s="4"/>
      <c r="B27" s="4">
        <v>2020</v>
      </c>
      <c r="C27" s="12"/>
      <c r="D27" s="12"/>
      <c r="E27" s="12"/>
      <c r="F27" s="11">
        <v>72.37</v>
      </c>
      <c r="G27" s="11"/>
      <c r="H27" s="11"/>
      <c r="I27" s="11"/>
      <c r="J27" s="11"/>
      <c r="K27" s="11"/>
      <c r="L27" s="11"/>
      <c r="M27" s="11"/>
      <c r="N27" s="11"/>
      <c r="O27" s="11">
        <f t="shared" si="9"/>
        <v>0</v>
      </c>
      <c r="P27" s="11"/>
      <c r="Q27" s="11"/>
      <c r="R27" s="11">
        <v>0.644483</v>
      </c>
      <c r="S27" s="11"/>
      <c r="T27" s="29"/>
      <c r="U27" s="29"/>
      <c r="V27" s="29">
        <v>17.2</v>
      </c>
      <c r="W27" s="29"/>
      <c r="X27" s="29">
        <v>1.16</v>
      </c>
      <c r="Y27" s="29">
        <f t="shared" si="10"/>
        <v>19.004483</v>
      </c>
      <c r="Z27" s="29"/>
      <c r="AA27" s="29"/>
      <c r="AB27" s="29"/>
      <c r="AC27" s="29"/>
      <c r="AD27" s="29"/>
      <c r="AE27" s="29"/>
      <c r="AF27" s="44"/>
      <c r="AG27" s="29">
        <f t="shared" si="8"/>
        <v>53.365517</v>
      </c>
      <c r="AH27" s="29">
        <v>22</v>
      </c>
      <c r="AI27" s="29">
        <v>-0.090278</v>
      </c>
      <c r="AJ27" s="11">
        <f t="shared" si="4"/>
        <v>21.909722</v>
      </c>
      <c r="AK27" s="11"/>
      <c r="AL27" s="11"/>
      <c r="AM27" s="11"/>
      <c r="AN27" s="11"/>
      <c r="AO27" s="11"/>
      <c r="AP27" s="11">
        <f t="shared" si="6"/>
        <v>21.909722</v>
      </c>
      <c r="AQ27" s="54">
        <f t="shared" si="11"/>
        <v>0.410559537912843</v>
      </c>
    </row>
    <row r="28" spans="1:43">
      <c r="A28" s="4"/>
      <c r="B28" s="4">
        <v>2019</v>
      </c>
      <c r="C28" s="12"/>
      <c r="D28" s="12"/>
      <c r="E28" s="12"/>
      <c r="F28" s="11">
        <v>68.45</v>
      </c>
      <c r="G28" s="11"/>
      <c r="H28" s="11"/>
      <c r="I28" s="11"/>
      <c r="J28" s="11"/>
      <c r="K28" s="11"/>
      <c r="L28" s="11"/>
      <c r="M28" s="11"/>
      <c r="N28" s="11"/>
      <c r="O28" s="11">
        <f t="shared" si="9"/>
        <v>0</v>
      </c>
      <c r="P28" s="11"/>
      <c r="Q28" s="11"/>
      <c r="R28" s="11">
        <v>0.619177</v>
      </c>
      <c r="S28" s="11"/>
      <c r="T28" s="29"/>
      <c r="U28" s="29"/>
      <c r="V28" s="29">
        <v>13.08</v>
      </c>
      <c r="W28" s="29"/>
      <c r="X28" s="29">
        <v>12.65</v>
      </c>
      <c r="Y28" s="29">
        <f t="shared" si="10"/>
        <v>26.349177</v>
      </c>
      <c r="Z28" s="29"/>
      <c r="AA28" s="29"/>
      <c r="AB28" s="29"/>
      <c r="AC28" s="29"/>
      <c r="AD28" s="29"/>
      <c r="AE28" s="29"/>
      <c r="AF28" s="44"/>
      <c r="AG28" s="29">
        <f t="shared" si="8"/>
        <v>42.100823</v>
      </c>
      <c r="AH28" s="29">
        <v>22.73</v>
      </c>
      <c r="AI28" s="29">
        <v>-0.433257</v>
      </c>
      <c r="AJ28" s="11">
        <f t="shared" si="4"/>
        <v>22.296743</v>
      </c>
      <c r="AK28" s="11"/>
      <c r="AL28" s="11"/>
      <c r="AM28" s="11"/>
      <c r="AN28" s="11"/>
      <c r="AO28" s="11"/>
      <c r="AP28" s="11">
        <f t="shared" si="6"/>
        <v>22.296743</v>
      </c>
      <c r="AQ28" s="54">
        <f t="shared" si="11"/>
        <v>0.529603494924553</v>
      </c>
    </row>
    <row r="29" spans="1:43">
      <c r="A29" s="4"/>
      <c r="B29" s="4">
        <v>2018</v>
      </c>
      <c r="C29" s="12"/>
      <c r="D29" s="12"/>
      <c r="E29" s="12"/>
      <c r="F29" s="11">
        <v>59.07</v>
      </c>
      <c r="G29" s="11"/>
      <c r="H29" s="11"/>
      <c r="I29" s="11"/>
      <c r="J29" s="11"/>
      <c r="K29" s="11"/>
      <c r="L29" s="11"/>
      <c r="M29" s="11"/>
      <c r="N29" s="11"/>
      <c r="O29" s="11">
        <f t="shared" si="9"/>
        <v>0</v>
      </c>
      <c r="P29" s="11"/>
      <c r="Q29" s="11"/>
      <c r="R29" s="11">
        <v>0.606464</v>
      </c>
      <c r="S29" s="11"/>
      <c r="T29" s="29"/>
      <c r="U29" s="29"/>
      <c r="V29" s="29">
        <v>14.17</v>
      </c>
      <c r="W29" s="29"/>
      <c r="X29" s="29">
        <v>4.35</v>
      </c>
      <c r="Y29" s="29">
        <f t="shared" si="10"/>
        <v>19.126464</v>
      </c>
      <c r="Z29" s="29"/>
      <c r="AA29" s="29"/>
      <c r="AB29" s="29"/>
      <c r="AC29" s="29"/>
      <c r="AD29" s="29"/>
      <c r="AE29" s="29"/>
      <c r="AF29" s="44"/>
      <c r="AG29" s="29">
        <f t="shared" si="8"/>
        <v>39.943536</v>
      </c>
      <c r="AH29" s="29">
        <v>19.82</v>
      </c>
      <c r="AI29" s="29">
        <v>-0.055448</v>
      </c>
      <c r="AJ29" s="11">
        <f t="shared" si="4"/>
        <v>19.764552</v>
      </c>
      <c r="AK29" s="11"/>
      <c r="AL29" s="11"/>
      <c r="AM29" s="11"/>
      <c r="AN29" s="11"/>
      <c r="AO29" s="11"/>
      <c r="AP29" s="11">
        <f t="shared" si="6"/>
        <v>19.764552</v>
      </c>
      <c r="AQ29" s="54">
        <f t="shared" si="11"/>
        <v>0.494812277010228</v>
      </c>
    </row>
    <row r="30" spans="1:43">
      <c r="A30" s="4"/>
      <c r="B30" s="4">
        <v>2017</v>
      </c>
      <c r="C30" s="12"/>
      <c r="D30" s="12"/>
      <c r="E30" s="12"/>
      <c r="F30" s="11">
        <v>54.08</v>
      </c>
      <c r="G30" s="11"/>
      <c r="H30" s="11"/>
      <c r="I30" s="11"/>
      <c r="J30" s="11"/>
      <c r="K30" s="11"/>
      <c r="L30" s="11"/>
      <c r="M30" s="11"/>
      <c r="N30" s="11"/>
      <c r="O30" s="11">
        <f t="shared" si="9"/>
        <v>0</v>
      </c>
      <c r="P30" s="11"/>
      <c r="Q30" s="11"/>
      <c r="R30" s="11">
        <v>0.578281</v>
      </c>
      <c r="S30" s="11"/>
      <c r="T30" s="29"/>
      <c r="U30" s="29"/>
      <c r="V30" s="29">
        <v>8.7</v>
      </c>
      <c r="W30" s="29"/>
      <c r="X30" s="29">
        <v>13.06</v>
      </c>
      <c r="Y30" s="29">
        <f t="shared" si="10"/>
        <v>22.338281</v>
      </c>
      <c r="Z30" s="29"/>
      <c r="AA30" s="29"/>
      <c r="AB30" s="29"/>
      <c r="AC30" s="29"/>
      <c r="AD30" s="29"/>
      <c r="AE30" s="29"/>
      <c r="AF30" s="44"/>
      <c r="AG30" s="29">
        <f t="shared" si="8"/>
        <v>31.741719</v>
      </c>
      <c r="AH30" s="29">
        <v>15.89</v>
      </c>
      <c r="AI30" s="29">
        <v>-0.014025</v>
      </c>
      <c r="AJ30" s="11">
        <f t="shared" si="4"/>
        <v>15.875975</v>
      </c>
      <c r="AK30" s="11"/>
      <c r="AL30" s="11"/>
      <c r="AM30" s="11"/>
      <c r="AN30" s="11"/>
      <c r="AO30" s="11"/>
      <c r="AP30" s="11">
        <f t="shared" si="6"/>
        <v>15.875975</v>
      </c>
      <c r="AQ30" s="54">
        <f t="shared" si="11"/>
        <v>0.500161160143847</v>
      </c>
    </row>
    <row r="31" spans="1:43">
      <c r="A31" s="4"/>
      <c r="B31" s="4">
        <v>2016</v>
      </c>
      <c r="C31" s="12"/>
      <c r="D31" s="12"/>
      <c r="E31" s="12"/>
      <c r="F31" s="11">
        <v>45.62</v>
      </c>
      <c r="G31" s="11"/>
      <c r="H31" s="11"/>
      <c r="I31" s="11"/>
      <c r="J31" s="11"/>
      <c r="K31" s="11"/>
      <c r="L31" s="11"/>
      <c r="M31" s="11"/>
      <c r="N31" s="11"/>
      <c r="O31" s="11">
        <f t="shared" si="9"/>
        <v>0</v>
      </c>
      <c r="P31" s="11"/>
      <c r="Q31" s="11"/>
      <c r="R31" s="11">
        <v>0.538779</v>
      </c>
      <c r="S31" s="11"/>
      <c r="T31" s="29"/>
      <c r="U31" s="29"/>
      <c r="V31" s="29">
        <v>7.54</v>
      </c>
      <c r="W31" s="29"/>
      <c r="X31" s="29">
        <v>8.57</v>
      </c>
      <c r="Y31" s="29">
        <f t="shared" si="10"/>
        <v>16.648779</v>
      </c>
      <c r="Z31" s="29"/>
      <c r="AA31" s="29"/>
      <c r="AB31" s="29"/>
      <c r="AC31" s="29"/>
      <c r="AD31" s="29"/>
      <c r="AE31" s="29"/>
      <c r="AF31" s="44"/>
      <c r="AG31" s="29">
        <f t="shared" si="8"/>
        <v>28.971221</v>
      </c>
      <c r="AH31" s="29">
        <v>13.67</v>
      </c>
      <c r="AI31" s="29">
        <v>-0.214382</v>
      </c>
      <c r="AJ31" s="11">
        <f t="shared" si="4"/>
        <v>13.455618</v>
      </c>
      <c r="AK31" s="11"/>
      <c r="AL31" s="11"/>
      <c r="AM31" s="11"/>
      <c r="AN31" s="11"/>
      <c r="AO31" s="11"/>
      <c r="AP31" s="11">
        <f t="shared" si="6"/>
        <v>13.455618</v>
      </c>
      <c r="AQ31" s="54">
        <f t="shared" si="11"/>
        <v>0.46444773591006</v>
      </c>
    </row>
    <row r="32" spans="1:43">
      <c r="A32" s="4"/>
      <c r="B32" s="4">
        <v>2015</v>
      </c>
      <c r="C32" s="12"/>
      <c r="D32" s="12"/>
      <c r="E32" s="12"/>
      <c r="F32" s="11">
        <v>50.1</v>
      </c>
      <c r="G32" s="11"/>
      <c r="H32" s="11"/>
      <c r="I32" s="11"/>
      <c r="J32" s="11"/>
      <c r="K32" s="11"/>
      <c r="L32" s="11"/>
      <c r="M32" s="11"/>
      <c r="N32" s="11"/>
      <c r="O32" s="11">
        <f t="shared" si="9"/>
        <v>0</v>
      </c>
      <c r="P32" s="11"/>
      <c r="Q32" s="11"/>
      <c r="R32" s="11">
        <v>0.513288</v>
      </c>
      <c r="S32" s="11"/>
      <c r="T32" s="29"/>
      <c r="U32" s="29"/>
      <c r="V32" s="29">
        <v>10.41</v>
      </c>
      <c r="W32" s="29"/>
      <c r="X32" s="29">
        <v>4.02</v>
      </c>
      <c r="Y32" s="29">
        <f t="shared" si="10"/>
        <v>14.943288</v>
      </c>
      <c r="Z32" s="29"/>
      <c r="AA32" s="29"/>
      <c r="AB32" s="29"/>
      <c r="AC32" s="29"/>
      <c r="AD32" s="29"/>
      <c r="AE32" s="29"/>
      <c r="AF32" s="44"/>
      <c r="AG32" s="29">
        <f t="shared" si="8"/>
        <v>35.156712</v>
      </c>
      <c r="AH32" s="29">
        <v>11.74</v>
      </c>
      <c r="AI32" s="29">
        <v>-0.230512</v>
      </c>
      <c r="AJ32" s="11">
        <f t="shared" si="4"/>
        <v>11.509488</v>
      </c>
      <c r="AK32" s="11"/>
      <c r="AL32" s="11"/>
      <c r="AM32" s="11"/>
      <c r="AN32" s="11"/>
      <c r="AO32" s="11"/>
      <c r="AP32" s="11">
        <f t="shared" si="6"/>
        <v>11.509488</v>
      </c>
      <c r="AQ32" s="54">
        <f t="shared" si="11"/>
        <v>0.327376689833793</v>
      </c>
    </row>
    <row r="33" spans="1:43">
      <c r="A33" s="4"/>
      <c r="B33" s="4">
        <v>2014</v>
      </c>
      <c r="C33" s="12"/>
      <c r="D33" s="12"/>
      <c r="E33" s="12"/>
      <c r="F33" s="11">
        <v>42.79</v>
      </c>
      <c r="G33" s="11"/>
      <c r="H33" s="11"/>
      <c r="I33" s="11"/>
      <c r="J33" s="11"/>
      <c r="K33" s="11"/>
      <c r="L33" s="11"/>
      <c r="M33" s="11"/>
      <c r="N33" s="11"/>
      <c r="O33" s="11">
        <f t="shared" si="9"/>
        <v>0</v>
      </c>
      <c r="P33" s="11"/>
      <c r="Q33" s="11"/>
      <c r="R33" s="11">
        <v>0.484808</v>
      </c>
      <c r="S33" s="11"/>
      <c r="T33" s="29"/>
      <c r="U33" s="29"/>
      <c r="V33" s="29">
        <v>6.21</v>
      </c>
      <c r="W33" s="29"/>
      <c r="X33" s="29">
        <v>9.14</v>
      </c>
      <c r="Y33" s="29">
        <f t="shared" si="10"/>
        <v>15.834808</v>
      </c>
      <c r="Z33" s="29"/>
      <c r="AA33" s="29"/>
      <c r="AB33" s="29"/>
      <c r="AC33" s="29"/>
      <c r="AD33" s="29"/>
      <c r="AE33" s="29"/>
      <c r="AF33" s="44"/>
      <c r="AG33" s="29">
        <f t="shared" si="8"/>
        <v>26.955192</v>
      </c>
      <c r="AH33" s="29">
        <v>9.08</v>
      </c>
      <c r="AI33" s="29">
        <v>-0.192806</v>
      </c>
      <c r="AJ33" s="11">
        <f t="shared" si="4"/>
        <v>8.887194</v>
      </c>
      <c r="AK33" s="11"/>
      <c r="AL33" s="11"/>
      <c r="AM33" s="11"/>
      <c r="AN33" s="11"/>
      <c r="AO33" s="11"/>
      <c r="AP33" s="11">
        <f t="shared" si="6"/>
        <v>8.887194</v>
      </c>
      <c r="AQ33" s="54">
        <f t="shared" si="11"/>
        <v>0.329702492937168</v>
      </c>
    </row>
    <row r="34" spans="1:43">
      <c r="A34" s="4"/>
      <c r="B34" s="4">
        <v>2013</v>
      </c>
      <c r="C34" s="12"/>
      <c r="D34" s="12"/>
      <c r="E34" s="12"/>
      <c r="F34" s="11">
        <v>37.33</v>
      </c>
      <c r="G34" s="11"/>
      <c r="H34" s="11"/>
      <c r="I34" s="11"/>
      <c r="J34" s="11"/>
      <c r="K34" s="11"/>
      <c r="L34" s="11"/>
      <c r="M34" s="11"/>
      <c r="N34" s="11">
        <v>0.000128</v>
      </c>
      <c r="O34" s="11">
        <f t="shared" si="9"/>
        <v>0.000128</v>
      </c>
      <c r="P34" s="11"/>
      <c r="Q34" s="11"/>
      <c r="R34" s="11">
        <v>0.444952</v>
      </c>
      <c r="S34" s="11"/>
      <c r="T34" s="29"/>
      <c r="U34" s="29"/>
      <c r="V34" s="29">
        <v>14.05</v>
      </c>
      <c r="W34" s="29"/>
      <c r="X34" s="29"/>
      <c r="Y34" s="29">
        <f t="shared" si="10"/>
        <v>14.494952</v>
      </c>
      <c r="Z34" s="29"/>
      <c r="AA34" s="29"/>
      <c r="AB34" s="29"/>
      <c r="AC34" s="29"/>
      <c r="AD34" s="29"/>
      <c r="AE34" s="29"/>
      <c r="AF34" s="44"/>
      <c r="AG34" s="29">
        <f t="shared" si="8"/>
        <v>22.835176</v>
      </c>
      <c r="AH34" s="29">
        <v>7.49</v>
      </c>
      <c r="AI34" s="29">
        <v>-0.117882</v>
      </c>
      <c r="AJ34" s="11">
        <f t="shared" si="4"/>
        <v>7.372118</v>
      </c>
      <c r="AK34" s="11"/>
      <c r="AL34" s="11"/>
      <c r="AM34" s="11"/>
      <c r="AN34" s="11"/>
      <c r="AO34" s="11"/>
      <c r="AP34" s="11">
        <f t="shared" si="6"/>
        <v>7.372118</v>
      </c>
      <c r="AQ34" s="54">
        <f t="shared" si="11"/>
        <v>0.322840428293612</v>
      </c>
    </row>
    <row r="35" spans="1:43">
      <c r="A35" s="4"/>
      <c r="B35" s="4">
        <v>2012</v>
      </c>
      <c r="C35" s="12"/>
      <c r="D35" s="12"/>
      <c r="E35" s="12"/>
      <c r="F35" s="11">
        <v>33.95</v>
      </c>
      <c r="G35" s="11"/>
      <c r="H35" s="11"/>
      <c r="I35" s="11"/>
      <c r="J35" s="11"/>
      <c r="K35" s="11"/>
      <c r="L35" s="11"/>
      <c r="M35" s="11">
        <v>0.00146</v>
      </c>
      <c r="N35" s="11"/>
      <c r="O35" s="11">
        <f t="shared" si="9"/>
        <v>0.00146</v>
      </c>
      <c r="P35" s="11"/>
      <c r="Q35" s="11"/>
      <c r="R35" s="11">
        <v>0.413655</v>
      </c>
      <c r="S35" s="11"/>
      <c r="T35" s="29"/>
      <c r="U35" s="29"/>
      <c r="V35" s="29">
        <v>11.15</v>
      </c>
      <c r="W35" s="29"/>
      <c r="X35" s="29"/>
      <c r="Y35" s="29">
        <f t="shared" si="10"/>
        <v>11.563655</v>
      </c>
      <c r="Z35" s="29"/>
      <c r="AA35" s="29"/>
      <c r="AB35" s="29"/>
      <c r="AC35" s="29"/>
      <c r="AD35" s="29"/>
      <c r="AE35" s="29"/>
      <c r="AF35" s="44"/>
      <c r="AG35" s="29">
        <f t="shared" si="8"/>
        <v>22.387805</v>
      </c>
      <c r="AH35" s="29">
        <v>5.93</v>
      </c>
      <c r="AI35" s="29">
        <v>-0.035843</v>
      </c>
      <c r="AJ35" s="11">
        <f t="shared" si="4"/>
        <v>5.894157</v>
      </c>
      <c r="AK35" s="11"/>
      <c r="AL35" s="11"/>
      <c r="AM35" s="11"/>
      <c r="AN35" s="11"/>
      <c r="AO35" s="11"/>
      <c r="AP35" s="11">
        <f t="shared" si="6"/>
        <v>5.894157</v>
      </c>
      <c r="AQ35" s="54">
        <f t="shared" si="11"/>
        <v>0.263275341195798</v>
      </c>
    </row>
    <row r="36" spans="1:43">
      <c r="A36" s="9" t="s">
        <v>281</v>
      </c>
      <c r="B36" s="9">
        <v>2022</v>
      </c>
      <c r="C36" s="12"/>
      <c r="D36" s="12"/>
      <c r="E36" s="12"/>
      <c r="F36" s="11">
        <v>19.67</v>
      </c>
      <c r="G36" s="11"/>
      <c r="H36" s="11"/>
      <c r="I36" s="11"/>
      <c r="J36" s="11"/>
      <c r="K36" s="11"/>
      <c r="L36" s="11"/>
      <c r="M36" s="11"/>
      <c r="N36" s="11"/>
      <c r="O36" s="11">
        <f t="shared" si="9"/>
        <v>0</v>
      </c>
      <c r="P36" s="11"/>
      <c r="Q36" s="11"/>
      <c r="R36" s="11">
        <v>0.598204</v>
      </c>
      <c r="S36" s="11">
        <v>0.144286</v>
      </c>
      <c r="T36" s="29"/>
      <c r="U36" s="29">
        <v>0.151893</v>
      </c>
      <c r="V36" s="29">
        <v>10.99</v>
      </c>
      <c r="W36" s="29"/>
      <c r="X36" s="29"/>
      <c r="Y36" s="29">
        <f t="shared" si="10"/>
        <v>11.884383</v>
      </c>
      <c r="Z36" s="29"/>
      <c r="AA36" s="29"/>
      <c r="AB36" s="29"/>
      <c r="AC36" s="29"/>
      <c r="AD36" s="29"/>
      <c r="AE36" s="29"/>
      <c r="AF36" s="44"/>
      <c r="AG36" s="29">
        <f t="shared" si="8"/>
        <v>7.785617</v>
      </c>
      <c r="AH36" s="29">
        <v>5.25</v>
      </c>
      <c r="AI36" s="29">
        <v>-0.170996</v>
      </c>
      <c r="AJ36" s="11">
        <f t="shared" si="4"/>
        <v>5.079004</v>
      </c>
      <c r="AK36" s="11"/>
      <c r="AL36" s="11"/>
      <c r="AM36" s="11"/>
      <c r="AN36" s="11"/>
      <c r="AO36" s="11"/>
      <c r="AP36" s="11">
        <f t="shared" si="6"/>
        <v>5.079004</v>
      </c>
      <c r="AQ36" s="54">
        <f t="shared" si="11"/>
        <v>0.652357289088328</v>
      </c>
    </row>
    <row r="37" spans="1:43">
      <c r="A37" s="9"/>
      <c r="B37" s="9">
        <v>2021</v>
      </c>
      <c r="C37" s="12"/>
      <c r="D37" s="12"/>
      <c r="E37" s="12"/>
      <c r="F37" s="11">
        <v>19.5</v>
      </c>
      <c r="G37" s="11"/>
      <c r="H37" s="11"/>
      <c r="I37" s="11"/>
      <c r="J37" s="11"/>
      <c r="K37" s="11"/>
      <c r="L37" s="11"/>
      <c r="M37" s="11"/>
      <c r="N37" s="11"/>
      <c r="O37" s="11">
        <f t="shared" si="9"/>
        <v>0</v>
      </c>
      <c r="P37" s="11"/>
      <c r="Q37" s="11"/>
      <c r="R37" s="11">
        <v>0.598357</v>
      </c>
      <c r="S37" s="11">
        <v>0.255816</v>
      </c>
      <c r="T37" s="29"/>
      <c r="U37" s="29">
        <v>0.053659</v>
      </c>
      <c r="V37" s="29">
        <v>6.47</v>
      </c>
      <c r="W37" s="29"/>
      <c r="X37" s="29">
        <v>5</v>
      </c>
      <c r="Y37" s="29">
        <f t="shared" si="10"/>
        <v>12.377832</v>
      </c>
      <c r="Z37" s="29"/>
      <c r="AA37" s="29"/>
      <c r="AB37" s="29"/>
      <c r="AC37" s="29"/>
      <c r="AD37" s="29"/>
      <c r="AE37" s="29"/>
      <c r="AF37" s="44"/>
      <c r="AG37" s="29">
        <f t="shared" si="8"/>
        <v>7.122168</v>
      </c>
      <c r="AH37" s="29">
        <v>7.74</v>
      </c>
      <c r="AI37" s="29">
        <v>-0.149433</v>
      </c>
      <c r="AJ37" s="11">
        <f t="shared" si="4"/>
        <v>7.590567</v>
      </c>
      <c r="AK37" s="11"/>
      <c r="AL37" s="11"/>
      <c r="AM37" s="11"/>
      <c r="AN37" s="11"/>
      <c r="AO37" s="11"/>
      <c r="AP37" s="11">
        <f t="shared" si="6"/>
        <v>7.590567</v>
      </c>
      <c r="AQ37" s="54">
        <f t="shared" si="11"/>
        <v>1.06576635092011</v>
      </c>
    </row>
    <row r="38" spans="1:43">
      <c r="A38" s="9"/>
      <c r="B38" s="9">
        <v>2020</v>
      </c>
      <c r="C38" s="12"/>
      <c r="D38" s="12"/>
      <c r="E38" s="12"/>
      <c r="F38" s="11">
        <v>17.04</v>
      </c>
      <c r="G38" s="11"/>
      <c r="H38" s="11"/>
      <c r="I38" s="11"/>
      <c r="J38" s="11"/>
      <c r="K38" s="11"/>
      <c r="L38" s="11"/>
      <c r="M38" s="11"/>
      <c r="N38" s="11"/>
      <c r="O38" s="11">
        <f t="shared" si="9"/>
        <v>0</v>
      </c>
      <c r="P38" s="11"/>
      <c r="Q38" s="11"/>
      <c r="R38" s="11"/>
      <c r="S38" s="11">
        <v>0.614942</v>
      </c>
      <c r="T38" s="29"/>
      <c r="U38" s="29"/>
      <c r="V38" s="29">
        <v>5.1</v>
      </c>
      <c r="W38" s="29"/>
      <c r="X38" s="29">
        <v>5</v>
      </c>
      <c r="Y38" s="29">
        <f t="shared" si="10"/>
        <v>10.714942</v>
      </c>
      <c r="Z38" s="29"/>
      <c r="AA38" s="29"/>
      <c r="AB38" s="29"/>
      <c r="AC38" s="29"/>
      <c r="AD38" s="29"/>
      <c r="AE38" s="29"/>
      <c r="AF38" s="44"/>
      <c r="AG38" s="29">
        <f t="shared" si="8"/>
        <v>6.325058</v>
      </c>
      <c r="AH38" s="29">
        <v>6.34</v>
      </c>
      <c r="AI38" s="29">
        <v>-0.218757</v>
      </c>
      <c r="AJ38" s="11">
        <f t="shared" si="4"/>
        <v>6.121243</v>
      </c>
      <c r="AK38" s="11"/>
      <c r="AL38" s="11"/>
      <c r="AM38" s="11"/>
      <c r="AN38" s="11"/>
      <c r="AO38" s="11"/>
      <c r="AP38" s="11">
        <f t="shared" si="6"/>
        <v>6.121243</v>
      </c>
      <c r="AQ38" s="54">
        <f t="shared" si="11"/>
        <v>0.967776580072467</v>
      </c>
    </row>
    <row r="39" spans="1:43">
      <c r="A39" s="9"/>
      <c r="B39" s="9">
        <v>2019</v>
      </c>
      <c r="C39" s="12"/>
      <c r="D39" s="12"/>
      <c r="E39" s="12"/>
      <c r="F39" s="11">
        <v>15.19</v>
      </c>
      <c r="G39" s="11"/>
      <c r="H39" s="11"/>
      <c r="I39" s="11"/>
      <c r="J39" s="11"/>
      <c r="K39" s="11"/>
      <c r="L39" s="11"/>
      <c r="M39" s="11"/>
      <c r="N39" s="11"/>
      <c r="O39" s="11">
        <f t="shared" si="9"/>
        <v>0</v>
      </c>
      <c r="P39" s="11"/>
      <c r="Q39" s="11"/>
      <c r="R39" s="11"/>
      <c r="S39" s="11">
        <v>0.720642</v>
      </c>
      <c r="T39" s="29"/>
      <c r="U39" s="29"/>
      <c r="V39" s="29">
        <v>7.99</v>
      </c>
      <c r="W39" s="29"/>
      <c r="X39" s="29"/>
      <c r="Y39" s="29">
        <f t="shared" si="10"/>
        <v>8.710642</v>
      </c>
      <c r="Z39" s="29"/>
      <c r="AA39" s="29"/>
      <c r="AB39" s="29"/>
      <c r="AC39" s="29"/>
      <c r="AD39" s="29"/>
      <c r="AE39" s="29"/>
      <c r="AF39" s="44"/>
      <c r="AG39" s="29">
        <f t="shared" si="8"/>
        <v>6.479358</v>
      </c>
      <c r="AH39" s="29">
        <v>5.34</v>
      </c>
      <c r="AI39" s="29">
        <v>-0.130924</v>
      </c>
      <c r="AJ39" s="11">
        <f t="shared" si="4"/>
        <v>5.209076</v>
      </c>
      <c r="AK39" s="11"/>
      <c r="AL39" s="11"/>
      <c r="AM39" s="11"/>
      <c r="AN39" s="11"/>
      <c r="AO39" s="11"/>
      <c r="AP39" s="11">
        <f t="shared" si="6"/>
        <v>5.209076</v>
      </c>
      <c r="AQ39" s="54">
        <f t="shared" si="11"/>
        <v>0.803949403629187</v>
      </c>
    </row>
    <row r="40" spans="1:43">
      <c r="A40" s="9"/>
      <c r="B40" s="9">
        <v>2018</v>
      </c>
      <c r="C40" s="12"/>
      <c r="D40" s="12"/>
      <c r="E40" s="12"/>
      <c r="F40" s="11">
        <v>13.65</v>
      </c>
      <c r="G40" s="11"/>
      <c r="H40" s="11"/>
      <c r="I40" s="11"/>
      <c r="J40" s="11"/>
      <c r="K40" s="11"/>
      <c r="L40" s="11"/>
      <c r="M40" s="11"/>
      <c r="N40" s="11"/>
      <c r="O40" s="11">
        <f t="shared" si="9"/>
        <v>0</v>
      </c>
      <c r="P40" s="11">
        <v>0.795962</v>
      </c>
      <c r="Q40" s="11"/>
      <c r="R40" s="11"/>
      <c r="S40" s="11"/>
      <c r="T40" s="29"/>
      <c r="U40" s="29"/>
      <c r="V40" s="29">
        <v>8.39</v>
      </c>
      <c r="W40" s="29"/>
      <c r="X40" s="29"/>
      <c r="Y40" s="29">
        <f t="shared" si="10"/>
        <v>9.185962</v>
      </c>
      <c r="Z40" s="29"/>
      <c r="AA40" s="29"/>
      <c r="AB40" s="29"/>
      <c r="AC40" s="29"/>
      <c r="AD40" s="29"/>
      <c r="AE40" s="29"/>
      <c r="AF40" s="44"/>
      <c r="AG40" s="29">
        <f t="shared" si="8"/>
        <v>4.464038</v>
      </c>
      <c r="AH40" s="29">
        <v>4.44</v>
      </c>
      <c r="AI40" s="29">
        <v>-0.039898</v>
      </c>
      <c r="AJ40" s="11">
        <f t="shared" si="4"/>
        <v>4.400102</v>
      </c>
      <c r="AK40" s="11"/>
      <c r="AL40" s="11"/>
      <c r="AM40" s="11"/>
      <c r="AN40" s="11"/>
      <c r="AO40" s="11"/>
      <c r="AP40" s="11">
        <f t="shared" si="6"/>
        <v>4.400102</v>
      </c>
      <c r="AQ40" s="54">
        <f t="shared" si="11"/>
        <v>0.98567754127541</v>
      </c>
    </row>
    <row r="41" spans="1:43">
      <c r="A41" s="9"/>
      <c r="B41" s="9">
        <v>2017</v>
      </c>
      <c r="C41" s="12"/>
      <c r="D41" s="12"/>
      <c r="E41" s="12"/>
      <c r="F41" s="11">
        <v>13.08</v>
      </c>
      <c r="G41" s="11"/>
      <c r="H41" s="11"/>
      <c r="I41" s="11"/>
      <c r="J41" s="11"/>
      <c r="K41" s="11"/>
      <c r="L41" s="11"/>
      <c r="M41" s="11"/>
      <c r="N41" s="11"/>
      <c r="O41" s="11">
        <f t="shared" si="9"/>
        <v>0</v>
      </c>
      <c r="P41" s="11">
        <v>2.46</v>
      </c>
      <c r="Q41" s="11"/>
      <c r="R41" s="11"/>
      <c r="S41" s="11"/>
      <c r="T41" s="29"/>
      <c r="U41" s="29"/>
      <c r="V41" s="29">
        <v>8.65</v>
      </c>
      <c r="W41" s="29"/>
      <c r="X41" s="29"/>
      <c r="Y41" s="29">
        <f t="shared" si="10"/>
        <v>11.11</v>
      </c>
      <c r="Z41" s="29"/>
      <c r="AA41" s="29"/>
      <c r="AB41" s="29"/>
      <c r="AC41" s="29"/>
      <c r="AD41" s="29"/>
      <c r="AE41" s="29"/>
      <c r="AF41" s="44"/>
      <c r="AG41" s="29">
        <f t="shared" si="8"/>
        <v>1.97</v>
      </c>
      <c r="AH41" s="29">
        <v>3.59</v>
      </c>
      <c r="AI41" s="29">
        <v>-0.022374</v>
      </c>
      <c r="AJ41" s="11">
        <f t="shared" si="4"/>
        <v>3.567626</v>
      </c>
      <c r="AK41" s="11"/>
      <c r="AL41" s="11"/>
      <c r="AM41" s="11"/>
      <c r="AN41" s="11"/>
      <c r="AO41" s="11"/>
      <c r="AP41" s="11">
        <f t="shared" si="6"/>
        <v>3.567626</v>
      </c>
      <c r="AQ41" s="54">
        <f t="shared" si="11"/>
        <v>1.81097766497462</v>
      </c>
    </row>
    <row r="42" spans="1:43">
      <c r="A42" s="9"/>
      <c r="B42" s="4">
        <v>2016</v>
      </c>
      <c r="C42" s="12"/>
      <c r="D42" s="12"/>
      <c r="E42" s="12"/>
      <c r="F42" s="11">
        <v>11.51</v>
      </c>
      <c r="G42" s="11"/>
      <c r="H42" s="11"/>
      <c r="I42" s="11"/>
      <c r="J42" s="11"/>
      <c r="K42" s="11"/>
      <c r="L42" s="11"/>
      <c r="M42" s="11"/>
      <c r="N42" s="11"/>
      <c r="O42" s="11">
        <f t="shared" si="9"/>
        <v>0</v>
      </c>
      <c r="P42" s="11"/>
      <c r="Q42" s="11"/>
      <c r="R42" s="11"/>
      <c r="S42" s="11"/>
      <c r="T42" s="29"/>
      <c r="U42" s="29"/>
      <c r="V42" s="29">
        <v>3.7</v>
      </c>
      <c r="W42" s="29"/>
      <c r="X42" s="29"/>
      <c r="Y42" s="29">
        <f t="shared" si="10"/>
        <v>3.7</v>
      </c>
      <c r="Z42" s="29"/>
      <c r="AA42" s="29"/>
      <c r="AB42" s="29"/>
      <c r="AC42" s="29"/>
      <c r="AD42" s="29"/>
      <c r="AE42" s="29"/>
      <c r="AF42" s="44"/>
      <c r="AG42" s="29">
        <f t="shared" si="8"/>
        <v>7.81</v>
      </c>
      <c r="AH42" s="29">
        <v>2.37</v>
      </c>
      <c r="AI42" s="29">
        <v>-0.023179</v>
      </c>
      <c r="AJ42" s="11">
        <f t="shared" si="4"/>
        <v>2.346821</v>
      </c>
      <c r="AK42" s="11"/>
      <c r="AL42" s="11"/>
      <c r="AM42" s="11"/>
      <c r="AN42" s="11"/>
      <c r="AO42" s="11"/>
      <c r="AP42" s="11">
        <f t="shared" si="6"/>
        <v>2.346821</v>
      </c>
      <c r="AQ42" s="54">
        <f t="shared" si="11"/>
        <v>0.300489244558259</v>
      </c>
    </row>
    <row r="43" spans="1:43">
      <c r="A43" s="9"/>
      <c r="B43" s="4">
        <v>2015</v>
      </c>
      <c r="C43" s="12"/>
      <c r="D43" s="12"/>
      <c r="E43" s="12"/>
      <c r="F43" s="11">
        <v>10.43</v>
      </c>
      <c r="G43" s="11"/>
      <c r="H43" s="11"/>
      <c r="I43" s="11"/>
      <c r="J43" s="11"/>
      <c r="K43" s="11"/>
      <c r="L43" s="11"/>
      <c r="M43" s="11"/>
      <c r="N43" s="11"/>
      <c r="O43" s="11">
        <f t="shared" si="9"/>
        <v>0</v>
      </c>
      <c r="P43" s="11"/>
      <c r="Q43" s="11"/>
      <c r="R43" s="11"/>
      <c r="S43" s="11"/>
      <c r="T43" s="29"/>
      <c r="U43" s="29"/>
      <c r="V43" s="29">
        <v>3.72</v>
      </c>
      <c r="W43" s="29"/>
      <c r="X43" s="29"/>
      <c r="Y43" s="29">
        <f t="shared" si="10"/>
        <v>3.72</v>
      </c>
      <c r="Z43" s="29"/>
      <c r="AA43" s="29"/>
      <c r="AB43" s="29"/>
      <c r="AC43" s="29"/>
      <c r="AD43" s="29"/>
      <c r="AE43" s="29"/>
      <c r="AF43" s="44"/>
      <c r="AG43" s="29">
        <f t="shared" si="8"/>
        <v>6.71</v>
      </c>
      <c r="AH43" s="29">
        <v>1.81</v>
      </c>
      <c r="AI43" s="29">
        <v>-0.025872</v>
      </c>
      <c r="AJ43" s="11">
        <f t="shared" si="4"/>
        <v>1.784128</v>
      </c>
      <c r="AK43" s="11"/>
      <c r="AL43" s="11"/>
      <c r="AM43" s="11"/>
      <c r="AN43" s="11"/>
      <c r="AO43" s="11"/>
      <c r="AP43" s="11">
        <f t="shared" si="6"/>
        <v>1.784128</v>
      </c>
      <c r="AQ43" s="54">
        <f t="shared" si="11"/>
        <v>0.265890909090909</v>
      </c>
    </row>
    <row r="44" spans="1:43">
      <c r="A44" s="9"/>
      <c r="B44" s="4">
        <v>2014</v>
      </c>
      <c r="C44" s="12"/>
      <c r="D44" s="12"/>
      <c r="E44" s="12"/>
      <c r="F44" s="11">
        <v>9.88</v>
      </c>
      <c r="G44" s="11"/>
      <c r="H44" s="11"/>
      <c r="I44" s="11"/>
      <c r="J44" s="11"/>
      <c r="K44" s="11"/>
      <c r="L44" s="11"/>
      <c r="M44" s="11"/>
      <c r="N44" s="11"/>
      <c r="O44" s="11">
        <f t="shared" si="9"/>
        <v>0</v>
      </c>
      <c r="P44" s="11"/>
      <c r="Q44" s="11"/>
      <c r="R44" s="11"/>
      <c r="S44" s="11"/>
      <c r="T44" s="29"/>
      <c r="U44" s="29"/>
      <c r="V44" s="29">
        <v>3.68</v>
      </c>
      <c r="W44" s="29"/>
      <c r="X44" s="29"/>
      <c r="Y44" s="29">
        <f t="shared" si="10"/>
        <v>3.68</v>
      </c>
      <c r="Z44" s="29"/>
      <c r="AA44" s="29"/>
      <c r="AB44" s="29"/>
      <c r="AC44" s="29"/>
      <c r="AD44" s="29"/>
      <c r="AE44" s="29"/>
      <c r="AF44" s="44"/>
      <c r="AG44" s="29">
        <f t="shared" si="8"/>
        <v>6.2</v>
      </c>
      <c r="AH44" s="29">
        <v>1.56</v>
      </c>
      <c r="AI44" s="29">
        <v>-0.013925</v>
      </c>
      <c r="AJ44" s="11">
        <f t="shared" si="4"/>
        <v>1.546075</v>
      </c>
      <c r="AK44" s="11"/>
      <c r="AL44" s="11"/>
      <c r="AM44" s="11"/>
      <c r="AN44" s="11"/>
      <c r="AO44" s="11"/>
      <c r="AP44" s="11">
        <f t="shared" si="6"/>
        <v>1.546075</v>
      </c>
      <c r="AQ44" s="54">
        <f t="shared" si="11"/>
        <v>0.249366935483871</v>
      </c>
    </row>
    <row r="45" spans="1:43">
      <c r="A45" s="9"/>
      <c r="B45" s="4">
        <v>2013</v>
      </c>
      <c r="C45" s="12"/>
      <c r="D45" s="12"/>
      <c r="E45" s="12"/>
      <c r="F45" s="11">
        <v>9.2</v>
      </c>
      <c r="G45" s="11"/>
      <c r="H45" s="11"/>
      <c r="I45" s="11"/>
      <c r="J45" s="11"/>
      <c r="K45" s="11"/>
      <c r="L45" s="11"/>
      <c r="M45" s="11"/>
      <c r="N45" s="11"/>
      <c r="O45" s="11">
        <f t="shared" si="9"/>
        <v>0</v>
      </c>
      <c r="P45" s="11"/>
      <c r="Q45" s="11">
        <v>0.9945</v>
      </c>
      <c r="R45" s="11"/>
      <c r="S45" s="11"/>
      <c r="T45" s="29"/>
      <c r="U45" s="29"/>
      <c r="V45" s="29">
        <v>0.643667</v>
      </c>
      <c r="W45" s="29"/>
      <c r="X45" s="29"/>
      <c r="Y45" s="29">
        <f t="shared" si="10"/>
        <v>1.638167</v>
      </c>
      <c r="Z45" s="29"/>
      <c r="AA45" s="29"/>
      <c r="AB45" s="29"/>
      <c r="AC45" s="29"/>
      <c r="AD45" s="29"/>
      <c r="AE45" s="29"/>
      <c r="AF45" s="44"/>
      <c r="AG45" s="29">
        <f t="shared" si="8"/>
        <v>7.561833</v>
      </c>
      <c r="AH45" s="29">
        <v>1.28</v>
      </c>
      <c r="AI45" s="29">
        <v>-0.045395</v>
      </c>
      <c r="AJ45" s="11">
        <f t="shared" si="4"/>
        <v>1.234605</v>
      </c>
      <c r="AK45" s="11"/>
      <c r="AL45" s="11"/>
      <c r="AM45" s="11"/>
      <c r="AN45" s="11"/>
      <c r="AO45" s="11"/>
      <c r="AP45" s="11">
        <f t="shared" si="6"/>
        <v>1.234605</v>
      </c>
      <c r="AQ45" s="54">
        <f t="shared" si="11"/>
        <v>0.163267953682659</v>
      </c>
    </row>
    <row r="46" spans="1:43">
      <c r="A46" s="9"/>
      <c r="B46" s="4">
        <v>2012</v>
      </c>
      <c r="C46" s="12"/>
      <c r="D46" s="12"/>
      <c r="E46" s="12"/>
      <c r="F46" s="11">
        <v>8.62</v>
      </c>
      <c r="G46" s="11"/>
      <c r="H46" s="11"/>
      <c r="I46" s="11"/>
      <c r="J46" s="11"/>
      <c r="K46" s="11"/>
      <c r="L46" s="11"/>
      <c r="M46" s="11"/>
      <c r="N46" s="11"/>
      <c r="O46" s="11">
        <f t="shared" si="9"/>
        <v>0</v>
      </c>
      <c r="P46" s="11"/>
      <c r="Q46" s="11"/>
      <c r="R46" s="11"/>
      <c r="S46" s="11"/>
      <c r="T46" s="29"/>
      <c r="U46" s="29"/>
      <c r="V46" s="29">
        <v>6.87</v>
      </c>
      <c r="W46" s="29"/>
      <c r="X46" s="29"/>
      <c r="Y46" s="29">
        <f t="shared" si="10"/>
        <v>6.87</v>
      </c>
      <c r="Z46" s="29"/>
      <c r="AA46" s="29"/>
      <c r="AB46" s="29"/>
      <c r="AC46" s="29"/>
      <c r="AD46" s="29"/>
      <c r="AE46" s="29"/>
      <c r="AF46" s="44"/>
      <c r="AG46" s="29">
        <f t="shared" si="8"/>
        <v>1.75</v>
      </c>
      <c r="AH46" s="29">
        <v>1.05</v>
      </c>
      <c r="AI46" s="29">
        <v>-0.078588</v>
      </c>
      <c r="AJ46" s="11">
        <f t="shared" si="4"/>
        <v>0.971412</v>
      </c>
      <c r="AK46" s="11"/>
      <c r="AL46" s="11"/>
      <c r="AM46" s="11"/>
      <c r="AN46" s="11"/>
      <c r="AO46" s="11"/>
      <c r="AP46" s="11">
        <f t="shared" si="6"/>
        <v>0.971412</v>
      </c>
      <c r="AQ46" s="54">
        <f t="shared" si="11"/>
        <v>0.555092571428572</v>
      </c>
    </row>
    <row r="47" spans="1:43">
      <c r="A47" s="16" t="s">
        <v>282</v>
      </c>
      <c r="B47" s="9">
        <v>2022</v>
      </c>
      <c r="C47" s="12"/>
      <c r="D47" s="12"/>
      <c r="E47" s="12"/>
      <c r="F47" s="11">
        <v>1018.76</v>
      </c>
      <c r="G47" s="11"/>
      <c r="H47" s="11">
        <v>307.84</v>
      </c>
      <c r="I47" s="11"/>
      <c r="J47" s="11"/>
      <c r="K47" s="11">
        <v>1.05</v>
      </c>
      <c r="L47" s="11">
        <v>528.96</v>
      </c>
      <c r="M47" s="11"/>
      <c r="N47" s="11">
        <v>1.85</v>
      </c>
      <c r="O47" s="11">
        <f t="shared" si="9"/>
        <v>839.7</v>
      </c>
      <c r="P47" s="11"/>
      <c r="Q47" s="11"/>
      <c r="R47" s="11">
        <v>58.92</v>
      </c>
      <c r="S47" s="11">
        <v>46.69</v>
      </c>
      <c r="T47" s="29">
        <v>44.28</v>
      </c>
      <c r="U47" s="29">
        <v>6.35</v>
      </c>
      <c r="V47" s="29">
        <v>1574.84</v>
      </c>
      <c r="W47" s="29"/>
      <c r="X47" s="29">
        <v>38.67</v>
      </c>
      <c r="Y47" s="29">
        <f t="shared" si="10"/>
        <v>1769.75</v>
      </c>
      <c r="Z47" s="29"/>
      <c r="AA47" s="29"/>
      <c r="AB47" s="29"/>
      <c r="AC47" s="29"/>
      <c r="AD47" s="29"/>
      <c r="AE47" s="29"/>
      <c r="AF47" s="44"/>
      <c r="AG47" s="29">
        <f t="shared" si="8"/>
        <v>88.7099999999999</v>
      </c>
      <c r="AH47" s="29">
        <v>272.17</v>
      </c>
      <c r="AI47" s="29">
        <v>-22.07</v>
      </c>
      <c r="AJ47" s="11">
        <f t="shared" si="4"/>
        <v>250.1</v>
      </c>
      <c r="AK47" s="11"/>
      <c r="AL47" s="11"/>
      <c r="AM47" s="11"/>
      <c r="AN47" s="11"/>
      <c r="AO47" s="11"/>
      <c r="AP47" s="11">
        <f t="shared" si="6"/>
        <v>250.1</v>
      </c>
      <c r="AQ47" s="54">
        <f t="shared" ref="AQ47:AQ57" si="12">AP47/AG47</f>
        <v>2.81929883891332</v>
      </c>
    </row>
    <row r="48" spans="1:43">
      <c r="A48" s="17"/>
      <c r="B48" s="9">
        <v>2021</v>
      </c>
      <c r="C48" s="12"/>
      <c r="D48" s="12"/>
      <c r="E48" s="12"/>
      <c r="F48" s="11">
        <v>1079.25</v>
      </c>
      <c r="G48" s="11"/>
      <c r="H48" s="11">
        <v>89.61</v>
      </c>
      <c r="I48" s="11"/>
      <c r="J48" s="11"/>
      <c r="K48" s="11">
        <v>4.46</v>
      </c>
      <c r="L48" s="11">
        <v>276.18</v>
      </c>
      <c r="M48" s="11"/>
      <c r="N48" s="11"/>
      <c r="O48" s="11">
        <f t="shared" si="9"/>
        <v>370.25</v>
      </c>
      <c r="P48" s="11"/>
      <c r="Q48" s="11"/>
      <c r="R48" s="11">
        <v>103.37</v>
      </c>
      <c r="S48" s="11">
        <v>101.14</v>
      </c>
      <c r="T48" s="29">
        <v>0.813093</v>
      </c>
      <c r="U48" s="29">
        <v>4.55</v>
      </c>
      <c r="V48" s="29">
        <v>1169.39</v>
      </c>
      <c r="W48" s="29"/>
      <c r="X48" s="29"/>
      <c r="Y48" s="29">
        <f t="shared" si="10"/>
        <v>1379.263093</v>
      </c>
      <c r="Z48" s="29"/>
      <c r="AA48" s="29"/>
      <c r="AB48" s="29"/>
      <c r="AC48" s="29"/>
      <c r="AD48" s="29"/>
      <c r="AE48" s="29"/>
      <c r="AF48" s="44"/>
      <c r="AG48" s="29">
        <f t="shared" si="8"/>
        <v>70.236907</v>
      </c>
      <c r="AH48" s="29">
        <v>268.03</v>
      </c>
      <c r="AI48" s="29">
        <v>-22.6</v>
      </c>
      <c r="AJ48" s="11">
        <f t="shared" si="4"/>
        <v>245.43</v>
      </c>
      <c r="AK48" s="11"/>
      <c r="AL48" s="11"/>
      <c r="AM48" s="11"/>
      <c r="AN48" s="11"/>
      <c r="AO48" s="11"/>
      <c r="AP48" s="11">
        <f t="shared" si="6"/>
        <v>245.43</v>
      </c>
      <c r="AQ48" s="54">
        <f t="shared" si="12"/>
        <v>3.4943167414818</v>
      </c>
    </row>
    <row r="49" spans="1:43">
      <c r="A49" s="17"/>
      <c r="B49" s="9">
        <v>2020</v>
      </c>
      <c r="C49" s="12"/>
      <c r="D49" s="12"/>
      <c r="E49" s="12"/>
      <c r="F49" s="11">
        <v>1168.8</v>
      </c>
      <c r="G49" s="11"/>
      <c r="H49" s="11">
        <v>18.61</v>
      </c>
      <c r="I49" s="11"/>
      <c r="J49" s="11"/>
      <c r="K49" s="11"/>
      <c r="L49" s="11">
        <v>203.04</v>
      </c>
      <c r="M49" s="11"/>
      <c r="N49" s="11"/>
      <c r="O49" s="11">
        <f t="shared" si="9"/>
        <v>221.65</v>
      </c>
      <c r="P49" s="11"/>
      <c r="Q49" s="11"/>
      <c r="R49" s="11">
        <v>81.2</v>
      </c>
      <c r="S49" s="11">
        <v>77.88</v>
      </c>
      <c r="T49" s="29">
        <v>20.03</v>
      </c>
      <c r="U49" s="29">
        <v>4.63</v>
      </c>
      <c r="V49" s="29">
        <v>1364.13</v>
      </c>
      <c r="W49" s="29"/>
      <c r="X49" s="29">
        <v>3.71</v>
      </c>
      <c r="Y49" s="29">
        <f t="shared" si="10"/>
        <v>1551.58</v>
      </c>
      <c r="Z49" s="29"/>
      <c r="AA49" s="29"/>
      <c r="AB49" s="29"/>
      <c r="AC49" s="29"/>
      <c r="AD49" s="29"/>
      <c r="AE49" s="29"/>
      <c r="AF49" s="44"/>
      <c r="AG49" s="29">
        <f t="shared" si="8"/>
        <v>-161.13</v>
      </c>
      <c r="AH49" s="29">
        <v>263.09</v>
      </c>
      <c r="AI49" s="29">
        <v>-19.38</v>
      </c>
      <c r="AJ49" s="11">
        <f t="shared" si="4"/>
        <v>243.71</v>
      </c>
      <c r="AK49" s="11"/>
      <c r="AL49" s="11"/>
      <c r="AM49" s="11"/>
      <c r="AN49" s="11"/>
      <c r="AO49" s="11"/>
      <c r="AP49" s="11">
        <f t="shared" si="6"/>
        <v>243.71</v>
      </c>
      <c r="AQ49" s="54">
        <f t="shared" si="12"/>
        <v>-1.51250543039781</v>
      </c>
    </row>
    <row r="50" spans="1:43">
      <c r="A50" s="17"/>
      <c r="B50" s="9">
        <v>2019</v>
      </c>
      <c r="C50" s="12"/>
      <c r="D50" s="12"/>
      <c r="E50" s="12"/>
      <c r="F50" s="11">
        <v>1120.48</v>
      </c>
      <c r="G50" s="11"/>
      <c r="H50" s="11">
        <v>0.468859</v>
      </c>
      <c r="I50" s="11"/>
      <c r="J50" s="11"/>
      <c r="K50" s="11"/>
      <c r="L50" s="11">
        <v>159.44</v>
      </c>
      <c r="M50" s="11"/>
      <c r="N50" s="11"/>
      <c r="O50" s="11">
        <f t="shared" si="9"/>
        <v>159.908859</v>
      </c>
      <c r="P50" s="11"/>
      <c r="Q50" s="11"/>
      <c r="R50" s="11">
        <v>70.64</v>
      </c>
      <c r="S50" s="11">
        <v>46.45</v>
      </c>
      <c r="T50" s="29">
        <v>20.03</v>
      </c>
      <c r="U50" s="29">
        <v>4.99</v>
      </c>
      <c r="V50" s="29">
        <v>1254.01</v>
      </c>
      <c r="W50" s="29"/>
      <c r="X50" s="29">
        <v>9.55</v>
      </c>
      <c r="Y50" s="29">
        <f t="shared" si="10"/>
        <v>1405.67</v>
      </c>
      <c r="Z50" s="29"/>
      <c r="AA50" s="29"/>
      <c r="AB50" s="29"/>
      <c r="AC50" s="29"/>
      <c r="AD50" s="29"/>
      <c r="AE50" s="29"/>
      <c r="AF50" s="44"/>
      <c r="AG50" s="29">
        <f t="shared" si="8"/>
        <v>-125.281141</v>
      </c>
      <c r="AH50" s="29">
        <v>293.53</v>
      </c>
      <c r="AI50" s="29">
        <v>-24.27</v>
      </c>
      <c r="AJ50" s="11">
        <f t="shared" si="4"/>
        <v>269.26</v>
      </c>
      <c r="AK50" s="11"/>
      <c r="AL50" s="11"/>
      <c r="AM50" s="11"/>
      <c r="AN50" s="11"/>
      <c r="AO50" s="11"/>
      <c r="AP50" s="11">
        <f t="shared" si="6"/>
        <v>269.26</v>
      </c>
      <c r="AQ50" s="54">
        <f t="shared" si="12"/>
        <v>-2.14924607048398</v>
      </c>
    </row>
    <row r="51" spans="1:43">
      <c r="A51" s="17"/>
      <c r="B51" s="9">
        <v>2018</v>
      </c>
      <c r="C51" s="12"/>
      <c r="D51" s="12"/>
      <c r="E51" s="12"/>
      <c r="F51" s="11">
        <v>927.15</v>
      </c>
      <c r="G51" s="11"/>
      <c r="H51" s="11"/>
      <c r="I51" s="11"/>
      <c r="J51" s="11"/>
      <c r="K51" s="11"/>
      <c r="L51" s="11">
        <v>220.68</v>
      </c>
      <c r="M51" s="11"/>
      <c r="N51" s="11">
        <v>2.57</v>
      </c>
      <c r="O51" s="11">
        <f t="shared" si="9"/>
        <v>223.25</v>
      </c>
      <c r="P51" s="11">
        <v>22.16</v>
      </c>
      <c r="Q51" s="11"/>
      <c r="R51" s="11">
        <v>22.51</v>
      </c>
      <c r="S51" s="11"/>
      <c r="T51" s="29"/>
      <c r="U51" s="29">
        <v>5.38</v>
      </c>
      <c r="V51" s="29">
        <v>1130.79</v>
      </c>
      <c r="W51" s="29"/>
      <c r="X51" s="29">
        <v>10.12</v>
      </c>
      <c r="Y51" s="29">
        <f t="shared" si="10"/>
        <v>1190.96</v>
      </c>
      <c r="Z51" s="29"/>
      <c r="AA51" s="29"/>
      <c r="AB51" s="29"/>
      <c r="AC51" s="29"/>
      <c r="AD51" s="29"/>
      <c r="AE51" s="29"/>
      <c r="AF51" s="44"/>
      <c r="AG51" s="29">
        <f t="shared" si="8"/>
        <v>-40.5600000000003</v>
      </c>
      <c r="AH51" s="29">
        <v>312.74</v>
      </c>
      <c r="AI51" s="29">
        <v>-9.48</v>
      </c>
      <c r="AJ51" s="11">
        <f t="shared" si="4"/>
        <v>303.26</v>
      </c>
      <c r="AK51" s="11"/>
      <c r="AL51" s="11"/>
      <c r="AM51" s="11"/>
      <c r="AN51" s="11"/>
      <c r="AO51" s="11"/>
      <c r="AP51" s="11">
        <f t="shared" si="6"/>
        <v>303.26</v>
      </c>
      <c r="AQ51" s="54">
        <f t="shared" si="12"/>
        <v>-7.47682445759364</v>
      </c>
    </row>
    <row r="52" spans="1:43">
      <c r="A52" s="17"/>
      <c r="B52" s="9">
        <v>2017</v>
      </c>
      <c r="C52" s="12"/>
      <c r="D52" s="12"/>
      <c r="E52" s="12"/>
      <c r="F52" s="11">
        <v>668.55</v>
      </c>
      <c r="G52" s="11"/>
      <c r="H52" s="11"/>
      <c r="I52" s="11"/>
      <c r="J52" s="11"/>
      <c r="K52" s="11"/>
      <c r="L52" s="11">
        <v>186.46</v>
      </c>
      <c r="M52" s="11"/>
      <c r="N52" s="11">
        <v>6.16</v>
      </c>
      <c r="O52" s="11">
        <f t="shared" si="9"/>
        <v>192.62</v>
      </c>
      <c r="P52" s="11">
        <v>21.75</v>
      </c>
      <c r="Q52" s="11"/>
      <c r="R52" s="11">
        <v>1.1</v>
      </c>
      <c r="S52" s="11"/>
      <c r="T52" s="29"/>
      <c r="U52" s="29">
        <v>5.17</v>
      </c>
      <c r="V52" s="29">
        <v>996.11</v>
      </c>
      <c r="W52" s="29"/>
      <c r="X52" s="29">
        <v>6.02</v>
      </c>
      <c r="Y52" s="29">
        <f t="shared" si="10"/>
        <v>1030.15</v>
      </c>
      <c r="Z52" s="29"/>
      <c r="AA52" s="29"/>
      <c r="AB52" s="29"/>
      <c r="AC52" s="29"/>
      <c r="AD52" s="29"/>
      <c r="AE52" s="29"/>
      <c r="AF52" s="44"/>
      <c r="AG52" s="29">
        <f t="shared" si="8"/>
        <v>-168.98</v>
      </c>
      <c r="AH52" s="29">
        <v>266.16</v>
      </c>
      <c r="AI52" s="29">
        <v>4.31</v>
      </c>
      <c r="AJ52" s="11">
        <f t="shared" si="4"/>
        <v>270.47</v>
      </c>
      <c r="AK52" s="11"/>
      <c r="AL52" s="11"/>
      <c r="AM52" s="11"/>
      <c r="AN52" s="11"/>
      <c r="AO52" s="11"/>
      <c r="AP52" s="11">
        <f t="shared" si="6"/>
        <v>270.47</v>
      </c>
      <c r="AQ52" s="54">
        <f t="shared" si="12"/>
        <v>-1.60060362173038</v>
      </c>
    </row>
    <row r="53" spans="1:43">
      <c r="A53" s="17"/>
      <c r="B53" s="9">
        <v>2016</v>
      </c>
      <c r="C53" s="12"/>
      <c r="D53" s="12"/>
      <c r="E53" s="12"/>
      <c r="F53" s="11">
        <v>549.52</v>
      </c>
      <c r="G53" s="11"/>
      <c r="H53" s="11"/>
      <c r="I53" s="11"/>
      <c r="J53" s="11"/>
      <c r="K53" s="11"/>
      <c r="L53" s="11">
        <v>107.01</v>
      </c>
      <c r="M53" s="11"/>
      <c r="N53" s="11">
        <v>3.95</v>
      </c>
      <c r="O53" s="11">
        <f t="shared" si="9"/>
        <v>110.96</v>
      </c>
      <c r="P53" s="11">
        <v>13.84</v>
      </c>
      <c r="Q53" s="11"/>
      <c r="R53" s="11">
        <v>1.04</v>
      </c>
      <c r="S53" s="11"/>
      <c r="T53" s="29"/>
      <c r="U53" s="29">
        <v>5.98</v>
      </c>
      <c r="V53" s="29">
        <v>957.54</v>
      </c>
      <c r="W53" s="29"/>
      <c r="X53" s="29"/>
      <c r="Y53" s="29">
        <f t="shared" si="10"/>
        <v>978.4</v>
      </c>
      <c r="Z53" s="29"/>
      <c r="AA53" s="29"/>
      <c r="AB53" s="29"/>
      <c r="AC53" s="29"/>
      <c r="AD53" s="29"/>
      <c r="AE53" s="29"/>
      <c r="AF53" s="44"/>
      <c r="AG53" s="29">
        <f t="shared" si="8"/>
        <v>-317.92</v>
      </c>
      <c r="AH53" s="29">
        <v>185.73</v>
      </c>
      <c r="AI53" s="29">
        <v>-48.45</v>
      </c>
      <c r="AJ53" s="11">
        <f t="shared" si="4"/>
        <v>137.28</v>
      </c>
      <c r="AK53" s="11"/>
      <c r="AL53" s="11"/>
      <c r="AM53" s="11"/>
      <c r="AN53" s="11"/>
      <c r="AO53" s="11"/>
      <c r="AP53" s="11">
        <f t="shared" si="6"/>
        <v>137.28</v>
      </c>
      <c r="AQ53" s="54">
        <f t="shared" si="12"/>
        <v>-0.431806743834927</v>
      </c>
    </row>
    <row r="54" spans="1:43">
      <c r="A54" s="17"/>
      <c r="B54" s="9">
        <v>2015</v>
      </c>
      <c r="C54" s="12"/>
      <c r="D54" s="12"/>
      <c r="E54" s="12"/>
      <c r="F54" s="11">
        <v>485.67</v>
      </c>
      <c r="G54" s="11"/>
      <c r="H54" s="11"/>
      <c r="I54" s="11"/>
      <c r="J54" s="11"/>
      <c r="K54" s="11"/>
      <c r="L54" s="11">
        <v>62.77</v>
      </c>
      <c r="M54" s="11"/>
      <c r="N54" s="11">
        <v>11.89</v>
      </c>
      <c r="O54" s="11">
        <f t="shared" si="9"/>
        <v>74.66</v>
      </c>
      <c r="P54" s="11">
        <v>27.05</v>
      </c>
      <c r="Q54" s="11"/>
      <c r="R54" s="11">
        <v>0.954592</v>
      </c>
      <c r="S54" s="11"/>
      <c r="T54" s="29"/>
      <c r="U54" s="29">
        <v>4.92</v>
      </c>
      <c r="V54" s="29">
        <v>888.2</v>
      </c>
      <c r="W54" s="29"/>
      <c r="X54" s="29"/>
      <c r="Y54" s="29">
        <f t="shared" si="10"/>
        <v>921.124592</v>
      </c>
      <c r="Z54" s="29"/>
      <c r="AA54" s="29"/>
      <c r="AB54" s="29"/>
      <c r="AC54" s="29"/>
      <c r="AD54" s="29"/>
      <c r="AE54" s="29"/>
      <c r="AF54" s="44"/>
      <c r="AG54" s="29">
        <f t="shared" si="8"/>
        <v>-360.794592</v>
      </c>
      <c r="AH54" s="29">
        <v>149.09</v>
      </c>
      <c r="AI54" s="29">
        <v>-19.29</v>
      </c>
      <c r="AJ54" s="11">
        <f t="shared" si="4"/>
        <v>129.8</v>
      </c>
      <c r="AK54" s="11"/>
      <c r="AL54" s="11"/>
      <c r="AM54" s="11"/>
      <c r="AN54" s="11"/>
      <c r="AO54" s="11"/>
      <c r="AP54" s="11">
        <f t="shared" si="6"/>
        <v>129.8</v>
      </c>
      <c r="AQ54" s="54">
        <f t="shared" si="12"/>
        <v>-0.359761489994839</v>
      </c>
    </row>
    <row r="55" spans="1:43">
      <c r="A55" s="17"/>
      <c r="B55" s="9">
        <v>2014</v>
      </c>
      <c r="C55" s="12"/>
      <c r="D55" s="12"/>
      <c r="E55" s="12"/>
      <c r="F55" s="11">
        <v>451.31</v>
      </c>
      <c r="G55" s="11"/>
      <c r="H55" s="11">
        <v>22.59</v>
      </c>
      <c r="I55" s="11"/>
      <c r="J55" s="11"/>
      <c r="K55" s="11"/>
      <c r="L55" s="11">
        <v>35.79</v>
      </c>
      <c r="M55" s="11"/>
      <c r="N55" s="11">
        <v>2.16</v>
      </c>
      <c r="O55" s="11">
        <f t="shared" si="9"/>
        <v>60.54</v>
      </c>
      <c r="P55" s="11">
        <v>21.5</v>
      </c>
      <c r="Q55" s="11"/>
      <c r="R55" s="11">
        <v>0.922131</v>
      </c>
      <c r="S55" s="11"/>
      <c r="T55" s="29"/>
      <c r="U55" s="29">
        <v>5.08</v>
      </c>
      <c r="V55" s="29">
        <v>545.46</v>
      </c>
      <c r="W55" s="29"/>
      <c r="X55" s="29"/>
      <c r="Y55" s="29">
        <f t="shared" si="10"/>
        <v>572.962131</v>
      </c>
      <c r="Z55" s="29"/>
      <c r="AA55" s="29"/>
      <c r="AB55" s="29"/>
      <c r="AC55" s="29"/>
      <c r="AD55" s="29"/>
      <c r="AE55" s="29"/>
      <c r="AF55" s="44"/>
      <c r="AG55" s="29">
        <f t="shared" si="8"/>
        <v>-61.112131</v>
      </c>
      <c r="AH55" s="29">
        <v>167.52</v>
      </c>
      <c r="AI55" s="29">
        <v>-9.42</v>
      </c>
      <c r="AJ55" s="11">
        <f t="shared" si="4"/>
        <v>158.1</v>
      </c>
      <c r="AK55" s="11"/>
      <c r="AL55" s="11"/>
      <c r="AM55" s="11"/>
      <c r="AN55" s="11"/>
      <c r="AO55" s="11"/>
      <c r="AP55" s="11">
        <f t="shared" si="6"/>
        <v>158.1</v>
      </c>
      <c r="AQ55" s="54">
        <f t="shared" si="12"/>
        <v>-2.5870477336161</v>
      </c>
    </row>
    <row r="56" spans="1:43">
      <c r="A56" s="17"/>
      <c r="B56" s="9">
        <v>2013</v>
      </c>
      <c r="C56" s="12"/>
      <c r="D56" s="12"/>
      <c r="E56" s="12"/>
      <c r="F56" s="11">
        <v>353.74</v>
      </c>
      <c r="G56" s="11"/>
      <c r="H56" s="11">
        <v>13.75</v>
      </c>
      <c r="I56" s="11"/>
      <c r="J56" s="11"/>
      <c r="K56" s="11"/>
      <c r="L56" s="11">
        <v>33.17</v>
      </c>
      <c r="M56" s="11"/>
      <c r="N56" s="11"/>
      <c r="O56" s="11">
        <f t="shared" si="9"/>
        <v>46.92</v>
      </c>
      <c r="P56" s="11">
        <v>8.06</v>
      </c>
      <c r="Q56" s="11"/>
      <c r="R56" s="11">
        <v>0.975685</v>
      </c>
      <c r="S56" s="11"/>
      <c r="T56" s="29"/>
      <c r="U56" s="29">
        <v>5.03</v>
      </c>
      <c r="V56" s="29">
        <v>385.42</v>
      </c>
      <c r="W56" s="29"/>
      <c r="X56" s="29"/>
      <c r="Y56" s="29">
        <f t="shared" si="10"/>
        <v>399.485685</v>
      </c>
      <c r="Z56" s="29"/>
      <c r="AA56" s="29"/>
      <c r="AB56" s="29"/>
      <c r="AC56" s="29"/>
      <c r="AD56" s="29"/>
      <c r="AE56" s="29"/>
      <c r="AF56" s="44"/>
      <c r="AG56" s="29">
        <f t="shared" si="8"/>
        <v>1.17431500000004</v>
      </c>
      <c r="AH56" s="29">
        <v>128.91</v>
      </c>
      <c r="AI56" s="29">
        <v>-1.33</v>
      </c>
      <c r="AJ56" s="11">
        <f t="shared" si="4"/>
        <v>127.58</v>
      </c>
      <c r="AK56" s="11"/>
      <c r="AL56" s="11"/>
      <c r="AM56" s="11"/>
      <c r="AN56" s="11"/>
      <c r="AO56" s="11"/>
      <c r="AP56" s="11">
        <f t="shared" si="6"/>
        <v>127.58</v>
      </c>
      <c r="AQ56" s="54">
        <f t="shared" si="12"/>
        <v>108.642059413357</v>
      </c>
    </row>
    <row r="57" spans="1:43">
      <c r="A57" s="18"/>
      <c r="B57" s="9">
        <v>2012</v>
      </c>
      <c r="C57" s="12"/>
      <c r="D57" s="12"/>
      <c r="E57" s="12"/>
      <c r="F57" s="11">
        <v>275.8</v>
      </c>
      <c r="G57" s="11"/>
      <c r="H57" s="11">
        <v>9.84</v>
      </c>
      <c r="I57" s="11"/>
      <c r="J57" s="11"/>
      <c r="K57" s="11"/>
      <c r="L57" s="11">
        <v>35.21</v>
      </c>
      <c r="M57" s="11"/>
      <c r="N57" s="11"/>
      <c r="O57" s="11">
        <f t="shared" si="9"/>
        <v>45.05</v>
      </c>
      <c r="P57" s="11">
        <v>5.55</v>
      </c>
      <c r="Q57" s="11"/>
      <c r="R57" s="11">
        <v>0.2816</v>
      </c>
      <c r="S57" s="11"/>
      <c r="T57" s="29"/>
      <c r="U57" s="29">
        <v>2.08</v>
      </c>
      <c r="V57" s="29">
        <v>289.44</v>
      </c>
      <c r="W57" s="29"/>
      <c r="X57" s="29">
        <v>2.63</v>
      </c>
      <c r="Y57" s="29">
        <f t="shared" si="10"/>
        <v>299.9816</v>
      </c>
      <c r="Z57" s="29"/>
      <c r="AA57" s="29"/>
      <c r="AB57" s="29"/>
      <c r="AC57" s="29"/>
      <c r="AD57" s="29"/>
      <c r="AE57" s="29"/>
      <c r="AF57" s="44"/>
      <c r="AG57" s="29">
        <f t="shared" si="8"/>
        <v>20.8683999999999</v>
      </c>
      <c r="AH57" s="29">
        <v>87.63</v>
      </c>
      <c r="AI57" s="29">
        <v>-4.61</v>
      </c>
      <c r="AJ57" s="11">
        <f t="shared" si="4"/>
        <v>83.02</v>
      </c>
      <c r="AK57" s="11"/>
      <c r="AL57" s="11"/>
      <c r="AM57" s="11"/>
      <c r="AN57" s="11"/>
      <c r="AO57" s="11"/>
      <c r="AP57" s="11">
        <f t="shared" si="6"/>
        <v>83.02</v>
      </c>
      <c r="AQ57" s="54">
        <f t="shared" si="12"/>
        <v>3.97826378639475</v>
      </c>
    </row>
    <row r="58" spans="1:43">
      <c r="A58" s="4" t="s">
        <v>283</v>
      </c>
      <c r="B58" s="4">
        <v>2022</v>
      </c>
      <c r="C58" s="12"/>
      <c r="D58" s="12"/>
      <c r="E58" s="12"/>
      <c r="F58" s="11">
        <v>729.7</v>
      </c>
      <c r="G58" s="11"/>
      <c r="H58" s="11">
        <v>75.22</v>
      </c>
      <c r="I58" s="11"/>
      <c r="J58" s="11"/>
      <c r="K58" s="11">
        <v>0.075699</v>
      </c>
      <c r="L58" s="11">
        <v>33.43</v>
      </c>
      <c r="M58" s="11">
        <v>0.682997</v>
      </c>
      <c r="N58" s="11"/>
      <c r="O58" s="11">
        <f t="shared" si="9"/>
        <v>109.408696</v>
      </c>
      <c r="P58" s="11"/>
      <c r="Q58" s="11"/>
      <c r="R58" s="11">
        <v>12.52</v>
      </c>
      <c r="S58" s="11"/>
      <c r="T58" s="29">
        <v>4.24</v>
      </c>
      <c r="U58" s="29"/>
      <c r="V58" s="29">
        <v>400.12</v>
      </c>
      <c r="W58" s="29"/>
      <c r="X58" s="29">
        <v>0.128074</v>
      </c>
      <c r="Y58" s="29">
        <f t="shared" si="10"/>
        <v>417.008074</v>
      </c>
      <c r="Z58" s="29"/>
      <c r="AA58" s="29"/>
      <c r="AB58" s="29"/>
      <c r="AC58" s="29"/>
      <c r="AD58" s="29"/>
      <c r="AE58" s="29"/>
      <c r="AF58" s="44"/>
      <c r="AG58" s="29">
        <f t="shared" si="8"/>
        <v>422.100622</v>
      </c>
      <c r="AH58" s="29">
        <v>148.55</v>
      </c>
      <c r="AI58" s="29">
        <v>-9.9</v>
      </c>
      <c r="AJ58" s="11">
        <f t="shared" si="4"/>
        <v>138.65</v>
      </c>
      <c r="AK58" s="11"/>
      <c r="AL58" s="11"/>
      <c r="AM58" s="11"/>
      <c r="AN58" s="11"/>
      <c r="AO58" s="11"/>
      <c r="AP58" s="11"/>
      <c r="AQ58" s="54">
        <f t="shared" ref="AQ58:AQ68" si="13">AJ58/AG58</f>
        <v>0.328476180260166</v>
      </c>
    </row>
    <row r="59" spans="1:43">
      <c r="A59" s="4"/>
      <c r="B59" s="4">
        <v>2021</v>
      </c>
      <c r="C59" s="12"/>
      <c r="D59" s="12"/>
      <c r="E59" s="12"/>
      <c r="F59" s="11">
        <v>653.95</v>
      </c>
      <c r="G59" s="11"/>
      <c r="H59" s="11">
        <v>32.84</v>
      </c>
      <c r="I59" s="11"/>
      <c r="J59" s="11"/>
      <c r="K59" s="11">
        <v>0.090093</v>
      </c>
      <c r="L59" s="11">
        <v>40.75</v>
      </c>
      <c r="M59" s="11">
        <v>0.040623</v>
      </c>
      <c r="N59" s="11"/>
      <c r="O59" s="11">
        <f t="shared" si="9"/>
        <v>73.720716</v>
      </c>
      <c r="P59" s="11"/>
      <c r="Q59" s="11"/>
      <c r="R59" s="11">
        <v>9.82</v>
      </c>
      <c r="S59" s="11"/>
      <c r="T59" s="29">
        <v>4.39</v>
      </c>
      <c r="U59" s="29"/>
      <c r="V59" s="29">
        <v>347.22</v>
      </c>
      <c r="W59" s="29"/>
      <c r="X59" s="29">
        <v>0.3432</v>
      </c>
      <c r="Y59" s="29">
        <f t="shared" si="10"/>
        <v>361.7732</v>
      </c>
      <c r="Z59" s="29"/>
      <c r="AA59" s="29"/>
      <c r="AB59" s="29"/>
      <c r="AC59" s="29"/>
      <c r="AD59" s="29"/>
      <c r="AE59" s="29"/>
      <c r="AF59" s="44"/>
      <c r="AG59" s="29">
        <f t="shared" si="8"/>
        <v>365.897516</v>
      </c>
      <c r="AH59" s="29">
        <v>184.68</v>
      </c>
      <c r="AI59" s="29">
        <v>-1.33</v>
      </c>
      <c r="AJ59" s="11">
        <f t="shared" si="4"/>
        <v>183.35</v>
      </c>
      <c r="AK59" s="11"/>
      <c r="AL59" s="11"/>
      <c r="AM59" s="11"/>
      <c r="AN59" s="11"/>
      <c r="AO59" s="11"/>
      <c r="AP59" s="11"/>
      <c r="AQ59" s="54">
        <f t="shared" si="13"/>
        <v>0.50109659667654</v>
      </c>
    </row>
    <row r="60" spans="1:43">
      <c r="A60" s="4"/>
      <c r="B60" s="4">
        <v>2020</v>
      </c>
      <c r="C60" s="12"/>
      <c r="D60" s="12"/>
      <c r="E60" s="12"/>
      <c r="F60" s="11">
        <v>544.8</v>
      </c>
      <c r="G60" s="11"/>
      <c r="H60" s="11">
        <v>19.61</v>
      </c>
      <c r="I60" s="11"/>
      <c r="J60" s="11"/>
      <c r="K60" s="11">
        <v>0.395955</v>
      </c>
      <c r="L60" s="11">
        <v>39.99</v>
      </c>
      <c r="M60" s="11">
        <v>0.074058</v>
      </c>
      <c r="N60" s="11"/>
      <c r="O60" s="11">
        <f t="shared" si="9"/>
        <v>60.070013</v>
      </c>
      <c r="P60" s="11"/>
      <c r="Q60" s="11"/>
      <c r="R60" s="11">
        <v>8.64</v>
      </c>
      <c r="S60" s="11"/>
      <c r="T60" s="29">
        <v>4.92</v>
      </c>
      <c r="U60" s="29"/>
      <c r="V60" s="29">
        <v>354.6</v>
      </c>
      <c r="W60" s="29"/>
      <c r="X60" s="29">
        <v>0.226798</v>
      </c>
      <c r="Y60" s="29">
        <f t="shared" si="10"/>
        <v>368.386798</v>
      </c>
      <c r="Z60" s="29"/>
      <c r="AA60" s="29"/>
      <c r="AB60" s="29"/>
      <c r="AC60" s="29"/>
      <c r="AD60" s="29"/>
      <c r="AE60" s="29"/>
      <c r="AF60" s="44"/>
      <c r="AG60" s="29">
        <f t="shared" si="8"/>
        <v>236.483215</v>
      </c>
      <c r="AH60" s="29">
        <v>152.73</v>
      </c>
      <c r="AI60" s="29">
        <v>3.96</v>
      </c>
      <c r="AJ60" s="11">
        <f t="shared" si="4"/>
        <v>156.69</v>
      </c>
      <c r="AK60" s="11"/>
      <c r="AL60" s="11"/>
      <c r="AM60" s="11"/>
      <c r="AN60" s="11"/>
      <c r="AO60" s="11"/>
      <c r="AP60" s="11"/>
      <c r="AQ60" s="54">
        <f t="shared" si="13"/>
        <v>0.662584023140924</v>
      </c>
    </row>
    <row r="61" spans="1:43">
      <c r="A61" s="4"/>
      <c r="B61" s="4">
        <v>2019</v>
      </c>
      <c r="C61" s="12"/>
      <c r="D61" s="12"/>
      <c r="E61" s="12"/>
      <c r="F61" s="11">
        <v>454.73</v>
      </c>
      <c r="G61" s="11"/>
      <c r="H61" s="11">
        <v>46.04</v>
      </c>
      <c r="I61" s="11"/>
      <c r="J61" s="11"/>
      <c r="K61" s="11">
        <v>0.501814</v>
      </c>
      <c r="L61" s="11">
        <v>26.4</v>
      </c>
      <c r="M61" s="11">
        <v>0.006524</v>
      </c>
      <c r="N61" s="11"/>
      <c r="O61" s="11">
        <f t="shared" si="9"/>
        <v>72.948338</v>
      </c>
      <c r="P61" s="11"/>
      <c r="Q61" s="11"/>
      <c r="R61" s="11">
        <v>2.52</v>
      </c>
      <c r="S61" s="11"/>
      <c r="T61" s="29">
        <v>3.12</v>
      </c>
      <c r="U61" s="29"/>
      <c r="V61" s="29">
        <v>270.72</v>
      </c>
      <c r="W61" s="29"/>
      <c r="X61" s="29">
        <v>2e-6</v>
      </c>
      <c r="Y61" s="29">
        <f t="shared" si="10"/>
        <v>276.360002</v>
      </c>
      <c r="Z61" s="29"/>
      <c r="AA61" s="29"/>
      <c r="AB61" s="29"/>
      <c r="AC61" s="29"/>
      <c r="AD61" s="29"/>
      <c r="AE61" s="29"/>
      <c r="AF61" s="44"/>
      <c r="AG61" s="29">
        <f t="shared" si="8"/>
        <v>251.318336</v>
      </c>
      <c r="AH61" s="29">
        <v>137.55</v>
      </c>
      <c r="AI61" s="29">
        <v>-6.4</v>
      </c>
      <c r="AJ61" s="11">
        <f t="shared" si="4"/>
        <v>131.15</v>
      </c>
      <c r="AK61" s="11"/>
      <c r="AL61" s="11"/>
      <c r="AM61" s="11"/>
      <c r="AN61" s="11"/>
      <c r="AO61" s="11"/>
      <c r="AP61" s="11"/>
      <c r="AQ61" s="54">
        <f t="shared" si="13"/>
        <v>0.521848115371892</v>
      </c>
    </row>
    <row r="62" spans="1:43">
      <c r="A62" s="4"/>
      <c r="B62" s="4">
        <v>2018</v>
      </c>
      <c r="C62" s="12"/>
      <c r="D62" s="12"/>
      <c r="E62" s="12"/>
      <c r="F62" s="11">
        <v>379.63</v>
      </c>
      <c r="G62" s="11"/>
      <c r="H62" s="11">
        <v>4.4</v>
      </c>
      <c r="I62" s="11"/>
      <c r="J62" s="11"/>
      <c r="K62" s="11">
        <v>0.08</v>
      </c>
      <c r="L62" s="11">
        <v>34.66</v>
      </c>
      <c r="M62" s="11">
        <v>0.00291</v>
      </c>
      <c r="N62" s="11"/>
      <c r="O62" s="11">
        <f t="shared" si="9"/>
        <v>39.14291</v>
      </c>
      <c r="P62" s="11">
        <v>2.91</v>
      </c>
      <c r="Q62" s="11"/>
      <c r="R62" s="11">
        <v>1.63</v>
      </c>
      <c r="S62" s="11"/>
      <c r="T62" s="29"/>
      <c r="U62" s="29"/>
      <c r="V62" s="29">
        <v>265.6</v>
      </c>
      <c r="W62" s="29"/>
      <c r="X62" s="29">
        <v>0.018601</v>
      </c>
      <c r="Y62" s="29">
        <f t="shared" si="10"/>
        <v>270.158601</v>
      </c>
      <c r="Z62" s="29"/>
      <c r="AA62" s="29"/>
      <c r="AB62" s="29"/>
      <c r="AC62" s="29"/>
      <c r="AD62" s="29"/>
      <c r="AE62" s="29"/>
      <c r="AF62" s="44"/>
      <c r="AG62" s="29">
        <f t="shared" si="8"/>
        <v>148.614309</v>
      </c>
      <c r="AH62" s="29">
        <v>124.37</v>
      </c>
      <c r="AI62" s="29">
        <v>-4.24</v>
      </c>
      <c r="AJ62" s="11">
        <f t="shared" si="4"/>
        <v>120.13</v>
      </c>
      <c r="AK62" s="11"/>
      <c r="AL62" s="11"/>
      <c r="AM62" s="11"/>
      <c r="AN62" s="11"/>
      <c r="AO62" s="11"/>
      <c r="AP62" s="11"/>
      <c r="AQ62" s="54">
        <f t="shared" si="13"/>
        <v>0.808334007730037</v>
      </c>
    </row>
    <row r="63" spans="1:43">
      <c r="A63" s="4"/>
      <c r="B63" s="4">
        <v>2017</v>
      </c>
      <c r="C63" s="12"/>
      <c r="D63" s="12"/>
      <c r="E63" s="12"/>
      <c r="F63" s="11">
        <v>306.04</v>
      </c>
      <c r="G63" s="11"/>
      <c r="H63" s="11">
        <v>4.9</v>
      </c>
      <c r="I63" s="11">
        <v>31.21</v>
      </c>
      <c r="J63" s="11"/>
      <c r="K63" s="11">
        <v>0.0243</v>
      </c>
      <c r="L63" s="11">
        <v>0.971147</v>
      </c>
      <c r="M63" s="11">
        <v>0.159468</v>
      </c>
      <c r="N63" s="11"/>
      <c r="O63" s="11">
        <f t="shared" si="9"/>
        <v>37.264915</v>
      </c>
      <c r="P63" s="11">
        <v>2.87</v>
      </c>
      <c r="Q63" s="11"/>
      <c r="R63" s="11">
        <v>1.3</v>
      </c>
      <c r="S63" s="11"/>
      <c r="T63" s="29"/>
      <c r="U63" s="29"/>
      <c r="V63" s="29">
        <v>164.68</v>
      </c>
      <c r="W63" s="29"/>
      <c r="X63" s="29">
        <v>0.041007</v>
      </c>
      <c r="Y63" s="29">
        <f t="shared" si="10"/>
        <v>168.891007</v>
      </c>
      <c r="Z63" s="29"/>
      <c r="AA63" s="29"/>
      <c r="AB63" s="29"/>
      <c r="AC63" s="29"/>
      <c r="AD63" s="29"/>
      <c r="AE63" s="29"/>
      <c r="AF63" s="44"/>
      <c r="AG63" s="29">
        <f t="shared" si="8"/>
        <v>174.413908</v>
      </c>
      <c r="AH63" s="29">
        <v>104.87</v>
      </c>
      <c r="AI63" s="29">
        <v>2.65</v>
      </c>
      <c r="AJ63" s="11">
        <f t="shared" si="4"/>
        <v>107.52</v>
      </c>
      <c r="AK63" s="11"/>
      <c r="AL63" s="11"/>
      <c r="AM63" s="11"/>
      <c r="AN63" s="11"/>
      <c r="AO63" s="11"/>
      <c r="AP63" s="11"/>
      <c r="AQ63" s="54">
        <f t="shared" si="13"/>
        <v>0.616464599829963</v>
      </c>
    </row>
    <row r="64" spans="1:43">
      <c r="A64" s="4"/>
      <c r="B64" s="4">
        <v>2016</v>
      </c>
      <c r="C64" s="12"/>
      <c r="D64" s="12"/>
      <c r="E64" s="12"/>
      <c r="F64" s="11">
        <v>244.79</v>
      </c>
      <c r="G64" s="11"/>
      <c r="H64" s="11">
        <v>17.22</v>
      </c>
      <c r="I64" s="11">
        <v>29.54</v>
      </c>
      <c r="J64" s="11"/>
      <c r="K64" s="11">
        <v>0.07</v>
      </c>
      <c r="L64" s="11">
        <v>0.322913</v>
      </c>
      <c r="M64" s="11">
        <v>0.697895</v>
      </c>
      <c r="N64" s="11"/>
      <c r="O64" s="11">
        <f t="shared" si="9"/>
        <v>47.850808</v>
      </c>
      <c r="P64" s="11">
        <v>2.84</v>
      </c>
      <c r="Q64" s="11"/>
      <c r="R64" s="11">
        <v>0.35</v>
      </c>
      <c r="S64" s="11"/>
      <c r="T64" s="29"/>
      <c r="U64" s="29"/>
      <c r="V64" s="29">
        <v>136.38</v>
      </c>
      <c r="W64" s="29"/>
      <c r="X64" s="29">
        <v>0.155475</v>
      </c>
      <c r="Y64" s="29">
        <f t="shared" si="10"/>
        <v>139.725475</v>
      </c>
      <c r="Z64" s="29"/>
      <c r="AA64" s="29"/>
      <c r="AB64" s="29"/>
      <c r="AC64" s="29"/>
      <c r="AD64" s="29"/>
      <c r="AE64" s="29"/>
      <c r="AF64" s="44"/>
      <c r="AG64" s="29">
        <f t="shared" si="8"/>
        <v>152.915333</v>
      </c>
      <c r="AH64" s="29">
        <v>83.14</v>
      </c>
      <c r="AI64" s="29">
        <v>-2.25</v>
      </c>
      <c r="AJ64" s="11">
        <f t="shared" si="4"/>
        <v>80.89</v>
      </c>
      <c r="AK64" s="11"/>
      <c r="AL64" s="11"/>
      <c r="AM64" s="11"/>
      <c r="AN64" s="11"/>
      <c r="AO64" s="11"/>
      <c r="AP64" s="11"/>
      <c r="AQ64" s="54">
        <f t="shared" si="13"/>
        <v>0.528985539991598</v>
      </c>
    </row>
    <row r="65" spans="1:43">
      <c r="A65" s="4"/>
      <c r="B65" s="4">
        <v>2015</v>
      </c>
      <c r="C65" s="12"/>
      <c r="D65" s="12"/>
      <c r="E65" s="12"/>
      <c r="F65" s="11">
        <v>192.97</v>
      </c>
      <c r="G65" s="11"/>
      <c r="H65" s="11">
        <v>6.76</v>
      </c>
      <c r="I65" s="11"/>
      <c r="J65" s="11"/>
      <c r="K65" s="11">
        <v>0.07</v>
      </c>
      <c r="L65" s="11">
        <v>8.77</v>
      </c>
      <c r="M65" s="11">
        <v>0.19282</v>
      </c>
      <c r="N65" s="11"/>
      <c r="O65" s="11">
        <f t="shared" si="9"/>
        <v>15.79282</v>
      </c>
      <c r="P65" s="11">
        <v>0.560335</v>
      </c>
      <c r="Q65" s="11"/>
      <c r="R65" s="11"/>
      <c r="S65" s="11"/>
      <c r="T65" s="29"/>
      <c r="U65" s="29"/>
      <c r="V65" s="29">
        <v>101.07</v>
      </c>
      <c r="W65" s="29"/>
      <c r="X65" s="29">
        <v>0.061603</v>
      </c>
      <c r="Y65" s="29">
        <f t="shared" si="10"/>
        <v>101.691938</v>
      </c>
      <c r="Z65" s="29"/>
      <c r="AA65" s="29"/>
      <c r="AB65" s="29"/>
      <c r="AC65" s="29"/>
      <c r="AD65" s="29"/>
      <c r="AE65" s="29"/>
      <c r="AF65" s="44"/>
      <c r="AG65" s="29">
        <f t="shared" si="8"/>
        <v>107.070882</v>
      </c>
      <c r="AH65" s="29">
        <v>67.5</v>
      </c>
      <c r="AI65" s="29">
        <v>-1.53</v>
      </c>
      <c r="AJ65" s="11">
        <f t="shared" si="4"/>
        <v>65.97</v>
      </c>
      <c r="AK65" s="11"/>
      <c r="AL65" s="11"/>
      <c r="AM65" s="11"/>
      <c r="AN65" s="11"/>
      <c r="AO65" s="11"/>
      <c r="AP65" s="11"/>
      <c r="AQ65" s="54">
        <f t="shared" si="13"/>
        <v>0.616133899037088</v>
      </c>
    </row>
    <row r="66" spans="1:43">
      <c r="A66" s="4"/>
      <c r="B66" s="4">
        <v>2014</v>
      </c>
      <c r="C66" s="12"/>
      <c r="D66" s="12"/>
      <c r="E66" s="12"/>
      <c r="F66" s="11">
        <v>148.79</v>
      </c>
      <c r="G66" s="11"/>
      <c r="H66" s="11">
        <v>2.45</v>
      </c>
      <c r="I66" s="11"/>
      <c r="J66" s="11"/>
      <c r="K66" s="11">
        <v>0.03</v>
      </c>
      <c r="L66" s="11">
        <v>3.62</v>
      </c>
      <c r="M66" s="11"/>
      <c r="N66" s="11"/>
      <c r="O66" s="11">
        <f t="shared" si="9"/>
        <v>6.1</v>
      </c>
      <c r="P66" s="11">
        <v>0.006043</v>
      </c>
      <c r="Q66" s="11"/>
      <c r="R66" s="11"/>
      <c r="S66" s="11"/>
      <c r="T66" s="29"/>
      <c r="U66" s="29"/>
      <c r="V66" s="29">
        <v>72</v>
      </c>
      <c r="W66" s="29"/>
      <c r="X66" s="29">
        <v>0.030329</v>
      </c>
      <c r="Y66" s="29">
        <f t="shared" si="10"/>
        <v>72.036372</v>
      </c>
      <c r="Z66" s="29"/>
      <c r="AA66" s="29"/>
      <c r="AB66" s="29"/>
      <c r="AC66" s="29"/>
      <c r="AD66" s="29"/>
      <c r="AE66" s="29"/>
      <c r="AF66" s="44"/>
      <c r="AG66" s="29">
        <f t="shared" si="8"/>
        <v>82.853628</v>
      </c>
      <c r="AH66" s="29">
        <v>52.06</v>
      </c>
      <c r="AI66" s="29">
        <v>-0.820294</v>
      </c>
      <c r="AJ66" s="11">
        <f t="shared" si="4"/>
        <v>51.239706</v>
      </c>
      <c r="AK66" s="11"/>
      <c r="AL66" s="11"/>
      <c r="AM66" s="11"/>
      <c r="AN66" s="11"/>
      <c r="AO66" s="11"/>
      <c r="AP66" s="11"/>
      <c r="AQ66" s="54">
        <f t="shared" si="13"/>
        <v>0.618436479329547</v>
      </c>
    </row>
    <row r="67" spans="1:43">
      <c r="A67" s="4"/>
      <c r="B67" s="4">
        <v>2013</v>
      </c>
      <c r="C67" s="12"/>
      <c r="D67" s="12"/>
      <c r="E67" s="12"/>
      <c r="F67" s="11">
        <v>111.13</v>
      </c>
      <c r="G67" s="11"/>
      <c r="H67" s="11"/>
      <c r="I67" s="11"/>
      <c r="J67" s="11"/>
      <c r="K67" s="11"/>
      <c r="L67" s="11">
        <v>1.81</v>
      </c>
      <c r="M67" s="11"/>
      <c r="N67" s="11"/>
      <c r="O67" s="11">
        <f t="shared" si="9"/>
        <v>1.81</v>
      </c>
      <c r="P67" s="11">
        <v>0.006043</v>
      </c>
      <c r="Q67" s="11"/>
      <c r="R67" s="11">
        <v>0.004037</v>
      </c>
      <c r="S67" s="11"/>
      <c r="T67" s="29"/>
      <c r="U67" s="29"/>
      <c r="V67" s="29">
        <v>45.93</v>
      </c>
      <c r="W67" s="29"/>
      <c r="X67" s="29"/>
      <c r="Y67" s="29">
        <f t="shared" si="10"/>
        <v>45.94008</v>
      </c>
      <c r="Z67" s="29"/>
      <c r="AA67" s="29"/>
      <c r="AB67" s="29"/>
      <c r="AC67" s="29"/>
      <c r="AD67" s="29"/>
      <c r="AE67" s="29"/>
      <c r="AF67" s="44"/>
      <c r="AG67" s="29">
        <f t="shared" si="8"/>
        <v>66.99992</v>
      </c>
      <c r="AH67" s="29">
        <v>33.86</v>
      </c>
      <c r="AI67" s="29">
        <v>-0.865579</v>
      </c>
      <c r="AJ67" s="11">
        <f t="shared" ref="AJ67:AJ89" si="14">AH67+AI67</f>
        <v>32.994421</v>
      </c>
      <c r="AK67" s="11"/>
      <c r="AL67" s="11"/>
      <c r="AM67" s="11"/>
      <c r="AN67" s="11"/>
      <c r="AO67" s="11"/>
      <c r="AP67" s="11"/>
      <c r="AQ67" s="54">
        <f t="shared" si="13"/>
        <v>0.492454632781651</v>
      </c>
    </row>
    <row r="68" spans="1:43">
      <c r="A68" s="4"/>
      <c r="B68" s="4">
        <v>2012</v>
      </c>
      <c r="C68" s="12"/>
      <c r="D68" s="12"/>
      <c r="E68" s="12"/>
      <c r="F68" s="11">
        <v>86.71</v>
      </c>
      <c r="G68" s="11"/>
      <c r="H68" s="11"/>
      <c r="I68" s="11"/>
      <c r="J68" s="11"/>
      <c r="K68" s="11">
        <v>0.03</v>
      </c>
      <c r="L68" s="11"/>
      <c r="M68" s="11"/>
      <c r="N68" s="11"/>
      <c r="O68" s="11">
        <f t="shared" si="9"/>
        <v>0.03</v>
      </c>
      <c r="P68" s="11"/>
      <c r="Q68" s="11">
        <v>3</v>
      </c>
      <c r="R68" s="11">
        <v>0.014627</v>
      </c>
      <c r="S68" s="11"/>
      <c r="T68" s="29"/>
      <c r="U68" s="29"/>
      <c r="V68" s="29">
        <v>55.35</v>
      </c>
      <c r="W68" s="29"/>
      <c r="X68" s="29"/>
      <c r="Y68" s="29">
        <f t="shared" si="10"/>
        <v>58.364627</v>
      </c>
      <c r="Z68" s="29"/>
      <c r="AA68" s="29"/>
      <c r="AB68" s="29"/>
      <c r="AC68" s="29"/>
      <c r="AD68" s="29"/>
      <c r="AE68" s="29"/>
      <c r="AF68" s="44"/>
      <c r="AG68" s="29">
        <f>F68+H68+I68+K68+L68+M68+N68-P68-Q68-R68-S68-T68-U68-V68-W68-X68</f>
        <v>28.375373</v>
      </c>
      <c r="AH68" s="29">
        <v>23.14</v>
      </c>
      <c r="AI68" s="29">
        <v>-0.717242</v>
      </c>
      <c r="AJ68" s="11">
        <f t="shared" si="14"/>
        <v>22.422758</v>
      </c>
      <c r="AK68" s="11"/>
      <c r="AL68" s="11"/>
      <c r="AM68" s="11"/>
      <c r="AN68" s="11"/>
      <c r="AO68" s="11"/>
      <c r="AP68" s="11"/>
      <c r="AQ68" s="54">
        <f t="shared" si="13"/>
        <v>0.790218969103948</v>
      </c>
    </row>
    <row r="69" spans="1:43">
      <c r="A69" s="9" t="s">
        <v>284</v>
      </c>
      <c r="B69" s="9">
        <v>2022</v>
      </c>
      <c r="C69" s="12"/>
      <c r="D69" s="12"/>
      <c r="E69" s="12"/>
      <c r="F69" s="11">
        <v>25.97</v>
      </c>
      <c r="G69" s="11"/>
      <c r="H69" s="11">
        <v>0.385</v>
      </c>
      <c r="I69" s="11"/>
      <c r="J69" s="11"/>
      <c r="K69" s="11"/>
      <c r="L69" s="11">
        <v>3.8</v>
      </c>
      <c r="M69" s="11"/>
      <c r="N69" s="11"/>
      <c r="O69" s="11">
        <f t="shared" ref="O69:O89" si="15">SUM(G69:N69)</f>
        <v>4.185</v>
      </c>
      <c r="P69" s="11"/>
      <c r="Q69" s="11"/>
      <c r="R69" s="11"/>
      <c r="S69" s="11"/>
      <c r="T69" s="29">
        <v>10.35</v>
      </c>
      <c r="U69" s="29"/>
      <c r="V69" s="29">
        <v>5.59</v>
      </c>
      <c r="W69" s="29"/>
      <c r="X69" s="29"/>
      <c r="Y69" s="29">
        <f t="shared" ref="Y69:Y89" si="16">SUM(P69:X69)</f>
        <v>15.94</v>
      </c>
      <c r="Z69" s="29"/>
      <c r="AA69" s="29"/>
      <c r="AB69" s="29"/>
      <c r="AC69" s="29"/>
      <c r="AD69" s="29"/>
      <c r="AE69" s="29"/>
      <c r="AF69" s="44"/>
      <c r="AG69" s="29">
        <f t="shared" ref="AG69:AG89" si="17">F69+O69-Y69</f>
        <v>14.215</v>
      </c>
      <c r="AH69" s="29">
        <v>8.39</v>
      </c>
      <c r="AI69" s="29">
        <v>0.147836</v>
      </c>
      <c r="AJ69" s="11">
        <f t="shared" si="14"/>
        <v>8.537836</v>
      </c>
      <c r="AK69" s="11"/>
      <c r="AL69" s="11"/>
      <c r="AM69" s="11"/>
      <c r="AN69" s="11"/>
      <c r="AO69" s="11"/>
      <c r="AP69" s="11">
        <f t="shared" ref="AP69:AP101" si="18">AJ69-AO69</f>
        <v>8.537836</v>
      </c>
      <c r="AQ69" s="54">
        <f t="shared" ref="AQ69:AQ101" si="19">AP69/AG69</f>
        <v>0.600621596904678</v>
      </c>
    </row>
    <row r="70" spans="1:43">
      <c r="A70" s="9"/>
      <c r="B70" s="9">
        <v>2021</v>
      </c>
      <c r="C70" s="12"/>
      <c r="D70" s="12"/>
      <c r="E70" s="12"/>
      <c r="F70" s="11">
        <v>20.07</v>
      </c>
      <c r="G70" s="11"/>
      <c r="H70" s="11"/>
      <c r="I70" s="11"/>
      <c r="J70" s="11"/>
      <c r="K70" s="11"/>
      <c r="L70" s="11">
        <v>1</v>
      </c>
      <c r="M70" s="11"/>
      <c r="N70" s="11"/>
      <c r="O70" s="11">
        <f t="shared" si="15"/>
        <v>1</v>
      </c>
      <c r="P70" s="11"/>
      <c r="Q70" s="11"/>
      <c r="R70" s="11"/>
      <c r="S70" s="11"/>
      <c r="T70" s="29">
        <v>5.68</v>
      </c>
      <c r="U70" s="29"/>
      <c r="V70" s="29">
        <v>7.8</v>
      </c>
      <c r="W70" s="29"/>
      <c r="X70" s="29"/>
      <c r="Y70" s="29">
        <f t="shared" si="16"/>
        <v>13.48</v>
      </c>
      <c r="Z70" s="29"/>
      <c r="AA70" s="29"/>
      <c r="AB70" s="29"/>
      <c r="AC70" s="29"/>
      <c r="AD70" s="29"/>
      <c r="AE70" s="29"/>
      <c r="AF70" s="44"/>
      <c r="AG70" s="29">
        <f t="shared" si="17"/>
        <v>7.59</v>
      </c>
      <c r="AH70" s="29">
        <v>5.8</v>
      </c>
      <c r="AI70" s="29">
        <v>-0.05616</v>
      </c>
      <c r="AJ70" s="11">
        <f t="shared" si="14"/>
        <v>5.74384</v>
      </c>
      <c r="AK70" s="11"/>
      <c r="AL70" s="11"/>
      <c r="AM70" s="11"/>
      <c r="AN70" s="11"/>
      <c r="AO70" s="11"/>
      <c r="AP70" s="11">
        <f t="shared" si="18"/>
        <v>5.74384</v>
      </c>
      <c r="AQ70" s="54">
        <f t="shared" si="19"/>
        <v>0.756764163372859</v>
      </c>
    </row>
    <row r="71" spans="1:43">
      <c r="A71" s="9"/>
      <c r="B71" s="9">
        <v>2020</v>
      </c>
      <c r="C71" s="12"/>
      <c r="D71" s="12"/>
      <c r="E71" s="12"/>
      <c r="F71" s="11">
        <v>16.9</v>
      </c>
      <c r="G71" s="11"/>
      <c r="H71" s="11"/>
      <c r="I71" s="11"/>
      <c r="J71" s="11"/>
      <c r="K71" s="11"/>
      <c r="L71" s="11">
        <v>0.2</v>
      </c>
      <c r="M71" s="11"/>
      <c r="N71" s="11"/>
      <c r="O71" s="11">
        <f t="shared" si="15"/>
        <v>0.2</v>
      </c>
      <c r="P71" s="11"/>
      <c r="Q71" s="11"/>
      <c r="R71" s="11"/>
      <c r="S71" s="11"/>
      <c r="T71" s="29">
        <v>1.18</v>
      </c>
      <c r="U71" s="29"/>
      <c r="V71" s="29">
        <v>11.04</v>
      </c>
      <c r="W71" s="29"/>
      <c r="X71" s="29">
        <v>0.9</v>
      </c>
      <c r="Y71" s="29">
        <f t="shared" si="16"/>
        <v>13.12</v>
      </c>
      <c r="Z71" s="29"/>
      <c r="AA71" s="29"/>
      <c r="AB71" s="29"/>
      <c r="AC71" s="29"/>
      <c r="AD71" s="29"/>
      <c r="AE71" s="29"/>
      <c r="AF71" s="44"/>
      <c r="AG71" s="29">
        <f t="shared" si="17"/>
        <v>3.98</v>
      </c>
      <c r="AH71" s="29">
        <v>4.21</v>
      </c>
      <c r="AI71" s="29">
        <v>-0.035568</v>
      </c>
      <c r="AJ71" s="11">
        <f t="shared" si="14"/>
        <v>4.174432</v>
      </c>
      <c r="AK71" s="11"/>
      <c r="AL71" s="11"/>
      <c r="AM71" s="11"/>
      <c r="AN71" s="11"/>
      <c r="AO71" s="11"/>
      <c r="AP71" s="11">
        <f t="shared" si="18"/>
        <v>4.174432</v>
      </c>
      <c r="AQ71" s="54">
        <f t="shared" si="19"/>
        <v>1.04885226130653</v>
      </c>
    </row>
    <row r="72" spans="1:43">
      <c r="A72" s="9"/>
      <c r="B72" s="9">
        <v>2019</v>
      </c>
      <c r="C72" s="12"/>
      <c r="D72" s="12"/>
      <c r="E72" s="12"/>
      <c r="F72" s="11">
        <v>3.76</v>
      </c>
      <c r="G72" s="11"/>
      <c r="H72" s="11"/>
      <c r="I72" s="11"/>
      <c r="J72" s="11"/>
      <c r="K72" s="11">
        <v>0.14</v>
      </c>
      <c r="L72" s="11">
        <v>0.67</v>
      </c>
      <c r="M72" s="11"/>
      <c r="N72" s="11"/>
      <c r="O72" s="11">
        <f t="shared" si="15"/>
        <v>0.81</v>
      </c>
      <c r="P72" s="11"/>
      <c r="Q72" s="11"/>
      <c r="R72" s="11"/>
      <c r="S72" s="11"/>
      <c r="T72" s="29"/>
      <c r="U72" s="29"/>
      <c r="V72" s="29">
        <v>3.22</v>
      </c>
      <c r="W72" s="29"/>
      <c r="X72" s="29"/>
      <c r="Y72" s="29">
        <f t="shared" si="16"/>
        <v>3.22</v>
      </c>
      <c r="Z72" s="29"/>
      <c r="AA72" s="29"/>
      <c r="AB72" s="29"/>
      <c r="AC72" s="29"/>
      <c r="AD72" s="29"/>
      <c r="AE72" s="29"/>
      <c r="AF72" s="44"/>
      <c r="AG72" s="29">
        <f t="shared" si="17"/>
        <v>1.35</v>
      </c>
      <c r="AH72" s="29">
        <v>2.28</v>
      </c>
      <c r="AI72" s="29">
        <v>0.033454</v>
      </c>
      <c r="AJ72" s="11">
        <f t="shared" si="14"/>
        <v>2.313454</v>
      </c>
      <c r="AK72" s="11"/>
      <c r="AL72" s="11"/>
      <c r="AM72" s="11"/>
      <c r="AN72" s="11"/>
      <c r="AO72" s="11"/>
      <c r="AP72" s="11">
        <f t="shared" si="18"/>
        <v>2.313454</v>
      </c>
      <c r="AQ72" s="54">
        <f t="shared" si="19"/>
        <v>1.71366962962963</v>
      </c>
    </row>
    <row r="73" spans="1:43">
      <c r="A73" s="9"/>
      <c r="B73" s="9">
        <v>2018</v>
      </c>
      <c r="C73" s="12"/>
      <c r="D73" s="12"/>
      <c r="E73" s="12"/>
      <c r="F73" s="11">
        <v>2.6</v>
      </c>
      <c r="G73" s="11"/>
      <c r="H73" s="11"/>
      <c r="I73" s="11"/>
      <c r="J73" s="11"/>
      <c r="K73" s="11">
        <v>0.04</v>
      </c>
      <c r="L73" s="11">
        <v>0.39</v>
      </c>
      <c r="M73" s="11"/>
      <c r="N73" s="11"/>
      <c r="O73" s="11">
        <f t="shared" si="15"/>
        <v>0.43</v>
      </c>
      <c r="P73" s="11"/>
      <c r="Q73" s="11"/>
      <c r="R73" s="11"/>
      <c r="S73" s="11"/>
      <c r="T73" s="29"/>
      <c r="U73" s="29"/>
      <c r="V73" s="29">
        <v>2.43</v>
      </c>
      <c r="W73" s="29"/>
      <c r="X73" s="29"/>
      <c r="Y73" s="29">
        <f t="shared" si="16"/>
        <v>2.43</v>
      </c>
      <c r="Z73" s="29"/>
      <c r="AA73" s="29"/>
      <c r="AB73" s="29"/>
      <c r="AC73" s="29"/>
      <c r="AD73" s="29"/>
      <c r="AE73" s="29"/>
      <c r="AF73" s="44"/>
      <c r="AG73" s="29">
        <f t="shared" si="17"/>
        <v>0.6</v>
      </c>
      <c r="AH73" s="29">
        <v>1.47</v>
      </c>
      <c r="AI73" s="29">
        <v>0.022263</v>
      </c>
      <c r="AJ73" s="11">
        <f t="shared" si="14"/>
        <v>1.492263</v>
      </c>
      <c r="AK73" s="11"/>
      <c r="AL73" s="11"/>
      <c r="AM73" s="11"/>
      <c r="AN73" s="11"/>
      <c r="AO73" s="11"/>
      <c r="AP73" s="11">
        <f t="shared" si="18"/>
        <v>1.492263</v>
      </c>
      <c r="AQ73" s="54">
        <f t="shared" si="19"/>
        <v>2.487105</v>
      </c>
    </row>
    <row r="74" spans="1:43">
      <c r="A74" s="9"/>
      <c r="B74" s="9">
        <v>2017</v>
      </c>
      <c r="C74" s="12"/>
      <c r="D74" s="12"/>
      <c r="E74" s="12"/>
      <c r="F74" s="11">
        <v>1.88</v>
      </c>
      <c r="G74" s="11"/>
      <c r="H74" s="11">
        <v>0.1</v>
      </c>
      <c r="I74" s="11"/>
      <c r="J74" s="11"/>
      <c r="K74" s="11">
        <v>0.04</v>
      </c>
      <c r="L74" s="11">
        <v>0.305</v>
      </c>
      <c r="M74" s="11"/>
      <c r="N74" s="11"/>
      <c r="O74" s="11">
        <f t="shared" si="15"/>
        <v>0.445</v>
      </c>
      <c r="P74" s="11"/>
      <c r="Q74" s="11"/>
      <c r="R74" s="11"/>
      <c r="S74" s="11"/>
      <c r="T74" s="29"/>
      <c r="U74" s="29"/>
      <c r="V74" s="29">
        <v>2.11</v>
      </c>
      <c r="W74" s="29"/>
      <c r="X74" s="29"/>
      <c r="Y74" s="29">
        <f t="shared" si="16"/>
        <v>2.11</v>
      </c>
      <c r="Z74" s="29"/>
      <c r="AA74" s="29"/>
      <c r="AB74" s="29"/>
      <c r="AC74" s="29"/>
      <c r="AD74" s="29"/>
      <c r="AE74" s="29"/>
      <c r="AF74" s="44"/>
      <c r="AG74" s="29">
        <f t="shared" si="17"/>
        <v>0.215</v>
      </c>
      <c r="AH74" s="29">
        <v>1.18</v>
      </c>
      <c r="AI74" s="29">
        <v>0.024315</v>
      </c>
      <c r="AJ74" s="11">
        <f t="shared" si="14"/>
        <v>1.204315</v>
      </c>
      <c r="AK74" s="11"/>
      <c r="AL74" s="11"/>
      <c r="AM74" s="11"/>
      <c r="AN74" s="11"/>
      <c r="AO74" s="11"/>
      <c r="AP74" s="11">
        <f t="shared" si="18"/>
        <v>1.204315</v>
      </c>
      <c r="AQ74" s="54">
        <f t="shared" si="19"/>
        <v>5.60146511627907</v>
      </c>
    </row>
    <row r="75" spans="1:43">
      <c r="A75" s="9"/>
      <c r="B75" s="9">
        <v>2016</v>
      </c>
      <c r="C75" s="12"/>
      <c r="D75" s="12"/>
      <c r="E75" s="12"/>
      <c r="F75" s="11">
        <v>1.4</v>
      </c>
      <c r="G75" s="11"/>
      <c r="H75" s="11"/>
      <c r="I75" s="11"/>
      <c r="J75" s="11"/>
      <c r="K75" s="11">
        <v>0.04</v>
      </c>
      <c r="L75" s="11">
        <v>0.17</v>
      </c>
      <c r="M75" s="11"/>
      <c r="N75" s="11"/>
      <c r="O75" s="11">
        <f t="shared" si="15"/>
        <v>0.21</v>
      </c>
      <c r="P75" s="11"/>
      <c r="Q75" s="11"/>
      <c r="R75" s="11"/>
      <c r="S75" s="11"/>
      <c r="T75" s="29"/>
      <c r="U75" s="29"/>
      <c r="V75" s="29">
        <v>1.03</v>
      </c>
      <c r="W75" s="29"/>
      <c r="X75" s="29"/>
      <c r="Y75" s="29">
        <f t="shared" si="16"/>
        <v>1.03</v>
      </c>
      <c r="Z75" s="29"/>
      <c r="AA75" s="29"/>
      <c r="AB75" s="29"/>
      <c r="AC75" s="29"/>
      <c r="AD75" s="29"/>
      <c r="AE75" s="29"/>
      <c r="AF75" s="44"/>
      <c r="AG75" s="29">
        <f t="shared" si="17"/>
        <v>0.58</v>
      </c>
      <c r="AH75" s="29">
        <v>0.947209</v>
      </c>
      <c r="AI75" s="29">
        <v>0.014747</v>
      </c>
      <c r="AJ75" s="11">
        <f t="shared" si="14"/>
        <v>0.961956</v>
      </c>
      <c r="AK75" s="11"/>
      <c r="AL75" s="11"/>
      <c r="AM75" s="11"/>
      <c r="AN75" s="11"/>
      <c r="AO75" s="11"/>
      <c r="AP75" s="11">
        <f t="shared" si="18"/>
        <v>0.961956</v>
      </c>
      <c r="AQ75" s="54">
        <f t="shared" si="19"/>
        <v>1.65854482758621</v>
      </c>
    </row>
    <row r="76" spans="1:43">
      <c r="A76" s="9"/>
      <c r="B76" s="9">
        <v>2015</v>
      </c>
      <c r="C76" s="12"/>
      <c r="D76" s="12"/>
      <c r="E76" s="12"/>
      <c r="F76" s="11">
        <v>0.988138</v>
      </c>
      <c r="G76" s="11"/>
      <c r="H76" s="11"/>
      <c r="I76" s="11"/>
      <c r="J76" s="11"/>
      <c r="K76" s="11"/>
      <c r="L76" s="11">
        <v>0.31</v>
      </c>
      <c r="M76" s="11"/>
      <c r="N76" s="11"/>
      <c r="O76" s="11">
        <f t="shared" si="15"/>
        <v>0.31</v>
      </c>
      <c r="P76" s="11"/>
      <c r="Q76" s="11"/>
      <c r="R76" s="11"/>
      <c r="S76" s="11"/>
      <c r="T76" s="29"/>
      <c r="U76" s="29"/>
      <c r="V76" s="29">
        <v>0.7447413</v>
      </c>
      <c r="W76" s="29"/>
      <c r="X76" s="29"/>
      <c r="Y76" s="29">
        <f t="shared" si="16"/>
        <v>0.7447413</v>
      </c>
      <c r="Z76" s="29"/>
      <c r="AA76" s="29"/>
      <c r="AB76" s="29"/>
      <c r="AC76" s="29"/>
      <c r="AD76" s="29"/>
      <c r="AE76" s="29"/>
      <c r="AF76" s="44"/>
      <c r="AG76" s="29">
        <f t="shared" si="17"/>
        <v>0.5533967</v>
      </c>
      <c r="AH76" s="29">
        <v>0.308605</v>
      </c>
      <c r="AI76" s="29">
        <v>0.011</v>
      </c>
      <c r="AJ76" s="11">
        <f t="shared" si="14"/>
        <v>0.319605</v>
      </c>
      <c r="AK76" s="11"/>
      <c r="AL76" s="11"/>
      <c r="AM76" s="11"/>
      <c r="AN76" s="11"/>
      <c r="AO76" s="11"/>
      <c r="AP76" s="11">
        <f t="shared" si="18"/>
        <v>0.319605</v>
      </c>
      <c r="AQ76" s="54">
        <f t="shared" si="19"/>
        <v>0.57753325959479</v>
      </c>
    </row>
    <row r="77" spans="1:43">
      <c r="A77" s="9"/>
      <c r="B77" s="4">
        <v>2014</v>
      </c>
      <c r="C77" s="12"/>
      <c r="D77" s="12"/>
      <c r="E77" s="12"/>
      <c r="F77" s="11">
        <v>0.434745</v>
      </c>
      <c r="G77" s="11"/>
      <c r="H77" s="11"/>
      <c r="I77" s="11"/>
      <c r="J77" s="11"/>
      <c r="K77" s="11"/>
      <c r="L77" s="11">
        <v>0.21</v>
      </c>
      <c r="M77" s="11"/>
      <c r="N77" s="11"/>
      <c r="O77" s="11">
        <f t="shared" si="15"/>
        <v>0.21</v>
      </c>
      <c r="P77" s="11"/>
      <c r="Q77" s="11"/>
      <c r="R77" s="11"/>
      <c r="S77" s="11"/>
      <c r="T77" s="29"/>
      <c r="U77" s="29"/>
      <c r="V77" s="29">
        <v>0.193579</v>
      </c>
      <c r="W77" s="29"/>
      <c r="X77" s="29"/>
      <c r="Y77" s="29">
        <f t="shared" si="16"/>
        <v>0.193579</v>
      </c>
      <c r="Z77" s="29"/>
      <c r="AA77" s="29"/>
      <c r="AB77" s="29"/>
      <c r="AC77" s="29"/>
      <c r="AD77" s="29"/>
      <c r="AE77" s="29"/>
      <c r="AF77" s="44"/>
      <c r="AG77" s="29">
        <f t="shared" si="17"/>
        <v>0.451166</v>
      </c>
      <c r="AH77" s="29">
        <v>0.165881</v>
      </c>
      <c r="AI77" s="29">
        <v>0.016533</v>
      </c>
      <c r="AJ77" s="11">
        <f t="shared" si="14"/>
        <v>0.182414</v>
      </c>
      <c r="AK77" s="11"/>
      <c r="AL77" s="11"/>
      <c r="AM77" s="11"/>
      <c r="AN77" s="11"/>
      <c r="AO77" s="11"/>
      <c r="AP77" s="11">
        <f t="shared" si="18"/>
        <v>0.182414</v>
      </c>
      <c r="AQ77" s="54">
        <f t="shared" si="19"/>
        <v>0.404316814653586</v>
      </c>
    </row>
    <row r="78" spans="1:43">
      <c r="A78" s="9"/>
      <c r="B78" s="4">
        <v>2013</v>
      </c>
      <c r="C78" s="12"/>
      <c r="D78" s="12"/>
      <c r="E78" s="12"/>
      <c r="F78" s="11">
        <v>0.308839</v>
      </c>
      <c r="G78" s="11"/>
      <c r="H78" s="11"/>
      <c r="I78" s="11"/>
      <c r="J78" s="11"/>
      <c r="K78" s="11"/>
      <c r="L78" s="11">
        <v>0.23</v>
      </c>
      <c r="M78" s="11"/>
      <c r="N78" s="11"/>
      <c r="O78" s="11">
        <f t="shared" si="15"/>
        <v>0.23</v>
      </c>
      <c r="P78" s="11"/>
      <c r="Q78" s="11"/>
      <c r="R78" s="11"/>
      <c r="S78" s="11"/>
      <c r="T78" s="29"/>
      <c r="U78" s="29"/>
      <c r="V78" s="29">
        <v>0.044665</v>
      </c>
      <c r="W78" s="29"/>
      <c r="X78" s="29"/>
      <c r="Y78" s="29">
        <f t="shared" si="16"/>
        <v>0.044665</v>
      </c>
      <c r="Z78" s="29"/>
      <c r="AA78" s="29"/>
      <c r="AB78" s="29"/>
      <c r="AC78" s="29"/>
      <c r="AD78" s="29"/>
      <c r="AE78" s="29"/>
      <c r="AF78" s="44"/>
      <c r="AG78" s="29">
        <f t="shared" si="17"/>
        <v>0.494174</v>
      </c>
      <c r="AH78" s="29">
        <v>0.127962</v>
      </c>
      <c r="AI78" s="29">
        <v>0.016517</v>
      </c>
      <c r="AJ78" s="11">
        <f t="shared" si="14"/>
        <v>0.144479</v>
      </c>
      <c r="AK78" s="11"/>
      <c r="AL78" s="11"/>
      <c r="AM78" s="11"/>
      <c r="AN78" s="11"/>
      <c r="AO78" s="11"/>
      <c r="AP78" s="11">
        <f t="shared" si="18"/>
        <v>0.144479</v>
      </c>
      <c r="AQ78" s="54">
        <f t="shared" si="19"/>
        <v>0.292364632700223</v>
      </c>
    </row>
    <row r="79" spans="1:43">
      <c r="A79" s="9"/>
      <c r="B79" s="4">
        <v>2012</v>
      </c>
      <c r="C79" s="12"/>
      <c r="D79" s="12"/>
      <c r="E79" s="12"/>
      <c r="F79" s="11">
        <v>0.158067</v>
      </c>
      <c r="G79" s="11"/>
      <c r="H79" s="11"/>
      <c r="I79" s="11"/>
      <c r="J79" s="11"/>
      <c r="K79" s="11"/>
      <c r="L79" s="11">
        <v>0.139</v>
      </c>
      <c r="M79" s="11"/>
      <c r="N79" s="11"/>
      <c r="O79" s="11">
        <f t="shared" si="15"/>
        <v>0.139</v>
      </c>
      <c r="P79" s="11"/>
      <c r="Q79" s="11"/>
      <c r="R79" s="11"/>
      <c r="S79" s="11"/>
      <c r="T79" s="29"/>
      <c r="U79" s="29"/>
      <c r="V79" s="29"/>
      <c r="W79" s="29"/>
      <c r="X79" s="29"/>
      <c r="Y79" s="29">
        <f t="shared" si="16"/>
        <v>0</v>
      </c>
      <c r="Z79" s="29"/>
      <c r="AA79" s="29"/>
      <c r="AB79" s="29"/>
      <c r="AC79" s="29"/>
      <c r="AD79" s="29"/>
      <c r="AE79" s="29"/>
      <c r="AF79" s="44"/>
      <c r="AG79" s="29">
        <f t="shared" si="17"/>
        <v>0.297067</v>
      </c>
      <c r="AH79" s="29">
        <v>0.085188</v>
      </c>
      <c r="AI79" s="29">
        <v>0.006712</v>
      </c>
      <c r="AJ79" s="11">
        <f t="shared" si="14"/>
        <v>0.0919</v>
      </c>
      <c r="AK79" s="11"/>
      <c r="AL79" s="11"/>
      <c r="AM79" s="11"/>
      <c r="AN79" s="11"/>
      <c r="AO79" s="11"/>
      <c r="AP79" s="11">
        <f t="shared" si="18"/>
        <v>0.0919</v>
      </c>
      <c r="AQ79" s="54">
        <f t="shared" si="19"/>
        <v>0.309357821636197</v>
      </c>
    </row>
    <row r="80" spans="1:43">
      <c r="A80" s="4" t="s">
        <v>285</v>
      </c>
      <c r="B80" s="9">
        <v>2022</v>
      </c>
      <c r="C80" s="12"/>
      <c r="D80" s="12"/>
      <c r="E80" s="12"/>
      <c r="F80" s="11">
        <v>93.36</v>
      </c>
      <c r="G80" s="11"/>
      <c r="H80" s="11">
        <v>27.2</v>
      </c>
      <c r="I80" s="11"/>
      <c r="J80" s="11"/>
      <c r="K80" s="11">
        <v>6.12</v>
      </c>
      <c r="L80" s="11">
        <v>3</v>
      </c>
      <c r="M80" s="11"/>
      <c r="N80" s="11"/>
      <c r="O80" s="11">
        <f t="shared" si="15"/>
        <v>36.32</v>
      </c>
      <c r="P80" s="11"/>
      <c r="Q80" s="11"/>
      <c r="R80" s="11">
        <v>10.8</v>
      </c>
      <c r="S80" s="11"/>
      <c r="T80" s="29"/>
      <c r="U80" s="29"/>
      <c r="V80" s="29">
        <v>47.61</v>
      </c>
      <c r="W80" s="29"/>
      <c r="X80" s="29">
        <v>45.5</v>
      </c>
      <c r="Y80" s="29">
        <f t="shared" si="16"/>
        <v>103.91</v>
      </c>
      <c r="Z80" s="29"/>
      <c r="AA80" s="29"/>
      <c r="AB80" s="29"/>
      <c r="AC80" s="29"/>
      <c r="AD80" s="29"/>
      <c r="AE80" s="29"/>
      <c r="AF80" s="44"/>
      <c r="AG80" s="29">
        <f t="shared" si="17"/>
        <v>25.77</v>
      </c>
      <c r="AH80" s="29">
        <v>36.69</v>
      </c>
      <c r="AI80" s="29">
        <v>0.447657</v>
      </c>
      <c r="AJ80" s="11">
        <f t="shared" si="14"/>
        <v>37.137657</v>
      </c>
      <c r="AK80" s="11"/>
      <c r="AL80" s="11"/>
      <c r="AM80" s="11"/>
      <c r="AN80" s="11"/>
      <c r="AO80" s="11"/>
      <c r="AP80" s="11">
        <f t="shared" si="18"/>
        <v>37.137657</v>
      </c>
      <c r="AQ80" s="54">
        <f t="shared" si="19"/>
        <v>1.44111979045402</v>
      </c>
    </row>
    <row r="81" spans="1:43">
      <c r="A81" s="4"/>
      <c r="B81" s="9">
        <v>2021</v>
      </c>
      <c r="C81" s="12"/>
      <c r="D81" s="12"/>
      <c r="E81" s="12"/>
      <c r="F81" s="11">
        <v>97.34</v>
      </c>
      <c r="G81" s="11"/>
      <c r="H81" s="11">
        <v>14.91</v>
      </c>
      <c r="I81" s="11"/>
      <c r="J81" s="11"/>
      <c r="K81" s="11">
        <v>7.22</v>
      </c>
      <c r="L81" s="11"/>
      <c r="M81" s="11"/>
      <c r="N81" s="11"/>
      <c r="O81" s="11">
        <f t="shared" si="15"/>
        <v>22.13</v>
      </c>
      <c r="P81" s="11"/>
      <c r="Q81" s="11"/>
      <c r="R81" s="11">
        <v>3.8</v>
      </c>
      <c r="S81" s="11"/>
      <c r="T81" s="29"/>
      <c r="U81" s="29"/>
      <c r="V81" s="29">
        <v>28.02</v>
      </c>
      <c r="W81" s="29"/>
      <c r="X81" s="29">
        <v>71.04</v>
      </c>
      <c r="Y81" s="29">
        <f t="shared" si="16"/>
        <v>102.86</v>
      </c>
      <c r="Z81" s="29"/>
      <c r="AA81" s="29"/>
      <c r="AB81" s="29"/>
      <c r="AC81" s="29"/>
      <c r="AD81" s="29"/>
      <c r="AE81" s="29"/>
      <c r="AF81" s="44"/>
      <c r="AG81" s="29">
        <f t="shared" si="17"/>
        <v>16.61</v>
      </c>
      <c r="AH81" s="29">
        <v>32.16</v>
      </c>
      <c r="AI81" s="29">
        <v>2.1</v>
      </c>
      <c r="AJ81" s="11">
        <f t="shared" si="14"/>
        <v>34.26</v>
      </c>
      <c r="AK81" s="11"/>
      <c r="AL81" s="11"/>
      <c r="AM81" s="11"/>
      <c r="AN81" s="11"/>
      <c r="AO81" s="11"/>
      <c r="AP81" s="11">
        <f t="shared" si="18"/>
        <v>34.26</v>
      </c>
      <c r="AQ81" s="54">
        <f t="shared" si="19"/>
        <v>2.06261288380494</v>
      </c>
    </row>
    <row r="82" spans="1:43">
      <c r="A82" s="4"/>
      <c r="B82" s="9">
        <v>2020</v>
      </c>
      <c r="C82" s="12"/>
      <c r="D82" s="12"/>
      <c r="E82" s="12"/>
      <c r="F82" s="11">
        <v>52.02</v>
      </c>
      <c r="G82" s="11"/>
      <c r="H82" s="11">
        <v>13.51</v>
      </c>
      <c r="I82" s="11"/>
      <c r="J82" s="11"/>
      <c r="K82" s="11">
        <v>15.36</v>
      </c>
      <c r="L82" s="11"/>
      <c r="M82" s="11"/>
      <c r="N82" s="11"/>
      <c r="O82" s="11">
        <f t="shared" si="15"/>
        <v>28.87</v>
      </c>
      <c r="P82" s="11"/>
      <c r="Q82" s="11"/>
      <c r="R82" s="11">
        <v>3.85</v>
      </c>
      <c r="S82" s="11"/>
      <c r="T82" s="29"/>
      <c r="U82" s="29"/>
      <c r="V82" s="29">
        <v>34.15</v>
      </c>
      <c r="W82" s="29"/>
      <c r="X82" s="29">
        <v>11.3</v>
      </c>
      <c r="Y82" s="29">
        <f t="shared" si="16"/>
        <v>49.3</v>
      </c>
      <c r="Z82" s="29"/>
      <c r="AA82" s="29"/>
      <c r="AB82" s="29"/>
      <c r="AC82" s="29"/>
      <c r="AD82" s="29"/>
      <c r="AE82" s="29"/>
      <c r="AF82" s="44"/>
      <c r="AG82" s="29">
        <f t="shared" si="17"/>
        <v>31.59</v>
      </c>
      <c r="AH82" s="29">
        <v>13.67</v>
      </c>
      <c r="AI82" s="29">
        <v>2.1</v>
      </c>
      <c r="AJ82" s="11">
        <f t="shared" si="14"/>
        <v>15.77</v>
      </c>
      <c r="AK82" s="11"/>
      <c r="AL82" s="11"/>
      <c r="AM82" s="11"/>
      <c r="AN82" s="11"/>
      <c r="AO82" s="11"/>
      <c r="AP82" s="11">
        <f t="shared" si="18"/>
        <v>15.77</v>
      </c>
      <c r="AQ82" s="54">
        <f t="shared" si="19"/>
        <v>0.499208610319721</v>
      </c>
    </row>
    <row r="83" spans="1:43">
      <c r="A83" s="4"/>
      <c r="B83" s="4">
        <v>2019</v>
      </c>
      <c r="C83" s="12"/>
      <c r="D83" s="12"/>
      <c r="E83" s="12"/>
      <c r="F83" s="11">
        <v>29.72</v>
      </c>
      <c r="G83" s="11"/>
      <c r="H83" s="11">
        <v>8.7</v>
      </c>
      <c r="I83" s="11"/>
      <c r="J83" s="11"/>
      <c r="K83" s="11">
        <v>16.15</v>
      </c>
      <c r="L83" s="11"/>
      <c r="M83" s="11"/>
      <c r="N83" s="11"/>
      <c r="O83" s="11">
        <f t="shared" si="15"/>
        <v>24.85</v>
      </c>
      <c r="P83" s="11"/>
      <c r="Q83" s="11"/>
      <c r="R83" s="11">
        <v>0.397721</v>
      </c>
      <c r="S83" s="11"/>
      <c r="T83" s="29"/>
      <c r="U83" s="29"/>
      <c r="V83" s="29">
        <v>22.83</v>
      </c>
      <c r="W83" s="29"/>
      <c r="X83" s="29"/>
      <c r="Y83" s="29">
        <f t="shared" si="16"/>
        <v>23.227721</v>
      </c>
      <c r="Z83" s="29"/>
      <c r="AA83" s="29"/>
      <c r="AB83" s="29"/>
      <c r="AC83" s="29"/>
      <c r="AD83" s="29"/>
      <c r="AE83" s="29"/>
      <c r="AF83" s="44"/>
      <c r="AG83" s="29">
        <f t="shared" si="17"/>
        <v>31.342279</v>
      </c>
      <c r="AH83" s="29">
        <v>11.5</v>
      </c>
      <c r="AI83" s="29">
        <v>1.73</v>
      </c>
      <c r="AJ83" s="11">
        <f t="shared" si="14"/>
        <v>13.23</v>
      </c>
      <c r="AK83" s="11"/>
      <c r="AL83" s="11"/>
      <c r="AM83" s="11"/>
      <c r="AN83" s="11"/>
      <c r="AO83" s="11"/>
      <c r="AP83" s="11">
        <f t="shared" si="18"/>
        <v>13.23</v>
      </c>
      <c r="AQ83" s="54">
        <f t="shared" si="19"/>
        <v>0.422113529140622</v>
      </c>
    </row>
    <row r="84" spans="1:43">
      <c r="A84" s="4"/>
      <c r="B84" s="4">
        <v>2018</v>
      </c>
      <c r="C84" s="12"/>
      <c r="D84" s="12"/>
      <c r="E84" s="12"/>
      <c r="F84" s="11">
        <v>22.08</v>
      </c>
      <c r="G84" s="11"/>
      <c r="H84" s="11">
        <v>6.16</v>
      </c>
      <c r="I84" s="11"/>
      <c r="J84" s="11"/>
      <c r="K84" s="11">
        <v>13.68</v>
      </c>
      <c r="L84" s="11">
        <v>0.6</v>
      </c>
      <c r="M84" s="11"/>
      <c r="N84" s="11"/>
      <c r="O84" s="11">
        <f t="shared" si="15"/>
        <v>20.44</v>
      </c>
      <c r="P84" s="11"/>
      <c r="Q84" s="11"/>
      <c r="R84" s="11">
        <v>0.383641</v>
      </c>
      <c r="S84" s="11"/>
      <c r="T84" s="29"/>
      <c r="U84" s="29"/>
      <c r="V84" s="29">
        <v>14.79</v>
      </c>
      <c r="W84" s="29"/>
      <c r="X84" s="29"/>
      <c r="Y84" s="29">
        <f t="shared" si="16"/>
        <v>15.173641</v>
      </c>
      <c r="Z84" s="29"/>
      <c r="AA84" s="29"/>
      <c r="AB84" s="29"/>
      <c r="AC84" s="29"/>
      <c r="AD84" s="29"/>
      <c r="AE84" s="29"/>
      <c r="AF84" s="44"/>
      <c r="AG84" s="29">
        <f t="shared" si="17"/>
        <v>27.346359</v>
      </c>
      <c r="AH84" s="29">
        <v>7.38</v>
      </c>
      <c r="AI84" s="29">
        <v>1.16</v>
      </c>
      <c r="AJ84" s="11">
        <f t="shared" si="14"/>
        <v>8.54</v>
      </c>
      <c r="AK84" s="11"/>
      <c r="AL84" s="11"/>
      <c r="AM84" s="11"/>
      <c r="AN84" s="11"/>
      <c r="AO84" s="11"/>
      <c r="AP84" s="11">
        <f t="shared" si="18"/>
        <v>8.54</v>
      </c>
      <c r="AQ84" s="54">
        <f t="shared" si="19"/>
        <v>0.312290202874906</v>
      </c>
    </row>
    <row r="85" spans="1:43">
      <c r="A85" s="4"/>
      <c r="B85" s="9">
        <v>2017</v>
      </c>
      <c r="C85" s="12"/>
      <c r="D85" s="12"/>
      <c r="E85" s="12"/>
      <c r="F85" s="11">
        <v>17.3</v>
      </c>
      <c r="G85" s="11"/>
      <c r="H85" s="11">
        <v>1.67</v>
      </c>
      <c r="I85" s="11"/>
      <c r="J85" s="11"/>
      <c r="K85" s="11">
        <v>6.04</v>
      </c>
      <c r="L85" s="11">
        <v>1.1</v>
      </c>
      <c r="M85" s="11"/>
      <c r="N85" s="11"/>
      <c r="O85" s="11">
        <f t="shared" si="15"/>
        <v>8.81</v>
      </c>
      <c r="P85" s="11"/>
      <c r="Q85" s="11"/>
      <c r="R85" s="11"/>
      <c r="S85" s="11"/>
      <c r="T85" s="29"/>
      <c r="U85" s="29"/>
      <c r="V85" s="29">
        <v>13.95</v>
      </c>
      <c r="W85" s="29"/>
      <c r="X85" s="29"/>
      <c r="Y85" s="29">
        <f t="shared" si="16"/>
        <v>13.95</v>
      </c>
      <c r="Z85" s="29"/>
      <c r="AA85" s="29"/>
      <c r="AB85" s="29"/>
      <c r="AC85" s="29"/>
      <c r="AD85" s="29"/>
      <c r="AE85" s="29"/>
      <c r="AF85" s="44"/>
      <c r="AG85" s="29">
        <f t="shared" si="17"/>
        <v>12.16</v>
      </c>
      <c r="AH85" s="29">
        <v>5.99</v>
      </c>
      <c r="AI85" s="29">
        <v>0.394885</v>
      </c>
      <c r="AJ85" s="11">
        <f t="shared" si="14"/>
        <v>6.384885</v>
      </c>
      <c r="AK85" s="11"/>
      <c r="AL85" s="11"/>
      <c r="AM85" s="11"/>
      <c r="AN85" s="11"/>
      <c r="AO85" s="11"/>
      <c r="AP85" s="11">
        <f t="shared" si="18"/>
        <v>6.384885</v>
      </c>
      <c r="AQ85" s="54">
        <f t="shared" si="19"/>
        <v>0.525072779605263</v>
      </c>
    </row>
    <row r="86" spans="1:43">
      <c r="A86" s="4"/>
      <c r="B86" s="9">
        <v>2016</v>
      </c>
      <c r="C86" s="12"/>
      <c r="D86" s="12"/>
      <c r="E86" s="12"/>
      <c r="F86" s="11">
        <v>8.44</v>
      </c>
      <c r="G86" s="11"/>
      <c r="H86" s="11">
        <v>1.15</v>
      </c>
      <c r="I86" s="11"/>
      <c r="J86" s="11"/>
      <c r="K86" s="11">
        <v>4.23</v>
      </c>
      <c r="L86" s="11">
        <v>0.396</v>
      </c>
      <c r="M86" s="11"/>
      <c r="N86" s="11"/>
      <c r="O86" s="11">
        <f t="shared" si="15"/>
        <v>5.776</v>
      </c>
      <c r="P86" s="11"/>
      <c r="Q86" s="11"/>
      <c r="R86" s="11"/>
      <c r="S86" s="11"/>
      <c r="T86" s="29"/>
      <c r="U86" s="29"/>
      <c r="V86" s="29">
        <v>4.88</v>
      </c>
      <c r="W86" s="29"/>
      <c r="X86" s="29"/>
      <c r="Y86" s="29">
        <f t="shared" si="16"/>
        <v>4.88</v>
      </c>
      <c r="Z86" s="29"/>
      <c r="AA86" s="29"/>
      <c r="AB86" s="29"/>
      <c r="AC86" s="29"/>
      <c r="AD86" s="29"/>
      <c r="AE86" s="29"/>
      <c r="AF86" s="44"/>
      <c r="AG86" s="29">
        <f t="shared" si="17"/>
        <v>9.336</v>
      </c>
      <c r="AH86" s="29">
        <v>6.13</v>
      </c>
      <c r="AI86" s="29">
        <v>0.367139</v>
      </c>
      <c r="AJ86" s="11">
        <f t="shared" si="14"/>
        <v>6.497139</v>
      </c>
      <c r="AK86" s="11"/>
      <c r="AL86" s="11"/>
      <c r="AM86" s="11"/>
      <c r="AN86" s="11"/>
      <c r="AO86" s="11"/>
      <c r="AP86" s="11">
        <f t="shared" si="18"/>
        <v>6.497139</v>
      </c>
      <c r="AQ86" s="54">
        <f t="shared" si="19"/>
        <v>0.695923200514139</v>
      </c>
    </row>
    <row r="87" spans="1:43">
      <c r="A87" s="4"/>
      <c r="B87" s="4">
        <v>2015</v>
      </c>
      <c r="C87" s="12"/>
      <c r="D87" s="12"/>
      <c r="E87" s="12"/>
      <c r="F87" s="11">
        <v>3.74</v>
      </c>
      <c r="G87" s="11"/>
      <c r="H87" s="11">
        <v>0.7934</v>
      </c>
      <c r="I87" s="11"/>
      <c r="J87" s="11"/>
      <c r="K87" s="11">
        <v>3.03</v>
      </c>
      <c r="L87" s="11">
        <v>0.5</v>
      </c>
      <c r="M87" s="11"/>
      <c r="N87" s="11"/>
      <c r="O87" s="11">
        <f t="shared" si="15"/>
        <v>4.3234</v>
      </c>
      <c r="P87" s="11"/>
      <c r="Q87" s="11"/>
      <c r="R87" s="11">
        <v>0.3614</v>
      </c>
      <c r="S87" s="11"/>
      <c r="T87" s="29"/>
      <c r="U87" s="29"/>
      <c r="V87" s="29">
        <v>2.22</v>
      </c>
      <c r="W87" s="29"/>
      <c r="X87" s="29"/>
      <c r="Y87" s="29">
        <f t="shared" si="16"/>
        <v>2.5814</v>
      </c>
      <c r="Z87" s="29"/>
      <c r="AA87" s="29"/>
      <c r="AB87" s="29"/>
      <c r="AC87" s="29"/>
      <c r="AD87" s="29"/>
      <c r="AE87" s="29"/>
      <c r="AF87" s="44"/>
      <c r="AG87" s="29">
        <f t="shared" si="17"/>
        <v>5.482</v>
      </c>
      <c r="AH87" s="29">
        <v>1.81</v>
      </c>
      <c r="AI87" s="29">
        <v>0.260896</v>
      </c>
      <c r="AJ87" s="11">
        <f t="shared" si="14"/>
        <v>2.070896</v>
      </c>
      <c r="AK87" s="11"/>
      <c r="AL87" s="11"/>
      <c r="AM87" s="11"/>
      <c r="AN87" s="11"/>
      <c r="AO87" s="11"/>
      <c r="AP87" s="11">
        <f t="shared" si="18"/>
        <v>2.070896</v>
      </c>
      <c r="AQ87" s="54">
        <f t="shared" si="19"/>
        <v>0.377762860269975</v>
      </c>
    </row>
    <row r="88" spans="1:43">
      <c r="A88" s="4"/>
      <c r="B88" s="9">
        <v>2014</v>
      </c>
      <c r="C88" s="12"/>
      <c r="D88" s="12"/>
      <c r="E88" s="12"/>
      <c r="F88" s="11">
        <v>2.86</v>
      </c>
      <c r="G88" s="11"/>
      <c r="H88" s="11">
        <v>0.36</v>
      </c>
      <c r="I88" s="11"/>
      <c r="J88" s="11"/>
      <c r="K88" s="11">
        <v>0.69149</v>
      </c>
      <c r="L88" s="11">
        <v>0.2</v>
      </c>
      <c r="M88" s="11"/>
      <c r="N88" s="11"/>
      <c r="O88" s="11">
        <f t="shared" si="15"/>
        <v>1.25149</v>
      </c>
      <c r="P88" s="11"/>
      <c r="Q88" s="11"/>
      <c r="R88" s="11">
        <v>0.410396</v>
      </c>
      <c r="S88" s="11"/>
      <c r="T88" s="29"/>
      <c r="U88" s="29"/>
      <c r="V88" s="29">
        <v>3.45</v>
      </c>
      <c r="W88" s="29"/>
      <c r="X88" s="29"/>
      <c r="Y88" s="29">
        <f t="shared" si="16"/>
        <v>3.860396</v>
      </c>
      <c r="Z88" s="29"/>
      <c r="AA88" s="29"/>
      <c r="AB88" s="29"/>
      <c r="AC88" s="29"/>
      <c r="AD88" s="29"/>
      <c r="AE88" s="29"/>
      <c r="AF88" s="44"/>
      <c r="AG88" s="29">
        <f t="shared" si="17"/>
        <v>0.251094</v>
      </c>
      <c r="AH88" s="29">
        <v>0.7264</v>
      </c>
      <c r="AI88" s="29">
        <v>0.068143</v>
      </c>
      <c r="AJ88" s="11">
        <f t="shared" si="14"/>
        <v>0.794543</v>
      </c>
      <c r="AK88" s="11"/>
      <c r="AL88" s="11"/>
      <c r="AM88" s="11"/>
      <c r="AN88" s="11"/>
      <c r="AO88" s="11"/>
      <c r="AP88" s="11">
        <f t="shared" si="18"/>
        <v>0.794543</v>
      </c>
      <c r="AQ88" s="54">
        <f t="shared" si="19"/>
        <v>3.16432491417557</v>
      </c>
    </row>
    <row r="89" spans="1:43">
      <c r="A89" s="4"/>
      <c r="B89" s="4">
        <v>2013</v>
      </c>
      <c r="C89" s="12"/>
      <c r="D89" s="12"/>
      <c r="E89" s="12"/>
      <c r="F89" s="11">
        <v>1.72</v>
      </c>
      <c r="G89" s="11"/>
      <c r="H89" s="11">
        <v>0.4</v>
      </c>
      <c r="I89" s="11"/>
      <c r="J89" s="11"/>
      <c r="K89" s="11"/>
      <c r="L89" s="11">
        <v>0.37</v>
      </c>
      <c r="M89" s="11"/>
      <c r="N89" s="11"/>
      <c r="O89" s="11">
        <f t="shared" si="15"/>
        <v>0.77</v>
      </c>
      <c r="P89" s="11"/>
      <c r="Q89" s="11"/>
      <c r="R89" s="11">
        <v>0.470792</v>
      </c>
      <c r="S89" s="11"/>
      <c r="T89" s="29"/>
      <c r="U89" s="29"/>
      <c r="V89" s="29">
        <v>2.67</v>
      </c>
      <c r="W89" s="29"/>
      <c r="X89" s="29"/>
      <c r="Y89" s="29">
        <f t="shared" si="16"/>
        <v>3.140792</v>
      </c>
      <c r="Z89" s="29"/>
      <c r="AA89" s="29"/>
      <c r="AB89" s="29"/>
      <c r="AC89" s="29"/>
      <c r="AD89" s="29"/>
      <c r="AE89" s="29"/>
      <c r="AF89" s="44"/>
      <c r="AG89" s="29">
        <f t="shared" si="17"/>
        <v>-0.650792</v>
      </c>
      <c r="AH89" s="29">
        <v>0.853794</v>
      </c>
      <c r="AI89" s="29">
        <v>0.064462</v>
      </c>
      <c r="AJ89" s="11">
        <f t="shared" si="14"/>
        <v>0.918256</v>
      </c>
      <c r="AK89" s="11"/>
      <c r="AL89" s="11"/>
      <c r="AM89" s="11"/>
      <c r="AN89" s="11"/>
      <c r="AO89" s="11"/>
      <c r="AP89" s="11">
        <f t="shared" si="18"/>
        <v>0.918256</v>
      </c>
      <c r="AQ89" s="54">
        <f t="shared" si="19"/>
        <v>-1.4109823107844</v>
      </c>
    </row>
    <row r="90" spans="1:43">
      <c r="A90" s="4"/>
      <c r="B90" s="4">
        <v>2012</v>
      </c>
      <c r="C90" s="12"/>
      <c r="D90" s="12"/>
      <c r="E90" s="12"/>
      <c r="F90" s="11"/>
      <c r="G90" s="11"/>
      <c r="H90" s="11"/>
      <c r="I90" s="11"/>
      <c r="J90" s="11"/>
      <c r="K90" s="11"/>
      <c r="L90" s="11"/>
      <c r="M90" s="11"/>
      <c r="N90" s="11"/>
      <c r="O90" s="11"/>
      <c r="P90" s="11"/>
      <c r="Q90" s="11"/>
      <c r="R90" s="11"/>
      <c r="S90" s="11"/>
      <c r="T90" s="29"/>
      <c r="U90" s="29"/>
      <c r="V90" s="29"/>
      <c r="W90" s="29"/>
      <c r="X90" s="29"/>
      <c r="Y90" s="29"/>
      <c r="Z90" s="29"/>
      <c r="AA90" s="29"/>
      <c r="AB90" s="29"/>
      <c r="AC90" s="29"/>
      <c r="AD90" s="29"/>
      <c r="AE90" s="29"/>
      <c r="AF90" s="44"/>
      <c r="AG90" s="29"/>
      <c r="AH90" s="29"/>
      <c r="AI90" s="29"/>
      <c r="AJ90" s="11"/>
      <c r="AK90" s="11"/>
      <c r="AL90" s="11"/>
      <c r="AM90" s="11"/>
      <c r="AN90" s="11"/>
      <c r="AO90" s="11"/>
      <c r="AP90" s="11">
        <f t="shared" si="18"/>
        <v>0</v>
      </c>
      <c r="AQ90" s="54" t="e">
        <f t="shared" si="19"/>
        <v>#DIV/0!</v>
      </c>
    </row>
    <row r="91" spans="1:43">
      <c r="A91" s="4" t="s">
        <v>286</v>
      </c>
      <c r="B91" s="4">
        <v>2022</v>
      </c>
      <c r="C91" s="12"/>
      <c r="D91" s="12"/>
      <c r="E91" s="12"/>
      <c r="F91" s="11">
        <v>54.5</v>
      </c>
      <c r="G91" s="11"/>
      <c r="H91" s="11"/>
      <c r="I91" s="11"/>
      <c r="J91" s="11"/>
      <c r="K91" s="11"/>
      <c r="L91" s="11">
        <v>0.140164</v>
      </c>
      <c r="M91" s="11"/>
      <c r="N91" s="11"/>
      <c r="O91" s="11">
        <f t="shared" ref="O91:O101" si="20">SUM(G91:N91)</f>
        <v>0.140164</v>
      </c>
      <c r="P91" s="11"/>
      <c r="Q91" s="11"/>
      <c r="R91" s="11">
        <v>2.78</v>
      </c>
      <c r="S91" s="11"/>
      <c r="T91" s="29"/>
      <c r="U91" s="29">
        <v>0.053124</v>
      </c>
      <c r="V91" s="29">
        <v>31.77</v>
      </c>
      <c r="W91" s="29"/>
      <c r="X91" s="29"/>
      <c r="Y91" s="29">
        <f t="shared" ref="Y91:Y101" si="21">SUM(P91:X91)</f>
        <v>34.603124</v>
      </c>
      <c r="Z91" s="29"/>
      <c r="AA91" s="29"/>
      <c r="AB91" s="29"/>
      <c r="AC91" s="29"/>
      <c r="AD91" s="29"/>
      <c r="AE91" s="29"/>
      <c r="AF91" s="44"/>
      <c r="AG91" s="29">
        <f t="shared" ref="AG91:AG101" si="22">F91+O91-Y91</f>
        <v>20.03704</v>
      </c>
      <c r="AH91" s="29">
        <v>15.35</v>
      </c>
      <c r="AI91" s="29">
        <v>-0.604749</v>
      </c>
      <c r="AJ91" s="11">
        <f t="shared" ref="AJ91:AJ101" si="23">AH91+AI91</f>
        <v>14.745251</v>
      </c>
      <c r="AK91" s="11"/>
      <c r="AL91" s="11"/>
      <c r="AM91" s="11"/>
      <c r="AN91" s="11"/>
      <c r="AO91" s="11"/>
      <c r="AP91" s="11">
        <f t="shared" si="18"/>
        <v>14.745251</v>
      </c>
      <c r="AQ91" s="59">
        <f t="shared" si="19"/>
        <v>0.735899663822601</v>
      </c>
    </row>
    <row r="92" spans="1:43">
      <c r="A92" s="4"/>
      <c r="B92" s="4">
        <v>2021</v>
      </c>
      <c r="C92" s="12"/>
      <c r="D92" s="12"/>
      <c r="E92" s="12"/>
      <c r="F92" s="11">
        <v>49.35</v>
      </c>
      <c r="G92" s="11"/>
      <c r="H92" s="11"/>
      <c r="I92" s="11"/>
      <c r="J92" s="11"/>
      <c r="K92" s="11"/>
      <c r="L92" s="11"/>
      <c r="M92" s="11"/>
      <c r="N92" s="11"/>
      <c r="O92" s="11">
        <f t="shared" si="20"/>
        <v>0</v>
      </c>
      <c r="P92" s="11"/>
      <c r="Q92" s="11"/>
      <c r="R92" s="11">
        <v>4.83</v>
      </c>
      <c r="S92" s="11"/>
      <c r="T92" s="29"/>
      <c r="U92" s="29">
        <v>0.059501</v>
      </c>
      <c r="V92" s="29">
        <v>24.1</v>
      </c>
      <c r="W92" s="29"/>
      <c r="X92" s="29">
        <v>1.64</v>
      </c>
      <c r="Y92" s="29">
        <f t="shared" si="21"/>
        <v>30.629501</v>
      </c>
      <c r="Z92" s="29"/>
      <c r="AA92" s="29"/>
      <c r="AB92" s="29"/>
      <c r="AC92" s="29"/>
      <c r="AD92" s="29"/>
      <c r="AE92" s="29"/>
      <c r="AF92" s="44"/>
      <c r="AG92" s="29">
        <f t="shared" si="22"/>
        <v>18.720499</v>
      </c>
      <c r="AH92" s="29">
        <v>14.4</v>
      </c>
      <c r="AI92" s="29">
        <v>-0.459111</v>
      </c>
      <c r="AJ92" s="11">
        <f t="shared" si="23"/>
        <v>13.940889</v>
      </c>
      <c r="AK92" s="11"/>
      <c r="AL92" s="11"/>
      <c r="AM92" s="11"/>
      <c r="AN92" s="11"/>
      <c r="AO92" s="11"/>
      <c r="AP92" s="11">
        <f t="shared" si="18"/>
        <v>13.940889</v>
      </c>
      <c r="AQ92" s="59">
        <f t="shared" si="19"/>
        <v>0.744685758643506</v>
      </c>
    </row>
    <row r="93" spans="1:43">
      <c r="A93" s="4"/>
      <c r="B93" s="4">
        <v>2020</v>
      </c>
      <c r="C93" s="12"/>
      <c r="D93" s="12"/>
      <c r="E93" s="12"/>
      <c r="F93" s="11">
        <v>43.47</v>
      </c>
      <c r="G93" s="11"/>
      <c r="H93" s="11"/>
      <c r="I93" s="11"/>
      <c r="J93" s="11"/>
      <c r="K93" s="11"/>
      <c r="L93" s="11"/>
      <c r="M93" s="11"/>
      <c r="N93" s="11"/>
      <c r="O93" s="11">
        <f t="shared" si="20"/>
        <v>0</v>
      </c>
      <c r="P93" s="11"/>
      <c r="Q93" s="11"/>
      <c r="R93" s="11">
        <v>5.22</v>
      </c>
      <c r="S93" s="11"/>
      <c r="T93" s="29"/>
      <c r="U93" s="29">
        <v>0.050724</v>
      </c>
      <c r="V93" s="29">
        <v>20.24</v>
      </c>
      <c r="W93" s="29"/>
      <c r="X93" s="29">
        <v>1.13</v>
      </c>
      <c r="Y93" s="29">
        <f t="shared" si="21"/>
        <v>26.640724</v>
      </c>
      <c r="Z93" s="29"/>
      <c r="AA93" s="29"/>
      <c r="AB93" s="29"/>
      <c r="AC93" s="29"/>
      <c r="AD93" s="29"/>
      <c r="AE93" s="29"/>
      <c r="AF93" s="44"/>
      <c r="AG93" s="29">
        <f t="shared" si="22"/>
        <v>16.829276</v>
      </c>
      <c r="AH93" s="29">
        <v>13.84</v>
      </c>
      <c r="AI93" s="29">
        <v>-0.425993</v>
      </c>
      <c r="AJ93" s="11">
        <f t="shared" si="23"/>
        <v>13.414007</v>
      </c>
      <c r="AK93" s="11"/>
      <c r="AL93" s="11"/>
      <c r="AM93" s="11"/>
      <c r="AN93" s="11"/>
      <c r="AO93" s="11"/>
      <c r="AP93" s="11">
        <f t="shared" si="18"/>
        <v>13.414007</v>
      </c>
      <c r="AQ93" s="59">
        <f t="shared" si="19"/>
        <v>0.797063819025845</v>
      </c>
    </row>
    <row r="94" spans="1:43">
      <c r="A94" s="4"/>
      <c r="B94" s="4">
        <v>2019</v>
      </c>
      <c r="C94" s="12"/>
      <c r="D94" s="12"/>
      <c r="E94" s="12"/>
      <c r="F94" s="11">
        <v>39.06</v>
      </c>
      <c r="G94" s="11"/>
      <c r="H94" s="11"/>
      <c r="I94" s="11"/>
      <c r="J94" s="11"/>
      <c r="K94" s="11"/>
      <c r="L94" s="11"/>
      <c r="M94" s="11"/>
      <c r="N94" s="11"/>
      <c r="O94" s="11">
        <f t="shared" si="20"/>
        <v>0</v>
      </c>
      <c r="P94" s="11"/>
      <c r="Q94" s="11"/>
      <c r="R94" s="11">
        <v>2</v>
      </c>
      <c r="S94" s="11"/>
      <c r="T94" s="29"/>
      <c r="U94" s="29">
        <v>0.055052</v>
      </c>
      <c r="V94" s="29">
        <v>15.9</v>
      </c>
      <c r="W94" s="29"/>
      <c r="X94" s="29"/>
      <c r="Y94" s="29">
        <f t="shared" si="21"/>
        <v>17.955052</v>
      </c>
      <c r="Z94" s="29"/>
      <c r="AA94" s="29"/>
      <c r="AB94" s="29"/>
      <c r="AC94" s="29"/>
      <c r="AD94" s="29"/>
      <c r="AE94" s="29"/>
      <c r="AF94" s="44"/>
      <c r="AG94" s="29">
        <f t="shared" si="22"/>
        <v>21.104948</v>
      </c>
      <c r="AH94" s="29">
        <v>11.96</v>
      </c>
      <c r="AI94" s="29">
        <v>-0.336439</v>
      </c>
      <c r="AJ94" s="11">
        <f t="shared" si="23"/>
        <v>11.623561</v>
      </c>
      <c r="AK94" s="11"/>
      <c r="AL94" s="11"/>
      <c r="AM94" s="11"/>
      <c r="AN94" s="11"/>
      <c r="AO94" s="11"/>
      <c r="AP94" s="11">
        <f t="shared" si="18"/>
        <v>11.623561</v>
      </c>
      <c r="AQ94" s="59">
        <f t="shared" si="19"/>
        <v>0.55075051594536</v>
      </c>
    </row>
    <row r="95" spans="1:43">
      <c r="A95" s="4"/>
      <c r="B95" s="4">
        <v>2018</v>
      </c>
      <c r="C95" s="12"/>
      <c r="D95" s="12"/>
      <c r="E95" s="12"/>
      <c r="F95" s="11">
        <v>36.57</v>
      </c>
      <c r="G95" s="11"/>
      <c r="H95" s="11"/>
      <c r="I95" s="11"/>
      <c r="J95" s="11"/>
      <c r="K95" s="11"/>
      <c r="L95" s="11"/>
      <c r="M95" s="11"/>
      <c r="N95" s="11"/>
      <c r="O95" s="11">
        <f t="shared" si="20"/>
        <v>0</v>
      </c>
      <c r="P95" s="11"/>
      <c r="Q95" s="11"/>
      <c r="R95" s="11">
        <v>3.17</v>
      </c>
      <c r="S95" s="11"/>
      <c r="T95" s="29"/>
      <c r="U95" s="29">
        <v>0.164144</v>
      </c>
      <c r="V95" s="29">
        <v>10.1</v>
      </c>
      <c r="W95" s="29"/>
      <c r="X95" s="29"/>
      <c r="Y95" s="29">
        <f t="shared" si="21"/>
        <v>13.434144</v>
      </c>
      <c r="Z95" s="29"/>
      <c r="AA95" s="29"/>
      <c r="AB95" s="29"/>
      <c r="AC95" s="29"/>
      <c r="AD95" s="29"/>
      <c r="AE95" s="29"/>
      <c r="AF95" s="44"/>
      <c r="AG95" s="29">
        <f t="shared" si="22"/>
        <v>23.135856</v>
      </c>
      <c r="AH95" s="29">
        <v>11.65</v>
      </c>
      <c r="AI95" s="29">
        <v>-0.15335</v>
      </c>
      <c r="AJ95" s="11">
        <f t="shared" si="23"/>
        <v>11.49665</v>
      </c>
      <c r="AK95" s="11"/>
      <c r="AL95" s="11"/>
      <c r="AM95" s="11"/>
      <c r="AN95" s="11"/>
      <c r="AO95" s="11"/>
      <c r="AP95" s="11">
        <f t="shared" si="18"/>
        <v>11.49665</v>
      </c>
      <c r="AQ95" s="59">
        <f t="shared" si="19"/>
        <v>0.496919154406908</v>
      </c>
    </row>
    <row r="96" spans="1:43">
      <c r="A96" s="4"/>
      <c r="B96" s="4">
        <v>2017</v>
      </c>
      <c r="C96" s="12"/>
      <c r="D96" s="12"/>
      <c r="E96" s="12"/>
      <c r="F96" s="11">
        <v>32.11</v>
      </c>
      <c r="G96" s="11"/>
      <c r="H96" s="11"/>
      <c r="I96" s="11"/>
      <c r="J96" s="11"/>
      <c r="K96" s="11"/>
      <c r="L96" s="11"/>
      <c r="M96" s="11"/>
      <c r="N96" s="11"/>
      <c r="O96" s="11">
        <f t="shared" si="20"/>
        <v>0</v>
      </c>
      <c r="P96" s="11"/>
      <c r="Q96" s="11"/>
      <c r="R96" s="11">
        <v>0.775087</v>
      </c>
      <c r="S96" s="11"/>
      <c r="T96" s="29"/>
      <c r="U96" s="29">
        <v>0.201677</v>
      </c>
      <c r="V96" s="29">
        <v>14.3</v>
      </c>
      <c r="W96" s="29"/>
      <c r="X96" s="29"/>
      <c r="Y96" s="29">
        <f t="shared" si="21"/>
        <v>15.276764</v>
      </c>
      <c r="Z96" s="29"/>
      <c r="AA96" s="29"/>
      <c r="AB96" s="29"/>
      <c r="AC96" s="29"/>
      <c r="AD96" s="29"/>
      <c r="AE96" s="29"/>
      <c r="AF96" s="44"/>
      <c r="AG96" s="29">
        <f t="shared" si="22"/>
        <v>16.833236</v>
      </c>
      <c r="AH96" s="29">
        <v>9.63</v>
      </c>
      <c r="AI96" s="29">
        <v>-0.081596</v>
      </c>
      <c r="AJ96" s="11">
        <f t="shared" si="23"/>
        <v>9.548404</v>
      </c>
      <c r="AK96" s="11"/>
      <c r="AL96" s="11"/>
      <c r="AM96" s="11"/>
      <c r="AN96" s="11"/>
      <c r="AO96" s="11"/>
      <c r="AP96" s="11">
        <f t="shared" si="18"/>
        <v>9.548404</v>
      </c>
      <c r="AQ96" s="59">
        <f t="shared" si="19"/>
        <v>0.567235200647101</v>
      </c>
    </row>
    <row r="97" spans="1:43">
      <c r="A97" s="4"/>
      <c r="B97" s="4">
        <v>2016</v>
      </c>
      <c r="C97" s="12"/>
      <c r="D97" s="12"/>
      <c r="E97" s="12"/>
      <c r="F97" s="11">
        <v>27.47</v>
      </c>
      <c r="G97" s="11"/>
      <c r="H97" s="11"/>
      <c r="I97" s="11"/>
      <c r="J97" s="11"/>
      <c r="K97" s="11"/>
      <c r="L97" s="11"/>
      <c r="M97" s="11"/>
      <c r="N97" s="11"/>
      <c r="O97" s="11">
        <f t="shared" si="20"/>
        <v>0</v>
      </c>
      <c r="P97" s="11"/>
      <c r="Q97" s="11"/>
      <c r="R97" s="11">
        <v>2.47</v>
      </c>
      <c r="S97" s="11"/>
      <c r="T97" s="29"/>
      <c r="U97" s="29">
        <v>0.212782</v>
      </c>
      <c r="V97" s="29">
        <v>10.14</v>
      </c>
      <c r="W97" s="29"/>
      <c r="X97" s="29"/>
      <c r="Y97" s="29">
        <f t="shared" si="21"/>
        <v>12.822782</v>
      </c>
      <c r="Z97" s="29"/>
      <c r="AA97" s="29"/>
      <c r="AB97" s="29"/>
      <c r="AC97" s="29"/>
      <c r="AD97" s="29"/>
      <c r="AE97" s="29"/>
      <c r="AF97" s="44"/>
      <c r="AG97" s="29">
        <f t="shared" si="22"/>
        <v>14.647218</v>
      </c>
      <c r="AH97" s="29">
        <v>7.95</v>
      </c>
      <c r="AI97" s="29">
        <v>-0.088164</v>
      </c>
      <c r="AJ97" s="11">
        <f t="shared" si="23"/>
        <v>7.861836</v>
      </c>
      <c r="AK97" s="11"/>
      <c r="AL97" s="11"/>
      <c r="AM97" s="11"/>
      <c r="AN97" s="11"/>
      <c r="AO97" s="11"/>
      <c r="AP97" s="11">
        <f t="shared" si="18"/>
        <v>7.861836</v>
      </c>
      <c r="AQ97" s="59">
        <f t="shared" si="19"/>
        <v>0.536746022350456</v>
      </c>
    </row>
    <row r="98" spans="1:43">
      <c r="A98" s="4"/>
      <c r="B98" s="4">
        <v>2015</v>
      </c>
      <c r="C98" s="12"/>
      <c r="D98" s="12"/>
      <c r="E98" s="12"/>
      <c r="F98" s="11">
        <v>23.93</v>
      </c>
      <c r="G98" s="11"/>
      <c r="H98" s="11"/>
      <c r="I98" s="11"/>
      <c r="J98" s="11"/>
      <c r="K98" s="11"/>
      <c r="L98" s="11"/>
      <c r="M98" s="11"/>
      <c r="N98" s="11"/>
      <c r="O98" s="11">
        <f t="shared" si="20"/>
        <v>0</v>
      </c>
      <c r="P98" s="11"/>
      <c r="Q98" s="11"/>
      <c r="R98" s="11"/>
      <c r="S98" s="11"/>
      <c r="T98" s="29"/>
      <c r="U98" s="29">
        <v>0.223838</v>
      </c>
      <c r="V98" s="29">
        <v>7.41</v>
      </c>
      <c r="W98" s="29"/>
      <c r="X98" s="29"/>
      <c r="Y98" s="29">
        <f t="shared" si="21"/>
        <v>7.633838</v>
      </c>
      <c r="Z98" s="29"/>
      <c r="AA98" s="29"/>
      <c r="AB98" s="29"/>
      <c r="AC98" s="29"/>
      <c r="AD98" s="29"/>
      <c r="AE98" s="29"/>
      <c r="AF98" s="44"/>
      <c r="AG98" s="29">
        <f t="shared" si="22"/>
        <v>16.296162</v>
      </c>
      <c r="AH98" s="29">
        <v>5.78</v>
      </c>
      <c r="AI98" s="29">
        <v>-0.05442</v>
      </c>
      <c r="AJ98" s="11">
        <f t="shared" si="23"/>
        <v>5.72558</v>
      </c>
      <c r="AK98" s="11"/>
      <c r="AL98" s="11"/>
      <c r="AM98" s="11"/>
      <c r="AN98" s="11"/>
      <c r="AO98" s="11"/>
      <c r="AP98" s="11">
        <f t="shared" si="18"/>
        <v>5.72558</v>
      </c>
      <c r="AQ98" s="54">
        <f t="shared" si="19"/>
        <v>0.351345304495623</v>
      </c>
    </row>
    <row r="99" spans="1:43">
      <c r="A99" s="4"/>
      <c r="B99" s="4">
        <v>2014</v>
      </c>
      <c r="C99" s="12"/>
      <c r="D99" s="12"/>
      <c r="E99" s="12"/>
      <c r="F99" s="11">
        <v>21.17</v>
      </c>
      <c r="G99" s="11"/>
      <c r="H99" s="11"/>
      <c r="I99" s="11"/>
      <c r="J99" s="11"/>
      <c r="K99" s="11"/>
      <c r="L99" s="11"/>
      <c r="M99" s="11"/>
      <c r="N99" s="11"/>
      <c r="O99" s="11">
        <f t="shared" si="20"/>
        <v>0</v>
      </c>
      <c r="P99" s="11"/>
      <c r="Q99" s="11"/>
      <c r="R99" s="11"/>
      <c r="S99" s="11"/>
      <c r="T99" s="29"/>
      <c r="U99" s="29">
        <v>0.234992</v>
      </c>
      <c r="V99" s="29">
        <v>5.49</v>
      </c>
      <c r="W99" s="29"/>
      <c r="X99" s="29"/>
      <c r="Y99" s="29">
        <f t="shared" si="21"/>
        <v>5.724992</v>
      </c>
      <c r="Z99" s="29"/>
      <c r="AA99" s="29"/>
      <c r="AB99" s="29"/>
      <c r="AC99" s="29"/>
      <c r="AD99" s="29"/>
      <c r="AE99" s="29"/>
      <c r="AF99" s="44"/>
      <c r="AG99" s="29">
        <f t="shared" si="22"/>
        <v>15.445008</v>
      </c>
      <c r="AH99" s="29">
        <v>4.55</v>
      </c>
      <c r="AI99" s="29">
        <v>-0.074331</v>
      </c>
      <c r="AJ99" s="11">
        <f t="shared" si="23"/>
        <v>4.475669</v>
      </c>
      <c r="AK99" s="11"/>
      <c r="AL99" s="11"/>
      <c r="AM99" s="11"/>
      <c r="AN99" s="11"/>
      <c r="AO99" s="11"/>
      <c r="AP99" s="11">
        <f t="shared" si="18"/>
        <v>4.475669</v>
      </c>
      <c r="AQ99" s="54">
        <f t="shared" si="19"/>
        <v>0.289780944108284</v>
      </c>
    </row>
    <row r="100" spans="1:43">
      <c r="A100" s="4"/>
      <c r="B100" s="4">
        <v>2013</v>
      </c>
      <c r="C100" s="12"/>
      <c r="D100" s="12"/>
      <c r="E100" s="12"/>
      <c r="F100" s="11">
        <v>19.45</v>
      </c>
      <c r="G100" s="11"/>
      <c r="H100" s="11"/>
      <c r="I100" s="11"/>
      <c r="J100" s="11"/>
      <c r="K100" s="11"/>
      <c r="L100" s="11"/>
      <c r="M100" s="11"/>
      <c r="N100" s="11"/>
      <c r="O100" s="11">
        <f t="shared" si="20"/>
        <v>0</v>
      </c>
      <c r="P100" s="11"/>
      <c r="Q100" s="11"/>
      <c r="R100" s="11"/>
      <c r="S100" s="11"/>
      <c r="T100" s="29"/>
      <c r="U100" s="29">
        <v>0.244915</v>
      </c>
      <c r="V100" s="29">
        <v>6.49</v>
      </c>
      <c r="W100" s="29"/>
      <c r="X100" s="29"/>
      <c r="Y100" s="29">
        <f t="shared" si="21"/>
        <v>6.734915</v>
      </c>
      <c r="Z100" s="29"/>
      <c r="AA100" s="29"/>
      <c r="AB100" s="29"/>
      <c r="AC100" s="29"/>
      <c r="AD100" s="29"/>
      <c r="AE100" s="29"/>
      <c r="AF100" s="44"/>
      <c r="AG100" s="29">
        <f t="shared" si="22"/>
        <v>12.715085</v>
      </c>
      <c r="AH100" s="29">
        <v>3.8</v>
      </c>
      <c r="AI100" s="29">
        <v>-0.104395</v>
      </c>
      <c r="AJ100" s="11">
        <f t="shared" si="23"/>
        <v>3.695605</v>
      </c>
      <c r="AK100" s="11"/>
      <c r="AL100" s="11"/>
      <c r="AM100" s="11"/>
      <c r="AN100" s="11"/>
      <c r="AO100" s="11"/>
      <c r="AP100" s="11">
        <f t="shared" si="18"/>
        <v>3.695605</v>
      </c>
      <c r="AQ100" s="54">
        <f t="shared" si="19"/>
        <v>0.290647290206868</v>
      </c>
    </row>
    <row r="101" spans="1:43">
      <c r="A101" s="4"/>
      <c r="B101" s="4">
        <v>2012</v>
      </c>
      <c r="C101" s="12"/>
      <c r="D101" s="12"/>
      <c r="E101" s="12"/>
      <c r="F101" s="11">
        <v>17.72</v>
      </c>
      <c r="G101" s="11"/>
      <c r="H101" s="11"/>
      <c r="I101" s="11"/>
      <c r="J101" s="11"/>
      <c r="K101" s="11"/>
      <c r="L101" s="11">
        <v>0.200475</v>
      </c>
      <c r="M101" s="11"/>
      <c r="N101" s="11"/>
      <c r="O101" s="11">
        <f t="shared" si="20"/>
        <v>0.200475</v>
      </c>
      <c r="P101" s="11"/>
      <c r="Q101" s="11"/>
      <c r="R101" s="11"/>
      <c r="S101" s="11"/>
      <c r="T101" s="29"/>
      <c r="U101" s="29"/>
      <c r="V101" s="29">
        <v>6.6</v>
      </c>
      <c r="W101" s="29"/>
      <c r="X101" s="29"/>
      <c r="Y101" s="29">
        <f t="shared" si="21"/>
        <v>6.6</v>
      </c>
      <c r="Z101" s="29"/>
      <c r="AA101" s="29"/>
      <c r="AB101" s="29"/>
      <c r="AC101" s="29"/>
      <c r="AD101" s="29"/>
      <c r="AE101" s="29"/>
      <c r="AF101" s="44"/>
      <c r="AG101" s="29">
        <f t="shared" si="22"/>
        <v>11.320475</v>
      </c>
      <c r="AH101" s="29">
        <v>2.93</v>
      </c>
      <c r="AI101" s="29">
        <v>-0.058719</v>
      </c>
      <c r="AJ101" s="11">
        <f t="shared" si="23"/>
        <v>2.871281</v>
      </c>
      <c r="AK101" s="11"/>
      <c r="AL101" s="11"/>
      <c r="AM101" s="11"/>
      <c r="AN101" s="11"/>
      <c r="AO101" s="11"/>
      <c r="AP101" s="11">
        <f t="shared" si="18"/>
        <v>2.871281</v>
      </c>
      <c r="AQ101" s="54">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287</v>
      </c>
      <c r="B1" s="3" t="s">
        <v>288</v>
      </c>
      <c r="C1" s="3" t="s">
        <v>289</v>
      </c>
      <c r="D1" s="3" t="s">
        <v>290</v>
      </c>
      <c r="E1" s="3" t="s">
        <v>291</v>
      </c>
      <c r="F1" s="3" t="s">
        <v>292</v>
      </c>
      <c r="G1" s="3" t="s">
        <v>293</v>
      </c>
      <c r="H1" s="3" t="s">
        <v>291</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294</v>
      </c>
      <c r="B1" s="1" t="s">
        <v>295</v>
      </c>
      <c r="C1" s="1" t="s">
        <v>296</v>
      </c>
      <c r="D1" s="1" t="s">
        <v>297</v>
      </c>
      <c r="E1" s="1" t="s">
        <v>298</v>
      </c>
      <c r="F1" s="1" t="s">
        <v>299</v>
      </c>
      <c r="G1" t="s">
        <v>300</v>
      </c>
    </row>
    <row r="2" ht="101" spans="1:7">
      <c r="A2" s="1" t="s">
        <v>301</v>
      </c>
      <c r="B2" s="2" t="s">
        <v>302</v>
      </c>
      <c r="C2" s="2" t="s">
        <v>303</v>
      </c>
      <c r="D2" s="1" t="s">
        <v>304</v>
      </c>
      <c r="G2" t="s">
        <v>305</v>
      </c>
    </row>
    <row r="3" spans="7:7">
      <c r="G3" t="s">
        <v>306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2" workbookViewId="0">
      <selection activeCell="E4" sqref="E4"/>
    </sheetView>
  </sheetViews>
  <sheetFormatPr defaultColWidth="9.23076923076923" defaultRowHeight="16.8" outlineLevelCol="3"/>
  <cols>
    <col min="1" max="1" width="9.23076923076923" style="1"/>
    <col min="2" max="2" width="27.1538461538462" style="1" customWidth="1"/>
    <col min="3" max="3" width="45.4615384615385" customWidth="1"/>
    <col min="4" max="4" width="30.0769230769231" customWidth="1"/>
    <col min="5" max="5" width="60.3846153846154" customWidth="1"/>
  </cols>
  <sheetData>
    <row r="1" spans="1:3">
      <c r="A1" s="1" t="s">
        <v>1</v>
      </c>
      <c r="B1" s="1" t="s">
        <v>307</v>
      </c>
      <c r="C1" t="s">
        <v>308</v>
      </c>
    </row>
    <row r="2" spans="1:4">
      <c r="A2" s="1">
        <v>2023</v>
      </c>
      <c r="B2" s="1" t="s">
        <v>309</v>
      </c>
      <c r="C2" t="s">
        <v>310</v>
      </c>
      <c r="D2" t="s">
        <v>311</v>
      </c>
    </row>
    <row r="3" spans="1:4">
      <c r="A3" s="1">
        <v>2024</v>
      </c>
      <c r="B3" s="1" t="s">
        <v>312</v>
      </c>
      <c r="C3" t="s">
        <v>313</v>
      </c>
      <c r="D3" t="s">
        <v>314</v>
      </c>
    </row>
    <row r="4" spans="1:4">
      <c r="A4" s="1">
        <v>2025</v>
      </c>
      <c r="B4" s="1" t="s">
        <v>315</v>
      </c>
      <c r="C4" t="s">
        <v>316</v>
      </c>
      <c r="D4" t="s">
        <v>317</v>
      </c>
    </row>
    <row r="5" spans="1:4">
      <c r="A5" s="1">
        <v>2026</v>
      </c>
      <c r="B5" s="1" t="s">
        <v>318</v>
      </c>
      <c r="D5" t="s">
        <v>319</v>
      </c>
    </row>
    <row r="6" spans="1:2">
      <c r="A6" s="1">
        <v>2027</v>
      </c>
      <c r="B6" s="1" t="s">
        <v>320</v>
      </c>
    </row>
    <row r="7" spans="1:2">
      <c r="A7" s="1">
        <v>2028</v>
      </c>
      <c r="B7" s="1" t="s">
        <v>321</v>
      </c>
    </row>
    <row r="8" spans="1:2">
      <c r="A8" s="1">
        <v>2029</v>
      </c>
      <c r="B8" s="1" t="s">
        <v>322</v>
      </c>
    </row>
    <row r="9" spans="1:2">
      <c r="A9" s="1">
        <v>2030</v>
      </c>
      <c r="B9" s="1" t="s">
        <v>323</v>
      </c>
    </row>
    <row r="10" spans="1:2">
      <c r="A10" s="1">
        <v>2031</v>
      </c>
      <c r="B10" s="1" t="s">
        <v>324</v>
      </c>
    </row>
    <row r="11" spans="1:2">
      <c r="A11" s="1">
        <v>2032</v>
      </c>
      <c r="B11" s="1" t="s">
        <v>325</v>
      </c>
    </row>
    <row r="12" spans="1:2">
      <c r="A12" s="1">
        <v>2033</v>
      </c>
      <c r="B12" s="1" t="s">
        <v>326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资产表分析</vt:lpstr>
      <vt:lpstr>利润表分析</vt:lpstr>
      <vt:lpstr>利润分配情况</vt:lpstr>
      <vt:lpstr>收购情况</vt:lpstr>
      <vt:lpstr>经营政策和竞争优势分析</vt:lpstr>
      <vt:lpstr>Sheet2</vt: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2023-05-07T17:56:00Z</dcterms:created>
  <dcterms:modified xsi:type="dcterms:W3CDTF">2023-07-03T07:28:38Z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