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<sst xmlns="http://schemas.openxmlformats.org/spreadsheetml/2006/main" count="44">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</sst>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44" borderId="11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5" fillId="26" borderId="9" applyNumberFormat="0" applyAlignment="0" applyProtection="0">
      <alignment vertical="center"/>
    </xf>
    <xf numFmtId="0" fontId="21" fillId="30" borderId="1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1" ySplit="5" topLeftCell="AC6" activePane="bottomRight" state="frozen"/>
      <selection/>
      <selection pane="topRight"/>
      <selection pane="bottomLeft"/>
      <selection pane="bottomRight" activeCell="AF7" sqref="AF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(B6-VLOOKUP([1]交易计划及执行表!$A$6,[1]交易计划及执行表!$A$4:$AF10004,6,FALSE))/VLOOKUP([1]交易计划及执行表!$A$6,[1]交易计划及执行表!$A$4:$AF10004,6,FALSE)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AF6-VLOOKUP([1]交易计划及执行表!$A$6,[1]交易计划及执行表!$A$4:$AF10005,6,FALSE)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(B7-VLOOKUP([1]交易计划及执行表!$A$6,[1]交易计划及执行表!$A$4:$AF10005,6,FALSE))/VLOOKUP([1]交易计划及执行表!$A$6,[1]交易计划及执行表!$A$4:$AF10005,6,FALSE)</f>
        <v>0.0210495108212274</v>
      </c>
      <c r="L7" s="16">
        <f t="shared" ref="L7:L20" si="0">I7/(ROW()-5)</f>
        <v>0.5</v>
      </c>
      <c r="M7" s="22">
        <f t="shared" ref="M7:M20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20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IF(AND(G7-VLOOKUP([1]交易计划及执行表!$A$6,[1]交易计划及执行表!$A$4:$AF10004,6,FALSE)&gt;0,G7&gt;G6),G7,AF6)</f>
        <v>32.53</v>
      </c>
      <c r="AG7" s="2">
        <f>AF7-VLOOKUP([1]交易计划及执行表!$A$6,[1]交易计划及执行表!$A$4:$AF10006,6,FALSE)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20" si="4">(B8-B7)/B7</f>
        <v>0.0743321718931476</v>
      </c>
      <c r="K8" s="15">
        <f>(B8-VLOOKUP([1]交易计划及执行表!$A$6,[1]交易计划及执行表!$A$4:$AF10006,6,FALSE))/VLOOKUP([1]交易计划及执行表!$A$6,[1]交易计划及执行表!$A$4:$AF10006,6,FALSE)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IF(AND(G8-VLOOKUP([1]交易计划及执行表!$A$6,[1]交易计划及执行表!$A$4:$AF10005,6,FALSE)&gt;0,G8&gt;G7),G8,AF7)</f>
        <v>32.53</v>
      </c>
      <c r="AG8" s="2">
        <f>AF8-VLOOKUP([1]交易计划及执行表!$A$6,[1]交易计划及执行表!$A$4:$AF10007,6,FALSE)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(B9-VLOOKUP([1]交易计划及执行表!$A$6,[1]交易计划及执行表!$A$4:$AF10007,6,FALSE))/VLOOKUP([1]交易计划及执行表!$A$6,[1]交易计划及执行表!$A$4:$AF10007,6,FALSE)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IF(AND(G9-VLOOKUP([1]交易计划及执行表!$A$6,[1]交易计划及执行表!$A$4:$AF10006,6,FALSE)&gt;0,G9&gt;G8),G9,AF8)</f>
        <v>32.53</v>
      </c>
      <c r="AG9" s="2">
        <f>AF9-VLOOKUP([1]交易计划及执行表!$A$6,[1]交易计划及执行表!$A$4:$AF10008,6,FALSE)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>(B10-B9)/B9</f>
        <v>-0.0187449062754688</v>
      </c>
      <c r="K10" s="15">
        <f>(B10-VLOOKUP([1]交易计划及执行表!$A$6,[1]交易计划及执行表!$A$4:$AF10008,6,FALSE))/VLOOKUP([1]交易计划及执行表!$A$6,[1]交易计划及执行表!$A$4:$AF10008,6,FALSE)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IF(AND(G10-VLOOKUP([1]交易计划及执行表!$A$6,[1]交易计划及执行表!$A$4:$AF10007,6,FALSE)&gt;0,G10&gt;G9),G10,AF9)</f>
        <v>32.53</v>
      </c>
      <c r="AG10" s="2">
        <f>AF10-VLOOKUP([1]交易计划及执行表!$A$6,[1]交易计划及执行表!$A$4:$AF10009,6,FALSE)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(B11-VLOOKUP([1]交易计划及执行表!$A$6,[1]交易计划及执行表!$A$4:$AF10009,6,FALSE))/VLOOKUP([1]交易计划及执行表!$A$6,[1]交易计划及执行表!$A$4:$AF10009,6,FALSE)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IF(AND(G11-VLOOKUP([1]交易计划及执行表!$A$6,[1]交易计划及执行表!$A$4:$AF10008,6,FALSE)&gt;0,G11&gt;G10),G11,AF10)</f>
        <v>33.78</v>
      </c>
      <c r="AG11" s="2">
        <f>AF11-VLOOKUP([1]交易计划及执行表!$A$6,[1]交易计划及执行表!$A$4:$AF10010,6,FALSE)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(B12-VLOOKUP([1]交易计划及执行表!$A$6,[1]交易计划及执行表!$A$4:$AF10010,6,FALSE))/VLOOKUP([1]交易计划及执行表!$A$6,[1]交易计划及执行表!$A$4:$AF10010,6,FALSE)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IF(AND(G12-VLOOKUP([1]交易计划及执行表!$A$6,[1]交易计划及执行表!$A$4:$AF10009,6,FALSE)&gt;0,G12&gt;G11),G12,AF11)</f>
        <v>33.91</v>
      </c>
      <c r="AG12" s="2">
        <f>AF12-VLOOKUP([1]交易计划及执行表!$A$6,[1]交易计划及执行表!$A$4:$AF10011,6,FALSE)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(B13-VLOOKUP([1]交易计划及执行表!$A$6,[1]交易计划及执行表!$A$4:$AF10011,6,FALSE))/VLOOKUP([1]交易计划及执行表!$A$6,[1]交易计划及执行表!$A$4:$AF10011,6,FALSE)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IF(AND(G13-VLOOKUP([1]交易计划及执行表!$A$6,[1]交易计划及执行表!$A$4:$AF10010,6,FALSE)&gt;0,G13&gt;G12),G13,AF12)</f>
        <v>34.02</v>
      </c>
      <c r="AG13" s="2">
        <f>AF13-VLOOKUP([1]交易计划及执行表!$A$6,[1]交易计划及执行表!$A$4:$AF10012,6,FALSE)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(B14-VLOOKUP([1]交易计划及执行表!$A$6,[1]交易计划及执行表!$A$4:$AF10012,6,FALSE))/VLOOKUP([1]交易计划及执行表!$A$6,[1]交易计划及执行表!$A$4:$AF10012,6,FALSE)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 t="shared" ref="N14:N20" si="5"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IF(AND(G14-VLOOKUP([1]交易计划及执行表!$A$6,[1]交易计划及执行表!$A$4:$AF10011,6,FALSE)&gt;0,G14&gt;G13),G14,AF13)</f>
        <v>34.13</v>
      </c>
      <c r="AG14" s="2">
        <f>AF14-VLOOKUP([1]交易计划及执行表!$A$6,[1]交易计划及执行表!$A$4:$AF10013,6,FALSE)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(B15-VLOOKUP([1]交易计划及执行表!$A$6,[1]交易计划及执行表!$A$4:$AF10013,6,FALSE))/VLOOKUP([1]交易计划及执行表!$A$6,[1]交易计划及执行表!$A$4:$AF10013,6,FALSE)</f>
        <v>0.0999110584049809</v>
      </c>
      <c r="L15" s="16">
        <f t="shared" si="0"/>
        <v>0.5</v>
      </c>
      <c r="M15" s="22">
        <f t="shared" si="1"/>
        <v>-1</v>
      </c>
      <c r="N15" s="9" t="str">
        <f t="shared" si="5"/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IF(AND(G15-VLOOKUP([1]交易计划及执行表!$A$6,[1]交易计划及执行表!$A$4:$AF10012,6,FALSE)&gt;0,G15&gt;G14),G15,AF14)</f>
        <v>34.25</v>
      </c>
      <c r="AG15" s="2">
        <f>AF15-VLOOKUP([1]交易计划及执行表!$A$6,[1]交易计划及执行表!$A$4:$AF10014,6,FALSE)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(B16-VLOOKUP([1]交易计划及执行表!$A$6,[1]交易计划及执行表!$A$4:$AF10014,6,FALSE))/VLOOKUP([1]交易计划及执行表!$A$6,[1]交易计划及执行表!$A$4:$AF10014,6,FALSE)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 t="shared" si="5"/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IF(AND(G16-VLOOKUP([1]交易计划及执行表!$A$6,[1]交易计划及执行表!$A$4:$AF10013,6,FALSE)&gt;0,G16&gt;G15),G16,AF15)</f>
        <v>34.41</v>
      </c>
      <c r="AG16" s="2">
        <f>AF16-VLOOKUP([1]交易计划及执行表!$A$6,[1]交易计划及执行表!$A$4:$AF10015,6,FALSE)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 t="shared" si="4"/>
        <v>0.000521512385919062</v>
      </c>
      <c r="K17" s="15">
        <f>(B17-VLOOKUP([1]交易计划及执行表!$A$6,[1]交易计划及执行表!$A$4:$AF10015,6,FALSE))/VLOOKUP([1]交易计划及执行表!$A$6,[1]交易计划及执行表!$A$4:$AF10015,6,FALSE)</f>
        <v>0.137563000296472</v>
      </c>
      <c r="L17" s="16">
        <f t="shared" si="0"/>
        <v>0.583333333333333</v>
      </c>
      <c r="M17" s="9">
        <f t="shared" si="1"/>
        <v>1</v>
      </c>
      <c r="N17" s="9" t="str">
        <f t="shared" si="5"/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 t="shared" si="3"/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IF(AND(G17-VLOOKUP([1]交易计划及执行表!$A$6,[1]交易计划及执行表!$A$4:$AF10014,6,FALSE)&gt;0,G17&gt;G16),G17,AF16)</f>
        <v>34.57</v>
      </c>
      <c r="AG17" s="2">
        <f>AF17-VLOOKUP([1]交易计划及执行表!$A$6,[1]交易计划及执行表!$A$4:$AF10016,6,FALSE)</f>
        <v>0.840000000000003</v>
      </c>
    </row>
    <row r="18" ht="18" spans="1:33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7">
        <v>36.03</v>
      </c>
      <c r="G18" s="7">
        <v>34.7</v>
      </c>
      <c r="H18" s="7">
        <v>42.56</v>
      </c>
      <c r="I18" s="9">
        <v>7</v>
      </c>
      <c r="J18" s="17">
        <f t="shared" si="4"/>
        <v>-0.00990357049778461</v>
      </c>
      <c r="K18" s="15">
        <f>(B18-VLOOKUP([1]交易计划及执行表!$A$6,[1]交易计划及执行表!$A$4:$AF10016,6,FALSE))/VLOOKUP([1]交易计划及执行表!$A$6,[1]交易计划及执行表!$A$4:$AF10016,6,FALSE)</f>
        <v>0.126297064927365</v>
      </c>
      <c r="L18" s="16">
        <f t="shared" si="0"/>
        <v>0.538461538461538</v>
      </c>
      <c r="M18" s="22">
        <f t="shared" si="1"/>
        <v>-1</v>
      </c>
      <c r="N18" s="9" t="str">
        <f t="shared" si="5"/>
        <v>否</v>
      </c>
      <c r="O18" s="9" t="s">
        <v>42</v>
      </c>
      <c r="P18" s="9" t="s">
        <v>42</v>
      </c>
      <c r="Q18" s="9" t="s">
        <v>42</v>
      </c>
      <c r="R18" s="23" t="s">
        <v>42</v>
      </c>
      <c r="S18" s="26" t="str">
        <f t="shared" si="3"/>
        <v>是</v>
      </c>
      <c r="T18" s="26" t="str">
        <f>IF(SUM($M$6:$M18)&gt;0,"是","否")</f>
        <v>是</v>
      </c>
      <c r="U18" s="33" t="s">
        <v>43</v>
      </c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>
        <f>IF(AND(G18-VLOOKUP([1]交易计划及执行表!$A$6,[1]交易计划及执行表!$A$4:$AF10015,6,FALSE)&gt;0,G18&gt;G17),G18,AF17)</f>
        <v>34.7</v>
      </c>
      <c r="AG18" s="2">
        <f>AF18-VLOOKUP([1]交易计划及执行表!$A$6,[1]交易计划及执行表!$A$4:$AF10017,6,FALSE)</f>
        <v>0.970000000000006</v>
      </c>
    </row>
    <row r="19" ht="18" spans="1:33">
      <c r="A19" s="8">
        <v>44540</v>
      </c>
      <c r="B19" s="7">
        <v>37.21</v>
      </c>
      <c r="C19" s="7">
        <v>37.65</v>
      </c>
      <c r="D19" s="7">
        <v>38.4</v>
      </c>
      <c r="E19" s="7">
        <v>36.65</v>
      </c>
      <c r="F19" s="7">
        <v>36.14</v>
      </c>
      <c r="G19" s="7">
        <v>34.8</v>
      </c>
      <c r="H19" s="7">
        <v>42.14</v>
      </c>
      <c r="I19" s="9">
        <v>7</v>
      </c>
      <c r="J19" s="17">
        <f t="shared" si="4"/>
        <v>-0.0205317188733878</v>
      </c>
      <c r="K19" s="15">
        <f>(B19-VLOOKUP([1]交易计划及执行表!$A$6,[1]交易计划及执行表!$A$4:$AF10017,6,FALSE))/VLOOKUP([1]交易计划及执行表!$A$6,[1]交易计划及执行表!$A$4:$AF10017,6,FALSE)</f>
        <v>0.103172250222354</v>
      </c>
      <c r="L19" s="16">
        <f t="shared" si="0"/>
        <v>0.5</v>
      </c>
      <c r="M19" s="22">
        <f t="shared" si="1"/>
        <v>-1</v>
      </c>
      <c r="N19" s="9" t="str">
        <f t="shared" si="5"/>
        <v>否</v>
      </c>
      <c r="O19" s="9" t="s">
        <v>42</v>
      </c>
      <c r="P19" s="9" t="s">
        <v>42</v>
      </c>
      <c r="Q19" s="9" t="s">
        <v>42</v>
      </c>
      <c r="R19" s="9" t="s">
        <v>42</v>
      </c>
      <c r="S19" s="23" t="str">
        <f t="shared" si="3"/>
        <v>否</v>
      </c>
      <c r="T19" s="23" t="str">
        <f>IF(SUM($M$6:$M19)&gt;0,"是","否")</f>
        <v>否</v>
      </c>
      <c r="U19" s="33" t="s">
        <v>43</v>
      </c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>
        <f>IF(AND(G19-VLOOKUP([1]交易计划及执行表!$A$6,[1]交易计划及执行表!$A$4:$AF10016,6,FALSE)&gt;0,G19&gt;G18),G19,AF18)</f>
        <v>34.8</v>
      </c>
      <c r="AG19" s="2">
        <f>AF19-VLOOKUP([1]交易计划及执行表!$A$6,[1]交易计划及执行表!$A$4:$AF10018,6,FALSE)</f>
        <v>1.07</v>
      </c>
    </row>
    <row r="20" ht="18" spans="1:33">
      <c r="A20" s="8">
        <v>44543</v>
      </c>
      <c r="B20" s="7">
        <v>37.6</v>
      </c>
      <c r="C20" s="7">
        <v>37.3</v>
      </c>
      <c r="D20" s="7">
        <v>38.66</v>
      </c>
      <c r="E20" s="7">
        <v>37.23</v>
      </c>
      <c r="F20" s="7">
        <v>36.28</v>
      </c>
      <c r="G20" s="7">
        <v>34.91</v>
      </c>
      <c r="H20" s="7">
        <v>41.27</v>
      </c>
      <c r="I20" s="9">
        <v>8</v>
      </c>
      <c r="J20" s="17">
        <f t="shared" si="4"/>
        <v>0.0104810534802473</v>
      </c>
      <c r="K20" s="15">
        <f>(B20-VLOOKUP([1]交易计划及执行表!$A$6,[1]交易计划及执行表!$A$4:$AF10018,6,FALSE))/VLOOKUP([1]交易计划及执行表!$A$6,[1]交易计划及执行表!$A$4:$AF10018,6,FALSE)</f>
        <v>0.114734657574859</v>
      </c>
      <c r="L20" s="16">
        <f t="shared" si="0"/>
        <v>0.533333333333333</v>
      </c>
      <c r="M20" s="22">
        <f t="shared" si="1"/>
        <v>-1</v>
      </c>
      <c r="N20" s="9" t="str">
        <f t="shared" si="5"/>
        <v>否</v>
      </c>
      <c r="O20" s="9" t="s">
        <v>42</v>
      </c>
      <c r="P20" s="9" t="s">
        <v>42</v>
      </c>
      <c r="Q20" s="9" t="s">
        <v>42</v>
      </c>
      <c r="R20" s="9" t="s">
        <v>42</v>
      </c>
      <c r="S20" s="26" t="str">
        <f t="shared" si="3"/>
        <v>是</v>
      </c>
      <c r="T20" s="23" t="str">
        <f>IF(SUM($M$6:$M20)&gt;0,"是","否")</f>
        <v>否</v>
      </c>
      <c r="U20" s="33" t="s">
        <v>43</v>
      </c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>
        <f>IF(AND(G20-VLOOKUP([1]交易计划及执行表!$A$6,[1]交易计划及执行表!$A$4:$AF10017,6,FALSE)&gt;0,G20&gt;G19),G20,AF19)</f>
        <v>34.91</v>
      </c>
      <c r="AG20" s="2">
        <f>AF20-VLOOKUP([1]交易计划及执行表!$A$6,[1]交易计划及执行表!$A$4:$AF10019,6,FALSE)</f>
        <v>1.18</v>
      </c>
    </row>
    <row r="21" ht="18" spans="1:33">
      <c r="A21" s="8">
        <v>44544</v>
      </c>
      <c r="B21" s="7">
        <v>37.65</v>
      </c>
      <c r="C21" s="7">
        <v>37.7</v>
      </c>
      <c r="D21" s="7">
        <v>38.44</v>
      </c>
      <c r="E21" s="7">
        <v>37.35</v>
      </c>
      <c r="F21" s="7">
        <v>36.41</v>
      </c>
      <c r="G21" s="7">
        <v>35.02</v>
      </c>
      <c r="H21" s="7">
        <v>41.71</v>
      </c>
      <c r="I21" s="9">
        <v>9</v>
      </c>
      <c r="J21" s="17">
        <f>(B21-B20)/B20</f>
        <v>0.00132978723404248</v>
      </c>
      <c r="K21" s="15">
        <f>(B21-VLOOKUP([1]交易计划及执行表!$A$6,[1]交易计划及执行表!$A$4:$AF10019,6,FALSE))/VLOOKUP([1]交易计划及执行表!$A$6,[1]交易计划及执行表!$A$4:$AF10019,6,FALSE)</f>
        <v>0.116217017491847</v>
      </c>
      <c r="L21" s="16">
        <f>I21/(ROW()-5)</f>
        <v>0.5625</v>
      </c>
      <c r="M21" s="22">
        <f>IF(B21&gt;(D21-(D21-E21)/2),1,-1)</f>
        <v>-1</v>
      </c>
      <c r="N21" s="9" t="str">
        <f>IF(B21&lt;F21,"是","否")</f>
        <v>否</v>
      </c>
      <c r="O21" s="9" t="s">
        <v>42</v>
      </c>
      <c r="P21" s="9" t="s">
        <v>42</v>
      </c>
      <c r="Q21" s="9" t="s">
        <v>42</v>
      </c>
      <c r="R21" s="26" t="s">
        <v>43</v>
      </c>
      <c r="S21" s="26" t="str">
        <f>IF(I21/(ROW()-5)&gt;0.5,"是","否")</f>
        <v>是</v>
      </c>
      <c r="T21" s="23" t="str">
        <f>IF(SUM($M$6:$M21)&gt;0,"是","否")</f>
        <v>否</v>
      </c>
      <c r="U21" s="33" t="s">
        <v>43</v>
      </c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>
        <f>IF(AND(G21-VLOOKUP([1]交易计划及执行表!$A$6,[1]交易计划及执行表!$A$4:$AF10018,6,FALSE)&gt;0,G21&gt;G20),G21,AF20)</f>
        <v>35.02</v>
      </c>
      <c r="AG21" s="2">
        <f>AF21-VLOOKUP([1]交易计划及执行表!$A$6,[1]交易计划及执行表!$A$4:$AF10020,6,FALSE)</f>
        <v>1.29000000000001</v>
      </c>
    </row>
    <row r="22" spans="1:32">
      <c r="A22" s="8">
        <v>44545</v>
      </c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>
        <v>44546</v>
      </c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2021-12-11T22:54:00Z</dcterms:created>
  <dcterms:modified xsi:type="dcterms:W3CDTF">2021-12-14T17:56:25Z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