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240" windowHeight="13360"/>
  </bookViews>
  <sheets>
    <sheet name="资产表分析" sheetId="1" r:id="rId1"/>
    <sheet name="利润表分析" sheetId="4" r:id="rId2"/>
    <sheet name="利润分配情况" sheetId="5" r:id="rId3"/>
    <sheet name="收购情况" sheetId="9" r:id="rId4"/>
    <sheet name="经营政策和竞争优势分析" sheetId="3" r:id="rId5"/>
    <sheet name="企业管理" sheetId="10" r:id="rId6"/>
    <sheet name="经营模式" sheetId="7" r:id="rId7"/>
    <sheet name="财务报告的完整性和公平性" sheetId="11" r:id="rId8"/>
    <sheet name="董事会成员构成及持股情况" sheetId="12" r:id="rId9"/>
    <sheet name="经营原则" sheetId="13" r:id="rId10"/>
  </sheets>
  <calcPr calcId="144525"/>
</workbook>
</file>

<file path=xl/sharedStrings.xml><?xml version="1.0" encoding="utf-8"?>
<sst xmlns="http://schemas.openxmlformats.org/spreadsheetml/2006/main" count="514" uniqueCount="342">
  <si>
    <t>名称</t>
  </si>
  <si>
    <t>时间</t>
  </si>
  <si>
    <t>总市值</t>
  </si>
  <si>
    <t>市值日期</t>
  </si>
  <si>
    <t>股份数</t>
  </si>
  <si>
    <t>每股账面价值</t>
  </si>
  <si>
    <t>每股账面价值变化百分比</t>
  </si>
  <si>
    <t>股份数日期</t>
  </si>
  <si>
    <t>总资产</t>
  </si>
  <si>
    <t>所有者权益</t>
  </si>
  <si>
    <t>所有者权益
增长率</t>
  </si>
  <si>
    <t>归母所有者权益</t>
  </si>
  <si>
    <t>归母占比</t>
  </si>
  <si>
    <t>有息债务</t>
  </si>
  <si>
    <t>有息债务总计</t>
  </si>
  <si>
    <t>非经营性资产</t>
  </si>
  <si>
    <t>非经营性资产总计</t>
  </si>
  <si>
    <t>投资性资产</t>
  </si>
  <si>
    <t>总现金</t>
  </si>
  <si>
    <t>经营性资产</t>
  </si>
  <si>
    <t>固定资产</t>
  </si>
  <si>
    <t>在建工程合计</t>
  </si>
  <si>
    <t>无形资产</t>
  </si>
  <si>
    <t>长期资产占经营资产比重</t>
  </si>
  <si>
    <t>固定资产的增长率</t>
  </si>
  <si>
    <t>在建工程的增长率</t>
  </si>
  <si>
    <t>应收票据</t>
  </si>
  <si>
    <t>应收账款</t>
  </si>
  <si>
    <t>预付款项</t>
  </si>
  <si>
    <t>应收利息</t>
  </si>
  <si>
    <t>应收股利</t>
  </si>
  <si>
    <t>其他应收款</t>
  </si>
  <si>
    <t>存货</t>
  </si>
  <si>
    <t>其他流动资产</t>
  </si>
  <si>
    <t>其他权益工具</t>
  </si>
  <si>
    <t>资本公积</t>
  </si>
  <si>
    <t>库存股</t>
  </si>
  <si>
    <t>其他综合收益</t>
  </si>
  <si>
    <t>专项储备</t>
  </si>
  <si>
    <t>盈余公积</t>
  </si>
  <si>
    <t>一般风险准备</t>
  </si>
  <si>
    <t>未分配利润</t>
  </si>
  <si>
    <t>投入总资本</t>
  </si>
  <si>
    <t>投入总资本百分比</t>
  </si>
  <si>
    <t>净经营性业务投入资本</t>
  </si>
  <si>
    <t>经营性业务投入资本百分比</t>
  </si>
  <si>
    <t>营业利润</t>
  </si>
  <si>
    <t>利润总额</t>
  </si>
  <si>
    <t>利息支出</t>
  </si>
  <si>
    <t>财务费用</t>
  </si>
  <si>
    <t>息税前利润</t>
  </si>
  <si>
    <t>经营性息税前利润</t>
  </si>
  <si>
    <t>总投入资本回报率</t>
  </si>
  <si>
    <t>净经营性投入资本回报率</t>
  </si>
  <si>
    <t>汇兑损益
(损失为正，收益为负)</t>
  </si>
  <si>
    <t>债务筹资手续费</t>
  </si>
  <si>
    <t>其他债务筹资费用(融资租赁的财务费用)</t>
  </si>
  <si>
    <t>融资费用</t>
  </si>
  <si>
    <t>有息债务资本总平均金额</t>
  </si>
  <si>
    <t>债务资本成本率</t>
  </si>
  <si>
    <t>资本成本率1
(使用总资产作为总资本)</t>
  </si>
  <si>
    <t>资本成本率1
(使用出资资本作为总资本)</t>
  </si>
  <si>
    <t>现象</t>
  </si>
  <si>
    <t>固定资产变化情况</t>
  </si>
  <si>
    <t>流动资产变化情况
(原材料、人工、存货、应收账款、应付账款)</t>
  </si>
  <si>
    <t>保险合同准备金</t>
  </si>
  <si>
    <t>长期借款</t>
  </si>
  <si>
    <t>应付债券</t>
  </si>
  <si>
    <t>租赁负债</t>
  </si>
  <si>
    <t>长期应付款合计</t>
  </si>
  <si>
    <t>短期借款</t>
  </si>
  <si>
    <t>吸收存款及同业存放</t>
  </si>
  <si>
    <t>以公允价值计量且变动计入当期损益的金融负债</t>
  </si>
  <si>
    <t>衍生金融负债</t>
  </si>
  <si>
    <t>发放贷款和垫款</t>
  </si>
  <si>
    <t>债权投资</t>
  </si>
  <si>
    <t>可供出售金融资产</t>
  </si>
  <si>
    <t>持有至到期投资</t>
  </si>
  <si>
    <t>长期股权投资</t>
  </si>
  <si>
    <t>其他权益工具投资</t>
  </si>
  <si>
    <t>其他非流动金融资产</t>
  </si>
  <si>
    <t>投资性房地产</t>
  </si>
  <si>
    <t>货币资金</t>
  </si>
  <si>
    <t>拆出资金</t>
  </si>
  <si>
    <t>交易性金融资产</t>
  </si>
  <si>
    <t>海天味业</t>
  </si>
  <si>
    <t xml:space="preserve"> 2022.12.30 </t>
  </si>
  <si>
    <t xml:space="preserve">0.市值从2019年的最高点6500亿跌到目前的2710亿，跌去了42%左右。
1.货币资金增长放缓；
2.2020年起债务大量增加，其中主要为短期债务（短期借款和租赁负债），短期借款占100%到60%;2022年开始出现大量长期债务，主要为长期借款。
3.2020年起股份大量增加；
4.2021年盈余公积大量增加；
5.2020年资本公积大量减少;
6.2019年开始交易性金融资产和其他非流动性金融资产大量增加;
7.2021年在建工程大量增加;
8.2018年货币资金大量增加：增加多达40亿。
9.年初价值4千万的库存股消失、其他综合收益减少4千多万、未分配利润增加近20亿。
</t>
  </si>
  <si>
    <t xml:space="preserve"> 2021.12.31 </t>
  </si>
  <si>
    <t xml:space="preserve"> 2020.12.31 </t>
  </si>
  <si>
    <t xml:space="preserve"> 2019.12.31 </t>
  </si>
  <si>
    <t xml:space="preserve"> 2018.12.28 </t>
  </si>
  <si>
    <t xml:space="preserve"> 2017.12.29 </t>
  </si>
  <si>
    <t xml:space="preserve"> 2016.12.30 </t>
  </si>
  <si>
    <t xml:space="preserve"> 2015.12.31 </t>
  </si>
  <si>
    <t xml:space="preserve"> 2014.12.31 </t>
  </si>
  <si>
    <t>中炬高新</t>
  </si>
  <si>
    <t xml:space="preserve"> 2013.12.31 </t>
  </si>
  <si>
    <t>千禾味业</t>
  </si>
  <si>
    <t>天味食品</t>
  </si>
  <si>
    <t>恒顺醋业</t>
  </si>
  <si>
    <t>加加食品</t>
  </si>
  <si>
    <t>李锦记</t>
  </si>
  <si>
    <t>龟万甲</t>
  </si>
  <si>
    <t>雀巢</t>
  </si>
  <si>
    <t>贵州茅台</t>
  </si>
  <si>
    <t>水井坊</t>
  </si>
  <si>
    <t>营业收入</t>
  </si>
  <si>
    <t>营业成本总额</t>
  </si>
  <si>
    <t>营业成本</t>
  </si>
  <si>
    <t>税金及附加</t>
  </si>
  <si>
    <t>销售费用</t>
  </si>
  <si>
    <t>管理费用</t>
  </si>
  <si>
    <t>研发费用</t>
  </si>
  <si>
    <t>所得税费用</t>
  </si>
  <si>
    <t>净利润</t>
  </si>
  <si>
    <t>资产折旧和长期费用摊销</t>
  </si>
  <si>
    <t>维持竞争力需要的资本化支出</t>
  </si>
  <si>
    <t>净利润+资产折旧及摊销</t>
  </si>
  <si>
    <t>自由现金流</t>
  </si>
  <si>
    <t>来年自由现金流预测</t>
  </si>
  <si>
    <t>占营业收入的百分比</t>
  </si>
  <si>
    <t>固定资产余额</t>
  </si>
  <si>
    <t>资产每年的增加金额</t>
  </si>
  <si>
    <t>资产每年的增加百分比</t>
  </si>
  <si>
    <t>固定资产折旧计提</t>
  </si>
  <si>
    <t>固定资产折旧计提每年增加金额</t>
  </si>
  <si>
    <t>固定资产折旧计提每年增加百分比</t>
  </si>
  <si>
    <t>固定资产账面价值</t>
  </si>
  <si>
    <t>固定资产账面价值的增加额</t>
  </si>
  <si>
    <t>固定资产账面价值的增加百分比</t>
  </si>
  <si>
    <t>在建工程</t>
  </si>
  <si>
    <t>成本构成</t>
  </si>
  <si>
    <t>成本每年增加金额</t>
  </si>
  <si>
    <t>成本每年增加百分比</t>
  </si>
  <si>
    <t>所得税占利润总额百分比</t>
  </si>
  <si>
    <t>所得税占利营业利润百分比</t>
  </si>
  <si>
    <t>酱油</t>
  </si>
  <si>
    <t>蚝油</t>
  </si>
  <si>
    <t>调味酱</t>
  </si>
  <si>
    <t>净利润增长率</t>
  </si>
  <si>
    <t>固定资产折旧、油气资产折耗、生产性生物资产
折旧</t>
  </si>
  <si>
    <t>投资性房地产折旧</t>
  </si>
  <si>
    <t>使用权资产摊销</t>
  </si>
  <si>
    <t>无形资产摊销</t>
  </si>
  <si>
    <t>长期待摊费用摊销</t>
  </si>
  <si>
    <t>总计</t>
  </si>
  <si>
    <t>购建固定资产、无形资产和其他
 长期资产支付的现金</t>
  </si>
  <si>
    <t>投资支付的现金</t>
  </si>
  <si>
    <t>取得子公司及其他营业单位 
 支付的现金净额</t>
  </si>
  <si>
    <t>支付其他与投资活动有关的现金</t>
  </si>
  <si>
    <t>总成本</t>
  </si>
  <si>
    <t>机器设备</t>
  </si>
  <si>
    <t>房屋及建筑物</t>
  </si>
  <si>
    <t>办公设备及其他
设备</t>
  </si>
  <si>
    <t>运输工具</t>
  </si>
  <si>
    <t>办公设备及其他
办公设备及其他
设备</t>
  </si>
  <si>
    <t>高明海天 150 万吨项目</t>
  </si>
  <si>
    <t>高明海天小调味品工程</t>
  </si>
  <si>
    <t>高明海天酱油扩建工程</t>
  </si>
  <si>
    <t>高明海天酱油扩建二期工程</t>
  </si>
  <si>
    <t>高明海天调味品产能扩
建项目</t>
  </si>
  <si>
    <t>高明海天调味品产能扩
建二期项目</t>
  </si>
  <si>
    <t>高明海天调味品产能扩
建三期项目</t>
  </si>
  <si>
    <t>高明海天调味品产能扩
建四期项目</t>
  </si>
  <si>
    <t>高明海天酿造设备升级工程</t>
  </si>
  <si>
    <t>高明海天酱油工艺优化工程</t>
  </si>
  <si>
    <t>高明海天行政大楼项目</t>
  </si>
  <si>
    <t>高明数字化智能化升级
改造项目</t>
  </si>
  <si>
    <t>醋业集团调味品产能扩
建项目</t>
  </si>
  <si>
    <t>江苏海天调味品产能扩建项目</t>
  </si>
  <si>
    <t>醋业集团研发综合楼项
目</t>
  </si>
  <si>
    <t>江苏海天研发综合楼项目</t>
  </si>
  <si>
    <t>江苏海天包装车间工程</t>
  </si>
  <si>
    <t>江苏海天前处理车间工程</t>
  </si>
  <si>
    <t>醋业集团调味品产能配
套项目</t>
  </si>
  <si>
    <t>江苏海天调味品产能配套项目</t>
  </si>
  <si>
    <t>江苏海天设备配套工程</t>
  </si>
  <si>
    <t>南宁海天一期基建产能
配套项目</t>
  </si>
  <si>
    <t>江苏海天立体仓
工程</t>
  </si>
  <si>
    <t>其他工程</t>
  </si>
  <si>
    <t>直接材料</t>
  </si>
  <si>
    <t>制造费用</t>
  </si>
  <si>
    <t>直接人工</t>
  </si>
  <si>
    <t>运费</t>
  </si>
  <si>
    <t>营业收入占总收入比</t>
  </si>
  <si>
    <t>营业成本占总成本比</t>
  </si>
  <si>
    <t>营业成本占营业收入本比</t>
  </si>
  <si>
    <t>销量(吨)</t>
  </si>
  <si>
    <t>生产量(吨)</t>
  </si>
  <si>
    <t>单位价格</t>
  </si>
  <si>
    <t>价格同比增长</t>
  </si>
  <si>
    <t>销量同比增长</t>
  </si>
  <si>
    <t>库存</t>
  </si>
  <si>
    <t>库存占销量的比值</t>
  </si>
  <si>
    <t>销量</t>
  </si>
  <si>
    <t>销量同比</t>
  </si>
  <si>
    <t>股份数量</t>
  </si>
  <si>
    <t>股东数量</t>
  </si>
  <si>
    <t>分红</t>
  </si>
  <si>
    <t>每 10
股送红
股数
（股）</t>
  </si>
  <si>
    <t>每 10 股
派息数
(元)（含
税）</t>
  </si>
  <si>
    <t>每 10 股
转增数
（股）</t>
  </si>
  <si>
    <t>现金分红的数
额（含税）</t>
  </si>
  <si>
    <t>分红年度合并报
表中归属于上市
公司股东的净利
润</t>
  </si>
  <si>
    <t>占合并报表中归属
于上市公司股东的
净利润的比率(%)</t>
  </si>
  <si>
    <t>收购时间</t>
  </si>
  <si>
    <t>收购公司</t>
  </si>
  <si>
    <t>收购价格(不含税价)</t>
  </si>
  <si>
    <t>商誉</t>
  </si>
  <si>
    <t>预计毛利率</t>
  </si>
  <si>
    <t>预计营业收入增长率</t>
  </si>
  <si>
    <t>预计税前折现率</t>
  </si>
  <si>
    <t>开平广中皇食品有限公司(现金)</t>
  </si>
  <si>
    <t>-</t>
  </si>
  <si>
    <t>开平广中皇食品有限公司</t>
  </si>
  <si>
    <t>27% - 30%</t>
  </si>
  <si>
    <t>70% - 22%</t>
  </si>
  <si>
    <t>丹和醋业70%股权(现金)</t>
  </si>
  <si>
    <t>35% - 40%</t>
  </si>
  <si>
    <t>25% -
20%</t>
  </si>
  <si>
    <t>31%-34%</t>
  </si>
  <si>
    <t>20%-28%</t>
  </si>
  <si>
    <t>丹和醋业70%股权</t>
  </si>
  <si>
    <t>38%-40%</t>
  </si>
  <si>
    <t>18%-23%</t>
  </si>
  <si>
    <t>31% - 40%</t>
  </si>
  <si>
    <t>32% - 33%</t>
  </si>
  <si>
    <t>合肥燕庄食用油</t>
  </si>
  <si>
    <t>29% - 30%</t>
  </si>
  <si>
    <t>16% - 17%</t>
  </si>
  <si>
    <t>31%-37%</t>
  </si>
  <si>
    <t>5%-26%</t>
  </si>
  <si>
    <t>15%-27%</t>
  </si>
  <si>
    <t>12%-15%</t>
  </si>
  <si>
    <t>14% - 59%</t>
  </si>
  <si>
    <t>合肥燕庄食用油67%股权</t>
  </si>
  <si>
    <t>12% - 20%</t>
  </si>
  <si>
    <t>8% - 24%</t>
  </si>
  <si>
    <t>浙江久晟67%股权</t>
  </si>
  <si>
    <t>39% - 41%</t>
  </si>
  <si>
    <t>18% - 24%</t>
  </si>
  <si>
    <t>红河宏斌67%股权（现金)</t>
  </si>
  <si>
    <t>19% - 23%</t>
  </si>
  <si>
    <t>15% - 48%</t>
  </si>
  <si>
    <t>所处行业情况</t>
  </si>
  <si>
    <t>竞争优势</t>
  </si>
  <si>
    <t>业务模式</t>
  </si>
  <si>
    <t>关键词</t>
  </si>
  <si>
    <t>详情</t>
  </si>
  <si>
    <t>1.管理：业务多元化、人才战略
2.渠道：
3.技术：
4.品牌：
5.规模：南宁布局生产基地、数字智能建设、绿色低碳。
6.企业文化：</t>
  </si>
  <si>
    <t>（一）卓越的企业管理能力。 
提质、降本、增效，是公司不变的运营管理方针，这也需要公司具备卓越的管理能力。海天
打造智能工厂，用信息化、数字化、智能化贯穿产品的整个生产过程，并打造全面质量管理体系，
确保全程可追溯；同时，智能制造的链条进一步向产业链上下游延伸，通过不断总结产、供、销
一体化协同的管理经验，持续优化订单计划模式，公司建成了良好的柔性生产及敏捷响应体系。
数智化建设长期驱动着企业内部的管理变革，也持续为公司带来产品品质的提升，生产效率的提
高，成本占用的降低，以及客户体验的提质。
近年来，公司持续推进经营模式创新及配套机制建设，深化自主经营机制落地做实，激发组
织活力，推进业务大步向前；不断总结复盘新业务发展，建立新业务赋能机制，集中资源加速战
略性新业务的发展，降低发展风险。同时，公司继续系统化推进人才强基工作，通过人才赋能、
人才激励、职业发展等多角度，强化人才建设，为业务发展提供人才蓄能。
（二）销售渠道多元发展。 
坚持提高网络密实度、坚持打造有质量的终端。经过多年积累，公司的销售网络基本实现省
市县三级全覆盖，并在此基础上进一步下沉镇村网络建设，渠道优势进一步显现。发达的渠道网
络显著提高了海天产品在终端的能见度，让消费者在批发农贸、超市卖场、便利零售小店等各类
消费场景中可见、可选、可买。同时，公司积极顺应消费习惯及消费场景的变化，加快电商平台
建设，加速探索营销新模式，通过线上线下业务的融合发展，将产品资源优势进一步放大，迅速
拉近与消费者的距离。近年来，公司亦着眼于食品工业、头部餐饮等新兴渠道的机会挖掘，加快
营销体系布局，推进销售渠道的多元发展。
（三）技术优势加大领先。 
海天坚持“技术领先、产品领先”的战略定位，以打造各细分品类产品的前瞻性核心技术为
建设锚点，设立多学科、专业化研发体系。在更高定位的科技研发战略引领下，公司建立了以菌
种选育技术、酿造技术、发酵技术为核心的科研体系，保证了产品的独有风味，推进品质的持续
升级，加快产品的推陈出新，始终领跑于行业。目前，公司产品种类多样，为消费者提供一站式
厨房用料的全方位服务，并获评酱油、蚝油、酱料的多品类行业第一品牌，深受消费者的喜爱。
（四）品牌形象深入人心。 
海天产品凭借过硬的品质和多样的选择，在消费者心中建立了良好的品牌形象，成为调味品
行业名副其实的国民品牌。报告期内，公司持续推进品牌发展战略，品牌影响力进一步提升。在
凯度消费者指数《2022 年品牌足迹》中国市场报告中，海天位列中国消费者十大首选品牌榜单第
4 位。在中国品牌力指数 2022C-BPI 榜单中，海天蝉联酱油（连续 12 年）、酱料（连续 3 年）、
蚝油（连续 3 年）行业第一品牌。
（五）企业可持续发展的战略布局。 
公司坚持稳健发展，坚持实现企业的高质量发展。近年来，公司在佛山、宿迁、南宁等地加 快基地建设，基本完成了对全国生产基地的布局，并以数智化工厂的建设方针，持续提升产业化水平，以产业化促进效率提升和规模的再扩大。适度超前的产能布局，以及科学先进的智能化水平，将海天领先于其他企业发展而挣得先机，也是海天提升企业竞争力的核心优势之一。同时，公司在经营过程中深化上下游产业链布局，着眼于未来发展中可能存在的风险，自主解决企业发展中的卡脖子问题，为海天走远路、走稳路打好基础。公司历来注重绿色低碳经济，从产品定位到包装改良，从原材料到生产设备，绿色低碳经济将在海天内部运营中作为核心要素，确保企业的可持续发展。
（六）有竞争力的企业文化让企业基业长青。 
海天的企业文化是促进公司稳健发展的软实力。公司坚持“以人为本”管理理念，着力打造
公平公正的考核机制、简单高效的工作氛围、温暖有爱的福利体系，多管齐下激发能打仗、打胜
仗的海天奋斗精神，提升团队张力与战斗力。同时，公司倡导“三心”文化，重视员工的思想教
育及引导，每一位员工都要有“良心、爱心、责任心”，提高员工自我驱动力，追求更高层次的
价值产出。通过打造符合公司价值主张的文化体系，协调互促着企业与员工的同频发展，提高组
织的活力及凝聚力，支持企业发展</t>
  </si>
  <si>
    <t>根据销售预测情况，集中采购大豆、小麦、白糖等原料，进行加工，产出酱油，然后利用营销网络进行销售。</t>
  </si>
  <si>
    <t>1.管理：多元化。
2.渠道：
3.技术：
4.品牌：
5.规模：高明酱油、酱增加30万；宿迁蚝油和醋增加20万。产能利用率95%。</t>
  </si>
  <si>
    <t>（一）卓越的企业管理能力
多年来公司对管理精益求精的追求，使精细化的管理水平成为了公司的核心竞争力之一，海
天利用大数据、互联网和内部的企业管理系统，做到从一颗黄豆进入厂到产品出厂，使每一瓶海
天产品后面都有一个大数据，全程利用设备和信息化技术进行跟进和分析，确保产品全程可追溯。
同时，对调味品公司管理中最难的供应链管理环节，公司通过多年的管理经验累积，打通了订单、
库存、计划、交付、生产、品质、物流等全供应链环节，实现数据互联互通与协同，落实“产线
自动化、生产数字化、运营智能化”，进而实现调味品行业上下游产业链协作高效性与可靠性。
近年来，公司创新经营模式，持续推进各经营体的自主经营，打开业务发展新局面，通过改革组
织架构，改革薪酬体系，加快业务快速裂变，推动从单一业务向多元业务的转变，降低业务发展
风险；推动业务板块从服务企业内部部门到参与社会竞争的转变，加快推动团队市场化竞争意识。
（二）持续精耕的销售渠道
公司通过多年的精耕，以建立了全方位、立体式的销售网络覆盖。网络覆盖全国 31 个省级行
政区域，320 多个地级市，2000 多个县份市场，产品遍布全国各大连锁超市、各级批发农贸市场、
城乡便利店、零售店，并出口全球 80 多个国家和地区。报告期还深化与 O2O 平台合作，加强了对
社区团购、时达到家平台、各大平台电商的管理、服务、合作。在 B2C、B2B、新零售等各个版块
都建立了良好的合作关系，海天也在持续、积极探索营销新模式，加快电商平台建设，以不断满
足新技术时代下不断变革的消费习惯及消费趋势，持续巩固海天在网络和用户上的竞争优势。公
司持续推动营销在网络、产品、团队方面加快转型，通过加大营销人力改革、释放营销团队活力、
稳定了经销商的经营、完善了经销商的产品结构等落实渠道管理措施，实现市场高质量发展，为
进一步的市场拓展和品类的发展奠定了坚实的基础。
（三）“全面、全程、全员”的质量保障体系和领先的技术优势
公司致力于为消费者提供安全、健康、美味、放心的优质产品，本公司建立了“全面、全程、
全员”的质量保障体系，率先实现了从原料进厂到终端销售的涉及食品安全和质量监控的关键点
的监测、分析、控制和预防，保障了产品安全、品质稳定，公司每一条生产线都有一套先进的在
线检测系统，对每道生产工序都制定了详细的生产操作规程，同时对每个过程产品建立了严格的
质量控制标准，在生产过程中大量地通过智能化、数据化、自动化、信息化等大数据方法控制整
个生产过程，确保产品品质。
公司的酱油、酱等多个品类的产品都是通过传统的天然发酵技术酿造生产的，海天所掌握的
核心酿造技术成为了公司核心竞争优势，为了保持产品的独有的风味，公司始终坚持传统的生产
工艺，坚持天然阳光晒制，将传统工艺技术与现代科技相结合，用科技来保障产品的食品安全、
口感美味、质量稳定。公司积极利用技术革新保质降本，通过向上向下双向的技术延展，提高原
材料的利用率，进一步提升生产工艺水平所带来的经济价值，在产品研发方面，不仅坚持核心产
品品质不断升级，因此，在海天产品体系中即不乏金标生抽、草菇老抽这样畅销 60 多年的产品，
经久不衰，依然保持着增长活力。蚝油、味极鲜、黄豆酱也都成为了家喻户晓的口碑产品，同时
在新产品研发方面，每年都会有新的增长点，招牌拌饭酱、香菇酱、料酒也都成长迅速。满足了
消费者对新口味的追求，保持了企业发展的后劲。
（四）高美誉度的品牌优势。
公司凭借自身强大的品牌、产品、渠道、科研实力，树立了健康、安全、诚信、专业的品
牌形象，并获得了市场和消费者的广泛认可，报告期内，公司持续推进品牌发展战略，品牌影响
力进一步提升，凯度消费者指数《2021 年亚洲品牌足迹报告》发布，海天味业以 6.2 亿消费者触
及数、79.4%的渗透率，入选中国消费者十大首选品牌榜单。市场占有率持续提升，公司在 2021
中国品牌力指数（C-BPI）榜单中再次斩获众多高质量荣誉，勇夺酱油、蚝油、酱料、食醋“四冠”。
在中国调味品快消市场持续保持领头羊位置。
（五）企业可持续发展的战略布局。
报告期内，公司继续做好企业持续发展的战略布局，产品结构、产能规划、组织架构、人
力资源等多方面进行改革创新，全方位的提升企业的竞争优势，推动公司业务的稳步发展。报告
期内酱油、蚝油、发酵酱、料酒等多个品类的市场规模处于领先甚至绝对领先的领导位置，为保
障公司“三五”及未来生产销售的发展，公司进入全国化产能布局新阶段，高明，宿迁等原有生
产基地，继续稳定增产，高明基地酱油，酱等产品年产能增加 30 万吨；宿迁基地蚝油，醋等产品
年产能增加 20 万吨，公司多基地产能布局速度加快，全国多个生产基地已启动设计、施工，新生
产基地产能将在 2022 年开始逐步释放，为了市场的稳定发展提供保障，公司整体产能利用率依然
保持在 95%以上水平。始终领先一步的产能配套，为市场的稳定发展提供了产能保障。
（六）公平公正，正气廉洁的企业文化。
企业文化是公司的软实力，公司非常重视企业文化建设，倡导“三心”文化，每一位员工都
要有“良心、爱心、责任心”，以至善之心，酿造调味精品，公司努力建设公平公正的工作氛围，
给每个员工提供施展才华的平台，公司主张正气、廉洁的企业文化，因此高度重视团队的廉洁自
律，要求各级管理人员要以身作则、廉洁自律，对舞弊问题保持“零容忍”的高压态势。把企业
文化建设纳入党建工作的规划中，用党的先进思想抓实员工队伍思想建设，发挥党组织的政治核
心、政治引领作用，一直以来都是海天的文化特色，独有企业文化，已成为促进公司发展的软实
力。报告期内，公司面临了一定经营压力，越是在企业面临困难的时候，越是要杜绝团队心安理
得的思想，因此公司通过各种措施提高员工的紧迫感，不放松要求，敬畏目标，比意志、比毅力，
努力缩小差距，强化从严治军，树团队正气</t>
  </si>
  <si>
    <t>1.管理：
2.渠道：31个省、320多个地级市、2000多个县。出口到80多个国家。
3.技术：
4.品牌：
5.企业文化：</t>
  </si>
  <si>
    <t>（一）卓越的企业管理能力
多年来公司对管理精益求精的追求，使精细化的管理水平成为了公司的核心竞争力之一，海
天利用大数据、互联网和内部的企业管理系统，做到从一颗黄豆进入厂到产品出厂，使每一瓶海
天产品后面都有一个大数据，全程利用设备和信息化技术进行跟进和分析，确保产品全程可追溯。
同时，对调味品公司管理中最难的供应链管理环节，公司通过多年的管理经验累积，不断地通过
优化订单计划模式和挖潜产能等措施，全面推进实现生产和销售均衡，提高内部资源和外部资源
充分整合产生的效率竞争力，实现供应端、生产端、销售端的良性互动发展。近年来，公司创新
经营模式，持续推进各经营体的自主经营，打开业务发展新局面，通过改革组织架构，改革薪酬
体系，加快业务快速裂变，推动从单一业务向多元业务的转变，降低业务发展风险；推动业务板
块从服务企业内部部门到参与社会竞争的转变，加快推动团队市场化竞争意识。
（二）持续精耕的销售渠道
公司通过多年的精耕，以建立了全方位、立体式的销售网络覆盖。网络覆盖全国 31 个省级行
政区域，320 多个地级市，2000 多个县份市场，产品遍布全国各大连锁超市、各级批发农贸市场、
城乡便利店、零售店，并出口全球 80 多个国家和地区。线上，在 B2C、B2B、新零售等各个版块
都建立了良好的合作关系，海天也在持续、积极探索营销新模式，加快电商平台建设，以不断满
足新技术时代下不断变革的消费习惯及消费趋势，持续巩固海天在网络和用户上的竞争优势。公
司持续推动营销在网络、产品、团队方面加快转型，通过加大营销人力改革、释放营销团队活力、
稳定了经销商的经营、完善了经销商的产品结构等落实渠道管理措施，实现市场高质量发展，为
进一步的市场拓展和品类的发展奠定了坚实的基础。
（三）“全面、全程、全员”的质量保障体系和领先的技术优势
公司致力于为消费者提供安全、健康、美味、放心的优质产品，本公司建立了“全面、全程、
全员”的质量保障体系，率先实现了从原料进厂到终端销售的涉及食品安全和质量监控的关键点
的监测、分析、控制和预防，保障了产品安全、品质稳定，公司每一条生产线都有一套先进的在
线检测系统，对每道生产工序都制定了详细的生产操作规程，同时对每个过程产品建立了严格的
质量控制标准，在生产过程中大量地通过智能化、数据化、自动化、信息化等大数据方法控制整
个生产过程，确保产品品质。
公司的酱油、酱等多个品类的产品都是通过传统的天然发酵技术酿造生产的，海天所掌握的
核心酿造技术成为了公司核心竞争优势，为了保持产品的独有的风味，公司始终坚持传统的生产
工艺，坚持天然阳光晒制，将传统工艺技术与现代科技相结合，确保春夏秋冬，每个批次的产品
风味一致，用科技来保障产品的食品安全、口感美味、质量稳定。因此，在海天产品体系中即不
乏金标生抽、草菇老抽这样畅销 60 多年的产品，经久不衰，依然保持着增长活力。也不乏味极鲜、
黄豆酱等后起之秀，来满足消费者对新口味的追求，保持了发展的后劲。通过多年的深耕和研发，
海天蚝油以其独特的技术优势和风味，深受消费者的喜爱，逐步成为了消费者厨房中的必备调味
品。使蚝油品类保持了稳定的增长态势。
（四）高美誉度的品牌优势。
公司凭借自身强大的品牌、产品、渠道、科研实力，树立了健康、安全、诚信、专业的品牌
形象，并获得了市场和消费者的广泛认可，报告期内，公司持续推进品牌发展战略，品牌影响力
进一步提升，2018 年，Kantar 发布的《2018 年全球品牌足迹报告》中国榜单，海天味业以 5.2
亿消费者，73.3%的渗透率，位列中国快速消费品品牌第 4 位，是榜单前 10 名中唯一的调味品企
业，在中国调味品快消市场持续保持领头羊位置。2019 年，海天品牌荣登中国品牌强国盛典榜样
100 品牌榜单，品牌价值 212.94 亿元。在凯度消费者指数 2019 亚洲品牌足迹报告中，海天味业
荣登中国快速消费品品牌第 4 位。2020 年，品牌评级权威机构 Chnbrand 发布的第十届中国品牌
力指数（C-BPI）品牌排名和分析报告中，海天在调味品行业领域勇夺“四冠”，分别获得
2020C-BPI 酱油、蚝油、酱料、食醋行业第一品牌。
（五）企业可持续发展的战略布局。
报告期内，公司继续做好企业持续发展的战略布局，产品结构、产能规划、组织架构、人力
资源等多方面进行改革创新，全方位的提升企业的竞争优势，推动公司业务的稳步发展。报告期
内酱油、蚝油、发酵酱等多个品类的市场规模处于领先甚至绝对领先的领导位置，有效提供了企
业后继发展的基础和降低了发展风险；同时公司继续加大生产基地的产能改造，在未来公司“三
五”计划中多地生产基地将陆续开工，可依据销售实际情况，再次释放超过 100 万吨以上调味品
生产能力，江苏工厂运行产能持续加大，始终领先一步的产能配套，为市场的稳定发展提供了产
能保障。
（六）公平公正，正气廉洁的企业文化。
公司倡导“三心”文化，每一位员工都要有“良心、爱心、责任心”，以至善之心，酿造调
味精品，公司努力建设公平公正的工作氛围，给每个员工提供施展才华的平台，公司主张正气、
廉洁的企业文化，因此高度重视团队的廉洁自律，要求各级管理人员要以身作则、廉洁自律，对
舞弊问题保持“零容忍”的高压态势。把企业文化建设纳入党建工作的规划中，用党的先进思想
抓实员工队伍思想建设，发挥党组织的政治核心、政治引领作用，一直以来都是海天的文化特色，
独有企业文化，已成为促进公司发展的软实力</t>
  </si>
  <si>
    <t>1.管理：供应链
2.渠道：
3.技术：
4.品牌：
5.规模：</t>
  </si>
  <si>
    <t>（一） 卓越的企业管理能力
多年来公司对管理精益求精的追求，使精细化的管理水平成为了公司的核心竞争力之一，因
为作为专业的调味品公司，做好管理是一项较大的挑战，需要多年的经验累积和不断创新的管理
方式，因此需要在生产技术上不断突破，在生产管理上不断完善，也需要不断加强工匠团队建设，
用心才能做出精品。海天利用大数据、互联网和内部的企业管理系统，做到从一颗黄豆进入厂到
产品出厂，使每一瓶海天产品后面都有一个大数据，全程利用设备和信息化技术进行跟进和分析，
确保产品全程可追溯。同时，针对调味品公司管理中最难的供应链管理环节，公司通过多年的管
理经验累积，不断的通过优化订单计划模式、挖潜产能等措施，全面推进实现生产和销售均衡，
提高内部资源和外部资源充分整合产生的效率竞争力，实现供应端、生产端、销售端的良性互动
发展。
（二） 持续精耕的销售渠道
公司拥有全国的销售网络，目前海天的网络已 100%覆盖了中国地级及以上城市，在中国内陆
省份中，90%的省份销售过亿，通过多年的精耕，覆盖率逐年提升，覆盖范围与销值增长基本同步，
报告期内，公司通过进一步落实了渠道管理的多项措施，稳定了经销商的经营，完善了经销商的
产品结构，使整个销售渠道的发展更加健康，渠道的健康发展也为未来的市场拓展和品类的发展
奠定了坚实的基础，与此同时，公司线上业务也快速发展，从而使电商平台和传统渠道有效的结
合，巩固了公司在渠道和终端上的竞争优势。
（三） 持续领先的产品技术
公司的酱油、酱等多个品类的产品都是通过传统的天然发酵技术酿造生产的，海天所掌握的
核心酿造技术成为了公司的另一个核心竞争优势，为了保持产品的独有的风味，公司始终坚持传
统的生产工艺，坚持天然阳光晒制，将传统工艺技术与现代科技相结合，确保春夏秋冬，每个批
次的产品风味一致，用科技来保障产品的食品安全、口感美味、质量稳定。因此，在海天产品体
系中即不乏金标生抽、草菇老抽这样畅销 60 多年的产品，经久不衰，依然保持着增长活力。也不
乏味极鲜、黄豆酱等后起之秀，来满足消费者对新口味的追求，保持了发展的后劲。
通过多年的深耕和研发，海天蚝油以其独特的技术优势和风味，深受消费者的喜爱，逐步成
为了消费者厨房中的必备调味品。使蚝油品类保持了稳定的增长态势。
（四） 高美誉度的品牌优势。
公司凭借自身强大的品牌、产品、渠道、科研实力，树立了健康、安全、诚信、专业的品牌
形象，并获得了市场和消费者的广泛认可，报告期内，公司持续推进品牌发展战略，品牌影响力
进一步提升，在中国品牌力指数 C-BPI 榜单中，海天酱油连续 9 年行业第一，被列入 2019C-BPI
黄金品牌榜。在凯度消费者指数 2019 亚洲品牌足迹报告中，海天味业荣登中国快速消费品品牌第
4 位。此外，海天公司被凯度授予 2019 中国全品类食品类极具成长力品牌 、2019 中国消费者首
选前十品牌荣誉。
（五） 企业可持续发展的战略布局。
报告期内，公司继续做好企业持续发展的战略布局，产品结构、产能规划、组织架构、人力
资源等多方面进行改革创新，全方位的提升企业的竞争优势，推动公司业务的稳步发展。报告期
内酱油、蚝油、发酵酱等多个品类的市场规模处于领先甚至绝对领先的领导位置，有效提供了企
业后继发展的基础和降低了发展风险；同时公司继续加大生产基地的产能改造，在未来公司“三
五”计划中多地生产基地将陆续开工，可依据销售实际情况，再次释放超过 100 万吨以上调味品
生产能力，江苏工厂运行产能持续加大，始终领先一步的产能配套，为市场的稳定发展提供了产
能保障</t>
  </si>
  <si>
    <t>1.管理：供应链
2.渠道：已100%覆盖中国的所有地级市以上城市，线上渠道亦在增长。
3.技术：
4.品牌：
5.规模：已扩建的生产能力在稳步提升，规划再扩建100万吨生产能力。</t>
  </si>
  <si>
    <t>（一） 卓越的企业管理能力
多年来对管理精益求精的追求，使精细化的管理水平成为了公司的核心竞争力之一，因为作
为专业的调味品公司，做好管理是一项较大的挑战，需要多年的经验累积和不断创新的管理方式，
因此需要在生产技术上不断突破，在生产管理上不断完善，也需要不断加强工匠团队建设，用心
才能做出精品。海天利用大数据、互联网和内部的企业管理系统，做到从一颗黄豆进入厂到产品
出厂，使每一瓶海天产品后面都有一个大数据，全程利用设备和信息化技术进行跟进和分析，确
保产品全程可追溯。同时，针对调味品公司管理中最难的供应链管理环节，公司通过多年的管理
经验累积，不断的通过优化订单计划模式、挖潜产能等措施，全面推进实现生产和销售均衡，提
高内部资源和外部资源充分整合产生的效率竞争力，实现供应端、生产端、销售端的良性互动发
展。
（二） 持续精耕的销售渠道
公司拥有全国的销售网络，目前海天的网络已 100%覆盖了中国地级及以上城市，在中国内陆
省份中，90%的省份销售过亿，通过多年的精耕，覆盖率逐年提升，覆盖范围与销值增长基本同步，
报告期内，公司通过进一步落实了渠道管理的多项措施，稳定了经销商的经营，完善了经销商的
产品结构，使整个销售渠道的发展更加健康，渠道的健康发展也为未来的市场拓展和品类的发展
奠定了坚实的基础，与此同时，公司线上业务也快速发展，从而使电商平台和传统渠道有效的结
合，巩固了公司在渠道和终端上的竞争优势。
（三） 持续领先的产品技术
公司的酱油，酱等多个品类的产品都是通过传统的天然发酵技术酿造生产的，海天所掌握的
核心酿造技术成为了公司的另一个核心竞争优势，为了保持产品的独有的风味，公司始终坚持传
统的生产工艺，坚持天然阳光晒制，将传统工艺技术与现代科技相结合，确保春夏秋冬，每个批
次的产品风味一致，用科技来保障产品的食品安全、口感美味、质量稳定。因此，在海天产品体
系中即不乏，金标生抽、草菇老抽这样畅销 60 多年的产品，经久不衰，依然保持着增长活力。也
不乏味极鲜、黄豆酱等后起之秀，来满足消费者对新口味的追求，保持了发展的后劲。
（四） 高美誉度的品牌优势。
公司凭借自身强大的品牌、产品、渠道、科研实力，树立了健康、安全、诚信、专业的品牌
形象，并获得了市场和消费者的广泛认可，报告期内，公司持续推进品牌发展战略，品牌影响力
进一步提升，中国品牌日，中国品牌价值评价信息发布，2018 年中国品牌价值百强榜，海天品牌
价值超过 200 亿，成为调味品行业唯一上榜企业。2018 年凯度消费指数发布了《2018 年全球品牌
足迹报告》海天再入“中国消费者首选十大品牌”并排名第 4。公司在持续加快企业发展速度的
同时，夯实企业发展的实力，建立了较强的品牌领先优势。
（五） 企业可持续发展的战略布局。
报告期内，公司继续做好企业持续发展的战略布局，产品结构、产能规划、组织架构、人力
资源等多方面进行改革创新，全方位的提升企业的竞争优势，推动公司业务的稳步发展。报告期
内酱油、蚝油、发酵酱等多个品类的市场规模处于领先甚至绝对领先的领导位置，有效提供了企
业后继发展的基础和降低了发展风险；同时公司继续加大生产基地的产能改造，在未来公司“三 五”计划中可再次释放超过 100 万吨以上调味品生产能力，江苏工厂顺利投产且运行产能持续加
大，始终领先一步的产能配套，为市场的稳定发展提供了产能保障</t>
  </si>
  <si>
    <t>1.渠道：覆盖了全国，90%的省份销售过亿，加快电商平台建设。
2.管理:ERP(企业资源计划)、WMS（仓储管理系统）、LDS(生产数据记录系统)、LMS（生产线管理系统）.
3.技术:
4.品牌：高性价比。
5.规模：继续对原厂区进行改造，以便再增加100万吨产能。</t>
  </si>
  <si>
    <t>（一）覆盖全国的销售渠道
公司拥有中国调味品行业最为强大的营销网络，是业内少有的销售渠道覆盖全国的公司，报
告期内，在中国内陆省份中，90%的省份销售过亿，销售网络已经渗透到全国绝大部分县市，覆
盖范围比去年增长了 10%以上，并每年不断优化，报告期内，公司进一步制定了渠道管理的多项
措施，稳定了经销商的经营，完善了经销商的产品结构，使整个销售渠道的发展更加健康，渠道
的健康发展也为未来的市场拓展和品类的发展奠定了坚实的基础，同时，公司没有忽略新营销模
式的探索，加快了符合海天实际情况的电商平台建设，从而使电商平台和传统渠道有效的结合，
巩固了公司在渠道和终端上的竞争优势。
（二）精益求精的管理水平
 多年来对管理精益求精的追求，使精细化的管理水平成为了公司的核心竞争力之一，因为作
为调味品公司，做好管理是一项较大的挑战，需要多年的经验累积和不断创新的管理方式，因此
需要在生产技术上不断突破，在生产管理上不断完善，海天利用 ERP（企业资源计划），WMS(仓
储管理系统）、LDS(生产数据记录系统）、LMS（生产线管理系统）等管理系统，从一颗黄豆进入厂
到产品出厂，使每一瓶海天产品后面都有一个大数据，全程利用设备和信息化技术进行跟进和分
析，确保产品生产每个环节的管理。同时，针对调味品公司管理中最难的供应链管理环节，公司
通过多年的管理经验累积，不断的通过优化订单计划模式、挖潜产能等措施，全面推进实现生产
和销售均衡，提高内部资源和外部资源充分整合产生的效率竞争力，实现供应端、生产端、销售
端的良性互动发展。
（三）实力领先的技术能力
公司的酱油，酱等多个品类的产品都是通过传统的发酵技术酿造生产的，对于已经拥有 300
年历史的老字号企业来说，海天所掌握的核心酿造技术成为了公司的另一个核心竞争优势，为了
保持产品的独有的风味，公司依然坚持传统的生产工艺，坚持天然阳光晒制，将传统工艺技术与
现代科技相结合，确保春夏秋冬，每个批次的产品风味一致，用科技来保障产品的食品安全、口
感美味、质量稳定。因此，在海天产品体系中不乏，金标生抽、草菇老抽这样畅销 60 多年的产品，
经久不衰，依然保持着增长活力。公司拥有博士后工作站等专门攻克技术难题的科研机构，每年
都有技术创新成果应用到生产中，公司对技术的不断突破，使公司在食品酿造方面拥有领先的技
术实力。
（四）高美誉度的品牌优势。
海天品牌一直以来以高信赖度，高性价比品牌形象获得消费者的认可，通过卓越的产品品质
作为品牌传播的最佳载体，一直以来知名度和美誉度并行，公司非常重视品牌的形象的维护和传
播，将品牌建设作为公司的战略之一，尽管公司非常重视品牌宣传，但是却一直坚持理性传播，
坚持高性价比的传播方式，报告期内，公司持续推进品牌发展战略，品牌影响力进一步提升，配
合公司的营销策略，通过聚焦核心品类，与优势媒体资源结合，使品牌传播更加有效，与销售产
生互为良性促进作用，市场端的核心竞争力进一步显著提升。
（五）全方位提升的竞争优势。
报告期内，公司持续从产品结构，产能规划，人力资源各方面保持发展态势，全方位的提升
企业的竞争优势，报告期内酱油、蚝油、发酵酱等多个品类的市场规模处于领先甚至绝对领先的
领导位置，有效提供了企业后继发展的基础和降低了发展风险；同时公司在完成了募投项目后，
继续加大了原厂区产能改造，可再次释放了 100 万吨以上调味品生产能力，江苏工厂顺利投产且
运行产能持续加大，始终领先一步的产能配套，为市场的稳定发展提供了产能保障。通过培育和
打造“海天工匠”队伍，来提升员工整体的素质，将产品质量、工作质量和服务质量的竞争力进
一步拔高，使海天的综合优势一步步提升。</t>
  </si>
  <si>
    <t>1.规模：调味品总产能超过200万吨。
2.管理：生产与销售的平衡。
3.渠道：原有渠道已经铺设到了全国绝大部分县市，开始加快探索电商渠道的建设。
4.品牌：做广告宣传。
5.技术：多品类、大单品。</t>
  </si>
  <si>
    <t>1、始终领先一步的产能保障。
报告期内，公司募投项目基本完成全部达产，完成对原厂区酱油一期和小调味品区的产能改
造，江苏工厂一期工程也已经投产运行，至此，公司的整体调味品生产能力超过 200 万吨，始终
领先一步的产能配套，为市场的稳定发展提供了产能保障。
2、较高的精细管理优势。
报告期内，公司不断强化精细管理的竞争优势和效益：通过优化订单计划模式、去库存、挖
潜产能等措施，全面推进实现生产和销售均衡，提高内部资源和外部资源充分整合产生的效率竞
争力，实现供应端、生产端、销售端的良性互动发展；调动全体员工用工匠精神打造海天精品，
并优化工艺流程、加大技改投入，完成了一个个产品的升级，进一步拉高的竞争门槛。
3、强大的渠道能力。 
报告期内，公司继续强化渠道建设，销售网络已经渗透到全国绝大部分县市，目前拥有中国
调味品行业最为强大的营销网络，并每年不断优化，为未来的市场拓展和品类的发展奠定了坚实
的基础，同时，公司也在积极探索营销新模式，加快电商平台建设，进一步巩固在渠道和终端上
的竞争优势。
4、显著的品牌优势。 
报告期内，持续推进品牌发展战略，品牌影响力进一步提升，通过聚焦核心品类，与优势媒
体资源结合，使品牌传播更加有效，与销售产生互为良性促进作用，市场端的核心竞争力进一步
显著。
5、形成多品类、大单品的竞争优势。 
公司酱油、蚝油、发酵酱等多个品类的市场规模处于领先甚至绝对领先的领导位置，有效提
供了企业后继发展的基础和降低了发展风险；同时公司拥有一批大单品，这为进一步拓展网络和
终端提供了有力保障。</t>
  </si>
  <si>
    <t>1.规模：酱油一期部分完成、江苏进入设备调试。
2.技术：装备、工艺不断升级。
3.渠道：经销商2600家；分销商16000家；地级市320多个；1400多个县。
4.品牌：整合利用了业内供应商、品牌服务商 、经销商、科研机构在内的优秀资源以及社会资源；推动企业和行业进行改造升级。</t>
  </si>
  <si>
    <t xml:space="preserve">1、生产规模进一步提升，规模壁垒增强
报告期内，公司的生产能力持续增强，募投项目产能进一步释放、原厂区酱油一期产能改造
部分项目完工，江苏新工厂建设进入设备调试阶段。较为充足的产能能够保证市场的良性发展。
2、技术和装备不断更新和转化，形成了较强生产水平壁垒
核心工艺不断升级、核心技术不断增加、设备装备水平超前——是公司一直坚持的核心工作
要求。这些对于提升生产效率，稳定产品质量，减少耗能，降低生产成本，提高土地集约利用等
方方面面的正面作用越来越明显。也进一步保障食品安全，并加大了竞争壁垒。
3、网络的覆盖面和覆盖深度加强，优势明显 
报告期内海天已经建立了 2600 多家经销商、16000 多家的联盟商，网络覆盖了 320 多个地级
市、1400 多个县份，网络遍布全国各大批发农贸市场、连锁超市、便利店、乡镇村，全面支撑了
公司的持续发展。
4、资源聚集优势凸显 
在供应商、品牌服务商、经销商、科研机构等不同领域与国际国内一流的企业都建立了良好
的合作，同时企业有效利用了更多更好的社会资源，提高了海天的产品质量、盈利能力和管理能
力。
5、充分发挥行业示范作用，推动调味品行业健康积极的发展
公司行业地位不仅体现在产销量第一的规模地位上，更体现在不断创新、推动企业及行业改
造升级。公司部分率先使用的生产设备，已在行业内推广；进入资本市场后，调味品行业成为资
本市场研究和投资的热门行业；公司承担了酱油国家标准，蚝油国家标准、发酵酱国家标准等多
项国标的制定工作，承担了大批的国家科研项目，为整个行业的规范发展积极献策；公司所拥有
博士工作站、国家认可实验室等科研实力机构，使科技成果得以转化为生产力，促进整个行业的
发展。
</t>
  </si>
  <si>
    <t>1、规模壁垒：募投项目(酱油一期改造、江苏异地开工建厂)投产后，调味品生产能力将达到200万吨。
2、技术：
3、渠道：
4、品牌：制定标准、利用行业资源</t>
  </si>
  <si>
    <t>1、规模壁垒
随着募投项目产能逐步释放、酱油一期改造、江苏异地厂的开工建设，海天将构建出超过 200
万吨的调味品生产能力，生产能力是市场拓展的坚强后盾，海天酱油、海天蚝油等产销量已经连
续多年稳居全国第一，调味酱的规模也是遥遥领先。
2、领先的技术和装备壁垒
海天募投项目采用了国际顶尖的装备水平，包括每小时 48000 瓶极速灌装生产线、全自动立
体仓库等，海天的生产装备很好的表现了技术工艺与设备生产的结合，也拥有了很多核心技术和
专利，并且令很多核心技术通过装备设施产生了生产力，进一步保障食品安全，并形成了较强的
竞争壁垒。
3、网络优势 
经过二十多年构建，海天已经建立了 2000 多家经销商、10000 多家的联盟商，网络覆盖了 300
多个地级市、1000 多个县份，网络遍布全国各大批发农贸市场、连锁超市、便利店，网络不断的
细化和下沉，带动了更多产品的上规模发展。
4、资源聚集优势 
规模和信誉使海天聚集资源的优势十分明显，海天一直注重品牌合作、规模合作，海天很多
的大项目、大科研、大采购，都是与国际国内一流的品牌企业合作，通过与这些知名品牌合作，
企业有效利用了更多更好的社会资源，实现与合作商的共赢，也进一步提高了海天的产品质量和
盈利能力。
 5、行业地位 
 海天行业地位不仅体现在产销量第一的规模地位上，通过积累和快速发展，海天充分的企业
实力和科研水平，更能显示行业位置。海天除了承担制定酱油国家标准外，陆续承担了蚝油国家
标准、发酵酱国家标准等多项国标制定工作，另外海天已经建成博士工作站、拥有国家认可实验
室，一些国家科研项目由海天主要承担，多年积累的技术和经验不但转化成为了海天的生产力，
也推动了整个行业的发展。</t>
  </si>
  <si>
    <t xml:space="preserve">1.品牌: 增加销售、利用行业资源
2.渠道：经销商2100家；分销商12000家；直控终端50多万个。31个省；超300个地级市；近1000个县。
3.规模：产量和销量高。
4.技术：总调味品100余种；酱油40余种。
</t>
  </si>
  <si>
    <t>1、领先的品牌力
公司产品有深厚的历史积淀，先后获得国家工商行政管理局"驰名商标"、中国商务部"中华
老字号"和"最具市场竞争力品牌"、国家质检总局"中国名牌产品"等荣誉称号，在消费者中有极
高的知名度、有众多的忠诚消费者。公司启动品牌升级行动以来，以"生活多美味"为新的品牌
主张，持续与消费者进行沟通，积累了较为明显的品牌优势。
2、龙头企业的产品力
公司是调味品龙头，已发展出生抽、老抽、特色酱油等系列共 40 多个品种，蚝油、黄豆酱、
招牌拌饭酱等产品则进一步扩大了公司产品品类，所有海天调味产品已达 100 余种，其中金标
生抽、草菇老抽、蚝油和黄豆酱等产品已成功销售数十年，体现了公司强大的研发实力和龙头
企业的产品力。
3、强大的渠道销售力
公司已搭建并在不断完善业内最强渠道平台，现已拥有 2100 多家经销商，12000 多家分销
商/联盟商，覆盖 50 多万个直控终端销售网点。产品全面覆盖全国 31 个省级行政区域，超 300
个地级市和近 1000 个县份市场，遍布全国各大知名连锁超市、各级农贸市场、城乡便利店。2013
年以来，随着募投项目产能的进一步释放，公司的渠道得以进一步加快下沉至县乡镇市场和拓
展城市细分终端；凭借强大的渠道优势，公司产品组团推广优势将更明显。
4、 领先的科研实力
公司拥有一流的国家认可实验室，建成了调味品行业博士后流动站，与众多科研院所及高
等院校建立了合作关系，还承担了国家和省市的一批科技计划项目。目前，公司的仪器装备、
人才队伍、科研实力均已接近或达到国际领先水平，独有的科研力量领先的关键核心技术和强
大的创新力，对食品安全提供了更强的保障，公司成为业内技术升级的典范，引领着调味品技
术升级的发展方向。
5、领先的规模优势
公司规模优势明显，连续 10 余年酱油、蚝油、黄豆酱等产品的产销量均遥遥领先。通过在
全国范围持续的产销量扩张。公司彻底颠覆了长期以来调味企业规模偏小、品种单一、影响力
区域化的局面。同时，领先的规模优势降低了边际成本、提高了公司议价和溢价能力。
6、逐步突出的整合力
一方面公司在原材料、生产、管理、营销、物流甚至科研开发等方面都已实现与相关行业、
主流企业的开放合作，借此逐步形成一个竞争优势几何增长的企业生态链另一方面，利用积累
的调味品管理、研发、渠道等优势，加快行业的整合和升级优化。</t>
  </si>
  <si>
    <t>酱油、食醋等调味品是日常生活必需品，市场规模大、消费频次高、基本不受宏观经济影响
和进出口影响，基本不存在周期性差异。近年来，随着消费者饮食口味要求的提升、餐饮业的快
速发展、外卖产业的兴起、电子商务的蓬勃发展等因素，行业面临新的发展格局，主要如下：
（一）行业集中度不断提高，企业优胜劣汰速度加快。大企业基于研发、生产、品牌、渠道
等综合竞争优势，持续扩建产能、全渠道扩大市场份额。部分小企业被迫转向细分领域或驻足于
区域市场。
（二）经济水平、城乡结构、年龄结构的变化使消费呈现出分级与分众的趋势。分级方面，
注重品质、体验的升级与注重价廉、方便的降级同步进行。分众方面，中老年、新生代、单身及
小家庭群体的消费结构各有不同。伴随消费分级、分众，涌现出一些新品牌、新品类、新企业以
及新的商业模式。
（三）渠道多样化，KA 渠道客流量逐渐下滑、加速向线上和社区门店转换；消费者减少到店
频次，集中采购、网上采购渐成常态。
（四）伴随国内稳经济一揽子政策措施有效落地，餐饮消费回暖明显，餐饮复苏也将带来调
味品发展的新机遇。</t>
  </si>
  <si>
    <t>（一）不断壮大并优化的人才队伍
公司坚定不移的把人才作为企业的核心竞争力，坚持人才队伍年轻化、专业化、知识化战
略，持续优化现代企业人力资源管理体系，推行卓越绩效管理，充分授权、有效监督，形成科学
有序的人才进入和退出机制，为优秀人才创造发展机会，炼成了一支志同道合、励精图治、朝气
蓬勃的优秀团队，推动企业健康高速发展。
（二）卓越并不断提升的产品品质
当前人们对饮食健康的关注到了前所未有的高度, “健康饮食”成为食品行业发展的新契
机。公司产品以“高品质、健康美味”著称，持续在酱油、食醋、料酒等高品质健康调味品的工
艺、技术、设备、产品品质、检测检验方法进行研究，不断提高产品品质、安全性和稳定性。公
司陆续通过了 BRC 食品安全全球标准认证、IFS 国际食品标准认证、欧盟有机认证、有机产品认
证、犹太洁食认证、清真食品认证、FSSC22000 食品安全管理体系认证等，并在食品安全保障方
面多次获得各级政府表彰。报告期内，公司继续加强原生态自然发酵、零添加、健康好吃、高质
量产品的开发和推广，优化现有的产品结构，满足、创造并引领消费者需求。
（三）持续强化的品牌力
公司以“匠心酿造中国味道”为企业使命，致力于打造高品质健康调味品第一品牌。公司坚
持“做放心食品，酿更好味道”的品牌理念，专注聚焦零添加酿造酱油、食醋、料酒等高品质健
康调味品，紧紧把握消费升级时代趋势，引领消费需求，形成独具特色的差异化品牌竞争优势。
公司聚焦“高品质、健康、美味”等品牌定位，全方位整合媒体、渠道和终端资源，集中爆发突
破，形成点线面相结合、品牌推广与消费者体验相融合的品牌传播模式,凸显品牌张力。
（四）持续创新提升的公司治理水平
良好的公司治理是公司行稳致远的保障，公司高度重视公司治理，建立了完善的现代企业管
理体系。架构上，不断完善以股东大会、董事会、监事会和经营管理层为主体的治理架构，按照
权责分明、各司其职、相互协调、有效制衡的原则，研究制定和修订完善公司章程、分级授权方
案等公司治理基本制度，明晰治理主体各自不同的职权，建立了决策科学、监督有效、运行高效
的公司治理运作机制。经营决策上，公司坚持扁平化的管理模式，强调“纪律、速度、细节”的
执行力文化，助推公司高效应对市场变化。内部控制上，公司坚持强化监督机制，形成内外部举
报投诉机制，落实内外部审计、巡视制度、事件查处制度，坚持“有案必接、有案必查、查必有
果”的原则，全面推动阳光合作机制，廉正建设教育与警示教育常态化。</t>
  </si>
  <si>
    <t>酱油、食醋等调味品是日常生活必需品，市场规模大、消费频次高、基本不受宏观经济影响
和进出口影响，基本不存在周期性差异。近年来， 随着消费者饮食口味要求的提升、餐饮业的
快速发展、外卖产业的兴起、电子商务的蓬勃发展等因素，行业竞争格局复杂多样，企业经营面
临更大挑战，主要如下：
1、主要企业纷纷扩产，产能趋于饱和，随着大量新增产能投产，产业供需矛盾将更加突
出，市场竞争更加激烈。
2、行业集中度不断提高，企业优胜劣汰速度加快。大企业以成本和品牌优势扩大市场份
额，小企业被迫转型细分领域或退出市场竞争。
3、经济水平、城乡结构、年龄结构的变化使消费呈现出分级与分众的趋势。分级方面，注
重品质、体验的升级与注重价廉、方便的降级同步进行。分众方面，中老年、新生代、单身及小
家庭群体的消费结构各有不同。
4、伴随消费分级、分化，商业模式的变化以及运营渠道多样化，调味品企业渠道运营方式
不断多样化，在疫情的催化下更加速向线上和社区门店转换；消费者减少到店频次，集中采购、
网上采购渐成常态。
5、复合调味品发展迅速，其中川调又因其麻辣鲜香的复合味型迎来相对更好的发展机遇，
在大众餐饮和家庭厨房中备受欢迎，产品创新和迭代迅速，企业品牌众多，市场繁荣且竞争激
烈。</t>
  </si>
  <si>
    <t>1、不断壮大并优化的人才队伍
公司坚定不移的把人才作为企业的核心竞争力，坚持人才队伍年轻化、专业化、知识化战略，持
续优化现代企业人力资源管理体系，推行卓越绩效管理，充分授权、有效监督，形成科学有序的
人才进入和退出机制，为优秀人才创造发展机会，炼成了一支志同道合、励精图治、朝气蓬勃的
优秀团队，推动企业健康高速发展。
2、卓越并不断提升的产品品质
疫情使人们对健康的关注到了前所未有的高度,后疫情时代，对于突发卫生事件的防控将进入常
态化，消费者对于膳食和营养补充的态度以及消费习惯随之改变，“健康饮食”成为食品行业发
展的新契机。公司产品以“高品质、健康美味”著称，持续在酱油、食醋、料酒等高品质健康调
味品的工艺、技术、设备、产品品质、检测检验方法进行研究，不断提高产品品质、安全性和稳
定性。公司陆续通过了 BRC 食品安全全球标准认证、IFS 国际食品标准认证、欧盟有机认证、有
机产品认证、犹太洁食认证、清真食品认证、FSSC22000 食品安全管理体系认证等，并在食品安
全保障方面多次获得各级政府表彰。报告期内，公司继续加强原生态自然发酵、零添加、健康好
吃、高质量产品的开发和推广，优化现有的产品结构，满足、创造并引领消费者需求。
3、持续强化的品牌力
公司以“匠心酿造中国味道”为企业使命，致力于打造高品质健康调味品第一品牌。公司坚持
“做放心食品，酿更好味道”的品牌理念，专注聚焦零添加酿造酱油、食醋、料酒等高品质健康
调味品，紧紧把握消费升级时代趋势，引领消费需求，形成独具特色的差异化品牌竞争优势。公
司聚焦“高品质、健康、美味”等品牌定位，全方位整合媒体、渠道和终端资源，集中爆发突
破，形成点线面相结合、品牌推广与消费者体验相融合的品牌传播模式,凸显品牌张力。
4、持续创新提升的公司治理水平
良好的公司治理是公司行稳致远的保障，公司高度重视公司治理，建立了完善的现代企业管理体
系。架构上，不断完善以股东大会、董事会、监事会和高级管理层为主体的治理架构，按照权责
分明、各司其职、相互协调、有效制衡的原则，研究制定和修订完善公司章程、分级授权方案等
公司治理基本制度，明晰治理主体各自不同的职权，建立了决策科学、监督有效、运行高效的公
司治理运作机制。经营决策上，公司坚持扁平式的管理模式，强调“纪律、速度、细节”的执行
力文化，助推公司高效应对市场变化。内部控制上，公司坚持强化监督机制，形成内外部举报投
诉机制，落实内外部审计、巡视制度、事件查处制度，坚持“有案必接、有案必查、查必有果”
的原则，全面推动阳光合作机制，廉正建设教育与警示教育常态化</t>
  </si>
  <si>
    <t>作为日常生活必需品，调味品刚性需求极强，受宏观经济影响不明显，周期性特征不突出，
行业盈利水平良好。伴随城镇化率的持续提升以及中高阶层消费群体的日益庞大，调味品消费量
和品质需求均有显著提升，行业发展空间大、发展层次清晰，主要如下：
1、行业加快整合，行业集中度不断提高。基于资本、食品安全、品牌、环保、新消费模式等
因素影响，企业优胜劣汰速度加快，品牌集中度逐步提高，大多数实力差、规模小、创新及品牌
力弱的企业很难生存与发展。
2、中高端产品量价齐升，空间巨大。随着居民消费结构升级及健康意识的提高，消费者追求
更健康、更美味的调味品，具有天然、健康特色的产品得以快速发展；品质升级带动价格进一步
提升，中高端调味品获得了前所未有的巨大市场空间，盈利能力明显提升。
3、新零售趋势向好，运营渠道多样化。信息时代，社会生活、消费方式不断发生变化，促使
调味品企业渠道运营方式不断多样化。</t>
  </si>
  <si>
    <t xml:space="preserve">1、不断壮大并优化的人才队伍
公司坚定不移的把人才作为企业的核心竞争力，坚持人才队伍年轻化、专业化、知识化战略，
持续优化现代企业人力资源管理体系，推行卓越绩效管理，充分授权、有效监督，形成科学有序
的人才进入和退出机制，为优秀人才创造发展机会，炼成了一支志同道合、励精图治、朝气蓬勃
的优秀团队，推动企业健康高速发展。
2、卓越并不断提升的产品品质
10 / 181
2020 年年度报告
11 / 181
疫情使国人对健康的关注到了前所未有的高度,后疫情时代，对于突发卫生事件的防控将进入
常态化，消费者对于膳食和营养补充的态度以及消费习惯随之改变，“健康饮食”成为食品行业
发展的新契机。公司产品以“高品质、健康美味”著称，持续在酱油、食醋、料酒等高品质健康
调味品的工艺、技术、设备、产品品质、检测检验方法进行研究，不断提高产品品质、安全性和
稳定性。公司陆续通过了 BRC 食品安全全球标准认证、IFS 国际食品标准认证、欧盟有机认证、
有机产品认证、犹太洁食认证、清真食品认证、FSSC22000 食品安全管理体系认证等，并在食品
安全保障方面多次获得各级政府表彰。报告期内，公司继续加强原生态自然发酵、零添加、健康
好吃、高质量产品的开发和推广，优化现有的产品结构，满足、创造并引领消费者需求。
3、持续强化的品牌力
公司以“匠心酿造中国味道”为企业使命，致力于打造高品质健康调味品第一品牌。公司坚
持“做放心食品，酿更好味道”的品牌理念，专注聚焦零添加酿造酱油、食醋、料酒等高品质健
康调味品，紧紧把握消费升级时代趋势，引领中高端市场消费需求，形成独具特色的差异化品牌
竞争优势。公司聚焦“高品质、健康、美味”等品牌定位，全方位整合媒体、渠道和终端资源，
集中爆发突破，形成点线面相结合、品牌推广与消费者体验相融合的品牌传播模式,凸显品牌张力。
4、持续创新提升的公司治理水平
良好的公司治理是公司行稳致远的保障，公司高度重视公司治理，建立了完善的现代企业管
理体系。架构上，不断完善以股东大会、董事会、监事会和高级管理层为主体的治理架构，按照
权责分明、各司其职、相互协调、有效制衡的原则，研究制定和修订完善公司章程、分级授权方
案等公司治理基本制度，明晰治理主体各自不同的职权，建立了决策科学、监督有效、运行高效
的公司治理运作机制。经营决策上，公司坚持扁平式的管理模式，强调“纪律、速度、细节”的
执行力文化，助推公司高效应对市场变化。内部控制上，公司坚持强化监督机制，形成内外部举
报投诉机制，落实内外部审计、巡视制度、事件查处制度，坚持“有案必接、有案必查、查必有
果”的原则，全面推动阳光合作机制，廉正建设教育与警示教育常态化。
5、得天独厚的环境优势
酱油、食醋酿造受水源、气候等自然条件的影响，特别是优质酱油和食醋产品的酿造对自然
环境有较高要求。公司眉山工厂位于联合国粮农与教科文组织认定的最佳酿造带——北纬 30°，
天府之国、成都平原西南部，岷江中游和青衣江下游的扇形地带，气候温和湿润，冬无严寒，夏
无酷暑，无霜期长，少霜雪，微生物种群富集，非常适宜酱油、食醋的酿造发酵。优良的自然环
境、温和湿润的气候、优质甘冽的水源、富含微量元素的地下井盐都是公司调味品酿造的绝佳优
势。
</t>
  </si>
  <si>
    <t>1、不断壮大并优化的人才队伍
公司坚定不移的把人才作为企业的核心竞争力，坚持人才队伍年轻化、专业化、知识化战略，
持续优化现代企业人力资源管理体系，推行卓越绩效管理，充分授权、有效监督，形成科学有序
的人才进入和退出机制，为优秀人才创造发展机会，炼成了一支志同道合、励精图治、朝气蓬勃
的优秀团队，推动企业健康高速发展。
2、卓越并不断提升的产品品质
公司积极响应国家关于食品安全的号召，严格遵守食品安全法律法规，将食品安全作为企业
管理第一要务，从原料采购、产品生产到产品销售层层把关，全面保障产品品质。公司选用非转
基因粮食作为调味品生产原料，在生产环节采用先进的工艺，配备先进的设备，并建立了行业领
先的检测体系，确保产品安全、卫生、稳定。公司强化研发创新，持续引进食品发酵专业高级人
才，加强产学研合作，持续提升产品质量。公司先后通过了 ISO 9001 质量管理体系认证、ISO22000 
食品安全管理体系认证、ISO14001 环境管理体系认证、欧盟有机认证、有机产品认证、犹太洁食
认证、清真食品认证、FSSC22000 食品安全管理体系认证，并在食品安全保障方面多次获得各级
政府表彰。
3、持续强化的品牌力
公司以“匠心酿造中国味道”为企业使命，致力于打造高品质健康调味品第一品牌。公司坚
持“做放心食品，酿更好味道”的品牌理念，专注聚焦零添加酿造酱油、食醋、料酒等高品质健
康调味品，紧紧把握消费升级时代趋势，引领中高端市场消费需求，形成独具特色的差异化品牌
竞争优势。公司聚焦“高品质、健康、美味”等品牌定位，全方位整合媒体、渠道和终端资源，
集中爆发突破，形成点线面相结合、品牌推广与消费者体验相融合的品牌传播模式,凸显品牌张力。
4、持续创新提升的公司治理水平
良好的公司治理是公司行稳致远的保障，公司高度重视公司治理，建立了完善的现代企业管
理体系。架构上，不断完善以股东大会、董事会、监事会和高级管理层为主体的治理架构，按照
权责分明、各司其职、相互协调、有效制衡的原则，研究制定和修订完善公司章程、分级授权方
案等公司治理基本制度，明晰治理主体各自不同的职权，建立了决策科学、监督有效、运行高效
的公司治理运作机制。经营决策上，公司坚持扁平化的管理模式，强调“纪律、速度、细节”的
执行力文化，助推公司高效应对市场变化。内部控制上，公司坚持强化监督机制，形成内外部举
报投诉机制，落实内外部审计、巡视制度、事件查处制度，坚持“有案必接、有案必查、查必有
果”的原则，全面推动阳光合作机制，廉正建设教育与警示教育常态化。</t>
  </si>
  <si>
    <t>1、人才队伍优势 
公司坚定不移的把人才作为企业的核心竞争力，建立并完善了现代企业人力资源管理体系，
坚持人才队伍年轻化、专业化，推行正向激励为主的卓越绩效管理，充分授权、有效监督，形成
科学有序的人才进入和退出机制，为想干事、能干事、干成事的优秀人才创造发展机会，炼成了
一支志同道合、励精图治、朝气蓬勃的优秀团队，推动企业健康高速发展。
2、产品品质优势 
“十三五”规划将食品安全问题提到国家战略高度，提出要实施食品安全战略，形成严密高
效、社会共治的食品安全治理体系，让人民群众吃得放心。公司积极响应国家关于食品安全的号
召，将食品安全作为企业管理第一要务，从原料采购、产品生产到产品销售层层把关。公司选用
非转基因粮食作为调味品生产原料，在生产环节配备先进的设备，并建立了行业领先的检测体系，
确保产品安全、卫生、稳定。公司先后通过了 ISO 9001 质量管理体系认证、ISO22000 食品安全
管理体系认证、ISO14001 环境管理体系认证、有机产品认证、犹太洁食认证和清真食品认证，并
在食品安全保障方面多次获得各级政府表彰。
3、研发优势 
公司充分认识到科学技术是第一生产力，高度重视科学技术对企业的积极推动作用。依托公
司省级企业技术中心，公司持续在酱油、食醋、料酒等调味品和焦糖色的工艺、技术、设备、产
品品质、检测检验方法进行研究，不断提高产品品质、提升产品安全性、降低生产成本。迄今，
公司已获得多项核心技术专利，公司率先研发推出的零添加调味产品，在保证不加味精、防腐剂、
添加剂的同时致力于提升零添加产品的美味体验，真正做到了零添加又美味。
4、品牌优势 
在品牌云集、竞争激烈的调味品市场，公司坚持“做放心食品，酿更好味道“的品牌理念，
专注聚焦零添加酿造酱油、食醋、料酒等高品质健康调味品，紧紧把握消费升级时代趋势，快速
抢占中高端市场引领并创造消费需求，形成独具特色的差异化品牌竞争优势。同时，公司聚焦“高
品质、健康、美味”等品牌定位，全方位整合媒体、渠道和终端资源，集中爆发突破，形成点线
面相结合、品牌推广与消费者体验相融合的品牌务实传播模式,凸显品牌张力。
5、企业文化优势 
公司确立了 “忠孝廉节，说到做到”的核心价值观，以“匠心酿造、中国味道”为企业使命，
致力打造中国高品质健康调味品第一品牌。在人才队伍锻造上，公司全面深入贯彻企业核心价值
观，企业使命内化于员工内心；在人才队伍的组织上，公司力求经验管理与创新管理相结合，既
有从事食品行业多年具有丰富行业经验的管理人才，又不断补充年轻人才队伍，为公司创新注入
新鲜血液。在经营决策上，公司坚持扁平式的管理模式，强调“纪律、速度、细节”的执行力文
化，助推公司高效应对市场变化。
6、环境优势 
酱油、食醋酿造受到水源、气候等方面的影响，特别是优质酱油和食醋产品的酿造对自然环
境有较高要求。公司调味品生产厂区位于北纬 30°，成都平原西南部，岷江中游和青衣江下游的
扇形地带，气候温和，雨量丰沛，冬无严寒，夏无酷暑，无霜期长，少霜雪，非常适宜酱油、食
醋的酿造发酵。优良的自然环境、湿润的气候、优质的水源成为公司调味品酿造的绝佳优势。</t>
  </si>
  <si>
    <t>就行业而言，企业进行供给侧调整，加大产品向高端话发展、寻求产业链延伸、制度创新和商业模式转换。</t>
  </si>
  <si>
    <t>从行业动态来看，调味品行业依然呈现稳步发展的态势，行业内企业在面对市场变化时，积
极提高应变能力，通过供给侧结构性改革，调结构、促转型、谋发展,并在产品创新、产业链延伸、体制创新和商业模式转换方面取得了新的突破，推动调味品行业的转型升级和创新发展。高端化消费趋势明显；民营企业发展迅速；资本活跃度攀升；营销与宣传方式更加丰富；主流产品价格上扬。</t>
  </si>
  <si>
    <t>⑴人才队伍优势
公司坚定不移的把人才作为企业的核心竞争力，建立并完善了现代企业人力资源管理体系，
坚持人才队伍年轻化、专业化，推行正向激励为主的卓越绩效管理，充分授权、有效监督，形成
2017 年年度报告
10 / 153
科学有序的人才进入和退出机制，为想干事、能干事、干成事的优秀人才创造发展机会，炼成了
一支志同道合、励精图治、朝气蓬勃的优秀团队，推动企业健康高速发展。
⑵产品品质优势
“十三五”规划将食品安全问题提到国家战略高度，提出要实施食品安全战略，形成严密高
效、社会共治的食品安全治理体系，让人民群众吃得放心。公司积极响应国家关于食品安全的号
召，将食品安全作为企业管理第一要务，从原料采购、产品生产到产品销售层层把关。公司选用
非转基因粮食作为调味品生产原料，在生产环节配备先进的设备，并建立了行业领先的检测体系，
确保产品安全、卫生、稳定。公司先后通过了 ISO 9001 质量管理体系认证、ISO22000 食品安全
管理体系认证、ISO14001 环境管理体系认证、ISO10012 计量检测体系认证、有机产品认证、犹
太洁食认证和清真食品认证，并在食品安全保障方面多次获得各级政府表彰。
⑶研发优势
公司充分认识到科学技术是第一生产力，高度重视科学技术对企业的积极推动作用。依托公
司省级企业技术中心，公司持续在酱油、食醋、料酒等调味品和焦糖色的工艺、技术、设备、产
品品质、检测检验方法进行研究，不断提高产品品质、提升产品安全性、降低生产成本。迄今，
公司已获得多项核心技术专利，公司率先研发推出的零添加调味产品，在保证不加味精、防腐剂、
添加剂的同时致力于提升零添加产品的美味体验，真正做到了零添加又美味。
⑷品牌优势
在品牌云集、竞争激烈的调味品市场，公司坚持“做放心食品，酿更好味道“的品牌理念，
专注聚焦零添加酿造酱油、食醋、料酒等高品质健康调味品，紧紧把握消费升级时代趋势，快速
抢占中高端市场引领并创造消费需求，形成独具特色的差异化品牌竞争优势。同时，公司聚焦“高
品质、健康、美味等品牌定位，全方位整合媒体、渠道和终端资源，集中爆发突破，形成点线面
相结合、品牌推广与消费者体验相融合的品牌务实传播模式,凸显品牌张力。
⑸企业文化优势
公司确立了 “忠孝廉节，说到做到”的核心价值观，以“振兴民族食品工业，提升人类生活
品质”为企业使命，致力打造中国高品质健康调味品第一品牌。在人才队伍锻造上，公司全面深
入贯彻企业核心价值观，企业使命内化于员工内心；在人才队伍的组织上，公司力求经验管理与
创新管理相结合，既有从事食品行业多年具有丰富行业经验的管理人才，又不断补充年轻人才队
伍，为公司创新注入新鲜血液。在经营决策上，公司坚持扁平式的管理模式，强调“纪律、速度、
细节”的执行力文化，助推公司高效应对市场变化。
⑹环境优势
酱油、食醋酿造受到水源、气候等方面的影响，特别是优质酱油和食醋产品的酿造对自然环
境有较高要求。公司调味品生产厂区位于北纬 30°，成都平原西南部，岷江中游和青衣江下游的
扇形地带，气候温和，雨量丰沛，冬无严寒，夏无酷暑，无霜期长，少霜雪，非常适宜酱油、食
醋的酿造发酵。优良的自然环境、湿润的气候、优质的水源成为公司调味品酿造的绝佳优势</t>
  </si>
  <si>
    <t>整体而言，调味品周期型不明显，发展空间大。
具体来说，就行业，其向规模化和专业化发展；就产品，其向高端、天然、健康方向发展；就渠道，其向着多样化发展。</t>
  </si>
  <si>
    <t>作为居民日常生活必需品，调味品行业整体上受宏观经济影响不明显，周期性特征不突出，
行业发展空间较大，发展趋势明朗，主要如下：行业整合加剧，企业规模效应持续显现，优胜劣
汰趋势明显，规模化和专业化并购重组渐次展开，行业集中度不断提高；行业层次更加清晰，随
着居民消费结构升级及健康意识的提高，高端、次高端增量明显，具有天然、健康特色的产品得
以快速发展，盈利能力明显提升；运营渠道多样化，规模企业市场投入力度的加大，渠道运营方
式不断多元化，更加适应新时代发展需要。</t>
  </si>
  <si>
    <t>1、人才队伍优势 
公司坚定不移的把人才作为企业的核心竞争力，建立并完善了现代企业人力资源管理体系，
坚持人才队伍年轻化、专业化，推行正向激励为主的卓越绩效管理，充分授权、有效监督，形成
科学有序的人才进入和退出机制，为想干事、能干事、干成事的优秀人才创造发展机会，炼成了
一支志同道合、励精图治、朝气蓬勃的优秀团队，推动企业健康高速发展。
2、产品品质优势 
“十三五”规划将食品安全问题提到国家战略高度，提出要实施食品安全战略，形成严密高
效、社会共治的食品安全治理体系，让人民群众吃得放心。公司积极响应国家关于食品安全的号
召，将食品安全作为企业管理第一要务，从原料采购、产品生产到产品销售层层把关。公司选用
非转基因粮食作为调味品生产原料，在生产环节配备先进的设备，并建立了行业领先的检测体系，
确保产品安全、卫生、稳定。公司先后通过了 ISO 9001 质量管理体系认证、ISO22000 食品安全
管理体系认证、ISO14001 环境管理体系认证、ISO10012 计量检测体系认证、有机产品认证、犹
太洁食认证和清真食品认证，并在食品安全保障方面多次获得各级政府表彰。
3、研发优势 9 / 131
2016 年年度报告
10 / 131
公司充分认识到科学技术是第一生产力，高度重视科学技术对企业的积极推动作用。依托于
公司省级企业技术中心，公司持续在酱油、食醋等调味品和焦糖色的工艺、技术、设备、产品品
质、检测检验方法进行研究，不断提高产品品质、提升产品安全性、降低生产成本。迄今，公司
已获得多项核心技术专利，公司率先研发推出的零添加调味产品，在保证不加味精、防腐剂、添
加剂的同时致力于提升零添加产品的美味体验，真正做到了零添加又美味。
4、品牌优势 
在品牌云集、竞争激励的调味品市场，公司坚持“做放心食品，酿更好味道“的品牌理念，
专注聚焦零添加酿造酱油、食醋、料酒等高品质健康调味品，紧紧把握消费升级时代趋势，快速
抢占中高端市场引领并创造消费需求，形成独具特色的差异化品牌竞争优势。同时，公司聚焦“零
添加、健康、高品质“等品牌定位，全方位整合媒体、渠道和终端资源，集中爆发突破，形成点
线面相结合、品牌推广与消费者体验相融合的品牌务实传播模式,凸显品牌张力。
5、企业文化优势 
公司确立了 “忠孝廉节，说到做到”的核心价值观，以“振兴民族食品工业，提升人类生活
品质”为企业使命，致力打造中国高品质健康调味品第一品牌。在人才队伍上，公司力求经验管
理与创新管理相结合，既有从事食品行业多年具有丰富行业经验的管理人才，又不断补充年轻人
才队伍，为公司创新注入新鲜血液。在经营决策上，公司坚持扁平式的管理模式，强调“纪律、
速度、细节”的执行力文化，助推公司高效应对市场变化。
6、环境优势 
酱油、食醋酿造受到水源、气候等方面的影响，特别是优质酱油和食醋产品的酿造对自然环
境有较高要求。公司调味品生产厂区位于北纬 30°，成都平原西南部，岷江中游和青衣江下游的
扇形地带，气候温和，雨量丰沛，冬无严寒，夏无酷暑，无霜期长，少霜雪，非常适宜酱油、食
醋的酿造发酵。优良的自然环境、湿润的气候、优质的水源成为公司调味品酿造的绝佳优势</t>
  </si>
  <si>
    <t>1、 中国调味品市场概况
就市场规模而言，中国是世界上最大的调味品市场。2021 年，中国的调味品市场为 6826 亿
元，远高于美国市场的 4153 亿元及日本市场的 1601 亿元。中国的调味品每年人均支出由 2017 年 的 349.5 元增至 2021 年的 483.2 元，此期间的复合年增长率为 8.4%。在城市化持续推进、中国消
费者购买力不断提升及调味品消费增加的驱动下，预计于可预见未来，调味品人均支出将继续保
持增长趋势。
调味品是指添加到食品中以赋予特定风味或在各地的某些文化中用于佐菜的酱料或调味料。
调味品市场分为单味调味品和复合调味品，单味调味品的市场规模远大于复合调味品的市场规模。
于 2021 年，单味调味品的市场规模为 5403 亿元，而复合调味品的市场规模为 1423 亿元。由于中
国连锁餐饮市场的强劲发展、规范化及可扩展性，以及居民对即煮即食食品的需求不断增长，复
合调味品的市场规模于 2017 年至 2021 年的复合年增长率达到 11.3%，较单味调味品的复合年增
长率更快。然而，就复合调味品消费而言，中国与主要发达经济体之间仍有很大差距。2021 年，
复合调味品仅占调味品总价值的 20.8%，而美国和日本则分别占到 53.0%及 52.2%。同样，2021
年，中国的复合调味品人均支出为 100.7 元，仅为美国和日本复合调味品人均支出的约 10%。
展望未来，随着城市化的持续推进、对各类调味品的需求不断增长、复合调味品的使用范围
更广泛及便于烹饪，预期复合调味品将较其他类型的调味品有更高的增长，预计 2021 年至 2026
年的复合年增长率为 11.4%，而同期单味调味品为 8.7%。复合调味品的市场规模预计于 2026 年
将达到 2437 亿元。
2、 中国复合调味品行业
复合调味品在中国的历史相对较短，但其市场增速比调味品更快。2017 年至 2021 年，中国
复合调味品每年人均支出由 66.6 元增至 100.7 元，复合年增长率为 10.9%。预计于不久的将来，
复合调味品的市场表现将持续优于整个调味品市场，这归因于中国连锁餐饮的持续标准化、年轻
消费者的快节奏生活方式等多个因素。于疫情期间，火锅底料受负面影响较大，主要系线下用餐
要求保持社交距离，且受限于大规模聚集。2017 年至 2021 年，中式复合调味品是复合调味品市
场中增长第二快的板块，主要受城市零售消费者消费增长所推动。城市居民有较强的购买力，但
通常不太擅长烹饪，因此，中式复合调味品是城市居民的不二选择。随着城市化的快速推进及可
支配收入的增加，预计该板块在未来几年将实现强劲增长。未来，火锅底料预计借助 B2B 和 B2C
渠道而于 2021 年至 2026 年迎来最快增长率。就 B2B 渠道而言，火锅餐饮行业预计将成为所有中
餐领域增速最快者之一。火锅店的标准化将驱动对火锅底料产品的需求。就 B2C 渠道而言，当前
消费者更喜欢在家里方便地烹饪，因此对预包装火锅底料产品的需求也会增加。通过 B2B 渠道销
售的复合调味品的市场规模已由 2017 年的 578 亿元增至 2021 年的 828 亿元。由于餐饮市场受疫
情影响，中国复合调味品行业市场规模于 2020 年略有缩小，但随后回升，预计于 2026 年将达到
1423 亿元，2021 年至 2026 年的复合年增长率为 11.4%。随着越来越多的居民追求快速、简单、
方便的烹饪原料，通过 B2C 渠道销售的复合调味品的市场规模由 2017 年的 349 亿元增加至 2021
年的 595 亿元，复合年增长率为 14.3%。随着城市化推进及收入水平提高，该板块预计将以 11.5%
的复合年增长率持续增长，并于 2026 年达到 1024 亿元。</t>
  </si>
  <si>
    <t>1、 品牌优势
公司非常重视品牌建设，目前拥有“好人家”、“大红袍”、“天车”、“天味食品餐饮高端定制”四
大品牌，在家庭用户、餐饮客户心中树立了广泛的品牌认知和良好的口碑形象。公司已成长为中
国复合调味品行业的龙头企业，亦多次入选胡润中国食品行业百强榜。
1) “好人家”：品牌聚焦家庭消费市场，现已成长为中式菜品调料&amp;高端火锅底料的头部品牌，
高端火锅底料连续五年全国销量领先注，产品矩阵覆盖手工牛油火锅底料、酸菜鱼调料、小龙虾调
料、香肠调料等上百个 sku，产品畅销全球近 40 个国家及地区。
2) “大红袍”：品牌聚焦流通餐饮消费市场，现已经成长为川味火锅底料&amp;餐调的头部品牌，
川味火锅底料连续五年全国销量领先注，产品线覆盖火锅、烤鱼、串串、中餐、粉/面、小吃等多个
品类，产品畅销全国。
3) “天车”：品牌聚焦酱料类产品，拥有百年酱园，商标获得了商务部颁发的“中华老字号”
商标认证。
4) “天味食品餐饮高端定制”：品牌聚焦连锁餐饮消费市场，为大型连锁餐饮类、团餐类、餐
饮新零售类、食品工业类等客户提供专属个性化的整体解决方案，研发实力全国领先，服务全国
超 5 万家线下餐饮门店。
13/205
2022 年年度报告
（注：数据来源于中国调味品协会） 2、 营销优势
1) 布局广泛且深度下沉的营销网络
经过多年的建设和发展，公司建立了线上、线下覆盖全国的市场营销体系和强大的营销网络,
形成了以经销商为主，定制餐调、电商、直营商超为辅的营销架构。公司拥有一批长期合作、信
誉良好、销售能力强的经销商客户，公司市场网络已经覆盖全国 32 个省级地区、290 个地级行政
区，使我们的产品可以在全国超过 40 万个零售终端网点进行销售。我们亦积极拓展海外市场，产
品已远销美国、澳大利亚、西班牙、日本、新加坡、秘鲁等近 40 个国家和地区，销量在川味复合
调味品行业中处于领先地位。完善的市场营销网络为公司巩固和提高市场占有率、迅速切入潜在
市场，推出新产品发挥着重要作用。我们致力于为终端用户提供健康、便捷、美味的产品。
2) 公司推出优商和扶商的经销商分级运营模式
公司在大商策略方面采取了精细化运营的优商模式，通过销售动作标准化的业务流程保障基
本盘的增长，赋能经销商生意发展，建立利益共同体。在成长型客户的策略方面采取了扶商模式，
通过资源和关键动作聚焦的方式进行扶持成长，精准施策有效投入。销售组织设计也相应匹配客
户分级运营，保障优商和扶商模式的顺利推进。
3) 差异化、多层次的销售策略
公司针对不同地区饮食习惯、不同市场竞争状况，结合新产品研发和不同渠道特点，实行差
异化销售策略，同时推行涵盖服务营销、品牌营销、产品营销、市场推广以及终端促销的综合多
层次销售策略。上述策略有利于公司争取市场主动权，调动业务人员和经销商的积极性，使市场
反应机制更加灵活，从而增强了公司的市场营销综合竞争力。
3、 食品质量安全优势
公司一直秉持“食品安全是企业的生命线”的基本理念，把食品安全作为企业的“一把手工程”， “生命线工程”。公司先后通过了 ISO9001 质量管理体系认证、ISO22000 食品安全管理体系认
证、ISO14001 环境管理体系认证、ISO45001 职业健康安全管理体系认证和 HACCP 体系认证，构
建了完善的质量控制体系，制定并实施了系统严密的质量控制措施和环境作业规范。
公司通过对原料采购、生产过程、储存及销售的全过程进行监控，以保证各环节间可相互追
查为原则，建立健全食品企业原辅料和食品添加剂管理制度，实现源头可追溯、流向可跟踪、信
息可查询、过程可控制、产品可召回。公司质量控制以实现“三化”管理为目标，即流程程序化、
作业标准化、管理规范化的全面质量管理体系。为确保公司产品质量安全可靠，公司为实验室配
置了高效液相色谱仪（HPLC）、高效气相色谱仪、气相色谱-质谱联用仪、原子吸收分光光度仪、
万级洁净级别的微生物检验室及致病菌检验室等一批先进的检化验设备设施，具备溶剂残留、农
药残留、重金属、塑化剂、防腐剂、苏丹红、罗丹明 B、二氧化硫、黄曲霉毒素等全面的食品安
全检测能力。得益于我们全链条的食品安全风险控制以及智慧生产体系，我们通过了国际 SQF 认 证并获得了中国合格评定国家认可委员会(CNAS)颁发的认可证书。
4、 研发和技术优势
1) 技术优势
公司不仅组建了专业齐备、年龄结构合理、具有开拓精神的科研队伍，目前整个核心研发人
员 80 余人，由高学历的研发工程师、应用工程师和基础技术研究工程师组成，本科及以上学历占
比 80%以上，研究生学历占比 40%以上，中高级职称人员占比 50%以上，同时，公司非常注重自
主科研能力的提升，配备了先进的研发和分析检测设备，并依托自身的研发力量，在产品开发、
设备引进、工艺技术改良等领域取得了较好的成果。2021 年，公司作为依托单位，与四川大学、
西华大学、成都大学三家高校联合申报，通过“四川省工程技术研究中心”认定。①知识产权方
面，在技术开发过程中，申请 45 项发明专利（授权 12 项），34 项实用新型专利，保护产品具备
独特的知识产权；②标准方面，公司凭借先进技术水平，作为火锅调料、辣椒酱、炒制辣椒酱标
准起草单位，积极参与到川式调味品标准的制定与修改，现共参与 3 项国家标准和 8 项地方标准，
并作为牵头单位制定 4 项团体标准包括《牛油火锅底料》《减盐火锅底料》《老坛酸菜鱼调料》
《川式火锅底料》。此外，公司也参与了食品安全地方标准火锅底料、酸菜类调料等地方标准的
起草。③产学研方面，公司以成果转化为纽带，强化产学研结合，整合企业技术、高校、科研院
校、资金、人才，积极与西华大学、成都大学、北京工商大学、四川大学、江南大学等高等学府
14/205
2022 年年度报告
15/205
展开产学研平台合作，共同致力于新产品的研发、新技术的引进和新工艺的改良等创新工作，保
障公司的技术水平始终处于行业领先地位。
2) 生产工艺优势
公司长期致力于高品质复合调味品的研发和生产，在生产装备的自动化、智能化方面引领国
内复合调味品的技术发展。2022 年投入使用的智慧工厂新车间制造技术进一步升级，采用生产任
务中控平台一键下发、自动化设备精准配料炒制、机器人多料包投放包装、自动化立体仓储、产
品信息追溯系统等技术，其代表着当前复合调味品行业自动化、信息化、智能化的最高水平。公
司自主研发的火锅调料冷却成型生产系统、牛油火锅调料全自动包装生产线等均已获得国家专利；
火锅调料灌装工序自动化技术及装备获得中国调味品协会“新工艺”奖；2019 年 12 月好人家-手
工老火锅调料就荣获四川省食品工业科学技术奖。目前，公司获得设备技术类实用新型专利 23 项，
“火锅系列产品的研发及产业化”项目获得四川省食品工业科学技术奖“优秀成果奖一等奖”。 5、 原料优势
公司始终秉持“苛刻坚守好原料”的价值理念，真正的好产品都源自于优质的好原料。复合
调味品所使用的原料大部分为农产品，其特点是标准化程度低、风险高。为保证原料品质稳定，
公司对原料种类进行分类管理，对核心原料（酸菜、牛油等）、重点原料（豆瓣、辣椒、花椒、泡
椒等）采用“农户+合作社+原料加工基地+公司”的产业链管控模式，确保原料从源头收购、到过
程加工管理全程可追溯和可控。同时公司积极与四川省农科院、西华大学等科研高校开展酸菜、
豆瓣等原料品质攻关项目，不断提升公司原料品质和技术优势，为消费者提供品质更优的调味产
品。</t>
  </si>
  <si>
    <t>复合调味品具备便捷性、标准化、口味稳定性三大特征，近年来成为调味品行业中增速最快
的品类，主要原因为：一方面，调味品的复合化可以符合更多的年轻家庭的做饭需求，解决其不
会做饭和没时间做饭的痛点；另一方面，餐饮的连锁化发展和规范化经营推动标准复合调味料的
需求快速增长，尤其在我国，受益于火锅、快餐、方便食品的快速普及，火锅底料、复合调味料
包的消费需求在快速释放，复合调味品具有广阔的发展前景。
 虽然长期来看，复合调味品行业发展空间较大，但是2021年调味品行业的发展仍面临了不小
挑战。（1）行业需求同比增速放缓：2020 年短期需求爆发，基数较大，2021 年行业需求同比增
速明显放缓；（2）行业竞争加剧：行业的快速发展，吸引了不少资本的涌入，导致短期内供给
大增，竞争显著加剧。同时，大量跨赛道竞品入局，形成头部挤压式竞争加剧的格局；（3）利
润端承压：竞争加剧，头部企业均加大品牌及渠道建设投入以抢占市场份额，但竞品增加同时也
带来获客成本增加的趋势，使得销售费用率进一步上行，利润端承压。面对上游成本大幅周期性
上行的压力，挤占了企业的利润空间。在行业多重压力下，头部企业不断通过优化产品结构，提高生产效率和产品附加值、加强创新发展、寻求差异化方向、产业链协同、加强渠道运营及品牌建设等方式强化竞争优势，继续保持稳定而健康的发展。</t>
  </si>
  <si>
    <t>1、 品牌优势
公司非常重视品牌建设，目前拥有“好人家”、“大红袍”和“天车”三大核心品牌及“天味食品
餐饮高端定制”，并在消费者心中树立了广泛的知名度和美誉度。
1) “好人家”商标被认定为“中国驰名商标”，品牌聚焦家庭消费市场，产品线覆盖火锅调料、
中式菜品调料 2 大核心品类，拥有丰富的产品矩阵，包括手工牛油火锅底料、酸菜鱼调料、小龙
虾调料、香肠调料等上百种单品，产品畅销全球 20 多个国家及地区。
2) “大红袍”商标被认定为“中国驰名商标”，品牌聚焦非连锁餐饮消费市场，产品线覆盖火锅、
烤鱼、串串、中餐、粉/面、小吃等多个品类，产品畅销全国。
3) “天车”品牌聚焦中华传统美味，拥有百年酱园，商标获得了商务部颁发的“中华老字号”商
标认证。
4) “天味食品餐饮高端定制”品牌聚焦连锁餐饮消费市场，为大型连锁餐饮类、团餐类、餐饮
新零售类、食品工业类等客户提供专属个性化整体解决方案，研发实力全国领先，服务全国超 5
万家线下门店。
2、 营销优势
1) 覆盖全国的营销网络优势
经过多年的建设和发展，公司建立了线上、线下覆盖全国的市场营销体系和强大的营销网络,
形成了以经销商为主，定制餐调、电商、直营商超为辅的营销架构。公司拥有一批长期合作、信
誉良好、销售能力强的经销商客户，截至 2021 年 12 月 31 日，公司合作的经销商 3409 家。公司
市场网络已经覆盖全国 31 个省、自治区及直辖市，形成了四川、河南、东北三省、江苏、陕西、
甘肃、新疆、天津、北京、上海等多个优势省市以及由浙江、江西、云南等组成的快速增长区域。
随着销售网络全球化战略的实施，产品已远销美国、澳大利亚、西班牙、日本、新加坡、秘鲁等
2021 年年度报告
三十多个国家，销量在川味复合调味品行业中处于领先地位。完善的市场营销网络为公司巩固和
提高市场占有率、迅速切入潜在市场，推出新产品发挥着重要作用。我们致力于为终端用户提供
健康、便捷、美味的产品。
2) 公司推出优商和扶商的经销商分级运营模式
公司在大商策略方面采取了精细化运营的优商模式，通过销售动作标准化的业务流程保障基
本盘的增长，赋能经销商生意发展，建立利益共同体。在成长型客户的策略方面采取了扶商模式，
通过资源和关键动作聚焦的方式进行扶持成长，精准施策有效投入。销售组织设计也相应匹配客
户分级运营，保障优商和扶商模式的顺利推进。
3) 差异化、多层次的销售策略
公司针对不同地区饮食习惯、不同市场竞争状况，结合新产品研发和不同渠道特点，实行差
异化销售策略，同时推行涵盖服务营销、品牌营销、产品营销、市场推广以及终端促销的综合多
层次销售策略。上述策略有利于公司争取市场主动权，调动业务人员和经销商的积极性，使市场
反应机制更加灵活，从而增强了公司的市场营销综合竞争力。
3、 食品质量安全优势
公司一直秉持“食品安全是企业的生命线”的基本理念，把食品安全作为企业的“一把手工程”， “生命线工程”。公司先后通过了 ISO9001质量管理体系认证、ISO22000食品安全管理体系认证、
ISO14001 环境管理体系认证、ISO45001 职业健康安全管理体系认证和 HACCP 体系认证，构建
了完善的质量控制体系，制定并实施了系统严密的质量控制措施和环境作业规范。2021 年，公
司顺利入选国家级消费品标准化试点项目并获得“全国质量检验稳定合格产品”、“全国调味品行
业质量领先企业”、“全国百佳质量检验诚信标杆企业”荣誉。
公司通过对原料采购、生产过程、储存及销售的全过程进行监控，以保证各环节间可相互追
查为原则，建立健全食品企业原辅料和食品添加剂管理制度，实现源头可追溯、流向可跟踪、信
息可查询、过程可控制、产品可召回。公司质量控制以实现“三化”管理为目标，即流程程序化、
作业标准化、管理规范化的全面质量管理体系。为确保公司产品质量安全可靠，公司为实验室配
置了高效液相色谱仪（HPLC）、高效气相色谱仪、气相色谱-质谱联用仪、原子吸收分光光度仪、
万级洁净级别的微生物检验室及致病菌检验室等一批先进的检化验设备设施，具备溶剂残留、农
药残留、重金属、塑化剂、防腐剂、苏丹红、罗丹明 B、二氧化硫、黄曲霉毒素等全面的食品安
全检测能力。公司实验室获得了中国合格评定国家认可委员会（CNAS）颁发的实验室认可证书，
检测设备及检测技术在行业内处于领先水平，有力保障了公司产品的食品质量安全。
4、 研发和技术优势
1) 技术优势
公司不仅组建了专业齐备、年龄结构合理、具有开拓精神的科研队伍，目前整个核心研发人 员 80 余人，由高学历的研发工程师、应用工程师和基础技术研究工程师组成，本科及以上学历
占比 80%以上，博士、研究生学历占比 40%以上，中高级职称人员占比 50%以上，同时配备了先
进的研发和分析检测设备，还非常注重自主科研能力的提升。公司依托自身的研发力量，在产品
开发、设备引进、工艺技术改良等领域取得了良好业绩。公司中心实验室于 2019 年通过国家
CNAS 认证。2021 年，公司作为依托单位，与四川大学、西华大学、成都大学三家高校联合申报，
通过“四川省工程技术研究中心”认定。此外，在技术开发过程中，申请 37 项发明专利（授权 12
项），12 项实用新型专利，保护产品具备独特的知识产权。公司也凭借先进技术水平，作为火
锅调料、辣椒酱、炒制辣椒酱标准起草单位，积极参与到川式调味品的标准的制定与修改中，现
共参与 3 项国家标准、8 项地方标准和 4 项团体标准。此外，公司以成果转化为纽带，强化产学
研结合，整合企业技术、高校、科研院校、资金、人才，积极与西华大学、成都大学、北京工商
大学、四川大学、江南大学等高等学府展开产学研平台合作，共同致力于新产品的研发、新技术
的引进和新工艺的改良等创新工作，保障公司的技术水平始终处于行业领先地位。也参与了食品
安全地方标准火锅底料、酸菜类调料等地方标准的起草和火锅底料、炒制辣椒酱和辣椒酱国家标
准的起草和制订。同时，正在牵头四个团体标准《牛油火锅底料》《减盐火锅底料》《老坛酸菜
鱼调料》《川式火锅底料》的制订工作。
2) 生产工艺优势
公司长期致力于高品质复合调味品的研发和生产，在生产装备的自动化、智能化方面引领国
内复合调味品的技术发展。2021 年筹建的新车间制造技术进一步升级，采用了生产任务中控平
13 / 188
2021 年年度报告
14 / 188
台一键下发、自动化设备精准配料炒制、机器人多料包投放包装、自动化立体仓储、产品信息追
溯系统等技术，其代表着当前复合调味品行业自动化、信息化、智能化的最高水平。公司自主研
发的火锅调料冷却成型生产系统、牛油火锅调料全自动包装生产线等均已获得国家专利；火锅调
料灌装工序自动化技术及装备获得中国调味品协会“新工艺”奖；2019 年 12 月好人家-手工老火
锅调料就荣获四川省食品工业科学技术奖；2021 年获得设备技术类实用新型专利 23 项，“火锅
系列产品的研发及产业化”项目获得四川省食品工业科学技术奖“优秀成果奖一等奖”。
5、 原料优势
公司始终秉持“苛刻坚守好原料”的价值理念，真正的好产品都源自于优质的好原料。复合调
味品所使用的原料大部分为农产品，其特点是标准化程度低、风险高。为保证原料品质稳定，公
司对原料种类进行分类管理，对核心原料（酸菜、牛油等）、重点原料（豆瓣、辣椒、花椒、泡
椒等）采用“农户+合作社+原料加工基地+公司”的产业链管控模式，确保原料从源头收购、到过
程加工管理全程可追溯和可控。同时公司积极与四川省农科院、西华大学等科研高校开展酸菜、
豆瓣等原料品质攻关项目，不断提升公司原料品质和技术优势，为消费者提供品质更优的调味产
品。
6、 战略管理优势
战略管理是在复杂的市场竞争环境下，为企业明确发展方向的重要指引，公司非常重视发展
战略，着力培养管理层及核心骨干的战略管理能力。公司管理层和核心骨干具有长期从事中式复
合调味料研发、生产和销售的经历，具有丰富的企业管理经验及战略管理意识。
2021 年，在往年战略研讨基础上，公司通过外聘专家和顾问辅导，中高层全员参与，更加
深度分析了市场环境，洞察市场机会，梳理各品牌定位与业务设计，以找到自身增长飞轮为核心
方向，刷新 5 年战略指引，坚定稳健增长目标不动摇。在战略规划和制定的过程中，公司建立了
一整套能匹配和承接战略目标的管理制度和流程机制，核心管理团队重点关注能聚焦打胜仗的关
键任务和关键动作，确保战略落地执行</t>
  </si>
  <si>
    <t>1、 品牌优势
为适应川味复合调味料的快速消费品属性，公司非常重视品牌建设，品牌中心负责品牌策
划、推广和维护。通过多年的品牌建设，公司在行业内确立了稳固的品牌优势，公司“大红袍”、
11 / 168
2020 年年度报告
“好人家”商标被认定为“中国驰名商标”；“大红袍”、“好人家”牌川味复合调味料被认定为“四川名
牌产品”；“天车”商标获得了商务部颁发“中华老字号”商标认证，公司的品牌和产品已经在消费
者中树立了广泛的知名度和美誉度。
2、 营销优势
1) 覆盖全国的营销网络优势
经过多年的建设和发展，公司建立了线上、线下覆盖全国的市场营销体系和强大的营销网
络,形成了以经销商为主，定制餐调、电商、直营商超为辅的营销架构。公司拥有一批长期合
作、信誉良好、销售能力强的经销商客户，截止到 2020 年 12 月，公司合作的经销商 3001 家。
公司市场网络已经覆盖全国 31 个省、自治区及直辖市，形成了四川、河南、东北三省、江苏、
陕西、甘肃、新疆、天津、北京、上海等多个优势省市以及由浙江、江西、云南等组成的快速增
长区域。随着销售网络全球化战略的实施，产品已远销美国、澳大利亚、西班牙、日本、新加
坡、秘鲁等十多个国家，销量在川味复合调味品行业中处于领先地位。完善的市场营销网络为公
司巩固和提高市场占有率、迅速切入潜在市场，推出新产品发挥着重要作用。我们致力于为终端
用户提供健康、便捷、美味的产品。
2) 业内领先的顾问式营销模式
公司建立了一整套符合市场特点的营销管理体系，拥有一支经验丰富、执行力强、忠诚度高
的专业化营销队伍。公司的营销管理模式以顾问式为核心，营销团队同时也是经销商的管理咨询
顾问团队，通过组织培训课程，对业务人员、经销商开展系统培训，持续提升销售人员和经销商
的营销技巧。同时，公司建立并使用了 SAP 系统等现代电子管理体系及平台，充分运用现代电
子信息技术收集市场信息和经销商反馈，通过对铺市率、库存数、上架数等指标的分析制定适合
各个经销商的个性化销售策略和考核指标，并派驻业务代表对经销商进行指导、督促。
3) 差异化、多层次的销售策略
公司针对不同地区饮食习惯、不同市场竞争状况，结合新产品研发和不同渠道特点，实行差
异化销售策略，同时推行涵盖服务营销、品牌营销、产品营销、市场推广以及终端促销的综合多
层次销售策略。上述策略有利于公司争取市场主动权，调动业务人员和经销商的积极性，使市场
反应机制更加灵活，从而增强了公司的市场营销综合竞争力。
3、 食品质量安全优势
公司一直秉持“食品安全是企业的生命线”的基本理念，把食品安全作为企业的“一把手工
程”，“生命线工程”。公司先后通过了 ISO9001 质量管理体系认证、ISO22000 食品安全管理体系
认证、ISO14001 环境管理体系认证、OHSAS18001 职业健康安全管理体系认证和 HACCP 体系
认证，构建了完善的质量控制体系，制定并实施了系统严密的质量控制措施和环境作业规范。公
司被四川省质量协会评定为“四川省 2016 年度实施卓越绩效模式先进企业”，被中国质量协会评
定为“2017 年全国实施卓越绩效模式先进企业”，并在 2017 年中国食品安全年会中被授予“2017
年度中国食品安全年会百家诚信示范单位”。
公司通过对原料采购、生产过程、储存及销售的全过程进行监控，以保证各环节间可相互追
查为原则，建立健全食品企业原辅料和食品添加剂登记备案监控体系，实现源头可追溯、流向可
跟踪、信息可查询、过程可控制、产品可召回。公司质量控制以实现“三化”管理为目标，即流程
程序化、作业标准化、管理规范化的全面质量管理体系。
为确保公司产品质量安全可靠，公司为实验室配置了高效液相色谱仪（HPLC）、高效气相
色谱仪、气相色谱-质谱联用仪、原子吸收分光光度仪、万级洁净级别的微生物检验室及致病菌
检验室等一批先进的检化验设备设施，具备溶剂残留、农药残留、重金属、塑化剂、防腐剂、苏
丹红、罗丹明 B、二氧化硫、黄曲霉素等全面的食品安全检测能力。公司实验室获得了中国合格
评定国家认可委员会（CNAS）颁发的实验室认可证书，检测设备及检测技术在行业内处于领先
水平，有力保障了公司产品的食品质量安全。
12 / 168
2020 年年度报告
4、 研发和技术优势
1) 技术优势
公司不仅组建了专业齐备、年龄结构合理、具有开拓精神的科研队伍，配备了先进的研发和
分析检测设备，还非常注重自主科研能力的提升，依托自身的研发力量，在产品开发、设备引
进、工艺技术改良等领域取得了良好业绩。公司创新与研究中心于 2010 年 10 月被评为四川省企
业技术中心，取得了“火锅底料灌装自动化技术及装备”等科技成果。公司中心实验室于 2019 年
通过国家 CNAS 认证。此外，在技术开发过程中，申请 31 项发明专利（授权 12 项），9 项实用
新型专利，保护产品具备独特的知识产权。公司也凭借先进技术水平，作为火锅底料、辣椒酱、
炒制辣椒酱标准起草单位，积极参与到川式调味品的标准的制定与修改中，现共参与 3 项国家标
准、10 项地方标准。此外，公司以成果转化为纽带，强化产学研结合，整合企业技术、高校、
科研院校、资金、人才，积极与西华大学、成都大学、北京工商大学、四川大学、江南大学等高
等学府展开产学研平台合作，共同致力于新产品的研发、新技术的引进和新工艺的改良等创新工
作，保障公司的技术水平始终处于行业领先地位。也参与了食品安全地方标准火锅底料、食品安
全地方标准半固态复合调味料、酸菜类调料等地方标准的起草。目前正在牵头四个团体标准《牛
油火锅底料》《减盐火锅底料》《酸菜鱼调料》《川式火锅底料》的制定工作。
2) 生产工艺优势
公司长期致力于研发和生产高品质复合调味品，其生产装备自动化、智能化技术的不断升级
运用，长期引领我国复合调味品技术发展方向。正在筹建的新车间将在设备和生产工艺上进行全
面升级革新，从而让我们的制造水平再次引领整个复合调味品行业，也是当前行业自动化、智能
化程度最高水准，将再次引领复合调味品行业的生产技术上升到一个新的高度。公司研发的火锅
底料冷却成型生产系统、牛油火锅底料全自动包装生产线等已获得国家专利。火锅底料灌装工序
自动化技术及装备获得了中国调味品协会“新工艺”奖。2019 年 12 月好人家-手工老火锅底料获得
四川省食品工业科学技术奖。
5、 产品配方优势
一个好的调味品最重要的评判标准就是品质。只有好的质量和风味才能被消费者认可，而这
些重要的基础就是产品配方。在质量上，我们严格按照法律法规要求设计配方，同时为了保证保
质期内产品的稳定，特别对中试样品进行 3-4 个月的破坏性验证实验，以满足产品货架期内安全
性和稳定性的要求。在对消费者需求进行调研和论证的基础上，我们借助市场采风和餐饮的经
验，对经市场和消费者认可的产品进行细致的感官品评和理化分析，对优点和特点进行提炼和转
化，最终形成公司的独特配方。我们所开发的产品贴近于餐饮和家庭，健康美味。近年来公司陆
续开发出手工火锅底料、酸萝卜老鸭汤调料、老坛酸菜鱼调料、青花椒鱼调料、新疆大盘鸡调
料、靓汤酸菜鱼调料，粉蒸肉调料等新配方和新产品，获得了消费者的喜爱和市场的认可。
6、 原料优势
公司始终秉持“苛刻坚守好原料”的价值理念，真正的好产品都源自于优质的好原料。复合调
味品所使用的原料大部分为农产品，其特点是标准化程度低、风险高。为保证原料品质稳定，公
司对原料种类进行分类管理，对核心原料（酸菜、牛油等）、重点原料（豆瓣、辣椒、花椒、泡
椒等）采用“农户+合作社+原料加工基地+公司”的产业链管控模式，确保原料从源头收购、到过
程加工管理全程可追溯和可控。同时公司积极与四川省农科院、西华大学等科研高校开展酸菜、
豆瓣、牛油等原料品质攻关项目，不断提升公司原料品质和技术优势，为消费者提供品质更优的
调味产品。
7、 管理优势
公司管理层和业务骨干具有长期从事川味复合调味料研发、生产和销售的经历，具有丰富的
企业管理经验。公司管理团队经验丰富、整体素质较高，对我国川味复合调味料市场具有深刻的
认识，对行业发展趋势具有敏锐的洞察力和把握能力，并具有较强的战略规划能力和执行力。同
13 / 168
2020 年年度报告
14 / 168
时，在消化吸收众多先进企业管理经验的基础上，公司建立了一整套适应企业和行业发展的管理
制度和严密的内部控制制度，培养出一支经验丰富、善于应用现代经营管理方法的高水平管理人
才队伍。</t>
  </si>
  <si>
    <t>1、品牌优势
为适应川味复合调味料的快速消费品属性，公司非常重视品牌建设，营销中心下设品牌部负
责品牌策划、推广和维护。通过多年的品牌建设，本公司在行业内确立了稳固的品牌优势，公司“大
红袍”、“好人家”商标被认定为“中国驰名商标”；“大红袍”、“好人家”牌川味复合调味料被认定为“四
川名牌产品称号”；“天车”商标获得了商务部颁发“中华老字号”商标认证，公司的品牌和产品已经
在消费者中树立了广泛的知名度和美誉度。
2、营销优势
（1）覆盖全国的营销网络优势
经过多年的建设和发展，公司建立了覆盖全国的市场营销体系，形成了以经销商为主，定制
餐调、电商、直营商超为辅的营销架构。公司拥有一批长期合作、信誉良好、销售能力强的经销
商客户，截止到 2019 年 12 月，公司合作的经销商 1221 家，销售网络覆盖约 36 万个零售终端、
5.96 万个商超卖场和 4.8 万家餐饮连锁单店，公司市场网络已经覆盖全国 31 个省、自治区及直辖
市，形成了四川、河南、东北三省、江苏、陕西、甘肃、新疆、天津、北京、上海等多个优势省
2019 年年度报告
市以及由浙江、江西、云南等组成的快速增长区域。完善的市场营销网络为公司巩固和提高市场
占有率、迅速切入潜在市场、推出新产品发挥着重要作用。
（2）业内领先的顾问式营销模式
公司建立了一整套符合市场特点的营销管理体系，拥有一支经验丰富、执行力强、忠诚度高
的专业化营销队伍。公司的营销管理模式以顾问式为核心，营销团队同时也是经销商的管理咨询
顾问团队，通过组织培训课程，对业务人员、经销商开展系统培训，持续提升销售人员和经销商
的营销技巧。同时，公司建立并使用了 ERP（企业资源计划系统）等现代电子管理体系及平台，
充分运用现代电子信息技术收集市场信息和经销商反馈，通过对铺市率、库存数、上架数等指标
的分析制定适合各个经销商的个性化销售策略和考核指标，并派驻业务代表对经销商进行指导、
督促。
（3）差异化、多层次的销售策略
公司针对不同地区饮食习惯、不同市场竞争状况，结合新产品研发和不同渠道特点，实行差
异化销售策略，同时推行涵盖服务营销、品牌营销、产品营销、市场推广以及终端促销的综合多
层次销售策略。上述策略有利于公司争取市场主动权，调动业务人员和经销商的积极性，使市场
反应机制更加灵活，从而增强了公司的市场营销综合竞争力。
3、食品质量安全优势
公司一直秉持“食品安全是企业的生命线”的基本理念,把食品安全作为企业的“一把手工程”，
“生命线工程”。公司先后通过了 ISO9001 质量管理体系认证、ISO22000 食品安全管理体系认证、
ISO14001 环境管理体系认证、OHSAS18001 职业健康安全管理体系认证和 HACCP 体系认证，构
建了完善的质量控制体系，制定并实施了系统严密的质量控制措施和环境作业规范。公司被四川
省质量协会评定为“四川省 2016 年度实施卓越绩效模式先进企业”，被中国质量协会评定为“2017
年全国实施卓越绩效模式先进企业”，并在 2017 年中国食品安全年会中被授予“2017 年度中国食
品安全年会百家诚信示范单位”。
公司通过对原料采购、生产过程、储存及销售的全过程进行监控，公司以保证各环节间可相
互追查为原则，建立健全食品企业原辅料和食品添加剂登记备案监控体系，实现源头可追溯、流
向可跟踪、信息可查询、过程可控制、产品可召回。公司质量控制以实现“三化”管理为目标，即
流程程序化、作业标准化、管理规范化的全面质量管理体系。
为确保公司产品质量安全可靠，公司为实验室配置了高效液相色谱仪（HPLC）、高效气相色
谱仪、气相色谱-质谱联用仪、原子吸收分光光度仪、万级洁净级别的微生物检验室及致病菌检验
室等一批先进的检化验设备设施，具备溶剂残留、农药残留、重金属、塑化剂、防腐剂、苏丹红、
罗丹明 B、二氧化硫、黄曲霉素等全面的食品安全检测能力。公司实验室获得了中国合格评定国
家认可委员会（CNAS）颁发的实验室认可证书，检测设备及检测技术在行业内处于领先水平，
有力保障了公司产品的食品质量安全。
4、研发和技术优势
（1）技术优势
公司组建了专业齐备、年龄结构合理、具有开拓精神的科研队伍，配备了先进的研发和分析
检测设备。主要核心技术人员长期从事调味品的生产和研发工作，能够综合运用食品工程、食品
安全与营养、食品分析与检验等技术进行研发。公司创新与研究中心于 2010 年 10 月被评为四川
省企业技术中心，取得了“火锅底料灌装自动化技术及装备”等科技成果。公司中心实验室于 2019
年通过国家 CNAS 认证。此外，公司还是火锅底料、辣椒酱、炒制辣椒酱国家标准的起草单位之
一，也参与了食品安全地方标准火锅底料、食品安全地方标准半固态复合调味料、酸菜类调料等
地方标准的起草。公司目前拥有发明专利 12 项。每年新申请发明专利 8 项以上，每年在国家核心
期刊发表专业论文 2-3 篇。
（2）生产工艺优势
川味复合调味料的生产技术日新月异，全自动炒制技术、全自动输送灌装技术、火锅底料称
量和冷却成型技术、全自动外包装技术等已在复合调料企业广泛使用。公司一直致力于生产技术
的创新与研发。正在筹建的新车间注重最新的自动化和智能化技术的应用，真正将调味品的生产
技术引领到一个新的台阶。公司研发的火锅底料冷却成型生产系统、牛油火锅底料全自动包装生
产线等已获得国家专利。火锅底料灌装工序自动化技术及装备获得了中国调味品协会“新工艺”
奖。2019 年 12 月好人家-手工老火锅底料获得四川省食品工业科学技术奖。
5、产品配方优势
一个好的调味品最重要的评判标准就是品质。只有好的质量和风味才能被消费者认可，而这
些重要的基础就是产品配方。在质量上，我们严格按照法律法规要求设计配方，同时为了保证保
质期内产品的稳定，特别对中试样品进行 3-4 个月的破坏性验证实验，以满足产品货架期内安全
性和稳定性的要求。在对消费者需求进行调研和论证的基础上，我们借助市场采风和餐饮的经验，
对经市场和消费者认可的产品进行细致的感官品评和理化分析，对优点和特点进行提炼和转化，
最终形成公司的独特配方。我们所开发的产品贴近于餐饮和家庭，健康美味。近年来公司陆续开
发出手工火锅底料、酸萝卜老鸭汤调料、老坛酸菜鱼调料、青花椒鱼调料、新疆大盘鸡调料、靓
汤酸菜鱼调料，粉蒸肉调料等新配方和新产品，获得了消费者的喜爱和市场的认可。
6、原料优势
公司始终秉持“苛刻坚守好原料”的价值理念，真正的好产品都源自于优质的好原料。复合
调味品所使用的原料大部分为农产品，其特点是标准化程度低、风险高。为保证原料品质稳定，
公司对原料种类进行分类管理，对核心原料（酸菜、牛油等）、重点原料（豆瓣、辣椒、花椒、
泡椒等）采用“农户+合作社+原料加工基地+公司”的产业链管控模式，确保原料从源头收购、
到过程加工管理全程可追溯和可控。同时公司积极与四川省农科院、西华大学等科研高校开展酸
菜、豆瓣、牛油等原料品质攻关项目，不断提升公司原料品质和技术优势，为消费者提供品质更
优的调味产品。
7、管理优势
公司管理层和业务骨干具有长期从事川味复合调味料研发、生产和销售的经历，具有丰富的
企业管理经验。公司管理团队经验丰富、整体素质较高，对我国川味复合调味料市场具有深刻的
认识，对行业发展趋势具有敏锐的洞察力和把握能力，并具有较强的战略规划能力和执行力。同
时，在消化吸收众多先进企业管理经验的基础上，公司建立了一整套适应企业和行业发展的管理
14 / 226
2019 年年度报告
制度和严密的内部控制制度，培养出一支经验丰富、善于应用现代经营管理方法的高水平管理人
才队伍。</t>
  </si>
  <si>
    <t>使命</t>
  </si>
  <si>
    <t>价值观</t>
  </si>
  <si>
    <t>企业管理层素质</t>
  </si>
  <si>
    <t>团队协同性</t>
  </si>
  <si>
    <t>改革</t>
  </si>
  <si>
    <t>危机管理</t>
  </si>
  <si>
    <t>发展方式</t>
  </si>
  <si>
    <t>信仰</t>
  </si>
  <si>
    <t>远见</t>
  </si>
  <si>
    <t>爱惜人才</t>
  </si>
  <si>
    <t>韧性</t>
  </si>
  <si>
    <t>招聘要求</t>
  </si>
  <si>
    <t>人员管理</t>
  </si>
  <si>
    <t>解雇</t>
  </si>
  <si>
    <t>有机成长</t>
  </si>
  <si>
    <t>并购</t>
  </si>
  <si>
    <t>经营模式</t>
  </si>
  <si>
    <t>资产变动</t>
  </si>
  <si>
    <t>损益变动</t>
  </si>
  <si>
    <t>当前的自由现金流</t>
  </si>
  <si>
    <t>增长率</t>
  </si>
  <si>
    <t>以当前增长率可持续增长的时间</t>
  </si>
  <si>
    <t>折现率</t>
  </si>
  <si>
    <t>购买原材料进行深加工，然后进行出售</t>
  </si>
  <si>
    <t xml:space="preserve">现金
原材料+机器+厂房
半成品
成品
现金
</t>
  </si>
  <si>
    <t xml:space="preserve">采购机器的费用
建设厂房的费用
采购原材料的费用
</t>
  </si>
  <si>
    <t>利润扣除实际的资产折旧和长期摊销</t>
  </si>
  <si>
    <t>取十 年期国债收益率的平均值、最小值、最大值-----加权平均值</t>
  </si>
  <si>
    <t>取十年资金成本率的平均值、最小值、最大值-----加权平均值</t>
  </si>
  <si>
    <t>财务报告的完整性和公平性</t>
  </si>
  <si>
    <t>商业环境</t>
  </si>
  <si>
    <t>经营状况</t>
  </si>
  <si>
    <t>注释情况</t>
  </si>
  <si>
    <t>年报披露时间</t>
  </si>
  <si>
    <t xml:space="preserve"> 2023/04/26</t>
  </si>
  <si>
    <t>星期三</t>
  </si>
  <si>
    <t>星期五</t>
  </si>
  <si>
    <t>星期四</t>
  </si>
  <si>
    <t>星期二</t>
  </si>
  <si>
    <t xml:space="preserve"> 2018-05-12</t>
  </si>
  <si>
    <t>星期六</t>
  </si>
  <si>
    <t>董事会成员</t>
  </si>
  <si>
    <t>持股情况</t>
  </si>
  <si>
    <t>背景</t>
  </si>
  <si>
    <t>董事会成员在公司的持股情况</t>
  </si>
  <si>
    <t>长期目标的变化</t>
  </si>
  <si>
    <t>经营策略</t>
  </si>
  <si>
    <t>向股东披露信息的态度</t>
  </si>
  <si>
    <t>投资的依据</t>
  </si>
  <si>
    <t>对长期的目标专注程度</t>
  </si>
  <si>
    <t>债务的使用情况</t>
  </si>
</sst>
</file>

<file path=xl/styles.xml><?xml version="1.0" encoding="utf-8"?>
<styleSheet xmlns="http://schemas.openxmlformats.org/spreadsheetml/2006/main">
  <numFmts count="5">
    <numFmt numFmtId="176" formatCode="#,##0.00_ "/>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4">
    <font>
      <sz val="11"/>
      <color theme="1"/>
      <name val="宋体"/>
      <charset val="134"/>
      <scheme val="minor"/>
    </font>
    <font>
      <sz val="10.55"/>
      <color rgb="FF000000"/>
      <name val="宋体"/>
      <charset val="134"/>
      <scheme val="minor"/>
    </font>
    <font>
      <sz val="11"/>
      <color rgb="FF202124"/>
      <name val="宋体"/>
      <charset val="134"/>
      <scheme val="minor"/>
    </font>
    <font>
      <sz val="11"/>
      <color rgb="FF000000"/>
      <name val="宋体"/>
      <charset val="134"/>
    </font>
    <font>
      <sz val="1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sz val="11"/>
      <color rgb="FF9C6500"/>
      <name val="宋体"/>
      <charset val="0"/>
      <scheme val="minor"/>
    </font>
    <font>
      <u/>
      <sz val="11"/>
      <color rgb="FF0000FF"/>
      <name val="宋体"/>
      <charset val="0"/>
      <scheme val="minor"/>
    </font>
    <font>
      <b/>
      <sz val="18"/>
      <color theme="3"/>
      <name val="宋体"/>
      <charset val="134"/>
      <scheme val="minor"/>
    </font>
    <font>
      <u/>
      <sz val="11"/>
      <color rgb="FF800080"/>
      <name val="宋体"/>
      <charset val="0"/>
      <scheme val="minor"/>
    </font>
    <font>
      <sz val="11"/>
      <color rgb="FFFF0000"/>
      <name val="宋体"/>
      <charset val="0"/>
      <scheme val="minor"/>
    </font>
    <font>
      <i/>
      <sz val="11"/>
      <color rgb="FF7F7F7F"/>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b/>
      <sz val="11"/>
      <color theme="3"/>
      <name val="宋体"/>
      <charset val="134"/>
      <scheme val="minor"/>
    </font>
    <font>
      <b/>
      <sz val="15"/>
      <color theme="3"/>
      <name val="宋体"/>
      <charset val="134"/>
      <scheme val="minor"/>
    </font>
    <font>
      <sz val="11"/>
      <color rgb="FF006100"/>
      <name val="宋体"/>
      <charset val="0"/>
      <scheme val="minor"/>
    </font>
    <font>
      <b/>
      <sz val="11"/>
      <color rgb="FFFA7D00"/>
      <name val="宋体"/>
      <charset val="0"/>
      <scheme val="minor"/>
    </font>
    <font>
      <sz val="11"/>
      <color rgb="FF3F3F76"/>
      <name val="宋体"/>
      <charset val="0"/>
      <scheme val="minor"/>
    </font>
    <font>
      <b/>
      <sz val="11"/>
      <color rgb="FF3F3F3F"/>
      <name val="宋体"/>
      <charset val="0"/>
      <scheme val="minor"/>
    </font>
  </fonts>
  <fills count="51">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rgb="FF92D050"/>
        <bgColor indexed="64"/>
      </patternFill>
    </fill>
    <fill>
      <patternFill patternType="solid">
        <fgColor theme="0" tint="-0.5"/>
        <bgColor indexed="64"/>
      </patternFill>
    </fill>
    <fill>
      <patternFill patternType="solid">
        <fgColor rgb="FFFFC000"/>
        <bgColor indexed="64"/>
      </patternFill>
    </fill>
    <fill>
      <patternFill patternType="solid">
        <fgColor rgb="FFFFFF00"/>
        <bgColor indexed="64"/>
      </patternFill>
    </fill>
    <fill>
      <patternFill patternType="solid">
        <fgColor rgb="FFC00000"/>
        <bgColor indexed="64"/>
      </patternFill>
    </fill>
    <fill>
      <patternFill patternType="solid">
        <fgColor rgb="FF00B0F0"/>
        <bgColor indexed="64"/>
      </patternFill>
    </fill>
    <fill>
      <patternFill patternType="solid">
        <fgColor rgb="FF0070C0"/>
        <bgColor indexed="64"/>
      </patternFill>
    </fill>
    <fill>
      <patternFill patternType="solid">
        <fgColor theme="7" tint="0.6"/>
        <bgColor indexed="64"/>
      </patternFill>
    </fill>
    <fill>
      <patternFill patternType="solid">
        <fgColor theme="8" tint="0.6"/>
        <bgColor indexed="64"/>
      </patternFill>
    </fill>
    <fill>
      <patternFill patternType="solid">
        <fgColor theme="7"/>
        <bgColor indexed="64"/>
      </patternFill>
    </fill>
    <fill>
      <patternFill patternType="solid">
        <fgColor theme="5" tint="0.4"/>
        <bgColor indexed="64"/>
      </patternFill>
    </fill>
    <fill>
      <patternFill patternType="solid">
        <fgColor theme="7" tint="0.4"/>
        <bgColor indexed="64"/>
      </patternFill>
    </fill>
    <fill>
      <patternFill patternType="solid">
        <fgColor theme="5" tint="-0.25"/>
        <bgColor indexed="64"/>
      </patternFill>
    </fill>
    <fill>
      <patternFill patternType="solid">
        <fgColor theme="4" tint="0.8"/>
        <bgColor indexed="64"/>
      </patternFill>
    </fill>
    <fill>
      <patternFill patternType="solid">
        <fgColor theme="4" tint="0.4"/>
        <bgColor indexed="64"/>
      </patternFill>
    </fill>
    <fill>
      <patternFill patternType="solid">
        <fgColor theme="5" tint="0.6"/>
        <bgColor indexed="64"/>
      </patternFill>
    </fill>
    <fill>
      <patternFill patternType="solid">
        <fgColor theme="5" tint="0.8"/>
        <bgColor indexed="64"/>
      </patternFill>
    </fill>
    <fill>
      <patternFill patternType="solid">
        <fgColor theme="4" tint="0.599993896298105"/>
        <bgColor indexed="64"/>
      </patternFill>
    </fill>
    <fill>
      <patternFill patternType="solid">
        <fgColor theme="9"/>
        <bgColor indexed="64"/>
      </patternFill>
    </fill>
    <fill>
      <patternFill patternType="solid">
        <fgColor theme="4"/>
        <bgColor indexed="64"/>
      </patternFill>
    </fill>
    <fill>
      <patternFill patternType="solid">
        <fgColor rgb="FFFFEB9C"/>
        <bgColor indexed="64"/>
      </patternFill>
    </fill>
    <fill>
      <patternFill patternType="solid">
        <fgColor theme="8"/>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5"/>
        <bgColor indexed="64"/>
      </patternFill>
    </fill>
    <fill>
      <patternFill patternType="solid">
        <fgColor rgb="FFC6EFCE"/>
        <bgColor indexed="64"/>
      </patternFill>
    </fill>
    <fill>
      <patternFill patternType="solid">
        <fgColor rgb="FFFFFFCC"/>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2F2F2"/>
        <bgColor indexed="64"/>
      </patternFill>
    </fill>
    <fill>
      <patternFill patternType="solid">
        <fgColor theme="5" tint="0.799981688894314"/>
        <bgColor indexed="64"/>
      </patternFill>
    </fill>
    <fill>
      <patternFill patternType="solid">
        <fgColor rgb="FFFFCC99"/>
        <bgColor indexed="64"/>
      </patternFill>
    </fill>
    <fill>
      <patternFill patternType="solid">
        <fgColor theme="7" tint="0.399975585192419"/>
        <bgColor indexed="64"/>
      </patternFill>
    </fill>
  </fills>
  <borders count="17">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7" fillId="32" borderId="0" applyNumberFormat="0" applyBorder="0" applyAlignment="0" applyProtection="0">
      <alignment vertical="center"/>
    </xf>
    <xf numFmtId="0" fontId="6" fillId="34" borderId="0" applyNumberFormat="0" applyBorder="0" applyAlignment="0" applyProtection="0">
      <alignment vertical="center"/>
    </xf>
    <xf numFmtId="0" fontId="7" fillId="13" borderId="0" applyNumberFormat="0" applyBorder="0" applyAlignment="0" applyProtection="0">
      <alignment vertical="center"/>
    </xf>
    <xf numFmtId="0" fontId="22" fillId="49" borderId="14" applyNumberFormat="0" applyAlignment="0" applyProtection="0">
      <alignment vertical="center"/>
    </xf>
    <xf numFmtId="0" fontId="6" fillId="37" borderId="0" applyNumberFormat="0" applyBorder="0" applyAlignment="0" applyProtection="0">
      <alignment vertical="center"/>
    </xf>
    <xf numFmtId="0" fontId="6" fillId="46" borderId="0" applyNumberFormat="0" applyBorder="0" applyAlignment="0" applyProtection="0">
      <alignment vertical="center"/>
    </xf>
    <xf numFmtId="44" fontId="0" fillId="0" borderId="0" applyFont="0" applyFill="0" applyBorder="0" applyAlignment="0" applyProtection="0">
      <alignment vertical="center"/>
    </xf>
    <xf numFmtId="0" fontId="7" fillId="44" borderId="0" applyNumberFormat="0" applyBorder="0" applyAlignment="0" applyProtection="0">
      <alignment vertical="center"/>
    </xf>
    <xf numFmtId="9" fontId="0" fillId="0" borderId="0" applyFont="0" applyFill="0" applyBorder="0" applyAlignment="0" applyProtection="0">
      <alignment vertical="center"/>
    </xf>
    <xf numFmtId="0" fontId="7" fillId="36" borderId="0" applyNumberFormat="0" applyBorder="0" applyAlignment="0" applyProtection="0">
      <alignment vertical="center"/>
    </xf>
    <xf numFmtId="0" fontId="7" fillId="35" borderId="0" applyNumberFormat="0" applyBorder="0" applyAlignment="0" applyProtection="0">
      <alignment vertical="center"/>
    </xf>
    <xf numFmtId="0" fontId="7" fillId="38" borderId="0" applyNumberFormat="0" applyBorder="0" applyAlignment="0" applyProtection="0">
      <alignment vertical="center"/>
    </xf>
    <xf numFmtId="0" fontId="7" fillId="42" borderId="0" applyNumberFormat="0" applyBorder="0" applyAlignment="0" applyProtection="0">
      <alignment vertical="center"/>
    </xf>
    <xf numFmtId="0" fontId="7" fillId="50" borderId="0" applyNumberFormat="0" applyBorder="0" applyAlignment="0" applyProtection="0">
      <alignment vertical="center"/>
    </xf>
    <xf numFmtId="0" fontId="21" fillId="47" borderId="14" applyNumberFormat="0" applyAlignment="0" applyProtection="0">
      <alignment vertical="center"/>
    </xf>
    <xf numFmtId="0" fontId="7" fillId="23" borderId="0" applyNumberFormat="0" applyBorder="0" applyAlignment="0" applyProtection="0">
      <alignment vertical="center"/>
    </xf>
    <xf numFmtId="0" fontId="9" fillId="24" borderId="0" applyNumberFormat="0" applyBorder="0" applyAlignment="0" applyProtection="0">
      <alignment vertical="center"/>
    </xf>
    <xf numFmtId="0" fontId="6" fillId="41" borderId="0" applyNumberFormat="0" applyBorder="0" applyAlignment="0" applyProtection="0">
      <alignment vertical="center"/>
    </xf>
    <xf numFmtId="0" fontId="20" fillId="39" borderId="0" applyNumberFormat="0" applyBorder="0" applyAlignment="0" applyProtection="0">
      <alignment vertical="center"/>
    </xf>
    <xf numFmtId="0" fontId="6" fillId="45" borderId="0" applyNumberFormat="0" applyBorder="0" applyAlignment="0" applyProtection="0">
      <alignment vertical="center"/>
    </xf>
    <xf numFmtId="0" fontId="17" fillId="0" borderId="12" applyNumberFormat="0" applyFill="0" applyAlignment="0" applyProtection="0">
      <alignment vertical="center"/>
    </xf>
    <xf numFmtId="0" fontId="16" fillId="31" borderId="0" applyNumberFormat="0" applyBorder="0" applyAlignment="0" applyProtection="0">
      <alignment vertical="center"/>
    </xf>
    <xf numFmtId="0" fontId="15" fillId="30" borderId="11" applyNumberFormat="0" applyAlignment="0" applyProtection="0">
      <alignment vertical="center"/>
    </xf>
    <xf numFmtId="0" fontId="23" fillId="47" borderId="16" applyNumberFormat="0" applyAlignment="0" applyProtection="0">
      <alignment vertical="center"/>
    </xf>
    <xf numFmtId="0" fontId="19" fillId="0" borderId="10" applyNumberFormat="0" applyFill="0" applyAlignment="0" applyProtection="0">
      <alignment vertical="center"/>
    </xf>
    <xf numFmtId="0" fontId="14" fillId="0" borderId="0" applyNumberFormat="0" applyFill="0" applyBorder="0" applyAlignment="0" applyProtection="0">
      <alignment vertical="center"/>
    </xf>
    <xf numFmtId="0" fontId="6" fillId="48" borderId="0" applyNumberFormat="0" applyBorder="0" applyAlignment="0" applyProtection="0">
      <alignment vertical="center"/>
    </xf>
    <xf numFmtId="0" fontId="18"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43" borderId="0" applyNumberFormat="0" applyBorder="0" applyAlignment="0" applyProtection="0">
      <alignment vertical="center"/>
    </xf>
    <xf numFmtId="43"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6" fillId="29" borderId="0" applyNumberFormat="0" applyBorder="0" applyAlignment="0" applyProtection="0">
      <alignment vertical="center"/>
    </xf>
    <xf numFmtId="0" fontId="13" fillId="0" borderId="0" applyNumberFormat="0" applyFill="0" applyBorder="0" applyAlignment="0" applyProtection="0">
      <alignment vertical="center"/>
    </xf>
    <xf numFmtId="0" fontId="7" fillId="28" borderId="0" applyNumberFormat="0" applyBorder="0" applyAlignment="0" applyProtection="0">
      <alignment vertical="center"/>
    </xf>
    <xf numFmtId="0" fontId="0" fillId="40" borderId="13" applyNumberFormat="0" applyFont="0" applyAlignment="0" applyProtection="0">
      <alignment vertical="center"/>
    </xf>
    <xf numFmtId="0" fontId="6" fillId="27" borderId="0" applyNumberFormat="0" applyBorder="0" applyAlignment="0" applyProtection="0">
      <alignment vertical="center"/>
    </xf>
    <xf numFmtId="0" fontId="7" fillId="25" borderId="0" applyNumberFormat="0" applyBorder="0" applyAlignment="0" applyProtection="0">
      <alignment vertical="center"/>
    </xf>
    <xf numFmtId="0" fontId="6" fillId="33" borderId="0" applyNumberFormat="0" applyBorder="0" applyAlignment="0" applyProtection="0">
      <alignment vertical="center"/>
    </xf>
    <xf numFmtId="0" fontId="10" fillId="0" borderId="0" applyNumberFormat="0" applyFill="0" applyBorder="0" applyAlignment="0" applyProtection="0">
      <alignment vertical="center"/>
    </xf>
    <xf numFmtId="41" fontId="0" fillId="0" borderId="0" applyFont="0" applyFill="0" applyBorder="0" applyAlignment="0" applyProtection="0">
      <alignment vertical="center"/>
    </xf>
    <xf numFmtId="0" fontId="8" fillId="0" borderId="10" applyNumberFormat="0" applyFill="0" applyAlignment="0" applyProtection="0">
      <alignment vertical="center"/>
    </xf>
    <xf numFmtId="0" fontId="6" fillId="26" borderId="0" applyNumberFormat="0" applyBorder="0" applyAlignment="0" applyProtection="0">
      <alignment vertical="center"/>
    </xf>
    <xf numFmtId="0" fontId="18" fillId="0" borderId="15" applyNumberFormat="0" applyFill="0" applyAlignment="0" applyProtection="0">
      <alignment vertical="center"/>
    </xf>
    <xf numFmtId="0" fontId="7" fillId="22" borderId="0" applyNumberFormat="0" applyBorder="0" applyAlignment="0" applyProtection="0">
      <alignment vertical="center"/>
    </xf>
    <xf numFmtId="0" fontId="6" fillId="21" borderId="0" applyNumberFormat="0" applyBorder="0" applyAlignment="0" applyProtection="0">
      <alignment vertical="center"/>
    </xf>
    <xf numFmtId="0" fontId="5" fillId="0" borderId="9" applyNumberFormat="0" applyFill="0" applyAlignment="0" applyProtection="0">
      <alignment vertical="center"/>
    </xf>
  </cellStyleXfs>
  <cellXfs count="157">
    <xf numFmtId="0" fontId="0" fillId="0" borderId="0" xfId="0">
      <alignment vertical="center"/>
    </xf>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0" xfId="0" applyAlignment="1">
      <alignment vertical="center"/>
    </xf>
    <xf numFmtId="0" fontId="0" fillId="0" borderId="2" xfId="0" applyBorder="1" applyAlignment="1">
      <alignment horizontal="center" vertical="center" wrapText="1"/>
    </xf>
    <xf numFmtId="0" fontId="0" fillId="0" borderId="2" xfId="0" applyBorder="1" applyAlignment="1">
      <alignment horizontal="center" vertical="center"/>
    </xf>
    <xf numFmtId="14" fontId="0" fillId="0" borderId="2" xfId="0" applyNumberFormat="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2" xfId="0" applyBorder="1" applyAlignment="1">
      <alignment horizontal="center" vertical="center"/>
    </xf>
    <xf numFmtId="0" fontId="0" fillId="0" borderId="2" xfId="0" applyBorder="1">
      <alignment vertical="center"/>
    </xf>
    <xf numFmtId="0" fontId="0" fillId="0" borderId="0" xfId="0" applyFill="1" applyAlignment="1">
      <alignment horizontal="center" vertical="center"/>
    </xf>
    <xf numFmtId="0" fontId="0" fillId="0" borderId="0" xfId="0" applyFill="1" applyAlignment="1">
      <alignment horizontal="left" vertical="center"/>
    </xf>
    <xf numFmtId="0" fontId="0" fillId="0" borderId="2" xfId="0" applyFill="1" applyBorder="1" applyAlignment="1">
      <alignment horizontal="left" vertical="center"/>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left" vertical="center"/>
    </xf>
    <xf numFmtId="0" fontId="0" fillId="0" borderId="3" xfId="0" applyFill="1" applyBorder="1" applyAlignment="1">
      <alignment horizontal="left" vertical="center"/>
    </xf>
    <xf numFmtId="0" fontId="0" fillId="0" borderId="3" xfId="0" applyFill="1" applyBorder="1" applyAlignment="1">
      <alignment horizontal="left" vertical="center" wrapText="1"/>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0" borderId="3" xfId="0" applyFill="1" applyBorder="1" applyAlignment="1">
      <alignment horizontal="center" vertical="center" wrapText="1"/>
    </xf>
    <xf numFmtId="0" fontId="0" fillId="0" borderId="7" xfId="0" applyFill="1" applyBorder="1" applyAlignment="1">
      <alignment horizontal="center" vertical="center"/>
    </xf>
    <xf numFmtId="0" fontId="0" fillId="0" borderId="2" xfId="0" applyFill="1" applyBorder="1" applyAlignment="1">
      <alignment horizontal="left" vertical="center" wrapText="1"/>
    </xf>
    <xf numFmtId="0" fontId="0" fillId="0" borderId="2" xfId="0" applyBorder="1" applyAlignment="1">
      <alignment vertical="center" wrapText="1"/>
    </xf>
    <xf numFmtId="0" fontId="0" fillId="0" borderId="7" xfId="0" applyFill="1" applyBorder="1" applyAlignment="1">
      <alignment horizontal="left" vertical="center"/>
    </xf>
    <xf numFmtId="14" fontId="0" fillId="0" borderId="0" xfId="0" applyNumberFormat="1" applyAlignment="1">
      <alignment horizontal="center" vertical="center"/>
    </xf>
    <xf numFmtId="4" fontId="0" fillId="0" borderId="0" xfId="0" applyNumberFormat="1" applyAlignment="1">
      <alignment horizontal="center" vertical="center"/>
    </xf>
    <xf numFmtId="4" fontId="0" fillId="0" borderId="0" xfId="0" applyNumberFormat="1" applyAlignment="1">
      <alignment horizontal="center" vertical="center" wrapText="1"/>
    </xf>
    <xf numFmtId="0" fontId="0" fillId="0" borderId="0" xfId="0" applyAlignment="1">
      <alignment vertical="center" wrapText="1"/>
    </xf>
    <xf numFmtId="9" fontId="0" fillId="3" borderId="0" xfId="0" applyNumberFormat="1" applyFill="1" applyAlignment="1">
      <alignment horizontal="center" vertical="center"/>
    </xf>
    <xf numFmtId="9" fontId="0" fillId="0" borderId="0" xfId="0" applyNumberFormat="1" applyAlignment="1">
      <alignment horizontal="center" vertical="center"/>
    </xf>
    <xf numFmtId="0" fontId="0" fillId="3" borderId="0" xfId="0" applyFill="1" applyAlignment="1">
      <alignment horizontal="center" vertical="center"/>
    </xf>
    <xf numFmtId="10" fontId="0" fillId="0" borderId="0" xfId="0" applyNumberFormat="1" applyAlignment="1">
      <alignment horizontal="center" vertical="center"/>
    </xf>
    <xf numFmtId="0" fontId="0" fillId="4" borderId="0" xfId="0" applyFill="1" applyAlignment="1">
      <alignment horizontal="center" vertical="center"/>
    </xf>
    <xf numFmtId="0" fontId="0" fillId="2" borderId="0" xfId="0" applyFill="1" applyAlignment="1">
      <alignment horizontal="center" vertical="center"/>
    </xf>
    <xf numFmtId="9" fontId="0" fillId="4" borderId="0" xfId="0" applyNumberFormat="1" applyFill="1" applyAlignment="1">
      <alignment horizontal="center" vertical="center"/>
    </xf>
    <xf numFmtId="10" fontId="1" fillId="0" borderId="0" xfId="0" applyNumberFormat="1" applyFont="1" applyAlignment="1">
      <alignment horizontal="center" vertical="center"/>
    </xf>
    <xf numFmtId="10" fontId="0" fillId="0" borderId="0" xfId="9" applyNumberFormat="1" applyAlignment="1">
      <alignment horizontal="center" vertical="center"/>
    </xf>
    <xf numFmtId="0" fontId="0" fillId="0" borderId="2" xfId="0" applyBorder="1" applyAlignment="1">
      <alignment horizontal="center" vertical="center" wrapText="1"/>
    </xf>
    <xf numFmtId="3" fontId="0" fillId="0" borderId="2" xfId="0" applyNumberFormat="1" applyBorder="1" applyAlignment="1">
      <alignment horizontal="center" vertical="center"/>
    </xf>
    <xf numFmtId="0" fontId="0" fillId="2" borderId="2" xfId="0" applyFill="1" applyBorder="1" applyAlignment="1">
      <alignment horizontal="center" vertical="center"/>
    </xf>
    <xf numFmtId="0" fontId="1" fillId="2" borderId="2" xfId="0" applyFont="1" applyFill="1" applyBorder="1" applyAlignment="1">
      <alignment horizontal="center" vertical="center"/>
    </xf>
    <xf numFmtId="3" fontId="0" fillId="2" borderId="2" xfId="0" applyNumberFormat="1" applyFill="1" applyBorder="1" applyAlignment="1">
      <alignment horizontal="center" vertical="center"/>
    </xf>
    <xf numFmtId="0" fontId="1" fillId="0" borderId="2" xfId="0" applyFont="1" applyBorder="1" applyAlignment="1">
      <alignment horizontal="center" vertical="center"/>
    </xf>
    <xf numFmtId="4" fontId="0" fillId="0" borderId="2" xfId="0" applyNumberFormat="1" applyBorder="1" applyAlignment="1">
      <alignment horizontal="center" vertical="center"/>
    </xf>
    <xf numFmtId="10" fontId="0" fillId="0" borderId="2" xfId="9" applyNumberFormat="1" applyBorder="1" applyAlignment="1">
      <alignment horizontal="center" vertical="center" wrapText="1"/>
    </xf>
    <xf numFmtId="10" fontId="0" fillId="0" borderId="2" xfId="9" applyNumberFormat="1" applyBorder="1" applyAlignment="1">
      <alignment horizontal="center" vertical="center"/>
    </xf>
    <xf numFmtId="0" fontId="0" fillId="2" borderId="0" xfId="0" applyFill="1">
      <alignment vertical="center"/>
    </xf>
    <xf numFmtId="0" fontId="0" fillId="5" borderId="0" xfId="0" applyFill="1">
      <alignment vertical="center"/>
    </xf>
    <xf numFmtId="44" fontId="0" fillId="0" borderId="0" xfId="0" applyNumberFormat="1">
      <alignment vertical="center"/>
    </xf>
    <xf numFmtId="44" fontId="0" fillId="0" borderId="0" xfId="0" applyNumberFormat="1" applyAlignment="1">
      <alignment horizontal="center" vertical="center"/>
    </xf>
    <xf numFmtId="44" fontId="0" fillId="0" borderId="0" xfId="9" applyNumberFormat="1" applyAlignment="1">
      <alignment horizontal="center" vertical="center"/>
    </xf>
    <xf numFmtId="176" fontId="0" fillId="0" borderId="0" xfId="0" applyNumberFormat="1" applyAlignment="1">
      <alignment horizontal="center" vertical="center"/>
    </xf>
    <xf numFmtId="176" fontId="0" fillId="0" borderId="0" xfId="0" applyNumberFormat="1">
      <alignment vertical="center"/>
    </xf>
    <xf numFmtId="44" fontId="0" fillId="0" borderId="2" xfId="0" applyNumberFormat="1" applyBorder="1" applyAlignment="1">
      <alignment horizontal="center" vertical="center"/>
    </xf>
    <xf numFmtId="44" fontId="0" fillId="0" borderId="2" xfId="0" applyNumberFormat="1" applyBorder="1">
      <alignment vertical="center"/>
    </xf>
    <xf numFmtId="44" fontId="0" fillId="2" borderId="2" xfId="0" applyNumberFormat="1" applyFill="1" applyBorder="1">
      <alignment vertical="center"/>
    </xf>
    <xf numFmtId="0" fontId="0" fillId="5" borderId="2" xfId="0" applyFill="1" applyBorder="1" applyAlignment="1">
      <alignment horizontal="center" vertical="center"/>
    </xf>
    <xf numFmtId="44" fontId="0" fillId="5" borderId="2" xfId="0" applyNumberFormat="1" applyFill="1" applyBorder="1">
      <alignment vertical="center"/>
    </xf>
    <xf numFmtId="10" fontId="0" fillId="5" borderId="2" xfId="9" applyNumberFormat="1" applyFill="1" applyBorder="1" applyAlignment="1">
      <alignment horizontal="center" vertical="center"/>
    </xf>
    <xf numFmtId="44" fontId="0" fillId="2" borderId="2" xfId="0" applyNumberFormat="1" applyFill="1" applyBorder="1" applyAlignment="1">
      <alignment horizontal="center" vertical="center"/>
    </xf>
    <xf numFmtId="4" fontId="0" fillId="2" borderId="2" xfId="0" applyNumberFormat="1" applyFill="1" applyBorder="1" applyAlignment="1">
      <alignment horizontal="center" vertical="center"/>
    </xf>
    <xf numFmtId="4" fontId="0" fillId="5" borderId="2" xfId="0" applyNumberFormat="1" applyFill="1" applyBorder="1" applyAlignment="1">
      <alignment horizontal="center" vertical="center"/>
    </xf>
    <xf numFmtId="44" fontId="0" fillId="0" borderId="2" xfId="0" applyNumberFormat="1" applyBorder="1" applyAlignment="1">
      <alignment horizontal="center" vertical="center" wrapText="1"/>
    </xf>
    <xf numFmtId="44" fontId="0" fillId="5" borderId="2" xfId="0" applyNumberFormat="1" applyFill="1" applyBorder="1" applyAlignment="1">
      <alignment horizontal="center" vertical="center"/>
    </xf>
    <xf numFmtId="44" fontId="0" fillId="0" borderId="2" xfId="9" applyNumberFormat="1" applyBorder="1" applyAlignment="1">
      <alignment horizontal="center" vertical="center" wrapText="1"/>
    </xf>
    <xf numFmtId="44" fontId="0" fillId="3" borderId="2" xfId="9" applyNumberFormat="1" applyFill="1" applyBorder="1" applyAlignment="1">
      <alignment horizontal="center" vertical="center"/>
    </xf>
    <xf numFmtId="4" fontId="0" fillId="0" borderId="2" xfId="9" applyNumberFormat="1" applyFont="1" applyFill="1" applyBorder="1" applyAlignment="1" applyProtection="1">
      <alignment horizontal="center" vertical="center"/>
    </xf>
    <xf numFmtId="44" fontId="0" fillId="0" borderId="2" xfId="9" applyNumberFormat="1" applyBorder="1" applyAlignment="1">
      <alignment horizontal="center" vertical="center"/>
    </xf>
    <xf numFmtId="10" fontId="0" fillId="2" borderId="2" xfId="9" applyNumberFormat="1" applyFill="1" applyBorder="1" applyAlignment="1">
      <alignment horizontal="center" vertical="center"/>
    </xf>
    <xf numFmtId="44" fontId="0" fillId="5" borderId="2" xfId="9" applyNumberFormat="1" applyFill="1" applyBorder="1" applyAlignment="1">
      <alignment horizontal="center" vertical="center"/>
    </xf>
    <xf numFmtId="10" fontId="0" fillId="0" borderId="8" xfId="9" applyNumberFormat="1" applyBorder="1" applyAlignment="1">
      <alignment horizontal="center" vertical="center"/>
    </xf>
    <xf numFmtId="44" fontId="0" fillId="0" borderId="8" xfId="9" applyNumberFormat="1" applyBorder="1" applyAlignment="1">
      <alignment horizontal="center" vertical="center"/>
    </xf>
    <xf numFmtId="10" fontId="0" fillId="5" borderId="8" xfId="9" applyNumberFormat="1" applyFill="1" applyBorder="1" applyAlignment="1">
      <alignment horizontal="center" vertical="center"/>
    </xf>
    <xf numFmtId="10" fontId="0" fillId="2" borderId="8" xfId="9" applyNumberFormat="1" applyFill="1" applyBorder="1" applyAlignment="1">
      <alignment horizontal="center" vertical="center"/>
    </xf>
    <xf numFmtId="44" fontId="0" fillId="2" borderId="2" xfId="9" applyNumberFormat="1" applyFill="1" applyBorder="1" applyAlignment="1">
      <alignment horizontal="center" vertical="center"/>
    </xf>
    <xf numFmtId="44" fontId="0" fillId="6" borderId="2" xfId="0" applyNumberFormat="1" applyFill="1" applyBorder="1" applyAlignment="1">
      <alignment horizontal="center" vertical="center"/>
    </xf>
    <xf numFmtId="44" fontId="0" fillId="6" borderId="2" xfId="0" applyNumberFormat="1" applyFill="1" applyBorder="1" applyAlignment="1">
      <alignment horizontal="center" vertical="center" wrapText="1"/>
    </xf>
    <xf numFmtId="44" fontId="0" fillId="2" borderId="2" xfId="0" applyNumberFormat="1" applyFill="1" applyBorder="1" applyAlignment="1">
      <alignment horizontal="center" vertical="center" wrapText="1"/>
    </xf>
    <xf numFmtId="44" fontId="0" fillId="0" borderId="2" xfId="0" applyNumberFormat="1" applyFill="1" applyBorder="1" applyAlignment="1">
      <alignment horizontal="center" vertical="center" wrapText="1"/>
    </xf>
    <xf numFmtId="10" fontId="0" fillId="0" borderId="2" xfId="9" applyNumberFormat="1" applyBorder="1" applyAlignment="1">
      <alignment vertical="center"/>
    </xf>
    <xf numFmtId="44" fontId="0" fillId="0" borderId="2" xfId="0" applyNumberFormat="1" applyBorder="1" applyAlignment="1">
      <alignment vertical="center"/>
    </xf>
    <xf numFmtId="4" fontId="0" fillId="0" borderId="2" xfId="0" applyNumberFormat="1" applyBorder="1">
      <alignment vertical="center"/>
    </xf>
    <xf numFmtId="176" fontId="0" fillId="0" borderId="2" xfId="0" applyNumberFormat="1" applyBorder="1" applyAlignment="1">
      <alignment vertical="center"/>
    </xf>
    <xf numFmtId="0" fontId="0" fillId="0" borderId="2" xfId="0" applyBorder="1" applyAlignment="1">
      <alignment vertical="center"/>
    </xf>
    <xf numFmtId="176" fontId="0" fillId="0" borderId="2" xfId="0" applyNumberFormat="1" applyBorder="1" applyAlignment="1">
      <alignment horizontal="center" vertical="center"/>
    </xf>
    <xf numFmtId="176" fontId="0" fillId="2" borderId="2" xfId="0" applyNumberFormat="1" applyFill="1" applyBorder="1" applyAlignment="1">
      <alignment horizontal="center" vertical="center"/>
    </xf>
    <xf numFmtId="176" fontId="0" fillId="5" borderId="2" xfId="0" applyNumberFormat="1" applyFill="1" applyBorder="1" applyAlignment="1">
      <alignment horizontal="center" vertical="center"/>
    </xf>
    <xf numFmtId="176" fontId="0" fillId="0" borderId="2" xfId="0" applyNumberFormat="1" applyBorder="1">
      <alignment vertical="center"/>
    </xf>
    <xf numFmtId="176" fontId="0" fillId="2" borderId="2" xfId="0" applyNumberFormat="1" applyFill="1" applyBorder="1">
      <alignment vertical="center"/>
    </xf>
    <xf numFmtId="176" fontId="0" fillId="5" borderId="2" xfId="0" applyNumberFormat="1" applyFill="1" applyBorder="1">
      <alignment vertical="center"/>
    </xf>
    <xf numFmtId="0" fontId="0" fillId="2" borderId="2" xfId="0" applyFill="1" applyBorder="1">
      <alignment vertical="center"/>
    </xf>
    <xf numFmtId="44" fontId="0" fillId="2" borderId="0" xfId="0" applyNumberFormat="1" applyFill="1">
      <alignment vertical="center"/>
    </xf>
    <xf numFmtId="0" fontId="0" fillId="5" borderId="2" xfId="0" applyFill="1" applyBorder="1">
      <alignment vertical="center"/>
    </xf>
    <xf numFmtId="44" fontId="0" fillId="5" borderId="0" xfId="0" applyNumberFormat="1" applyFill="1">
      <alignment vertical="center"/>
    </xf>
    <xf numFmtId="44" fontId="0" fillId="0" borderId="0" xfId="0" applyNumberFormat="1" applyFill="1" applyAlignment="1">
      <alignment horizontal="center" vertical="center"/>
    </xf>
    <xf numFmtId="10" fontId="0" fillId="0" borderId="0" xfId="9" applyNumberFormat="1">
      <alignment vertical="center"/>
    </xf>
    <xf numFmtId="44" fontId="0" fillId="0" borderId="0" xfId="9" applyNumberFormat="1">
      <alignment vertical="center"/>
    </xf>
    <xf numFmtId="10" fontId="0" fillId="7" borderId="0" xfId="9" applyNumberFormat="1" applyFill="1" applyAlignment="1">
      <alignment horizontal="center" vertical="center"/>
    </xf>
    <xf numFmtId="44" fontId="0" fillId="4" borderId="2" xfId="0" applyNumberFormat="1" applyFill="1" applyBorder="1" applyAlignment="1">
      <alignment horizontal="center" vertical="center"/>
    </xf>
    <xf numFmtId="0" fontId="0" fillId="4" borderId="2" xfId="0" applyFill="1" applyBorder="1" applyAlignment="1">
      <alignment horizontal="center" vertical="center"/>
    </xf>
    <xf numFmtId="0" fontId="0" fillId="8" borderId="2" xfId="0" applyFill="1" applyBorder="1" applyAlignment="1">
      <alignment horizontal="center" vertical="center"/>
    </xf>
    <xf numFmtId="44" fontId="0" fillId="0" borderId="2" xfId="0" applyNumberFormat="1" applyFill="1" applyBorder="1" applyAlignment="1">
      <alignment horizontal="center" vertical="center"/>
    </xf>
    <xf numFmtId="44" fontId="2" fillId="0" borderId="2" xfId="0" applyNumberFormat="1" applyFont="1" applyBorder="1" applyAlignment="1">
      <alignment horizontal="center" vertical="center"/>
    </xf>
    <xf numFmtId="44" fontId="0" fillId="0" borderId="2" xfId="0" applyNumberFormat="1" applyFont="1" applyFill="1" applyBorder="1" applyAlignment="1">
      <alignment horizontal="center" vertical="center"/>
    </xf>
    <xf numFmtId="44" fontId="0" fillId="3" borderId="2" xfId="0" applyNumberFormat="1" applyFill="1" applyBorder="1" applyAlignment="1">
      <alignment horizontal="center" vertical="center"/>
    </xf>
    <xf numFmtId="4" fontId="0" fillId="0" borderId="2" xfId="0" applyNumberFormat="1" applyFill="1" applyBorder="1" applyAlignment="1">
      <alignment horizontal="center" vertical="center"/>
    </xf>
    <xf numFmtId="10" fontId="0" fillId="2" borderId="5" xfId="9" applyNumberFormat="1" applyFill="1" applyBorder="1" applyAlignment="1">
      <alignment horizontal="center" vertical="center" wrapText="1"/>
    </xf>
    <xf numFmtId="44" fontId="0" fillId="7" borderId="2" xfId="0" applyNumberFormat="1" applyFill="1" applyBorder="1" applyAlignment="1">
      <alignment horizontal="center" vertical="center"/>
    </xf>
    <xf numFmtId="10" fontId="0" fillId="2" borderId="7" xfId="9" applyNumberFormat="1" applyFill="1" applyBorder="1" applyAlignment="1">
      <alignment horizontal="center" vertical="center"/>
    </xf>
    <xf numFmtId="10" fontId="0" fillId="7" borderId="2" xfId="9" applyNumberFormat="1" applyFill="1" applyBorder="1" applyAlignment="1">
      <alignment horizontal="center" vertical="center"/>
    </xf>
    <xf numFmtId="44" fontId="0" fillId="9" borderId="2" xfId="0" applyNumberFormat="1" applyFill="1" applyBorder="1" applyAlignment="1">
      <alignment horizontal="center" vertical="center"/>
    </xf>
    <xf numFmtId="44" fontId="0" fillId="10" borderId="2" xfId="0" applyNumberFormat="1" applyFill="1" applyBorder="1" applyAlignment="1">
      <alignment horizontal="center" vertical="center"/>
    </xf>
    <xf numFmtId="44" fontId="0" fillId="10" borderId="2" xfId="0" applyNumberFormat="1" applyFill="1" applyBorder="1">
      <alignment vertical="center"/>
    </xf>
    <xf numFmtId="44" fontId="0" fillId="11" borderId="2" xfId="0" applyNumberFormat="1" applyFill="1" applyBorder="1" applyAlignment="1">
      <alignment horizontal="center" vertical="center"/>
    </xf>
    <xf numFmtId="10" fontId="0" fillId="11" borderId="2" xfId="9" applyNumberFormat="1" applyFill="1" applyBorder="1" applyAlignment="1">
      <alignment horizontal="center" vertical="center"/>
    </xf>
    <xf numFmtId="44" fontId="0" fillId="12" borderId="2" xfId="0" applyNumberFormat="1" applyFill="1" applyBorder="1" applyAlignment="1">
      <alignment horizontal="center" vertical="center"/>
    </xf>
    <xf numFmtId="10" fontId="0" fillId="12" borderId="2" xfId="9" applyNumberFormat="1" applyFill="1" applyBorder="1" applyAlignment="1">
      <alignment horizontal="center" vertical="center"/>
    </xf>
    <xf numFmtId="44" fontId="0" fillId="13" borderId="2" xfId="0" applyNumberFormat="1" applyFill="1" applyBorder="1" applyAlignment="1">
      <alignment horizontal="center" vertical="center"/>
    </xf>
    <xf numFmtId="10" fontId="0" fillId="4" borderId="2" xfId="9" applyNumberFormat="1" applyFill="1" applyBorder="1" applyAlignment="1">
      <alignment horizontal="center" vertical="center"/>
    </xf>
    <xf numFmtId="44" fontId="0" fillId="14" borderId="2" xfId="0" applyNumberFormat="1" applyFill="1" applyBorder="1" applyAlignment="1">
      <alignment horizontal="center" vertical="center"/>
    </xf>
    <xf numFmtId="44" fontId="0" fillId="15" borderId="2" xfId="0" applyNumberFormat="1" applyFill="1" applyBorder="1" applyAlignment="1">
      <alignment horizontal="center" vertical="center"/>
    </xf>
    <xf numFmtId="44" fontId="0" fillId="16" borderId="2" xfId="0" applyNumberFormat="1" applyFill="1" applyBorder="1" applyAlignment="1">
      <alignment horizontal="center" vertical="center"/>
    </xf>
    <xf numFmtId="10" fontId="0" fillId="17" borderId="2" xfId="9" applyNumberFormat="1" applyFill="1" applyBorder="1" applyAlignment="1">
      <alignment horizontal="center" vertical="center"/>
    </xf>
    <xf numFmtId="44" fontId="0" fillId="8" borderId="2" xfId="0" applyNumberFormat="1" applyFill="1" applyBorder="1" applyAlignment="1">
      <alignment horizontal="center" vertical="center"/>
    </xf>
    <xf numFmtId="44" fontId="3" fillId="0" borderId="2" xfId="0" applyNumberFormat="1" applyFont="1" applyBorder="1">
      <alignment vertical="center"/>
    </xf>
    <xf numFmtId="10" fontId="0" fillId="0" borderId="2" xfId="9" applyNumberFormat="1" applyBorder="1">
      <alignment vertical="center"/>
    </xf>
    <xf numFmtId="44" fontId="0" fillId="17" borderId="2" xfId="9" applyNumberFormat="1" applyFill="1" applyBorder="1" applyAlignment="1">
      <alignment horizontal="center" vertical="center"/>
    </xf>
    <xf numFmtId="44" fontId="0" fillId="0" borderId="2" xfId="9" applyNumberFormat="1" applyBorder="1">
      <alignment vertical="center"/>
    </xf>
    <xf numFmtId="44" fontId="0" fillId="0" borderId="2" xfId="9" applyNumberFormat="1" applyFill="1" applyBorder="1" applyAlignment="1">
      <alignment horizontal="center" vertical="center"/>
    </xf>
    <xf numFmtId="0" fontId="0" fillId="17" borderId="2" xfId="0" applyFill="1" applyBorder="1" applyAlignment="1">
      <alignment horizontal="center" vertical="center"/>
    </xf>
    <xf numFmtId="10" fontId="0" fillId="8" borderId="2" xfId="9" applyNumberFormat="1" applyFill="1" applyBorder="1" applyAlignment="1">
      <alignment horizontal="center" vertical="center"/>
    </xf>
    <xf numFmtId="10" fontId="0" fillId="3" borderId="2" xfId="9" applyNumberFormat="1" applyFill="1" applyBorder="1" applyAlignment="1">
      <alignment horizontal="center" vertical="center"/>
    </xf>
    <xf numFmtId="44" fontId="0" fillId="18" borderId="2" xfId="0" applyNumberFormat="1" applyFill="1" applyBorder="1" applyAlignment="1">
      <alignment horizontal="center" vertical="center"/>
    </xf>
    <xf numFmtId="10" fontId="0" fillId="18" borderId="2" xfId="9" applyNumberFormat="1" applyFill="1" applyBorder="1" applyAlignment="1">
      <alignment horizontal="center" vertical="center"/>
    </xf>
    <xf numFmtId="44" fontId="0" fillId="19" borderId="2" xfId="0" applyNumberFormat="1" applyFill="1" applyBorder="1" applyAlignment="1">
      <alignment horizontal="center" vertical="center"/>
    </xf>
    <xf numFmtId="44" fontId="0" fillId="19" borderId="5" xfId="0" applyNumberFormat="1" applyFill="1" applyBorder="1" applyAlignment="1">
      <alignment horizontal="center" vertical="center"/>
    </xf>
    <xf numFmtId="44" fontId="4" fillId="20" borderId="2" xfId="0" applyNumberFormat="1" applyFont="1" applyFill="1" applyBorder="1" applyAlignment="1">
      <alignment horizontal="center" vertical="center"/>
    </xf>
    <xf numFmtId="44" fontId="0" fillId="19" borderId="7" xfId="0" applyNumberFormat="1" applyFill="1" applyBorder="1" applyAlignment="1">
      <alignment horizontal="center" vertical="center"/>
    </xf>
    <xf numFmtId="4" fontId="1" fillId="0" borderId="2" xfId="0" applyNumberFormat="1" applyFont="1" applyBorder="1">
      <alignment vertical="center"/>
    </xf>
    <xf numFmtId="10" fontId="0" fillId="7" borderId="2" xfId="0" applyNumberFormat="1" applyFill="1" applyBorder="1" applyAlignment="1">
      <alignment horizontal="center" vertical="center"/>
    </xf>
    <xf numFmtId="10" fontId="0" fillId="0" borderId="2" xfId="0" applyNumberFormat="1" applyBorder="1" applyAlignment="1">
      <alignment horizontal="center" vertical="center"/>
    </xf>
    <xf numFmtId="10" fontId="0" fillId="2" borderId="2" xfId="0" applyNumberFormat="1" applyFill="1" applyBorder="1" applyAlignment="1">
      <alignment horizontal="center" vertical="center"/>
    </xf>
    <xf numFmtId="44" fontId="0" fillId="7" borderId="2" xfId="0" applyNumberFormat="1" applyFill="1" applyBorder="1" applyAlignment="1">
      <alignment horizontal="center" vertical="center" wrapText="1"/>
    </xf>
    <xf numFmtId="10" fontId="0" fillId="7" borderId="2" xfId="0" applyNumberFormat="1" applyFill="1" applyBorder="1" applyAlignment="1">
      <alignment horizontal="center" vertical="center" wrapText="1"/>
    </xf>
    <xf numFmtId="10" fontId="0" fillId="7" borderId="2" xfId="9" applyNumberFormat="1" applyFill="1" applyBorder="1" applyAlignment="1">
      <alignment horizontal="center" vertical="center" wrapText="1"/>
    </xf>
    <xf numFmtId="0" fontId="0" fillId="0" borderId="2" xfId="0" applyBorder="1" applyAlignment="1">
      <alignment horizontal="left"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44" fontId="0" fillId="0" borderId="3" xfId="0" applyNumberFormat="1" applyBorder="1" applyAlignment="1">
      <alignment horizontal="center" vertical="center"/>
    </xf>
    <xf numFmtId="10" fontId="0" fillId="0" borderId="2" xfId="0" applyNumberFormat="1" applyFill="1"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J123"/>
  <sheetViews>
    <sheetView tabSelected="1" workbookViewId="0">
      <pane xSplit="2" ySplit="2" topLeftCell="BR89" activePane="bottomRight" state="frozen"/>
      <selection/>
      <selection pane="topRight"/>
      <selection pane="bottomLeft"/>
      <selection pane="bottomRight" activeCell="BW107" sqref="BW107"/>
    </sheetView>
  </sheetViews>
  <sheetFormatPr defaultColWidth="9" defaultRowHeight="16.8"/>
  <cols>
    <col min="1" max="1" width="10.3076923076923" style="11" customWidth="1"/>
    <col min="2" max="2" width="9" style="11"/>
    <col min="3" max="3" width="22.0769230769231" style="100" customWidth="1"/>
    <col min="4" max="6" width="22.0769230769231" style="15" customWidth="1"/>
    <col min="7" max="7" width="27.3076923076923" style="15" customWidth="1"/>
    <col min="8" max="8" width="17.3076923076923" style="15" customWidth="1"/>
    <col min="9" max="9" width="19.8461538461538" style="100" customWidth="1"/>
    <col min="10" max="10" width="23.625" style="55" customWidth="1"/>
    <col min="11" max="11" width="23.625" style="42" customWidth="1"/>
    <col min="12" max="12" width="23.625" style="55" customWidth="1"/>
    <col min="13" max="13" width="23.625" style="42" customWidth="1"/>
    <col min="14" max="14" width="23.625" style="55" customWidth="1"/>
    <col min="15" max="15" width="19.125" style="55" customWidth="1"/>
    <col min="16" max="16" width="18.1538461538462" style="55" customWidth="1"/>
    <col min="17" max="17" width="19.125" style="55" customWidth="1"/>
    <col min="18" max="20" width="20.25" style="55" customWidth="1"/>
    <col min="21" max="21" width="46.375" style="55" customWidth="1"/>
    <col min="22" max="22" width="15.125" style="55" customWidth="1"/>
    <col min="23" max="26" width="19.375" style="55" customWidth="1"/>
    <col min="27" max="27" width="17.25" style="55" customWidth="1"/>
    <col min="28" max="28" width="18.1538461538462" style="55" customWidth="1"/>
    <col min="29" max="29" width="19.375" style="55" customWidth="1"/>
    <col min="30" max="30" width="21.375" style="54" customWidth="1"/>
    <col min="31" max="31" width="18.125" style="54" customWidth="1"/>
    <col min="32" max="32" width="23.625" style="54" customWidth="1"/>
    <col min="33" max="33" width="22.0769230769231" style="54" customWidth="1"/>
    <col min="34" max="34" width="22.5" style="54" customWidth="1"/>
    <col min="35" max="36" width="23.625" style="54" customWidth="1"/>
    <col min="37" max="37" width="23.625" style="42" customWidth="1"/>
    <col min="38" max="38" width="23.625" style="54" customWidth="1"/>
    <col min="39" max="39" width="23.625" style="42" customWidth="1"/>
    <col min="40" max="43" width="23.625" style="54" customWidth="1"/>
    <col min="44" max="46" width="28.4615384615385" style="101" customWidth="1"/>
    <col min="47" max="53" width="28.4615384615385" style="102" customWidth="1"/>
    <col min="54" max="55" width="15.1538461538462" customWidth="1"/>
    <col min="56" max="56" width="16.2307692307692" customWidth="1"/>
    <col min="57" max="57" width="13.4615384615385" customWidth="1"/>
    <col min="58" max="58" width="15.1538461538462" customWidth="1"/>
    <col min="59" max="59" width="10.3076923076923" customWidth="1"/>
    <col min="60" max="60" width="16.2307692307692" customWidth="1"/>
    <col min="61" max="61" width="15.1538461538462" customWidth="1"/>
    <col min="62" max="63" width="17.3076923076923" customWidth="1"/>
    <col min="64" max="64" width="20.1923076923077" style="42" customWidth="1"/>
    <col min="65" max="65" width="23.625" style="54" customWidth="1"/>
    <col min="66" max="66" width="29.6923076923077" style="42" customWidth="1"/>
    <col min="67" max="67" width="23.625" style="54" customWidth="1"/>
    <col min="68" max="68" width="23.625" style="42" customWidth="1"/>
    <col min="69" max="70" width="22.5" style="54" customWidth="1"/>
    <col min="71" max="71" width="21.375" style="54" customWidth="1"/>
    <col min="72" max="73" width="22.5" style="55" customWidth="1"/>
    <col min="74" max="74" width="22.5" style="42" customWidth="1"/>
    <col min="75" max="75" width="27.3076923076923" style="37" customWidth="1"/>
    <col min="76" max="80" width="20.375" style="55" customWidth="1"/>
    <col min="81" max="81" width="28.4615384615385" style="55" customWidth="1"/>
    <col min="82" max="83" width="20.375" style="37" customWidth="1"/>
    <col min="84" max="84" width="30.2884615384615" style="103" customWidth="1"/>
    <col min="85" max="85" width="98.5576923076923" customWidth="1"/>
    <col min="86" max="86" width="20" customWidth="1"/>
    <col min="87" max="87" width="47.5961538461538" customWidth="1"/>
  </cols>
  <sheetData>
    <row r="1" spans="1:88">
      <c r="A1" s="13" t="s">
        <v>0</v>
      </c>
      <c r="B1" s="13" t="s">
        <v>1</v>
      </c>
      <c r="C1" s="104" t="s">
        <v>2</v>
      </c>
      <c r="D1" s="105" t="s">
        <v>3</v>
      </c>
      <c r="E1" s="18" t="s">
        <v>4</v>
      </c>
      <c r="F1" s="23" t="s">
        <v>5</v>
      </c>
      <c r="G1" s="23" t="s">
        <v>6</v>
      </c>
      <c r="H1" s="18" t="s">
        <v>7</v>
      </c>
      <c r="I1" s="107" t="s">
        <v>8</v>
      </c>
      <c r="J1" s="65" t="s">
        <v>9</v>
      </c>
      <c r="K1" s="112" t="s">
        <v>10</v>
      </c>
      <c r="L1" s="113" t="s">
        <v>11</v>
      </c>
      <c r="M1" s="115" t="s">
        <v>12</v>
      </c>
      <c r="N1" s="116" t="s">
        <v>13</v>
      </c>
      <c r="O1" s="116"/>
      <c r="P1" s="116"/>
      <c r="Q1" s="116"/>
      <c r="R1" s="116"/>
      <c r="S1" s="116"/>
      <c r="T1" s="116"/>
      <c r="U1" s="116"/>
      <c r="V1" s="116"/>
      <c r="W1" s="113" t="s">
        <v>14</v>
      </c>
      <c r="X1" s="117"/>
      <c r="Y1" s="117"/>
      <c r="Z1" s="117" t="s">
        <v>15</v>
      </c>
      <c r="AA1" s="117"/>
      <c r="AB1" s="117"/>
      <c r="AC1" s="117"/>
      <c r="AD1" s="117"/>
      <c r="AE1" s="117"/>
      <c r="AF1" s="117"/>
      <c r="AG1" s="117"/>
      <c r="AH1" s="117"/>
      <c r="AI1" s="113" t="s">
        <v>16</v>
      </c>
      <c r="AJ1" s="119" t="s">
        <v>17</v>
      </c>
      <c r="AK1" s="120"/>
      <c r="AL1" s="121" t="s">
        <v>18</v>
      </c>
      <c r="AM1" s="122"/>
      <c r="AN1" s="123" t="s">
        <v>19</v>
      </c>
      <c r="AO1" s="125" t="s">
        <v>20</v>
      </c>
      <c r="AP1" s="126" t="s">
        <v>21</v>
      </c>
      <c r="AQ1" s="127" t="s">
        <v>22</v>
      </c>
      <c r="AR1" s="128" t="s">
        <v>23</v>
      </c>
      <c r="AS1" s="128" t="s">
        <v>24</v>
      </c>
      <c r="AT1" s="128" t="s">
        <v>25</v>
      </c>
      <c r="AU1" s="132" t="s">
        <v>26</v>
      </c>
      <c r="AV1" s="132" t="s">
        <v>27</v>
      </c>
      <c r="AW1" s="132" t="s">
        <v>28</v>
      </c>
      <c r="AX1" s="134" t="s">
        <v>29</v>
      </c>
      <c r="AY1" s="134" t="s">
        <v>30</v>
      </c>
      <c r="AZ1" s="132" t="s">
        <v>31</v>
      </c>
      <c r="BA1" s="132" t="s">
        <v>32</v>
      </c>
      <c r="BB1" s="135" t="s">
        <v>33</v>
      </c>
      <c r="BC1" s="18" t="s">
        <v>34</v>
      </c>
      <c r="BD1" s="18" t="s">
        <v>35</v>
      </c>
      <c r="BE1" s="18" t="s">
        <v>36</v>
      </c>
      <c r="BF1" s="18" t="s">
        <v>37</v>
      </c>
      <c r="BG1" s="18" t="s">
        <v>38</v>
      </c>
      <c r="BH1" s="18" t="s">
        <v>39</v>
      </c>
      <c r="BI1" s="18" t="s">
        <v>40</v>
      </c>
      <c r="BJ1" s="18" t="s">
        <v>41</v>
      </c>
      <c r="BK1" s="18" t="s">
        <v>42</v>
      </c>
      <c r="BL1" s="18" t="s">
        <v>43</v>
      </c>
      <c r="BM1" s="110" t="s">
        <v>44</v>
      </c>
      <c r="BN1" s="137" t="s">
        <v>45</v>
      </c>
      <c r="BO1" s="138" t="s">
        <v>46</v>
      </c>
      <c r="BP1" s="139"/>
      <c r="BQ1" s="140" t="s">
        <v>47</v>
      </c>
      <c r="BR1" s="141" t="s">
        <v>48</v>
      </c>
      <c r="BS1" s="142" t="s">
        <v>49</v>
      </c>
      <c r="BT1" s="104" t="s">
        <v>50</v>
      </c>
      <c r="BU1" s="104" t="s">
        <v>51</v>
      </c>
      <c r="BV1" s="115" t="s">
        <v>52</v>
      </c>
      <c r="BW1" s="145" t="s">
        <v>53</v>
      </c>
      <c r="BX1" s="113" t="s">
        <v>48</v>
      </c>
      <c r="BY1" s="148" t="s">
        <v>54</v>
      </c>
      <c r="BZ1" s="113" t="s">
        <v>55</v>
      </c>
      <c r="CA1" s="113" t="s">
        <v>56</v>
      </c>
      <c r="CB1" s="113" t="s">
        <v>57</v>
      </c>
      <c r="CC1" s="113" t="s">
        <v>58</v>
      </c>
      <c r="CD1" s="145" t="s">
        <v>59</v>
      </c>
      <c r="CE1" s="149" t="s">
        <v>60</v>
      </c>
      <c r="CF1" s="150" t="s">
        <v>61</v>
      </c>
      <c r="CG1" s="106" t="s">
        <v>62</v>
      </c>
      <c r="CH1" s="13" t="s">
        <v>63</v>
      </c>
      <c r="CI1" s="43" t="s">
        <v>64</v>
      </c>
      <c r="CJ1" s="11"/>
    </row>
    <row r="2" ht="41" customHeight="1" spans="1:88">
      <c r="A2" s="13"/>
      <c r="B2" s="13"/>
      <c r="C2" s="104"/>
      <c r="D2" s="105"/>
      <c r="E2" s="18"/>
      <c r="F2" s="26"/>
      <c r="G2" s="26"/>
      <c r="H2" s="18"/>
      <c r="I2" s="107"/>
      <c r="J2" s="65"/>
      <c r="K2" s="114"/>
      <c r="L2" s="113"/>
      <c r="M2" s="115"/>
      <c r="N2" s="116" t="s">
        <v>65</v>
      </c>
      <c r="O2" s="116" t="s">
        <v>66</v>
      </c>
      <c r="P2" s="116" t="s">
        <v>67</v>
      </c>
      <c r="Q2" s="116" t="s">
        <v>68</v>
      </c>
      <c r="R2" s="116" t="s">
        <v>69</v>
      </c>
      <c r="S2" s="116" t="s">
        <v>70</v>
      </c>
      <c r="T2" s="116" t="s">
        <v>71</v>
      </c>
      <c r="U2" s="116" t="s">
        <v>72</v>
      </c>
      <c r="V2" s="116" t="s">
        <v>73</v>
      </c>
      <c r="W2" s="113"/>
      <c r="X2" s="117" t="s">
        <v>74</v>
      </c>
      <c r="Y2" s="117" t="s">
        <v>75</v>
      </c>
      <c r="Z2" s="117" t="s">
        <v>76</v>
      </c>
      <c r="AA2" s="117" t="s">
        <v>77</v>
      </c>
      <c r="AB2" s="117" t="s">
        <v>78</v>
      </c>
      <c r="AC2" s="117" t="s">
        <v>79</v>
      </c>
      <c r="AD2" s="118" t="s">
        <v>80</v>
      </c>
      <c r="AE2" s="118" t="s">
        <v>81</v>
      </c>
      <c r="AF2" s="118" t="s">
        <v>82</v>
      </c>
      <c r="AG2" s="118" t="s">
        <v>83</v>
      </c>
      <c r="AH2" s="118" t="s">
        <v>84</v>
      </c>
      <c r="AI2" s="113"/>
      <c r="AJ2" s="119"/>
      <c r="AK2" s="120"/>
      <c r="AL2" s="121"/>
      <c r="AM2" s="122"/>
      <c r="AN2" s="123"/>
      <c r="AO2" s="125"/>
      <c r="AP2" s="126"/>
      <c r="AQ2" s="127"/>
      <c r="AR2" s="128"/>
      <c r="AS2" s="128"/>
      <c r="AT2" s="128"/>
      <c r="AU2" s="132"/>
      <c r="AV2" s="132"/>
      <c r="AW2" s="132"/>
      <c r="AX2" s="134"/>
      <c r="AY2" s="134"/>
      <c r="AZ2" s="132"/>
      <c r="BA2" s="132"/>
      <c r="BB2" s="135"/>
      <c r="BC2" s="18"/>
      <c r="BD2" s="18"/>
      <c r="BE2" s="18"/>
      <c r="BF2" s="18"/>
      <c r="BG2" s="18"/>
      <c r="BH2" s="18"/>
      <c r="BI2" s="18"/>
      <c r="BJ2" s="18"/>
      <c r="BK2" s="18"/>
      <c r="BL2" s="18"/>
      <c r="BM2" s="110"/>
      <c r="BN2" s="137"/>
      <c r="BO2" s="138"/>
      <c r="BP2" s="139"/>
      <c r="BQ2" s="140"/>
      <c r="BR2" s="143"/>
      <c r="BS2" s="142"/>
      <c r="BT2" s="104"/>
      <c r="BU2" s="104"/>
      <c r="BV2" s="115"/>
      <c r="BW2" s="145"/>
      <c r="BX2" s="113"/>
      <c r="BY2" s="113"/>
      <c r="BZ2" s="113"/>
      <c r="CA2" s="113"/>
      <c r="CB2" s="113"/>
      <c r="CC2" s="113"/>
      <c r="CD2" s="145"/>
      <c r="CE2" s="145"/>
      <c r="CF2" s="115"/>
      <c r="CG2" s="106"/>
      <c r="CH2" s="13"/>
      <c r="CI2" s="13"/>
      <c r="CJ2" s="11"/>
    </row>
    <row r="3" spans="1:87">
      <c r="A3" s="106" t="s">
        <v>85</v>
      </c>
      <c r="B3" s="106">
        <v>2022</v>
      </c>
      <c r="C3" s="104">
        <f>3688.53*100000000</f>
        <v>368853000000</v>
      </c>
      <c r="D3" s="104" t="s">
        <v>86</v>
      </c>
      <c r="E3" s="110">
        <v>4633833787</v>
      </c>
      <c r="F3" s="59">
        <f>J3/E3</f>
        <v>5.80177896899175</v>
      </c>
      <c r="G3" s="51">
        <f t="shared" ref="G3:G12" si="0">(F3-F4)/F4</f>
        <v>0.0400252477944674</v>
      </c>
      <c r="H3" s="49"/>
      <c r="I3" s="59">
        <v>34059175850.3</v>
      </c>
      <c r="J3" s="59">
        <v>26884479411.22</v>
      </c>
      <c r="K3" s="51">
        <f>(J3-J4)/J4</f>
        <v>0.144027772573914</v>
      </c>
      <c r="L3" s="59"/>
      <c r="M3" s="51"/>
      <c r="N3" s="59"/>
      <c r="O3" s="59">
        <v>93653455.89</v>
      </c>
      <c r="P3" s="59"/>
      <c r="Q3" s="59">
        <v>29745723.29</v>
      </c>
      <c r="R3" s="59"/>
      <c r="S3" s="59">
        <v>131720077.32</v>
      </c>
      <c r="T3" s="59"/>
      <c r="U3" s="59"/>
      <c r="V3" s="59"/>
      <c r="W3" s="59">
        <f>SUM(N3:V3)</f>
        <v>255119256.5</v>
      </c>
      <c r="X3" s="59"/>
      <c r="Y3" s="59"/>
      <c r="Z3" s="59"/>
      <c r="AA3" s="59"/>
      <c r="AB3" s="59"/>
      <c r="AC3" s="59"/>
      <c r="AD3" s="60">
        <v>100000</v>
      </c>
      <c r="AE3" s="60">
        <v>4131328.25</v>
      </c>
      <c r="AF3" s="60">
        <v>18223307402.03</v>
      </c>
      <c r="AG3" s="60"/>
      <c r="AH3" s="60">
        <v>6081662998.97</v>
      </c>
      <c r="AI3" s="60">
        <f>SUM(Z3:AH3)</f>
        <v>24309201729.25</v>
      </c>
      <c r="AJ3" s="60">
        <f>SUM(Z3:AE3)</f>
        <v>4231328.25</v>
      </c>
      <c r="AK3" s="51">
        <f t="shared" ref="AK3:AK12" si="1">(AJ3-AJ4)/AJ4</f>
        <v>-0.0794872656692572</v>
      </c>
      <c r="AL3" s="60">
        <f>SUM(AF3:AH3)</f>
        <v>24304970401</v>
      </c>
      <c r="AM3" s="51">
        <f t="shared" ref="AM3:AM12" si="2">(AL3-AL4)/AL4</f>
        <v>-0.0351949133879917</v>
      </c>
      <c r="AN3" s="60">
        <f>I3-AI3</f>
        <v>9749974121.05</v>
      </c>
      <c r="AO3" s="59">
        <v>4206780719.87</v>
      </c>
      <c r="AP3" s="129">
        <v>1179878268.77</v>
      </c>
      <c r="AQ3" s="59">
        <v>684643779.66</v>
      </c>
      <c r="AR3" s="51">
        <f t="shared" ref="AR3:AR13" si="3">SUM(AO3:AQ3)/AN3</f>
        <v>0.622699372626249</v>
      </c>
      <c r="AS3" s="51">
        <f t="shared" ref="AS3:AS12" si="4">(AO3-AO4)/AO4</f>
        <v>0.163951735656397</v>
      </c>
      <c r="AT3" s="51">
        <f t="shared" ref="AT3:AT12" si="5">(AP3-AP4)/AP4</f>
        <v>0.278080921263089</v>
      </c>
      <c r="AU3" s="73"/>
      <c r="AV3" s="73">
        <v>188395321.48</v>
      </c>
      <c r="AW3" s="73">
        <v>25303923.79</v>
      </c>
      <c r="AX3" s="73"/>
      <c r="AY3" s="73"/>
      <c r="AZ3" s="73">
        <v>10738064.59</v>
      </c>
      <c r="BA3" s="73">
        <v>2391641182.47</v>
      </c>
      <c r="BB3" s="87">
        <v>52539515.27</v>
      </c>
      <c r="BC3" s="14"/>
      <c r="BD3" s="87">
        <v>142498802.39</v>
      </c>
      <c r="BE3" s="14"/>
      <c r="BF3" s="14"/>
      <c r="BG3" s="14"/>
      <c r="BH3" s="87">
        <v>2335492509.4</v>
      </c>
      <c r="BI3" s="14"/>
      <c r="BJ3" s="87">
        <v>19285851426.62</v>
      </c>
      <c r="BK3" s="87">
        <f>J3+W3</f>
        <v>27139598667.72</v>
      </c>
      <c r="BL3" s="51">
        <f t="shared" ref="BL3:BL12" si="6">(BK3-BK4)/BK4</f>
        <v>0.147138540910762</v>
      </c>
      <c r="BM3" s="60">
        <f>J3+W3-AI3</f>
        <v>2830396938.47</v>
      </c>
      <c r="BN3" s="136">
        <f t="shared" ref="BN3:BN12" si="7">(BM3-BM4)/BM4</f>
        <v>-2.77818437236488</v>
      </c>
      <c r="BO3" s="60">
        <v>7352280924.22</v>
      </c>
      <c r="BP3" s="51">
        <f t="shared" ref="BP3:BP12" si="8">(BO3-BO4)/BO4</f>
        <v>-0.0598610323232816</v>
      </c>
      <c r="BQ3" s="60">
        <v>7364206015.29</v>
      </c>
      <c r="BR3" s="60"/>
      <c r="BS3" s="60">
        <v>-732179071.06</v>
      </c>
      <c r="BT3" s="59">
        <f t="shared" ref="BT3:BT13" si="9">BQ3+BS3</f>
        <v>6632026944.23</v>
      </c>
      <c r="BU3" s="59">
        <f>BO3+BS3</f>
        <v>6620101853.16</v>
      </c>
      <c r="BV3" s="51">
        <f>BQ3/BK3</f>
        <v>0.27134542796497</v>
      </c>
      <c r="BW3" s="146">
        <f>BU3/BM3</f>
        <v>2.33893054475199</v>
      </c>
      <c r="BX3" s="59">
        <v>12379926.82</v>
      </c>
      <c r="BY3" s="59">
        <v>3767094.66</v>
      </c>
      <c r="BZ3" s="59">
        <v>7266710.02</v>
      </c>
      <c r="CA3" s="59">
        <v>2115691.79</v>
      </c>
      <c r="CB3" s="59">
        <f>SUM(BX3:CA3)</f>
        <v>25529423.29</v>
      </c>
      <c r="CC3" s="59">
        <f>(W3+W4)/2</f>
        <v>206894715.15</v>
      </c>
      <c r="CD3" s="146">
        <f t="shared" ref="CD3:CD12" si="10">(BX3+BY3+BZ3+CA3)/CC3</f>
        <v>0.123393307902964</v>
      </c>
      <c r="CE3" s="146">
        <f t="shared" ref="CE3:CE12" si="11">W3/I3*CD3+(J3/I3)*0.09</f>
        <v>0.0719654276648473</v>
      </c>
      <c r="CF3" s="150">
        <f t="shared" ref="CF3:CF12" si="12">W3/(W3+J3)*CD3+(J3/(W3+J3))*0.09</f>
        <v>0.0903139057429914</v>
      </c>
      <c r="CG3" s="151" t="s">
        <v>87</v>
      </c>
      <c r="CH3" s="14"/>
      <c r="CI3" s="14"/>
    </row>
    <row r="4" spans="1:87">
      <c r="A4" s="106"/>
      <c r="B4" s="106">
        <v>2021</v>
      </c>
      <c r="C4" s="104">
        <f>4427.84*100000000</f>
        <v>442784000000</v>
      </c>
      <c r="D4" s="104" t="s">
        <v>88</v>
      </c>
      <c r="E4" s="110">
        <v>4212576170</v>
      </c>
      <c r="F4" s="59">
        <f t="shared" ref="F4:F13" si="13">J4/E4</f>
        <v>5.5784981963614</v>
      </c>
      <c r="G4" s="51">
        <f t="shared" si="0"/>
        <v>-0.103601327720755</v>
      </c>
      <c r="H4" s="49"/>
      <c r="I4" s="59">
        <v>33337724549.58</v>
      </c>
      <c r="J4" s="59">
        <v>23499848566.38</v>
      </c>
      <c r="K4" s="51">
        <f t="shared" ref="K4:K12" si="14">(J4-J5)/J5</f>
        <v>0.165318273852368</v>
      </c>
      <c r="L4" s="59"/>
      <c r="M4" s="51"/>
      <c r="N4" s="59"/>
      <c r="O4" s="59"/>
      <c r="P4" s="59"/>
      <c r="Q4" s="59">
        <v>54070173.8</v>
      </c>
      <c r="R4" s="59"/>
      <c r="S4" s="59">
        <v>104600000</v>
      </c>
      <c r="T4" s="59"/>
      <c r="U4" s="59"/>
      <c r="V4" s="59"/>
      <c r="W4" s="59">
        <f t="shared" ref="W4:W13" si="15">SUM(N4:V4)</f>
        <v>158670173.8</v>
      </c>
      <c r="X4" s="59"/>
      <c r="Y4" s="59"/>
      <c r="Z4" s="59"/>
      <c r="AA4" s="59"/>
      <c r="AB4" s="59"/>
      <c r="AC4" s="59"/>
      <c r="AD4" s="60">
        <v>100000</v>
      </c>
      <c r="AE4" s="60">
        <v>4496708</v>
      </c>
      <c r="AF4" s="60">
        <v>19813767427.18</v>
      </c>
      <c r="AG4" s="60"/>
      <c r="AH4" s="60">
        <v>5377818664.42</v>
      </c>
      <c r="AI4" s="60">
        <f t="shared" ref="AI4:AI13" si="16">SUM(Z4:AH4)</f>
        <v>25196182799.6</v>
      </c>
      <c r="AJ4" s="60">
        <f t="shared" ref="AJ4:AJ13" si="17">SUM(Z4:AE4)</f>
        <v>4596708</v>
      </c>
      <c r="AK4" s="51">
        <f t="shared" si="1"/>
        <v>-0.0829708339328466</v>
      </c>
      <c r="AL4" s="60">
        <f t="shared" ref="AL4:AL13" si="18">SUM(AF4:AH4)</f>
        <v>25191586091.6</v>
      </c>
      <c r="AM4" s="51">
        <f t="shared" si="2"/>
        <v>0.144426523956121</v>
      </c>
      <c r="AN4" s="60">
        <f t="shared" ref="AN4:AN13" si="19">I4-AI4</f>
        <v>8141541749.98</v>
      </c>
      <c r="AO4" s="59">
        <v>3614222644.29</v>
      </c>
      <c r="AP4" s="129">
        <v>923163979.01</v>
      </c>
      <c r="AQ4" s="59">
        <v>376666046.75</v>
      </c>
      <c r="AR4" s="51">
        <f t="shared" si="3"/>
        <v>0.603577654080331</v>
      </c>
      <c r="AS4" s="51">
        <f t="shared" si="4"/>
        <v>-0.0765708136627867</v>
      </c>
      <c r="AT4" s="51">
        <f t="shared" si="5"/>
        <v>1.50313013034616</v>
      </c>
      <c r="AU4" s="73"/>
      <c r="AV4" s="73">
        <v>56045139.23</v>
      </c>
      <c r="AW4" s="73">
        <v>16294323.24</v>
      </c>
      <c r="AX4" s="73"/>
      <c r="AY4" s="73"/>
      <c r="AZ4" s="73">
        <v>16216013.8</v>
      </c>
      <c r="BA4" s="73">
        <v>2226818960.68</v>
      </c>
      <c r="BB4" s="87">
        <v>71912733.17</v>
      </c>
      <c r="BC4" s="14"/>
      <c r="BD4" s="87">
        <v>142498802.39</v>
      </c>
      <c r="BE4" s="14"/>
      <c r="BF4" s="14"/>
      <c r="BG4" s="14"/>
      <c r="BH4" s="87">
        <v>2124863700.9</v>
      </c>
      <c r="BI4" s="14"/>
      <c r="BJ4" s="87">
        <v>16921578797.54</v>
      </c>
      <c r="BK4" s="87">
        <f t="shared" ref="BK4:BK24" si="20">J4+W4</f>
        <v>23658518740.18</v>
      </c>
      <c r="BL4" s="51">
        <f t="shared" si="6"/>
        <v>0.167823956134587</v>
      </c>
      <c r="BM4" s="60">
        <f t="shared" ref="BM3:BM13" si="21">J4+O4+P4+R4+S4+U4+V4-Z4-AA4-AB4-AC4-AD4-AE4-AF4-AG4-AH4</f>
        <v>-1591734233.22</v>
      </c>
      <c r="BN4" s="51">
        <f t="shared" si="7"/>
        <v>-0.0949824578569492</v>
      </c>
      <c r="BO4" s="60">
        <v>7820419296.51</v>
      </c>
      <c r="BP4" s="51">
        <f t="shared" si="8"/>
        <v>0.0230969508249376</v>
      </c>
      <c r="BQ4" s="60">
        <v>7820740015.8</v>
      </c>
      <c r="BR4" s="60"/>
      <c r="BS4" s="60">
        <v>-584217366.43</v>
      </c>
      <c r="BT4" s="59">
        <f t="shared" si="9"/>
        <v>7236522649.37</v>
      </c>
      <c r="BU4" s="59">
        <f t="shared" ref="BU4:BU13" si="22">BO4+BS4</f>
        <v>7236201930.08</v>
      </c>
      <c r="BV4" s="51">
        <f t="shared" ref="BV4:BV12" si="23">BQ4/BK4</f>
        <v>0.330567610833462</v>
      </c>
      <c r="BW4" s="146">
        <f t="shared" ref="BW4:BW11" si="24">BU4/BM4</f>
        <v>-4.54611189422088</v>
      </c>
      <c r="BX4" s="59">
        <v>4582073.3</v>
      </c>
      <c r="BY4" s="59">
        <v>-5456405.46</v>
      </c>
      <c r="BZ4" s="59">
        <v>7145253.84</v>
      </c>
      <c r="CA4" s="59">
        <v>4082874.6</v>
      </c>
      <c r="CB4" s="59">
        <f t="shared" ref="CB4:CB12" si="25">SUM(BX4:CA4)</f>
        <v>10353796.28</v>
      </c>
      <c r="CC4" s="59">
        <f>(W4+W5)/2</f>
        <v>125635086.9</v>
      </c>
      <c r="CD4" s="146">
        <f t="shared" si="10"/>
        <v>0.0824116617059466</v>
      </c>
      <c r="CE4" s="146">
        <f t="shared" si="11"/>
        <v>0.0638334701126757</v>
      </c>
      <c r="CF4" s="150">
        <f t="shared" si="12"/>
        <v>0.0899491074242985</v>
      </c>
      <c r="CG4" s="151"/>
      <c r="CH4" s="14"/>
      <c r="CI4" s="14"/>
    </row>
    <row r="5" spans="1:87">
      <c r="A5" s="106"/>
      <c r="B5" s="106">
        <v>2020</v>
      </c>
      <c r="C5" s="104">
        <f>6498.38*100000000</f>
        <v>649838000000</v>
      </c>
      <c r="D5" s="104" t="s">
        <v>89</v>
      </c>
      <c r="E5" s="110">
        <v>3240443208</v>
      </c>
      <c r="F5" s="59">
        <f t="shared" si="13"/>
        <v>6.22323344386167</v>
      </c>
      <c r="G5" s="51">
        <f t="shared" si="0"/>
        <v>0.01249100302601</v>
      </c>
      <c r="H5" s="49"/>
      <c r="I5" s="59">
        <v>29533620038.66</v>
      </c>
      <c r="J5" s="59">
        <v>20166034544.96</v>
      </c>
      <c r="K5" s="51">
        <f t="shared" si="14"/>
        <v>0.214989203631212</v>
      </c>
      <c r="L5" s="59"/>
      <c r="M5" s="51"/>
      <c r="N5" s="59"/>
      <c r="O5" s="59"/>
      <c r="P5" s="59"/>
      <c r="Q5" s="59"/>
      <c r="R5" s="59"/>
      <c r="S5" s="59">
        <v>92600000</v>
      </c>
      <c r="T5" s="59"/>
      <c r="U5" s="59"/>
      <c r="V5" s="59"/>
      <c r="W5" s="59">
        <f t="shared" si="15"/>
        <v>92600000</v>
      </c>
      <c r="X5" s="59"/>
      <c r="Y5" s="59"/>
      <c r="Z5" s="59"/>
      <c r="AA5" s="59"/>
      <c r="AB5" s="59"/>
      <c r="AC5" s="59"/>
      <c r="AD5" s="60">
        <v>100000</v>
      </c>
      <c r="AE5" s="60">
        <v>4912608.29</v>
      </c>
      <c r="AF5" s="60">
        <v>16957675015.45</v>
      </c>
      <c r="AG5" s="60"/>
      <c r="AH5" s="60">
        <v>5054735186.75</v>
      </c>
      <c r="AI5" s="60">
        <f t="shared" si="16"/>
        <v>22017422810.49</v>
      </c>
      <c r="AJ5" s="60">
        <f t="shared" si="17"/>
        <v>5012608.29</v>
      </c>
      <c r="AK5" s="51">
        <f t="shared" si="1"/>
        <v>-0.092664023188114</v>
      </c>
      <c r="AL5" s="60">
        <f t="shared" si="18"/>
        <v>22012410202.2</v>
      </c>
      <c r="AM5" s="51">
        <f t="shared" si="2"/>
        <v>0.200654540177839</v>
      </c>
      <c r="AN5" s="60">
        <f t="shared" si="19"/>
        <v>7516197228.17</v>
      </c>
      <c r="AO5" s="59">
        <v>3913914242.44</v>
      </c>
      <c r="AP5" s="59">
        <v>368803829.98</v>
      </c>
      <c r="AQ5" s="59">
        <v>385298787.75</v>
      </c>
      <c r="AR5" s="51">
        <f t="shared" si="3"/>
        <v>0.621060985823351</v>
      </c>
      <c r="AS5" s="51">
        <f t="shared" si="4"/>
        <v>0.135041497025156</v>
      </c>
      <c r="AT5" s="51">
        <f t="shared" si="5"/>
        <v>-0.252700507598656</v>
      </c>
      <c r="AU5" s="73"/>
      <c r="AV5" s="73">
        <v>41492650.3</v>
      </c>
      <c r="AW5" s="73">
        <v>15623255.46</v>
      </c>
      <c r="AX5" s="73"/>
      <c r="AY5" s="73"/>
      <c r="AZ5" s="73">
        <v>11185829.2</v>
      </c>
      <c r="BA5" s="73">
        <v>2099920921.86</v>
      </c>
      <c r="BB5" s="87">
        <v>19503828.31</v>
      </c>
      <c r="BC5" s="14"/>
      <c r="BD5" s="87">
        <v>790587443.39</v>
      </c>
      <c r="BE5" s="14"/>
      <c r="BF5" s="14"/>
      <c r="BG5" s="14"/>
      <c r="BH5" s="87">
        <v>1638797219.9</v>
      </c>
      <c r="BI5" s="14"/>
      <c r="BJ5" s="87">
        <v>14398588292.06</v>
      </c>
      <c r="BK5" s="87">
        <f t="shared" si="20"/>
        <v>20258634544.96</v>
      </c>
      <c r="BL5" s="136">
        <f t="shared" si="6"/>
        <v>0.219128635640979</v>
      </c>
      <c r="BM5" s="60">
        <f t="shared" si="21"/>
        <v>-1758788265.53</v>
      </c>
      <c r="BN5" s="51">
        <f t="shared" si="7"/>
        <v>0.0214272633608811</v>
      </c>
      <c r="BO5" s="60">
        <v>7643869224.91</v>
      </c>
      <c r="BP5" s="51">
        <f t="shared" si="8"/>
        <v>0.198203826091798</v>
      </c>
      <c r="BQ5" s="60">
        <v>7642422274.71</v>
      </c>
      <c r="BR5" s="60"/>
      <c r="BS5" s="60">
        <v>-392238055.13</v>
      </c>
      <c r="BT5" s="59">
        <f t="shared" si="9"/>
        <v>7250184219.58</v>
      </c>
      <c r="BU5" s="59">
        <f t="shared" si="22"/>
        <v>7251631169.78</v>
      </c>
      <c r="BV5" s="51">
        <f t="shared" si="23"/>
        <v>0.377242713853649</v>
      </c>
      <c r="BW5" s="146">
        <f t="shared" si="24"/>
        <v>-4.12308366612553</v>
      </c>
      <c r="BX5" s="59">
        <v>5289288.72</v>
      </c>
      <c r="BY5" s="59">
        <v>372821.96</v>
      </c>
      <c r="BZ5" s="59">
        <v>2007869.16</v>
      </c>
      <c r="CA5" s="59"/>
      <c r="CB5" s="59">
        <f t="shared" si="25"/>
        <v>7669979.84</v>
      </c>
      <c r="CC5" s="59">
        <f>(W5+W6)/2</f>
        <v>56100000</v>
      </c>
      <c r="CD5" s="146">
        <f t="shared" si="10"/>
        <v>0.136719783244207</v>
      </c>
      <c r="CE5" s="146">
        <f t="shared" si="11"/>
        <v>0.0618821315701377</v>
      </c>
      <c r="CF5" s="150">
        <f t="shared" si="12"/>
        <v>0.0902135510129674</v>
      </c>
      <c r="CG5" s="151"/>
      <c r="CH5" s="14"/>
      <c r="CI5" s="14"/>
    </row>
    <row r="6" spans="1:87">
      <c r="A6" s="106"/>
      <c r="B6" s="106">
        <v>2019</v>
      </c>
      <c r="C6" s="104">
        <f>2903.17*100000000</f>
        <v>290317000000</v>
      </c>
      <c r="D6" s="104" t="s">
        <v>90</v>
      </c>
      <c r="E6" s="65">
        <v>2700369340</v>
      </c>
      <c r="F6" s="59">
        <f t="shared" si="13"/>
        <v>6.14645801815762</v>
      </c>
      <c r="G6" s="74">
        <f t="shared" si="0"/>
        <v>0.195126336829306</v>
      </c>
      <c r="H6" s="49"/>
      <c r="I6" s="59">
        <v>24753888098.68</v>
      </c>
      <c r="J6" s="59">
        <v>16597706781.83</v>
      </c>
      <c r="K6" s="51">
        <f t="shared" si="14"/>
        <v>0.195126336829306</v>
      </c>
      <c r="L6" s="59"/>
      <c r="M6" s="51"/>
      <c r="N6" s="59"/>
      <c r="O6" s="59"/>
      <c r="P6" s="59"/>
      <c r="Q6" s="59"/>
      <c r="R6" s="59"/>
      <c r="S6" s="59">
        <v>19600000</v>
      </c>
      <c r="T6" s="59"/>
      <c r="U6" s="59"/>
      <c r="V6" s="59"/>
      <c r="W6" s="59">
        <f t="shared" si="15"/>
        <v>19600000</v>
      </c>
      <c r="X6" s="59"/>
      <c r="Y6" s="59"/>
      <c r="Z6" s="59"/>
      <c r="AA6" s="59"/>
      <c r="AB6" s="59"/>
      <c r="AC6" s="59"/>
      <c r="AD6" s="60">
        <v>100000</v>
      </c>
      <c r="AE6" s="60">
        <v>5424533.82</v>
      </c>
      <c r="AF6" s="60">
        <v>13455532720.24</v>
      </c>
      <c r="AG6" s="60"/>
      <c r="AH6" s="60">
        <v>4878142342.48</v>
      </c>
      <c r="AI6" s="60">
        <f t="shared" si="16"/>
        <v>18339199596.54</v>
      </c>
      <c r="AJ6" s="60">
        <f t="shared" si="17"/>
        <v>5524533.82</v>
      </c>
      <c r="AK6" s="51">
        <f t="shared" si="1"/>
        <v>-0.113024903033681</v>
      </c>
      <c r="AL6" s="60">
        <f t="shared" si="18"/>
        <v>18333675062.72</v>
      </c>
      <c r="AM6" s="124">
        <f t="shared" si="2"/>
        <v>0.938592366571324</v>
      </c>
      <c r="AN6" s="60">
        <f t="shared" si="19"/>
        <v>6414688502.14</v>
      </c>
      <c r="AO6" s="59">
        <v>3448256519.87</v>
      </c>
      <c r="AP6" s="59">
        <v>493515429.53</v>
      </c>
      <c r="AQ6" s="59">
        <v>138370580.99</v>
      </c>
      <c r="AR6" s="51">
        <f t="shared" si="3"/>
        <v>0.636062457129263</v>
      </c>
      <c r="AS6" s="51">
        <f t="shared" si="4"/>
        <v>-0.0793612058076383</v>
      </c>
      <c r="AT6" s="51">
        <f t="shared" si="5"/>
        <v>0.956045548778461</v>
      </c>
      <c r="AU6" s="73"/>
      <c r="AV6" s="73">
        <v>2463315.07</v>
      </c>
      <c r="AW6" s="73">
        <v>18577720.22</v>
      </c>
      <c r="AX6" s="73"/>
      <c r="AY6" s="73"/>
      <c r="AZ6" s="73">
        <v>89751214.54</v>
      </c>
      <c r="BA6" s="73">
        <v>1802760746.44</v>
      </c>
      <c r="BB6" s="87">
        <v>22139073.03</v>
      </c>
      <c r="BC6" s="14"/>
      <c r="BD6" s="87">
        <v>1330661311.39</v>
      </c>
      <c r="BE6" s="14"/>
      <c r="BF6" s="14"/>
      <c r="BG6" s="14"/>
      <c r="BH6" s="87">
        <v>1368760285.9</v>
      </c>
      <c r="BI6" s="14"/>
      <c r="BJ6" s="87">
        <v>11182164121.35</v>
      </c>
      <c r="BK6" s="87">
        <f t="shared" si="20"/>
        <v>16617306781.83</v>
      </c>
      <c r="BL6" s="136">
        <f t="shared" si="6"/>
        <v>0.194851341574022</v>
      </c>
      <c r="BM6" s="60">
        <f t="shared" si="21"/>
        <v>-1721892814.71</v>
      </c>
      <c r="BN6" s="51">
        <f t="shared" si="7"/>
        <v>-1.38746570595088</v>
      </c>
      <c r="BO6" s="60">
        <v>6379439840.25</v>
      </c>
      <c r="BP6" s="51">
        <f t="shared" si="8"/>
        <v>0.217216698607553</v>
      </c>
      <c r="BQ6" s="60">
        <v>6377198678.77</v>
      </c>
      <c r="BR6" s="60"/>
      <c r="BS6" s="60">
        <v>-292740159.04</v>
      </c>
      <c r="BT6" s="59">
        <f t="shared" si="9"/>
        <v>6084458519.73</v>
      </c>
      <c r="BU6" s="59">
        <f t="shared" si="22"/>
        <v>6086699681.21</v>
      </c>
      <c r="BV6" s="51">
        <f t="shared" si="23"/>
        <v>0.383768486825018</v>
      </c>
      <c r="BW6" s="146">
        <f t="shared" si="24"/>
        <v>-3.53488883234298</v>
      </c>
      <c r="BX6" s="59">
        <v>1087729.3</v>
      </c>
      <c r="BY6" s="59">
        <v>325637.72</v>
      </c>
      <c r="BZ6" s="59">
        <v>561936.85</v>
      </c>
      <c r="CA6" s="59"/>
      <c r="CB6" s="59">
        <f t="shared" si="25"/>
        <v>1975303.87</v>
      </c>
      <c r="CC6" s="59">
        <f t="shared" ref="CC6:CC12" si="26">(W6+W7)/2</f>
        <v>19600000</v>
      </c>
      <c r="CD6" s="146">
        <f t="shared" si="10"/>
        <v>0.100780809693878</v>
      </c>
      <c r="CE6" s="146">
        <f t="shared" si="11"/>
        <v>0.0604256150901184</v>
      </c>
      <c r="CF6" s="150">
        <f t="shared" si="12"/>
        <v>0.0900127158914964</v>
      </c>
      <c r="CG6" s="151"/>
      <c r="CH6" s="14"/>
      <c r="CI6" s="14"/>
    </row>
    <row r="7" spans="1:87">
      <c r="A7" s="106"/>
      <c r="B7" s="106">
        <v>2018</v>
      </c>
      <c r="C7" s="104">
        <f>1857.85*100000000</f>
        <v>185785000000</v>
      </c>
      <c r="D7" s="104" t="s">
        <v>91</v>
      </c>
      <c r="E7" s="65">
        <v>2700369340</v>
      </c>
      <c r="F7" s="59">
        <f t="shared" si="13"/>
        <v>5.14293579577896</v>
      </c>
      <c r="G7" s="74">
        <f t="shared" si="0"/>
        <v>0.180884710705892</v>
      </c>
      <c r="H7" s="49"/>
      <c r="I7" s="59">
        <v>20143788853.33</v>
      </c>
      <c r="J7" s="59">
        <v>13887826140.51</v>
      </c>
      <c r="K7" s="51">
        <f t="shared" si="14"/>
        <v>0.180518642599606</v>
      </c>
      <c r="L7" s="59"/>
      <c r="M7" s="51"/>
      <c r="N7" s="59"/>
      <c r="O7" s="59"/>
      <c r="P7" s="59"/>
      <c r="Q7" s="59"/>
      <c r="R7" s="59"/>
      <c r="S7" s="59">
        <v>19600000</v>
      </c>
      <c r="T7" s="59"/>
      <c r="U7" s="59"/>
      <c r="V7" s="59"/>
      <c r="W7" s="59">
        <f t="shared" si="15"/>
        <v>19600000</v>
      </c>
      <c r="X7" s="59"/>
      <c r="Y7" s="59"/>
      <c r="Z7" s="59">
        <v>100000</v>
      </c>
      <c r="AA7" s="59"/>
      <c r="AB7" s="59"/>
      <c r="AC7" s="59"/>
      <c r="AD7" s="60"/>
      <c r="AE7" s="60">
        <v>6128510.63</v>
      </c>
      <c r="AF7" s="60">
        <v>9457209973</v>
      </c>
      <c r="AG7" s="60"/>
      <c r="AH7" s="60"/>
      <c r="AI7" s="60">
        <f t="shared" si="16"/>
        <v>9463438483.63</v>
      </c>
      <c r="AJ7" s="60">
        <f t="shared" si="17"/>
        <v>6228510.63</v>
      </c>
      <c r="AK7" s="124">
        <f t="shared" si="1"/>
        <v>0.296219787938263</v>
      </c>
      <c r="AL7" s="60">
        <f t="shared" si="18"/>
        <v>9457209973</v>
      </c>
      <c r="AM7" s="124">
        <f t="shared" si="2"/>
        <v>0.684900436187654</v>
      </c>
      <c r="AN7" s="60">
        <f t="shared" si="19"/>
        <v>10680350369.7</v>
      </c>
      <c r="AO7" s="59">
        <v>3745504253.81</v>
      </c>
      <c r="AP7" s="59">
        <v>252302626.51</v>
      </c>
      <c r="AQ7" s="59">
        <v>143566603.01</v>
      </c>
      <c r="AR7" s="51">
        <f t="shared" si="3"/>
        <v>0.387756331953212</v>
      </c>
      <c r="AS7" s="51">
        <f t="shared" si="4"/>
        <v>0.026264863246289</v>
      </c>
      <c r="AT7" s="51">
        <f t="shared" si="5"/>
        <v>-0.589842247463417</v>
      </c>
      <c r="AU7" s="73"/>
      <c r="AV7" s="73">
        <v>2444554.89</v>
      </c>
      <c r="AW7" s="73">
        <v>17201427.99</v>
      </c>
      <c r="AX7" s="80"/>
      <c r="AY7" s="80"/>
      <c r="AZ7" s="73">
        <v>58905778.04</v>
      </c>
      <c r="BA7" s="73">
        <v>1203328316.58</v>
      </c>
      <c r="BB7" s="87">
        <v>5068670980.84</v>
      </c>
      <c r="BC7" s="14"/>
      <c r="BD7" s="87">
        <v>1330661311.39</v>
      </c>
      <c r="BE7" s="14"/>
      <c r="BF7" s="87">
        <v>39309965.69</v>
      </c>
      <c r="BG7" s="14"/>
      <c r="BH7" s="87">
        <v>1368760285.9</v>
      </c>
      <c r="BI7" s="14"/>
      <c r="BJ7" s="87">
        <v>8436031079.51</v>
      </c>
      <c r="BK7" s="87">
        <f t="shared" si="20"/>
        <v>13907426140.51</v>
      </c>
      <c r="BL7" s="136">
        <f t="shared" si="6"/>
        <v>0.182184717992605</v>
      </c>
      <c r="BM7" s="60">
        <f t="shared" si="21"/>
        <v>4443987656.88</v>
      </c>
      <c r="BN7" s="51">
        <f t="shared" si="7"/>
        <v>-0.276982934917695</v>
      </c>
      <c r="BO7" s="60">
        <v>5241005851.75</v>
      </c>
      <c r="BP7" s="51">
        <f t="shared" si="8"/>
        <v>0.244650827397254</v>
      </c>
      <c r="BQ7" s="60">
        <v>5222806355.86</v>
      </c>
      <c r="BR7" s="60"/>
      <c r="BS7" s="60">
        <v>-152621887.7</v>
      </c>
      <c r="BT7" s="59">
        <f t="shared" si="9"/>
        <v>5070184468.16</v>
      </c>
      <c r="BU7" s="59">
        <f t="shared" si="22"/>
        <v>5088383964.05</v>
      </c>
      <c r="BV7" s="51">
        <f t="shared" si="23"/>
        <v>0.375540829992031</v>
      </c>
      <c r="BW7" s="147">
        <f t="shared" si="24"/>
        <v>1.14500407222607</v>
      </c>
      <c r="BX7" s="59">
        <v>595082.65</v>
      </c>
      <c r="BY7" s="59">
        <v>-469476.97</v>
      </c>
      <c r="BZ7" s="59">
        <v>277296.29</v>
      </c>
      <c r="CA7" s="59"/>
      <c r="CB7" s="59">
        <f t="shared" si="25"/>
        <v>402901.97</v>
      </c>
      <c r="CC7" s="59">
        <f t="shared" si="26"/>
        <v>9800000</v>
      </c>
      <c r="CD7" s="146">
        <f t="shared" si="10"/>
        <v>0.0411124459183674</v>
      </c>
      <c r="CE7" s="146">
        <f t="shared" si="11"/>
        <v>0.0620891216489863</v>
      </c>
      <c r="CF7" s="150">
        <f t="shared" si="12"/>
        <v>0.0899311018408209</v>
      </c>
      <c r="CG7" s="151"/>
      <c r="CH7" s="14"/>
      <c r="CI7" s="14"/>
    </row>
    <row r="8" spans="1:87">
      <c r="A8" s="106"/>
      <c r="B8" s="106">
        <v>2017</v>
      </c>
      <c r="C8" s="104">
        <f>1453.25*100000000</f>
        <v>145325000000</v>
      </c>
      <c r="D8" s="104" t="s">
        <v>92</v>
      </c>
      <c r="E8" s="65">
        <v>2701206700</v>
      </c>
      <c r="F8" s="65">
        <f t="shared" si="13"/>
        <v>4.35515486749311</v>
      </c>
      <c r="G8" s="74">
        <f t="shared" si="0"/>
        <v>0.176428046023955</v>
      </c>
      <c r="H8" s="49"/>
      <c r="I8" s="59">
        <v>16336012255.77</v>
      </c>
      <c r="J8" s="59">
        <v>11764173507.61</v>
      </c>
      <c r="K8" s="51">
        <f t="shared" si="14"/>
        <v>0.174799718156718</v>
      </c>
      <c r="L8" s="59"/>
      <c r="M8" s="51"/>
      <c r="N8" s="59"/>
      <c r="O8" s="59"/>
      <c r="P8" s="59"/>
      <c r="Q8" s="59"/>
      <c r="R8" s="59"/>
      <c r="S8" s="59"/>
      <c r="T8" s="59"/>
      <c r="U8" s="59"/>
      <c r="V8" s="59"/>
      <c r="W8" s="59">
        <f t="shared" si="15"/>
        <v>0</v>
      </c>
      <c r="X8" s="59"/>
      <c r="Y8" s="59"/>
      <c r="Z8" s="59">
        <v>100000</v>
      </c>
      <c r="AA8" s="59"/>
      <c r="AB8" s="59"/>
      <c r="AC8" s="59"/>
      <c r="AD8" s="60"/>
      <c r="AE8" s="60">
        <v>4705134.66</v>
      </c>
      <c r="AF8" s="60">
        <v>5612919179.01</v>
      </c>
      <c r="AG8" s="60"/>
      <c r="AH8" s="60"/>
      <c r="AI8" s="60">
        <f t="shared" si="16"/>
        <v>5617724313.67</v>
      </c>
      <c r="AJ8" s="60">
        <f t="shared" si="17"/>
        <v>4805134.66</v>
      </c>
      <c r="AK8" s="51">
        <f t="shared" si="1"/>
        <v>-0.112534302704618</v>
      </c>
      <c r="AL8" s="60">
        <f t="shared" si="18"/>
        <v>5612919179.01</v>
      </c>
      <c r="AM8" s="51">
        <f t="shared" si="2"/>
        <v>0.080119058648652</v>
      </c>
      <c r="AN8" s="60">
        <f t="shared" si="19"/>
        <v>10718287942.1</v>
      </c>
      <c r="AO8" s="59">
        <v>3649646780.23</v>
      </c>
      <c r="AP8" s="59">
        <v>615135578.81</v>
      </c>
      <c r="AQ8" s="59">
        <v>149567775.08</v>
      </c>
      <c r="AR8" s="51">
        <f t="shared" si="3"/>
        <v>0.411852168738724</v>
      </c>
      <c r="AS8" s="51">
        <f t="shared" si="4"/>
        <v>-0.0471605965546371</v>
      </c>
      <c r="AT8" s="51">
        <f t="shared" si="5"/>
        <v>0.0561800280096735</v>
      </c>
      <c r="AU8" s="73"/>
      <c r="AV8" s="73">
        <v>2466645.04</v>
      </c>
      <c r="AW8" s="73">
        <v>18366401.43</v>
      </c>
      <c r="AX8" s="73">
        <v>3797846.32</v>
      </c>
      <c r="AY8" s="73"/>
      <c r="AZ8" s="73">
        <v>12743950.84</v>
      </c>
      <c r="BA8" s="73">
        <v>1041120224.59</v>
      </c>
      <c r="BB8" s="87">
        <v>5103012828.25</v>
      </c>
      <c r="BC8" s="14"/>
      <c r="BD8" s="87">
        <v>1291572608.6</v>
      </c>
      <c r="BE8" s="87">
        <v>37170173.18</v>
      </c>
      <c r="BF8" s="87">
        <v>61430054.74</v>
      </c>
      <c r="BG8" s="14"/>
      <c r="BH8" s="87">
        <v>1291224237.63</v>
      </c>
      <c r="BI8" s="14"/>
      <c r="BJ8" s="87">
        <v>6445076571.28</v>
      </c>
      <c r="BK8" s="87">
        <f t="shared" si="20"/>
        <v>11764173507.61</v>
      </c>
      <c r="BL8" s="136">
        <f t="shared" si="6"/>
        <v>0.174799718156718</v>
      </c>
      <c r="BM8" s="61">
        <f t="shared" si="21"/>
        <v>6146449193.94</v>
      </c>
      <c r="BN8" s="51">
        <f t="shared" si="7"/>
        <v>0.277375232670836</v>
      </c>
      <c r="BO8" s="60">
        <v>4210824221.85</v>
      </c>
      <c r="BP8" s="51">
        <f t="shared" si="8"/>
        <v>0.237894108940673</v>
      </c>
      <c r="BQ8" s="60">
        <v>4215288941.15</v>
      </c>
      <c r="BR8" s="60"/>
      <c r="BS8" s="60">
        <v>-82004118.81</v>
      </c>
      <c r="BT8" s="59">
        <f t="shared" si="9"/>
        <v>4133284822.34</v>
      </c>
      <c r="BU8" s="59">
        <f t="shared" si="22"/>
        <v>4128820103.04</v>
      </c>
      <c r="BV8" s="51">
        <f t="shared" si="23"/>
        <v>0.358315774450557</v>
      </c>
      <c r="BW8" s="146">
        <f t="shared" ref="BW8:BW14" si="27">BU8/BM8</f>
        <v>0.671740703089314</v>
      </c>
      <c r="BX8" s="59">
        <v>632104.08</v>
      </c>
      <c r="BY8" s="59">
        <v>1056228.46</v>
      </c>
      <c r="BZ8" s="59">
        <v>125563.01</v>
      </c>
      <c r="CA8" s="59"/>
      <c r="CB8" s="59">
        <f t="shared" si="25"/>
        <v>1813895.55</v>
      </c>
      <c r="CC8" s="59">
        <f t="shared" si="26"/>
        <v>0</v>
      </c>
      <c r="CD8" s="146" t="e">
        <f t="shared" si="10"/>
        <v>#DIV/0!</v>
      </c>
      <c r="CE8" s="146" t="e">
        <f t="shared" si="11"/>
        <v>#DIV/0!</v>
      </c>
      <c r="CF8" s="150" t="e">
        <f t="shared" si="12"/>
        <v>#DIV/0!</v>
      </c>
      <c r="CG8" s="151"/>
      <c r="CH8" s="14"/>
      <c r="CI8" s="14"/>
    </row>
    <row r="9" spans="1:87">
      <c r="A9" s="106"/>
      <c r="B9" s="106">
        <v>2016</v>
      </c>
      <c r="C9" s="104">
        <f>793.36*100000000</f>
        <v>79336000000</v>
      </c>
      <c r="D9" s="104" t="s">
        <v>93</v>
      </c>
      <c r="E9" s="65">
        <v>2704950700</v>
      </c>
      <c r="F9" s="65">
        <f t="shared" si="13"/>
        <v>3.70201550550626</v>
      </c>
      <c r="G9" s="74">
        <f t="shared" si="0"/>
        <v>0.144831546210893</v>
      </c>
      <c r="H9" s="111"/>
      <c r="I9" s="107">
        <v>13463592998.27</v>
      </c>
      <c r="J9" s="59">
        <v>10013769433.03</v>
      </c>
      <c r="K9" s="51">
        <f t="shared" si="14"/>
        <v>0.144283591478837</v>
      </c>
      <c r="L9" s="59"/>
      <c r="M9" s="51"/>
      <c r="N9" s="59"/>
      <c r="O9" s="59"/>
      <c r="P9" s="59"/>
      <c r="Q9" s="59"/>
      <c r="R9" s="59"/>
      <c r="S9" s="59"/>
      <c r="T9" s="59"/>
      <c r="U9" s="59"/>
      <c r="V9" s="59"/>
      <c r="W9" s="59">
        <f t="shared" si="15"/>
        <v>0</v>
      </c>
      <c r="X9" s="59"/>
      <c r="Y9" s="59"/>
      <c r="Z9" s="59">
        <v>100000</v>
      </c>
      <c r="AA9" s="59"/>
      <c r="AB9" s="59"/>
      <c r="AC9" s="59"/>
      <c r="AD9" s="60"/>
      <c r="AE9" s="60">
        <v>5314445.51</v>
      </c>
      <c r="AF9" s="60">
        <v>5196574520.25</v>
      </c>
      <c r="AG9" s="60"/>
      <c r="AH9" s="60"/>
      <c r="AI9" s="60">
        <f t="shared" si="16"/>
        <v>5201988965.76</v>
      </c>
      <c r="AJ9" s="60">
        <f t="shared" si="17"/>
        <v>5414445.51</v>
      </c>
      <c r="AK9" s="51">
        <f t="shared" si="1"/>
        <v>-0.0859776683171671</v>
      </c>
      <c r="AL9" s="60">
        <f t="shared" si="18"/>
        <v>5196574520.25</v>
      </c>
      <c r="AM9" s="51">
        <f t="shared" si="2"/>
        <v>0.149915866494645</v>
      </c>
      <c r="AN9" s="60">
        <f t="shared" si="19"/>
        <v>8261604032.51</v>
      </c>
      <c r="AO9" s="60">
        <v>3830285320.94</v>
      </c>
      <c r="AP9" s="60">
        <v>582415461.85</v>
      </c>
      <c r="AQ9" s="60">
        <v>140015729.76</v>
      </c>
      <c r="AR9" s="51">
        <f t="shared" si="3"/>
        <v>0.551069319545543</v>
      </c>
      <c r="AS9" s="51">
        <f t="shared" si="4"/>
        <v>0.173622069417788</v>
      </c>
      <c r="AT9" s="51">
        <f t="shared" si="5"/>
        <v>-0.259616874347512</v>
      </c>
      <c r="AU9" s="73"/>
      <c r="AV9" s="73"/>
      <c r="AW9" s="73">
        <v>16997928.74</v>
      </c>
      <c r="AX9" s="73">
        <v>2071262.81</v>
      </c>
      <c r="AY9" s="73"/>
      <c r="AZ9" s="73">
        <v>6251866.18</v>
      </c>
      <c r="BA9" s="73">
        <v>939884332.9</v>
      </c>
      <c r="BB9" s="87">
        <v>2666423818.65</v>
      </c>
      <c r="BC9" s="14"/>
      <c r="BD9" s="87">
        <v>1320136410.56</v>
      </c>
      <c r="BE9" s="87">
        <v>75623665.92</v>
      </c>
      <c r="BF9" s="87">
        <v>23734458.9</v>
      </c>
      <c r="BG9" s="14"/>
      <c r="BH9" s="87">
        <v>1041726620.6</v>
      </c>
      <c r="BI9" s="14"/>
      <c r="BJ9" s="87">
        <v>4998844908.89</v>
      </c>
      <c r="BK9" s="87">
        <f t="shared" si="20"/>
        <v>10013769433.03</v>
      </c>
      <c r="BL9" s="51">
        <f t="shared" si="6"/>
        <v>0.144283591478837</v>
      </c>
      <c r="BM9" s="61">
        <f t="shared" si="21"/>
        <v>4811780467.27</v>
      </c>
      <c r="BN9" s="51">
        <f t="shared" si="7"/>
        <v>0.138583610244112</v>
      </c>
      <c r="BO9" s="60">
        <v>3401602925.03</v>
      </c>
      <c r="BP9" s="51">
        <f t="shared" si="8"/>
        <v>0.137987057766867</v>
      </c>
      <c r="BQ9" s="60">
        <v>3413378743.95</v>
      </c>
      <c r="BR9" s="60"/>
      <c r="BS9" s="60">
        <v>-45681637.22</v>
      </c>
      <c r="BT9" s="59">
        <f t="shared" si="9"/>
        <v>3367697106.73</v>
      </c>
      <c r="BU9" s="59">
        <f t="shared" si="22"/>
        <v>3355921287.81</v>
      </c>
      <c r="BV9" s="51">
        <f t="shared" si="23"/>
        <v>0.34086851777225</v>
      </c>
      <c r="BW9" s="146">
        <f t="shared" si="27"/>
        <v>0.697438569909239</v>
      </c>
      <c r="BX9" s="59"/>
      <c r="BY9" s="59">
        <v>-1792439.78</v>
      </c>
      <c r="BZ9" s="59">
        <v>497245.57</v>
      </c>
      <c r="CA9" s="59"/>
      <c r="CB9" s="59">
        <f t="shared" si="25"/>
        <v>-1295194.21</v>
      </c>
      <c r="CC9" s="59">
        <f t="shared" si="26"/>
        <v>0</v>
      </c>
      <c r="CD9" s="146" t="e">
        <f t="shared" si="10"/>
        <v>#DIV/0!</v>
      </c>
      <c r="CE9" s="146" t="e">
        <f t="shared" si="11"/>
        <v>#DIV/0!</v>
      </c>
      <c r="CF9" s="150" t="e">
        <f t="shared" si="12"/>
        <v>#DIV/0!</v>
      </c>
      <c r="CG9" s="151"/>
      <c r="CH9" s="14"/>
      <c r="CI9" s="14"/>
    </row>
    <row r="10" spans="1:87">
      <c r="A10" s="106"/>
      <c r="B10" s="106">
        <v>2015</v>
      </c>
      <c r="C10" s="104">
        <f>956.66*100000000</f>
        <v>95666000000</v>
      </c>
      <c r="D10" s="104" t="s">
        <v>94</v>
      </c>
      <c r="E10" s="65">
        <v>2706246000</v>
      </c>
      <c r="F10" s="65">
        <f t="shared" si="13"/>
        <v>3.23367705734438</v>
      </c>
      <c r="G10" s="51">
        <f t="shared" si="0"/>
        <v>-0.350674520616271</v>
      </c>
      <c r="H10" s="111"/>
      <c r="I10" s="107">
        <v>11498002242.84</v>
      </c>
      <c r="J10" s="59">
        <v>8751125601.73</v>
      </c>
      <c r="K10" s="51">
        <f t="shared" si="14"/>
        <v>0.16870035600387</v>
      </c>
      <c r="L10" s="59"/>
      <c r="M10" s="51"/>
      <c r="N10" s="59"/>
      <c r="O10" s="59"/>
      <c r="P10" s="59"/>
      <c r="Q10" s="59"/>
      <c r="R10" s="59"/>
      <c r="S10" s="59"/>
      <c r="T10" s="59"/>
      <c r="U10" s="59"/>
      <c r="V10" s="59"/>
      <c r="W10" s="59">
        <f t="shared" si="15"/>
        <v>0</v>
      </c>
      <c r="X10" s="59"/>
      <c r="Y10" s="59"/>
      <c r="Z10" s="59">
        <v>0.001</v>
      </c>
      <c r="AA10" s="59"/>
      <c r="AB10" s="59"/>
      <c r="AC10" s="59"/>
      <c r="AD10" s="60"/>
      <c r="AE10" s="60">
        <v>5923756.26</v>
      </c>
      <c r="AF10" s="60">
        <v>4519091067.15</v>
      </c>
      <c r="AG10" s="60"/>
      <c r="AH10" s="60"/>
      <c r="AI10" s="60">
        <f t="shared" si="16"/>
        <v>4525014823.411</v>
      </c>
      <c r="AJ10" s="60">
        <f t="shared" si="17"/>
        <v>5923756.261</v>
      </c>
      <c r="AK10" s="51">
        <f t="shared" si="1"/>
        <v>-0.10693557957865</v>
      </c>
      <c r="AL10" s="60">
        <f t="shared" si="18"/>
        <v>4519091067.15</v>
      </c>
      <c r="AM10" s="51">
        <f t="shared" si="2"/>
        <v>-0.116945073300857</v>
      </c>
      <c r="AN10" s="60">
        <f t="shared" si="19"/>
        <v>6972987419.429</v>
      </c>
      <c r="AO10" s="60">
        <v>3263644592.88</v>
      </c>
      <c r="AP10" s="130">
        <v>786640648.16</v>
      </c>
      <c r="AQ10" s="60">
        <v>144144932.39</v>
      </c>
      <c r="AR10" s="51">
        <f t="shared" si="3"/>
        <v>0.601525561589708</v>
      </c>
      <c r="AS10" s="51">
        <f t="shared" si="4"/>
        <v>0.0203112685606269</v>
      </c>
      <c r="AT10" s="51">
        <f t="shared" si="5"/>
        <v>0.558775177271075</v>
      </c>
      <c r="AU10" s="73"/>
      <c r="AV10" s="73"/>
      <c r="AW10" s="73">
        <v>7279517.87</v>
      </c>
      <c r="AX10" s="73">
        <v>753269.4</v>
      </c>
      <c r="AY10" s="73"/>
      <c r="AZ10" s="73">
        <v>7085944.99</v>
      </c>
      <c r="BA10" s="73">
        <v>999924009.12</v>
      </c>
      <c r="BB10" s="87">
        <v>1640624402.16</v>
      </c>
      <c r="BC10" s="14"/>
      <c r="BD10" s="87">
        <v>1333875444.15</v>
      </c>
      <c r="BE10" s="87">
        <v>109179250</v>
      </c>
      <c r="BF10" s="87">
        <v>5022311.65</v>
      </c>
      <c r="BG10" s="14"/>
      <c r="BH10" s="87">
        <v>827373822.15</v>
      </c>
      <c r="BI10" s="14"/>
      <c r="BJ10" s="87">
        <v>3987787273.78</v>
      </c>
      <c r="BK10" s="87">
        <f t="shared" si="20"/>
        <v>8751125601.73</v>
      </c>
      <c r="BL10" s="51">
        <f t="shared" si="6"/>
        <v>0.15089057649324</v>
      </c>
      <c r="BM10" s="61">
        <f t="shared" si="21"/>
        <v>4226110778.319</v>
      </c>
      <c r="BN10" s="136">
        <f t="shared" si="7"/>
        <v>0.704360210445112</v>
      </c>
      <c r="BO10" s="60">
        <v>2989140255.87</v>
      </c>
      <c r="BP10" s="51">
        <f t="shared" si="8"/>
        <v>0.242825500889958</v>
      </c>
      <c r="BQ10" s="60">
        <v>3011302913.95</v>
      </c>
      <c r="BR10" s="60"/>
      <c r="BS10" s="60">
        <v>-48786754.34</v>
      </c>
      <c r="BT10" s="59">
        <f t="shared" si="9"/>
        <v>2962516159.61</v>
      </c>
      <c r="BU10" s="59">
        <f t="shared" si="22"/>
        <v>2940353501.53</v>
      </c>
      <c r="BV10" s="51">
        <f t="shared" si="23"/>
        <v>0.344104638762664</v>
      </c>
      <c r="BW10" s="146">
        <f t="shared" si="27"/>
        <v>0.695758737942873</v>
      </c>
      <c r="BX10" s="59"/>
      <c r="BY10" s="59">
        <v>-1345362.1</v>
      </c>
      <c r="BZ10" s="59">
        <v>326429.66</v>
      </c>
      <c r="CA10" s="59"/>
      <c r="CB10" s="59">
        <f t="shared" si="25"/>
        <v>-1018932.44</v>
      </c>
      <c r="CC10" s="59">
        <f t="shared" si="26"/>
        <v>57936900</v>
      </c>
      <c r="CD10" s="146">
        <f t="shared" si="10"/>
        <v>-0.0175869340610216</v>
      </c>
      <c r="CE10" s="146">
        <f t="shared" si="11"/>
        <v>0.0684989694315073</v>
      </c>
      <c r="CF10" s="150">
        <f t="shared" si="12"/>
        <v>0.09</v>
      </c>
      <c r="CG10" s="151"/>
      <c r="CH10" s="14"/>
      <c r="CI10" s="14"/>
    </row>
    <row r="11" spans="1:87">
      <c r="A11" s="106"/>
      <c r="B11" s="106">
        <v>2014</v>
      </c>
      <c r="C11" s="104">
        <f>600.68*100000000</f>
        <v>60068000000</v>
      </c>
      <c r="D11" s="104" t="s">
        <v>95</v>
      </c>
      <c r="E11" s="110">
        <v>1503580000</v>
      </c>
      <c r="F11" s="65">
        <f t="shared" si="13"/>
        <v>4.98005570397984</v>
      </c>
      <c r="G11" s="51">
        <f t="shared" si="0"/>
        <v>-0.0954464720666935</v>
      </c>
      <c r="H11" s="111"/>
      <c r="I11" s="107">
        <v>11000594566.17</v>
      </c>
      <c r="J11" s="59">
        <v>7487912155.39</v>
      </c>
      <c r="K11" s="51">
        <f t="shared" si="14"/>
        <v>0.912895349549875</v>
      </c>
      <c r="L11" s="59"/>
      <c r="M11" s="51"/>
      <c r="N11" s="59"/>
      <c r="O11" s="59"/>
      <c r="P11" s="59"/>
      <c r="Q11" s="59"/>
      <c r="R11" s="59">
        <v>115873800</v>
      </c>
      <c r="S11" s="59"/>
      <c r="T11" s="59"/>
      <c r="U11" s="59"/>
      <c r="V11" s="59"/>
      <c r="W11" s="59">
        <f t="shared" si="15"/>
        <v>115873800</v>
      </c>
      <c r="X11" s="59"/>
      <c r="Y11" s="59"/>
      <c r="Z11" s="59">
        <v>100000</v>
      </c>
      <c r="AA11" s="59"/>
      <c r="AB11" s="59"/>
      <c r="AC11" s="59"/>
      <c r="AD11" s="60"/>
      <c r="AE11" s="60">
        <v>6533067.14</v>
      </c>
      <c r="AF11" s="60">
        <v>5117565091.95</v>
      </c>
      <c r="AG11" s="60"/>
      <c r="AH11" s="60"/>
      <c r="AI11" s="60">
        <f t="shared" si="16"/>
        <v>5124198159.09</v>
      </c>
      <c r="AJ11" s="60">
        <f t="shared" si="17"/>
        <v>6633067.14</v>
      </c>
      <c r="AK11" s="51">
        <f t="shared" si="1"/>
        <v>-0.0841313215802793</v>
      </c>
      <c r="AL11" s="60">
        <f t="shared" si="18"/>
        <v>5117565091.95</v>
      </c>
      <c r="AM11" s="124">
        <f t="shared" si="2"/>
        <v>1.25957158485902</v>
      </c>
      <c r="AN11" s="60">
        <f t="shared" si="19"/>
        <v>5876396407.08</v>
      </c>
      <c r="AO11" s="60">
        <v>3198675437.04</v>
      </c>
      <c r="AP11" s="60">
        <v>504653050.44</v>
      </c>
      <c r="AQ11" s="60">
        <v>148693946.28</v>
      </c>
      <c r="AR11" s="51">
        <f t="shared" si="3"/>
        <v>0.655507587799728</v>
      </c>
      <c r="AS11" s="51">
        <f t="shared" si="4"/>
        <v>0.354986346024638</v>
      </c>
      <c r="AT11" s="51">
        <f t="shared" si="5"/>
        <v>-0.320952526602908</v>
      </c>
      <c r="AU11" s="73"/>
      <c r="AV11" s="73"/>
      <c r="AW11" s="73">
        <v>21882548.01</v>
      </c>
      <c r="AX11" s="73">
        <v>9681644.14</v>
      </c>
      <c r="AY11" s="73"/>
      <c r="AZ11" s="73">
        <v>6946040.13</v>
      </c>
      <c r="BA11" s="73">
        <v>1154208319.45</v>
      </c>
      <c r="BB11" s="87">
        <v>722327034.84</v>
      </c>
      <c r="BC11" s="14"/>
      <c r="BD11" s="87">
        <v>2503954982.27</v>
      </c>
      <c r="BE11" s="87">
        <v>115873800</v>
      </c>
      <c r="BF11" s="87">
        <v>9077439.72</v>
      </c>
      <c r="BG11" s="14"/>
      <c r="BH11" s="87">
        <v>495518007.47</v>
      </c>
      <c r="BI11" s="14"/>
      <c r="BJ11" s="87">
        <v>3091655525.93</v>
      </c>
      <c r="BK11" s="87">
        <f t="shared" si="20"/>
        <v>7603785955.39</v>
      </c>
      <c r="BL11" s="136">
        <f t="shared" si="6"/>
        <v>0.942496985967994</v>
      </c>
      <c r="BM11" s="61">
        <f t="shared" si="21"/>
        <v>2479587796.3</v>
      </c>
      <c r="BN11" s="136">
        <f t="shared" si="7"/>
        <v>0.509773060642305</v>
      </c>
      <c r="BO11" s="60">
        <v>2405116610.28</v>
      </c>
      <c r="BP11" s="51">
        <f t="shared" si="8"/>
        <v>0.268419373073552</v>
      </c>
      <c r="BQ11" s="60">
        <v>2492226431.36</v>
      </c>
      <c r="BR11" s="60"/>
      <c r="BS11" s="60">
        <v>-48633317.83</v>
      </c>
      <c r="BT11" s="59">
        <f t="shared" si="9"/>
        <v>2443593113.53</v>
      </c>
      <c r="BU11" s="59">
        <f t="shared" si="22"/>
        <v>2356483292.45</v>
      </c>
      <c r="BV11" s="51">
        <f t="shared" si="23"/>
        <v>0.327761255508957</v>
      </c>
      <c r="BW11" s="146">
        <f t="shared" si="27"/>
        <v>0.950352835243949</v>
      </c>
      <c r="BX11" s="59"/>
      <c r="BY11" s="59">
        <v>652481.04</v>
      </c>
      <c r="BZ11" s="59">
        <v>349268.11</v>
      </c>
      <c r="CA11" s="59"/>
      <c r="CB11" s="59">
        <f t="shared" si="25"/>
        <v>1001749.15</v>
      </c>
      <c r="CC11" s="59">
        <f t="shared" si="26"/>
        <v>57936900</v>
      </c>
      <c r="CD11" s="146">
        <f t="shared" si="10"/>
        <v>0.0172903477749068</v>
      </c>
      <c r="CE11" s="146">
        <f t="shared" si="11"/>
        <v>0.0614435509116694</v>
      </c>
      <c r="CF11" s="150">
        <f t="shared" si="12"/>
        <v>0.0888919804227225</v>
      </c>
      <c r="CG11" s="151"/>
      <c r="CH11" s="14"/>
      <c r="CI11" s="14"/>
    </row>
    <row r="12" ht="20" customHeight="1" spans="1:87">
      <c r="A12" s="106"/>
      <c r="B12" s="106">
        <v>2013</v>
      </c>
      <c r="C12" s="107"/>
      <c r="D12" s="18"/>
      <c r="E12" s="59">
        <f>71100*10000</f>
        <v>711000000</v>
      </c>
      <c r="F12" s="59">
        <f t="shared" si="13"/>
        <v>5.50554008158931</v>
      </c>
      <c r="G12" s="51">
        <f t="shared" si="0"/>
        <v>0.0698111500437279</v>
      </c>
      <c r="H12" s="111"/>
      <c r="I12" s="107">
        <v>6722123294.35</v>
      </c>
      <c r="J12" s="59">
        <v>3914438998.01</v>
      </c>
      <c r="K12" s="51">
        <f t="shared" si="14"/>
        <v>0.0698111500437279</v>
      </c>
      <c r="L12" s="59"/>
      <c r="M12" s="51"/>
      <c r="N12" s="59"/>
      <c r="O12" s="59"/>
      <c r="P12" s="59"/>
      <c r="Q12" s="59"/>
      <c r="R12" s="59"/>
      <c r="S12" s="59"/>
      <c r="T12" s="59"/>
      <c r="U12" s="59"/>
      <c r="V12" s="59"/>
      <c r="W12" s="59">
        <f t="shared" si="15"/>
        <v>0</v>
      </c>
      <c r="X12" s="59"/>
      <c r="Y12" s="59"/>
      <c r="Z12" s="59">
        <v>100000</v>
      </c>
      <c r="AA12" s="59"/>
      <c r="AB12" s="59"/>
      <c r="AC12" s="59"/>
      <c r="AD12" s="60"/>
      <c r="AE12" s="60">
        <v>7142377.97</v>
      </c>
      <c r="AF12" s="60">
        <v>2264838665.1</v>
      </c>
      <c r="AG12" s="60"/>
      <c r="AH12" s="60"/>
      <c r="AI12" s="60">
        <f t="shared" si="16"/>
        <v>2272081043.07</v>
      </c>
      <c r="AJ12" s="60">
        <f t="shared" si="17"/>
        <v>7242377.97</v>
      </c>
      <c r="AK12" s="124">
        <f t="shared" si="1"/>
        <v>0.178676535112702</v>
      </c>
      <c r="AL12" s="60">
        <f t="shared" si="18"/>
        <v>2264838665.1</v>
      </c>
      <c r="AM12" s="51">
        <f t="shared" si="2"/>
        <v>-0.0951503535357571</v>
      </c>
      <c r="AN12" s="60">
        <f t="shared" si="19"/>
        <v>4450042251.28</v>
      </c>
      <c r="AO12" s="60">
        <v>2360669866.84</v>
      </c>
      <c r="AP12" s="60">
        <v>743177863.42</v>
      </c>
      <c r="AQ12" s="60">
        <v>81874709.37</v>
      </c>
      <c r="AR12" s="51">
        <f t="shared" si="3"/>
        <v>0.715885885962918</v>
      </c>
      <c r="AS12" s="51">
        <f t="shared" si="4"/>
        <v>0.130740362774187</v>
      </c>
      <c r="AT12" s="51">
        <f t="shared" si="5"/>
        <v>0.987427983335118</v>
      </c>
      <c r="AU12" s="73"/>
      <c r="AV12" s="73"/>
      <c r="AW12" s="73">
        <v>1045490.37</v>
      </c>
      <c r="AX12" s="73"/>
      <c r="AY12" s="73">
        <v>1488137000</v>
      </c>
      <c r="AZ12" s="73">
        <v>989095587.91</v>
      </c>
      <c r="BA12" s="73">
        <v>75869703.13</v>
      </c>
      <c r="BB12" s="87">
        <v>16569932.55</v>
      </c>
      <c r="BC12" s="14"/>
      <c r="BD12" s="87">
        <v>1336719988.55</v>
      </c>
      <c r="BE12" s="14"/>
      <c r="BF12" s="87">
        <v>-4428833.65</v>
      </c>
      <c r="BG12" s="14"/>
      <c r="BH12" s="87">
        <v>327830534.63</v>
      </c>
      <c r="BI12" s="14"/>
      <c r="BJ12" s="87">
        <v>1543317308.48</v>
      </c>
      <c r="BK12" s="87">
        <f t="shared" si="20"/>
        <v>3914438998.01</v>
      </c>
      <c r="BL12" s="51">
        <f t="shared" si="6"/>
        <v>0.0698111500437279</v>
      </c>
      <c r="BM12" s="61">
        <f t="shared" si="21"/>
        <v>1642357954.94</v>
      </c>
      <c r="BN12" s="136">
        <f t="shared" si="7"/>
        <v>0.428316823235615</v>
      </c>
      <c r="BO12" s="60">
        <v>1896152535.46</v>
      </c>
      <c r="BP12" s="51">
        <f t="shared" si="8"/>
        <v>0.278534289794259</v>
      </c>
      <c r="BQ12" s="60">
        <v>1975619151.91</v>
      </c>
      <c r="BR12" s="60"/>
      <c r="BS12" s="60">
        <v>-14983980.52</v>
      </c>
      <c r="BT12" s="59">
        <f t="shared" si="9"/>
        <v>1960635171.39</v>
      </c>
      <c r="BU12" s="59">
        <f t="shared" si="22"/>
        <v>1881168554.94</v>
      </c>
      <c r="BV12" s="51">
        <f t="shared" si="23"/>
        <v>0.504700457182844</v>
      </c>
      <c r="BW12" s="146">
        <f t="shared" si="27"/>
        <v>1.14540715638859</v>
      </c>
      <c r="BX12" s="59"/>
      <c r="BY12" s="59">
        <v>1391673.12</v>
      </c>
      <c r="BZ12" s="59">
        <v>1123403.73</v>
      </c>
      <c r="CA12" s="59"/>
      <c r="CB12" s="59">
        <f t="shared" si="25"/>
        <v>2515076.85</v>
      </c>
      <c r="CC12" s="59">
        <f t="shared" si="26"/>
        <v>0</v>
      </c>
      <c r="CD12" s="146" t="e">
        <f t="shared" si="10"/>
        <v>#DIV/0!</v>
      </c>
      <c r="CE12" s="146" t="e">
        <f t="shared" si="11"/>
        <v>#DIV/0!</v>
      </c>
      <c r="CF12" s="150" t="e">
        <f t="shared" si="12"/>
        <v>#DIV/0!</v>
      </c>
      <c r="CG12" s="151"/>
      <c r="CH12" s="14"/>
      <c r="CI12" s="14"/>
    </row>
    <row r="13" ht="23" customHeight="1" spans="1:87">
      <c r="A13" s="106"/>
      <c r="B13" s="106">
        <v>2012</v>
      </c>
      <c r="C13" s="107"/>
      <c r="D13" s="18"/>
      <c r="E13" s="59">
        <f>71100*10000</f>
        <v>711000000</v>
      </c>
      <c r="F13" s="59">
        <f t="shared" si="13"/>
        <v>5.14627285513361</v>
      </c>
      <c r="G13" s="59"/>
      <c r="H13" s="111"/>
      <c r="I13" s="107">
        <v>6110204366.74</v>
      </c>
      <c r="J13" s="59">
        <f>36.59*100000000</f>
        <v>3659000000</v>
      </c>
      <c r="K13" s="51">
        <f>AVERAGE(K3:K10)</f>
        <v>0.173470486890729</v>
      </c>
      <c r="L13" s="59"/>
      <c r="M13" s="51"/>
      <c r="N13" s="59"/>
      <c r="O13" s="59"/>
      <c r="P13" s="59"/>
      <c r="Q13" s="59"/>
      <c r="R13" s="59"/>
      <c r="S13" s="59"/>
      <c r="T13" s="59"/>
      <c r="U13" s="59"/>
      <c r="V13" s="59"/>
      <c r="W13" s="59">
        <f t="shared" si="15"/>
        <v>0</v>
      </c>
      <c r="X13" s="59"/>
      <c r="Y13" s="59"/>
      <c r="Z13" s="59"/>
      <c r="AA13" s="59"/>
      <c r="AB13" s="59">
        <f>0.001*100000000</f>
        <v>100000</v>
      </c>
      <c r="AC13" s="59"/>
      <c r="AD13" s="60"/>
      <c r="AE13" s="60">
        <f>0.060445*100000000</f>
        <v>6044500</v>
      </c>
      <c r="AF13" s="60">
        <f>25.03*100000000</f>
        <v>2503000000</v>
      </c>
      <c r="AG13" s="60"/>
      <c r="AH13" s="60"/>
      <c r="AI13" s="60">
        <f t="shared" si="16"/>
        <v>2509144500</v>
      </c>
      <c r="AJ13" s="60">
        <f t="shared" si="17"/>
        <v>6144500</v>
      </c>
      <c r="AK13" s="51"/>
      <c r="AL13" s="60">
        <f t="shared" si="18"/>
        <v>2503000000</v>
      </c>
      <c r="AM13" s="51"/>
      <c r="AN13" s="60">
        <f t="shared" si="19"/>
        <v>3601059866.74</v>
      </c>
      <c r="AO13" s="60">
        <v>2087720527.68</v>
      </c>
      <c r="AP13" s="60">
        <v>373939518.64</v>
      </c>
      <c r="AQ13" s="60">
        <v>136055410.59</v>
      </c>
      <c r="AR13" s="51">
        <f t="shared" si="3"/>
        <v>0.721375248688016</v>
      </c>
      <c r="AS13" s="51">
        <f>AVERAGE(AS3:AS12)</f>
        <v>0.080182552668002</v>
      </c>
      <c r="AT13" s="51">
        <f>AVERAGE(AT3:AT12)</f>
        <v>0.291652763299108</v>
      </c>
      <c r="AU13" s="73"/>
      <c r="AV13" s="73"/>
      <c r="AW13" s="73">
        <v>2878171.82</v>
      </c>
      <c r="AX13" s="73"/>
      <c r="AY13" s="73">
        <v>653037000</v>
      </c>
      <c r="AZ13" s="73">
        <v>1609011448.3</v>
      </c>
      <c r="BA13" s="73">
        <v>76102228.97</v>
      </c>
      <c r="BB13" s="87">
        <v>12449513.86</v>
      </c>
      <c r="BC13" s="14"/>
      <c r="BD13" s="87">
        <v>1336719988.55</v>
      </c>
      <c r="BE13" s="14"/>
      <c r="BF13" s="14"/>
      <c r="BG13" s="14"/>
      <c r="BH13" s="87">
        <v>221020719.29</v>
      </c>
      <c r="BI13" s="14"/>
      <c r="BJ13" s="87">
        <v>1394608332.15</v>
      </c>
      <c r="BK13" s="87">
        <f t="shared" si="20"/>
        <v>3659000000</v>
      </c>
      <c r="BL13" s="51"/>
      <c r="BM13" s="61">
        <f t="shared" si="21"/>
        <v>1149855500</v>
      </c>
      <c r="BN13" s="51"/>
      <c r="BO13" s="60">
        <v>1483067408.2</v>
      </c>
      <c r="BP13" s="51"/>
      <c r="BQ13" s="60">
        <f>14.9*100000000</f>
        <v>1490000000</v>
      </c>
      <c r="BR13" s="60"/>
      <c r="BS13" s="60">
        <f>-0.120058*100000000</f>
        <v>-12005800</v>
      </c>
      <c r="BT13" s="59">
        <f t="shared" si="9"/>
        <v>1477994200</v>
      </c>
      <c r="BU13" s="59">
        <f t="shared" si="22"/>
        <v>1471061608.2</v>
      </c>
      <c r="BV13" s="51">
        <f t="shared" ref="BV13:BV20" si="28">BQ13/BK13</f>
        <v>0.407215086089095</v>
      </c>
      <c r="BW13" s="146">
        <f t="shared" si="27"/>
        <v>1.27934475958066</v>
      </c>
      <c r="BX13" s="59"/>
      <c r="BY13" s="59"/>
      <c r="BZ13" s="59"/>
      <c r="CA13" s="59"/>
      <c r="CB13" s="59"/>
      <c r="CC13" s="59"/>
      <c r="CD13" s="146"/>
      <c r="CE13" s="146"/>
      <c r="CF13" s="150"/>
      <c r="CG13" s="151"/>
      <c r="CH13" s="14"/>
      <c r="CI13" s="14"/>
    </row>
    <row r="14" spans="1:87">
      <c r="A14" s="18" t="s">
        <v>96</v>
      </c>
      <c r="B14" s="18">
        <v>2022</v>
      </c>
      <c r="C14" s="107">
        <f>289.57*100000000</f>
        <v>28957000000</v>
      </c>
      <c r="D14" s="107" t="s">
        <v>86</v>
      </c>
      <c r="E14" s="18"/>
      <c r="F14" s="18"/>
      <c r="G14" s="18"/>
      <c r="H14" s="18"/>
      <c r="I14" s="59">
        <v>6223376570.5</v>
      </c>
      <c r="J14" s="59">
        <v>3464836366.55</v>
      </c>
      <c r="K14" s="51"/>
      <c r="L14" s="59">
        <v>3009131107.56</v>
      </c>
      <c r="M14" s="51">
        <f t="shared" ref="M14:M24" si="29">L14/J14</f>
        <v>0.868477119615391</v>
      </c>
      <c r="N14" s="59"/>
      <c r="O14" s="59"/>
      <c r="P14" s="59"/>
      <c r="Q14" s="59">
        <v>703849.99</v>
      </c>
      <c r="R14" s="59"/>
      <c r="S14" s="59">
        <v>360237800</v>
      </c>
      <c r="T14" s="59"/>
      <c r="U14" s="59"/>
      <c r="V14" s="59"/>
      <c r="W14" s="59">
        <f t="shared" ref="W14:W46" si="30">O14+P14+R14+S14+U14+V14</f>
        <v>360237800</v>
      </c>
      <c r="X14" s="59"/>
      <c r="Y14" s="59"/>
      <c r="Z14" s="59"/>
      <c r="AA14" s="59"/>
      <c r="AB14" s="59">
        <v>4145789.87</v>
      </c>
      <c r="AC14" s="59">
        <v>31845467</v>
      </c>
      <c r="AD14" s="60"/>
      <c r="AE14" s="60">
        <v>513315725.87</v>
      </c>
      <c r="AF14" s="60">
        <v>628360401.94</v>
      </c>
      <c r="AG14" s="60"/>
      <c r="AH14" s="60">
        <v>133952.44</v>
      </c>
      <c r="AI14" s="60">
        <f t="shared" ref="AI14:AI46" si="31">Z14+AA14+AB14+AC14+AD14+AE14+AF14+AG14+AH14</f>
        <v>1177801337.12</v>
      </c>
      <c r="AJ14" s="60">
        <f t="shared" ref="AJ14:AJ46" si="32">SUM(Z14:AE14)</f>
        <v>549306982.74</v>
      </c>
      <c r="AK14" s="51"/>
      <c r="AL14" s="60">
        <f t="shared" ref="AL14:AL46" si="33">SUM(AF14:AH14)</f>
        <v>628494354.38</v>
      </c>
      <c r="AM14" s="51"/>
      <c r="AN14" s="60">
        <f t="shared" ref="AN14:AN46" si="34">I14-AI14</f>
        <v>5045575233.38</v>
      </c>
      <c r="AO14" s="60">
        <v>1608531558.93</v>
      </c>
      <c r="AP14" s="60">
        <v>496987621.64</v>
      </c>
      <c r="AQ14" s="60">
        <v>188480697.36</v>
      </c>
      <c r="AR14" s="51">
        <f t="shared" ref="AR14:AR46" si="35">SUM(AO14:AQ14)/AN14</f>
        <v>0.454655767047846</v>
      </c>
      <c r="AS14" s="51"/>
      <c r="AT14" s="131"/>
      <c r="AU14" s="133"/>
      <c r="AV14" s="133"/>
      <c r="AW14" s="133"/>
      <c r="AX14" s="133"/>
      <c r="AY14" s="133"/>
      <c r="AZ14" s="133"/>
      <c r="BA14" s="133"/>
      <c r="BB14" s="14"/>
      <c r="BC14" s="14"/>
      <c r="BD14" s="14"/>
      <c r="BE14" s="14"/>
      <c r="BF14" s="14"/>
      <c r="BG14" s="14"/>
      <c r="BH14" s="14"/>
      <c r="BI14" s="14"/>
      <c r="BJ14" s="14"/>
      <c r="BK14" s="87">
        <f t="shared" si="20"/>
        <v>3825074166.55</v>
      </c>
      <c r="BL14" s="51"/>
      <c r="BM14" s="60">
        <f t="shared" ref="BM14:BM46" si="36">J14+O14+P14+R14+S14+U14+V14-Z14-AA14-AB14-AC14-AD14-AE14-AF14-AG14-AH14</f>
        <v>2647272829.43</v>
      </c>
      <c r="BN14" s="51"/>
      <c r="BO14" s="60">
        <v>705693335.16</v>
      </c>
      <c r="BP14" s="51">
        <f>(BO14-BO15)/BO15</f>
        <v>-0.195786910314571</v>
      </c>
      <c r="BQ14" s="60">
        <v>-474409780.91</v>
      </c>
      <c r="BR14" s="60"/>
      <c r="BS14" s="60">
        <v>-4190779.77</v>
      </c>
      <c r="BT14" s="59">
        <f t="shared" ref="BT14:BT46" si="37">BQ14+BS14</f>
        <v>-478600560.68</v>
      </c>
      <c r="BU14" s="59">
        <f t="shared" ref="BU14:BU46" si="38">BO14+BS14</f>
        <v>701502555.39</v>
      </c>
      <c r="BV14" s="51">
        <f t="shared" si="28"/>
        <v>-0.124026296028108</v>
      </c>
      <c r="BW14" s="146">
        <f t="shared" si="27"/>
        <v>0.264990652867859</v>
      </c>
      <c r="BX14" s="59"/>
      <c r="BY14" s="59"/>
      <c r="BZ14" s="59"/>
      <c r="CA14" s="59"/>
      <c r="CB14" s="59"/>
      <c r="CC14" s="59"/>
      <c r="CD14" s="146"/>
      <c r="CE14" s="146"/>
      <c r="CF14" s="115"/>
      <c r="CG14" s="13"/>
      <c r="CH14" s="14"/>
      <c r="CI14" s="14"/>
    </row>
    <row r="15" spans="1:87">
      <c r="A15" s="18"/>
      <c r="B15" s="18">
        <v>2021</v>
      </c>
      <c r="C15" s="107">
        <f>302.48*100000000</f>
        <v>30248000000</v>
      </c>
      <c r="D15" s="107" t="s">
        <v>88</v>
      </c>
      <c r="E15" s="18"/>
      <c r="F15" s="18"/>
      <c r="G15" s="18"/>
      <c r="H15" s="18"/>
      <c r="I15" s="59">
        <v>5917652808.13</v>
      </c>
      <c r="J15" s="59">
        <v>4250369296.86</v>
      </c>
      <c r="K15" s="51"/>
      <c r="L15" s="59">
        <v>3832349780.64</v>
      </c>
      <c r="M15" s="51">
        <f t="shared" si="29"/>
        <v>0.90165101264758</v>
      </c>
      <c r="N15" s="59"/>
      <c r="O15" s="59"/>
      <c r="P15" s="59"/>
      <c r="Q15" s="59">
        <v>2495998.14</v>
      </c>
      <c r="R15" s="59"/>
      <c r="S15" s="59">
        <v>112678000</v>
      </c>
      <c r="T15" s="59"/>
      <c r="U15" s="59"/>
      <c r="V15" s="59"/>
      <c r="W15" s="59">
        <f t="shared" si="30"/>
        <v>112678000</v>
      </c>
      <c r="X15" s="59"/>
      <c r="Y15" s="59"/>
      <c r="Z15" s="59"/>
      <c r="AA15" s="59"/>
      <c r="AB15" s="59">
        <v>4900302.61</v>
      </c>
      <c r="AC15" s="59">
        <v>35072172</v>
      </c>
      <c r="AD15" s="60"/>
      <c r="AE15" s="60">
        <v>553443771.23</v>
      </c>
      <c r="AF15" s="60">
        <v>548656736.03</v>
      </c>
      <c r="AG15" s="60"/>
      <c r="AH15" s="60"/>
      <c r="AI15" s="60">
        <f t="shared" si="31"/>
        <v>1142072981.87</v>
      </c>
      <c r="AJ15" s="60">
        <f t="shared" si="32"/>
        <v>593416245.84</v>
      </c>
      <c r="AK15" s="51"/>
      <c r="AL15" s="60">
        <f t="shared" si="33"/>
        <v>548656736.03</v>
      </c>
      <c r="AM15" s="51"/>
      <c r="AN15" s="60">
        <f t="shared" si="34"/>
        <v>4775579826.26</v>
      </c>
      <c r="AO15" s="60">
        <v>1600587935.72</v>
      </c>
      <c r="AP15" s="60">
        <v>286157008.81</v>
      </c>
      <c r="AQ15" s="60">
        <v>192297802.7</v>
      </c>
      <c r="AR15" s="51">
        <f t="shared" si="35"/>
        <v>0.435348758238265</v>
      </c>
      <c r="AS15" s="51"/>
      <c r="AT15" s="131"/>
      <c r="AU15" s="133"/>
      <c r="AV15" s="133"/>
      <c r="AW15" s="133"/>
      <c r="AX15" s="133"/>
      <c r="AY15" s="133"/>
      <c r="AZ15" s="133"/>
      <c r="BA15" s="133"/>
      <c r="BB15" s="14"/>
      <c r="BC15" s="14"/>
      <c r="BD15" s="14"/>
      <c r="BE15" s="14"/>
      <c r="BF15" s="14"/>
      <c r="BG15" s="14"/>
      <c r="BH15" s="14"/>
      <c r="BI15" s="14"/>
      <c r="BJ15" s="14"/>
      <c r="BK15" s="87">
        <f t="shared" si="20"/>
        <v>4363047296.86</v>
      </c>
      <c r="BL15" s="51"/>
      <c r="BM15" s="60">
        <f t="shared" si="36"/>
        <v>3220974314.99</v>
      </c>
      <c r="BN15" s="51"/>
      <c r="BO15" s="60">
        <v>877495460.11</v>
      </c>
      <c r="BP15" s="51">
        <f t="shared" ref="BP15:BP25" si="39">(BO15-BO16)/BO16</f>
        <v>-0.249211040407186</v>
      </c>
      <c r="BQ15" s="60">
        <v>876523604.02</v>
      </c>
      <c r="BR15" s="60"/>
      <c r="BS15" s="60">
        <v>19896160.07</v>
      </c>
      <c r="BT15" s="59">
        <f t="shared" si="37"/>
        <v>896419764.09</v>
      </c>
      <c r="BU15" s="59">
        <f t="shared" si="38"/>
        <v>897391620.18</v>
      </c>
      <c r="BV15" s="51">
        <f t="shared" si="28"/>
        <v>0.200897112587071</v>
      </c>
      <c r="BW15" s="146">
        <f t="shared" ref="BW15:BW42" si="40">BU15/BM15</f>
        <v>0.278608747671056</v>
      </c>
      <c r="BX15" s="59"/>
      <c r="BY15" s="59"/>
      <c r="BZ15" s="59"/>
      <c r="CA15" s="59"/>
      <c r="CB15" s="59"/>
      <c r="CC15" s="59"/>
      <c r="CD15" s="146"/>
      <c r="CE15" s="146"/>
      <c r="CF15" s="115"/>
      <c r="CG15" s="13"/>
      <c r="CH15" s="14"/>
      <c r="CI15" s="14"/>
    </row>
    <row r="16" spans="1:87">
      <c r="A16" s="18"/>
      <c r="B16" s="18">
        <v>2020</v>
      </c>
      <c r="C16" s="107">
        <f>530.96*100000000</f>
        <v>53096000000</v>
      </c>
      <c r="D16" s="107" t="s">
        <v>89</v>
      </c>
      <c r="E16" s="18"/>
      <c r="F16" s="18"/>
      <c r="G16" s="18"/>
      <c r="H16" s="18"/>
      <c r="I16" s="107">
        <v>6658923560.27</v>
      </c>
      <c r="J16" s="59">
        <v>4991639172.49</v>
      </c>
      <c r="K16" s="51"/>
      <c r="L16" s="59">
        <v>4615875380.59</v>
      </c>
      <c r="M16" s="51">
        <f t="shared" si="29"/>
        <v>0.92472136328064</v>
      </c>
      <c r="N16" s="59"/>
      <c r="O16" s="59"/>
      <c r="P16" s="59"/>
      <c r="Q16" s="59"/>
      <c r="R16" s="59"/>
      <c r="S16" s="59">
        <v>360237800</v>
      </c>
      <c r="T16" s="59"/>
      <c r="U16" s="59"/>
      <c r="V16" s="59"/>
      <c r="W16" s="59">
        <f t="shared" si="30"/>
        <v>360237800</v>
      </c>
      <c r="X16" s="59"/>
      <c r="Y16" s="59"/>
      <c r="Z16" s="59"/>
      <c r="AA16" s="59"/>
      <c r="AB16" s="59">
        <v>5065304.88</v>
      </c>
      <c r="AC16" s="59">
        <v>38828785.42</v>
      </c>
      <c r="AD16" s="60"/>
      <c r="AE16" s="60">
        <v>545109691.12</v>
      </c>
      <c r="AF16" s="60">
        <v>241700996.57</v>
      </c>
      <c r="AG16" s="60"/>
      <c r="AH16" s="60">
        <v>779007720.05</v>
      </c>
      <c r="AI16" s="60">
        <f t="shared" si="31"/>
        <v>1609712498.04</v>
      </c>
      <c r="AJ16" s="60">
        <f t="shared" si="32"/>
        <v>589003781.42</v>
      </c>
      <c r="AK16" s="51"/>
      <c r="AL16" s="60">
        <f t="shared" si="33"/>
        <v>1020708716.62</v>
      </c>
      <c r="AM16" s="51"/>
      <c r="AN16" s="60">
        <f t="shared" si="34"/>
        <v>5049211062.23</v>
      </c>
      <c r="AO16" s="60">
        <v>1458030642.5</v>
      </c>
      <c r="AP16" s="60">
        <v>227215629.33</v>
      </c>
      <c r="AQ16" s="60">
        <v>197604336.16</v>
      </c>
      <c r="AR16" s="51">
        <f t="shared" si="35"/>
        <v>0.372899960961116</v>
      </c>
      <c r="AS16" s="51"/>
      <c r="AT16" s="131"/>
      <c r="AU16" s="133"/>
      <c r="AV16" s="133"/>
      <c r="AW16" s="133"/>
      <c r="AX16" s="133"/>
      <c r="AY16" s="133"/>
      <c r="AZ16" s="133"/>
      <c r="BA16" s="133"/>
      <c r="BB16" s="14"/>
      <c r="BC16" s="14"/>
      <c r="BD16" s="14"/>
      <c r="BE16" s="14"/>
      <c r="BF16" s="14"/>
      <c r="BG16" s="14"/>
      <c r="BH16" s="14"/>
      <c r="BI16" s="14"/>
      <c r="BJ16" s="14"/>
      <c r="BK16" s="87">
        <f t="shared" si="20"/>
        <v>5351876972.49</v>
      </c>
      <c r="BL16" s="51"/>
      <c r="BM16" s="60">
        <f t="shared" si="36"/>
        <v>3742164474.45</v>
      </c>
      <c r="BN16" s="51"/>
      <c r="BO16" s="60">
        <v>1168764469.56</v>
      </c>
      <c r="BP16" s="51">
        <f t="shared" si="39"/>
        <v>0.255459950471677</v>
      </c>
      <c r="BQ16" s="60">
        <v>1130076526.92</v>
      </c>
      <c r="BR16" s="60"/>
      <c r="BS16" s="60">
        <v>13317353.72</v>
      </c>
      <c r="BT16" s="59">
        <f t="shared" si="37"/>
        <v>1143393880.64</v>
      </c>
      <c r="BU16" s="59">
        <f t="shared" si="38"/>
        <v>1182081823.28</v>
      </c>
      <c r="BV16" s="51">
        <f t="shared" si="28"/>
        <v>0.211155176535051</v>
      </c>
      <c r="BW16" s="146">
        <f t="shared" si="40"/>
        <v>0.315881846281953</v>
      </c>
      <c r="BX16" s="59"/>
      <c r="BY16" s="59"/>
      <c r="BZ16" s="59"/>
      <c r="CA16" s="59"/>
      <c r="CB16" s="59"/>
      <c r="CC16" s="59"/>
      <c r="CD16" s="146"/>
      <c r="CE16" s="146"/>
      <c r="CF16" s="115"/>
      <c r="CG16" s="13"/>
      <c r="CH16" s="14"/>
      <c r="CI16" s="14"/>
    </row>
    <row r="17" spans="1:87">
      <c r="A17" s="18"/>
      <c r="B17" s="18">
        <v>2019</v>
      </c>
      <c r="C17" s="107">
        <f>313.48*100000000</f>
        <v>31348000000</v>
      </c>
      <c r="D17" s="107" t="s">
        <v>90</v>
      </c>
      <c r="E17" s="18"/>
      <c r="F17" s="18"/>
      <c r="G17" s="18"/>
      <c r="H17" s="18"/>
      <c r="I17" s="107">
        <v>5953726937.24</v>
      </c>
      <c r="J17" s="59">
        <v>4245796115.38</v>
      </c>
      <c r="K17" s="51"/>
      <c r="L17" s="59">
        <v>3948972297.92</v>
      </c>
      <c r="M17" s="51">
        <f t="shared" si="29"/>
        <v>0.930089950295827</v>
      </c>
      <c r="N17" s="59"/>
      <c r="O17" s="59"/>
      <c r="P17" s="59"/>
      <c r="Q17" s="59"/>
      <c r="R17" s="59"/>
      <c r="S17" s="59">
        <v>112678000</v>
      </c>
      <c r="T17" s="59"/>
      <c r="U17" s="59"/>
      <c r="V17" s="59"/>
      <c r="W17" s="59">
        <f t="shared" si="30"/>
        <v>112678000</v>
      </c>
      <c r="X17" s="59"/>
      <c r="Y17" s="59"/>
      <c r="Z17" s="59"/>
      <c r="AA17" s="59"/>
      <c r="AB17" s="59">
        <v>5102559.31</v>
      </c>
      <c r="AC17" s="59">
        <v>53903005.65</v>
      </c>
      <c r="AD17" s="60"/>
      <c r="AE17" s="60">
        <v>304420629.49</v>
      </c>
      <c r="AF17" s="60">
        <v>698822699.65</v>
      </c>
      <c r="AG17" s="60"/>
      <c r="AH17" s="60">
        <v>1134800000</v>
      </c>
      <c r="AI17" s="60">
        <f t="shared" si="31"/>
        <v>2197048894.1</v>
      </c>
      <c r="AJ17" s="60">
        <f t="shared" si="32"/>
        <v>363426194.45</v>
      </c>
      <c r="AK17" s="51"/>
      <c r="AL17" s="60">
        <f t="shared" si="33"/>
        <v>1833622699.65</v>
      </c>
      <c r="AM17" s="51"/>
      <c r="AN17" s="60">
        <f t="shared" si="34"/>
        <v>3756678043.14</v>
      </c>
      <c r="AO17" s="60">
        <v>1424207470.64</v>
      </c>
      <c r="AP17" s="60">
        <v>366030438.06</v>
      </c>
      <c r="AQ17" s="60">
        <v>211469631.7</v>
      </c>
      <c r="AR17" s="51">
        <f t="shared" si="35"/>
        <v>0.532839790211802</v>
      </c>
      <c r="AS17" s="51"/>
      <c r="AT17" s="131"/>
      <c r="AU17" s="133"/>
      <c r="AV17" s="133"/>
      <c r="AW17" s="133"/>
      <c r="AX17" s="133"/>
      <c r="AY17" s="133"/>
      <c r="AZ17" s="133"/>
      <c r="BA17" s="133"/>
      <c r="BB17" s="14"/>
      <c r="BC17" s="14"/>
      <c r="BD17" s="14"/>
      <c r="BE17" s="14"/>
      <c r="BF17" s="14"/>
      <c r="BG17" s="14"/>
      <c r="BH17" s="14"/>
      <c r="BI17" s="14"/>
      <c r="BJ17" s="14"/>
      <c r="BK17" s="87">
        <f t="shared" si="20"/>
        <v>4358474115.38</v>
      </c>
      <c r="BL17" s="51"/>
      <c r="BM17" s="60">
        <f t="shared" si="36"/>
        <v>2161425221.28</v>
      </c>
      <c r="BN17" s="51"/>
      <c r="BO17" s="60">
        <v>930945243.71</v>
      </c>
      <c r="BP17" s="51">
        <f t="shared" si="39"/>
        <v>0.165801025420742</v>
      </c>
      <c r="BQ17" s="60">
        <v>928021905.68</v>
      </c>
      <c r="BR17" s="60"/>
      <c r="BS17" s="60">
        <v>48871548.21</v>
      </c>
      <c r="BT17" s="59">
        <f t="shared" si="37"/>
        <v>976893453.89</v>
      </c>
      <c r="BU17" s="59">
        <f t="shared" si="38"/>
        <v>979816791.92</v>
      </c>
      <c r="BV17" s="51">
        <f t="shared" si="28"/>
        <v>0.212923578553612</v>
      </c>
      <c r="BW17" s="146">
        <f t="shared" si="40"/>
        <v>0.453319773579653</v>
      </c>
      <c r="BX17" s="59"/>
      <c r="BY17" s="59"/>
      <c r="BZ17" s="59"/>
      <c r="CA17" s="59"/>
      <c r="CB17" s="59"/>
      <c r="CC17" s="59"/>
      <c r="CD17" s="146"/>
      <c r="CE17" s="146"/>
      <c r="CF17" s="115"/>
      <c r="CG17" s="13"/>
      <c r="CH17" s="14"/>
      <c r="CI17" s="14"/>
    </row>
    <row r="18" spans="1:87">
      <c r="A18" s="18"/>
      <c r="B18" s="18">
        <v>2018</v>
      </c>
      <c r="C18" s="107">
        <f>234.69*100000000</f>
        <v>23469000000</v>
      </c>
      <c r="D18" s="107" t="s">
        <v>91</v>
      </c>
      <c r="E18" s="18"/>
      <c r="F18" s="18"/>
      <c r="G18" s="18"/>
      <c r="H18" s="18"/>
      <c r="I18" s="107">
        <v>5983687463.75</v>
      </c>
      <c r="J18" s="59">
        <v>3947798751.9</v>
      </c>
      <c r="K18" s="51"/>
      <c r="L18" s="59">
        <v>3604791230.11</v>
      </c>
      <c r="M18" s="51">
        <f t="shared" si="29"/>
        <v>0.913114233185033</v>
      </c>
      <c r="N18" s="59"/>
      <c r="O18" s="59"/>
      <c r="P18" s="59">
        <v>398977053.53</v>
      </c>
      <c r="Q18" s="59"/>
      <c r="R18" s="59"/>
      <c r="S18" s="59">
        <v>2159000</v>
      </c>
      <c r="T18" s="59"/>
      <c r="U18" s="59"/>
      <c r="V18" s="59"/>
      <c r="W18" s="59">
        <f t="shared" si="30"/>
        <v>401136053.53</v>
      </c>
      <c r="X18" s="59"/>
      <c r="Y18" s="59"/>
      <c r="Z18" s="59">
        <v>55637840.83</v>
      </c>
      <c r="AA18" s="59"/>
      <c r="AB18" s="59">
        <v>6136623.64</v>
      </c>
      <c r="AC18" s="59"/>
      <c r="AD18" s="60"/>
      <c r="AE18" s="60">
        <v>283688735.12</v>
      </c>
      <c r="AF18" s="60">
        <v>397125470.66</v>
      </c>
      <c r="AG18" s="60"/>
      <c r="AH18" s="60"/>
      <c r="AI18" s="60">
        <f t="shared" si="31"/>
        <v>742588670.25</v>
      </c>
      <c r="AJ18" s="60">
        <f t="shared" si="32"/>
        <v>345463199.59</v>
      </c>
      <c r="AK18" s="51"/>
      <c r="AL18" s="60">
        <f t="shared" si="33"/>
        <v>397125470.66</v>
      </c>
      <c r="AM18" s="51"/>
      <c r="AN18" s="60">
        <f t="shared" si="34"/>
        <v>5241098793.5</v>
      </c>
      <c r="AO18" s="60">
        <v>1350355341.56</v>
      </c>
      <c r="AP18" s="60">
        <v>368918360.39</v>
      </c>
      <c r="AQ18" s="60">
        <v>210168419.28</v>
      </c>
      <c r="AR18" s="51">
        <f t="shared" si="35"/>
        <v>0.368136949378419</v>
      </c>
      <c r="AS18" s="51"/>
      <c r="AT18" s="131"/>
      <c r="AU18" s="133"/>
      <c r="AV18" s="133"/>
      <c r="AW18" s="133"/>
      <c r="AX18" s="133"/>
      <c r="AY18" s="133"/>
      <c r="AZ18" s="133"/>
      <c r="BA18" s="133"/>
      <c r="BB18" s="14"/>
      <c r="BC18" s="14"/>
      <c r="BD18" s="14"/>
      <c r="BE18" s="14"/>
      <c r="BF18" s="14"/>
      <c r="BG18" s="14"/>
      <c r="BH18" s="14"/>
      <c r="BI18" s="14"/>
      <c r="BJ18" s="14"/>
      <c r="BK18" s="87">
        <f t="shared" si="20"/>
        <v>4348934805.43</v>
      </c>
      <c r="BL18" s="51"/>
      <c r="BM18" s="60">
        <f t="shared" si="36"/>
        <v>3606346135.18</v>
      </c>
      <c r="BN18" s="51"/>
      <c r="BO18" s="60">
        <v>798545569.45</v>
      </c>
      <c r="BP18" s="51">
        <f t="shared" si="39"/>
        <v>0.306884408887428</v>
      </c>
      <c r="BQ18" s="60">
        <v>792565637.37</v>
      </c>
      <c r="BR18" s="60"/>
      <c r="BS18" s="60">
        <v>54180930.6</v>
      </c>
      <c r="BT18" s="59">
        <f t="shared" si="37"/>
        <v>846746567.97</v>
      </c>
      <c r="BU18" s="59">
        <f t="shared" si="38"/>
        <v>852726500.05</v>
      </c>
      <c r="BV18" s="51">
        <f t="shared" si="28"/>
        <v>0.182243623514525</v>
      </c>
      <c r="BW18" s="146">
        <f t="shared" si="40"/>
        <v>0.236451651640321</v>
      </c>
      <c r="BX18" s="59"/>
      <c r="BY18" s="59"/>
      <c r="BZ18" s="59"/>
      <c r="CA18" s="59"/>
      <c r="CB18" s="59"/>
      <c r="CC18" s="59"/>
      <c r="CD18" s="146"/>
      <c r="CE18" s="146"/>
      <c r="CF18" s="115"/>
      <c r="CG18" s="13"/>
      <c r="CH18" s="14"/>
      <c r="CI18" s="14"/>
    </row>
    <row r="19" spans="1:87">
      <c r="A19" s="18"/>
      <c r="B19" s="18">
        <v>2017</v>
      </c>
      <c r="C19" s="107">
        <f>197.25*100000000</f>
        <v>19725000000</v>
      </c>
      <c r="D19" s="107" t="s">
        <v>92</v>
      </c>
      <c r="E19" s="18"/>
      <c r="F19" s="18"/>
      <c r="G19" s="18"/>
      <c r="H19" s="18"/>
      <c r="I19" s="107">
        <v>5304762875.94</v>
      </c>
      <c r="J19" s="59">
        <v>3450155650.06</v>
      </c>
      <c r="K19" s="51"/>
      <c r="L19" s="59">
        <v>3140811451.38</v>
      </c>
      <c r="M19" s="51">
        <f t="shared" si="29"/>
        <v>0.910339060014692</v>
      </c>
      <c r="N19" s="59"/>
      <c r="O19" s="59">
        <v>19825364.41</v>
      </c>
      <c r="P19" s="59">
        <v>896236772.21</v>
      </c>
      <c r="Q19" s="59"/>
      <c r="R19" s="59"/>
      <c r="S19" s="59">
        <v>15000000</v>
      </c>
      <c r="T19" s="59"/>
      <c r="U19" s="59"/>
      <c r="V19" s="59"/>
      <c r="W19" s="59">
        <f t="shared" si="30"/>
        <v>931062136.62</v>
      </c>
      <c r="X19" s="59"/>
      <c r="Y19" s="59"/>
      <c r="Z19" s="59">
        <v>36738845.82</v>
      </c>
      <c r="AA19" s="59"/>
      <c r="AB19" s="59">
        <v>30559665.41</v>
      </c>
      <c r="AC19" s="59"/>
      <c r="AD19" s="60"/>
      <c r="AE19" s="60">
        <v>351037308.03</v>
      </c>
      <c r="AF19" s="60">
        <v>240763315.02</v>
      </c>
      <c r="AG19" s="60"/>
      <c r="AH19" s="60"/>
      <c r="AI19" s="60">
        <f t="shared" si="31"/>
        <v>659099134.28</v>
      </c>
      <c r="AJ19" s="60">
        <f t="shared" si="32"/>
        <v>418335819.26</v>
      </c>
      <c r="AK19" s="51"/>
      <c r="AL19" s="60">
        <f t="shared" si="33"/>
        <v>240763315.02</v>
      </c>
      <c r="AM19" s="51"/>
      <c r="AN19" s="60">
        <f t="shared" si="34"/>
        <v>4645663741.66</v>
      </c>
      <c r="AO19" s="60">
        <v>1213951191.04</v>
      </c>
      <c r="AP19" s="60">
        <v>267213146.27</v>
      </c>
      <c r="AQ19" s="60">
        <v>211923542.08</v>
      </c>
      <c r="AR19" s="51">
        <f t="shared" si="35"/>
        <v>0.364444775502633</v>
      </c>
      <c r="AS19" s="51"/>
      <c r="AT19" s="131"/>
      <c r="AU19" s="133"/>
      <c r="AV19" s="133"/>
      <c r="AW19" s="133"/>
      <c r="AX19" s="133"/>
      <c r="AY19" s="133"/>
      <c r="AZ19" s="133"/>
      <c r="BA19" s="133"/>
      <c r="BB19" s="14"/>
      <c r="BC19" s="14"/>
      <c r="BD19" s="14"/>
      <c r="BE19" s="14"/>
      <c r="BF19" s="14"/>
      <c r="BG19" s="14"/>
      <c r="BH19" s="14"/>
      <c r="BI19" s="14"/>
      <c r="BJ19" s="14"/>
      <c r="BK19" s="87">
        <f t="shared" si="20"/>
        <v>4381217786.68</v>
      </c>
      <c r="BL19" s="51"/>
      <c r="BM19" s="60">
        <f t="shared" si="36"/>
        <v>3722118652.4</v>
      </c>
      <c r="BN19" s="51"/>
      <c r="BO19" s="60">
        <v>611029991.65</v>
      </c>
      <c r="BP19" s="51">
        <f t="shared" si="39"/>
        <v>0.307347308853163</v>
      </c>
      <c r="BQ19" s="60">
        <v>609177803.64</v>
      </c>
      <c r="BR19" s="60"/>
      <c r="BS19" s="60"/>
      <c r="BT19" s="59">
        <f t="shared" si="37"/>
        <v>609177803.64</v>
      </c>
      <c r="BU19" s="59">
        <f t="shared" si="38"/>
        <v>611029991.65</v>
      </c>
      <c r="BV19" s="51">
        <f t="shared" si="28"/>
        <v>0.139043031709598</v>
      </c>
      <c r="BW19" s="146">
        <f t="shared" si="40"/>
        <v>0.164161878949241</v>
      </c>
      <c r="BX19" s="59"/>
      <c r="BY19" s="59"/>
      <c r="BZ19" s="59"/>
      <c r="CA19" s="59"/>
      <c r="CB19" s="59"/>
      <c r="CC19" s="59"/>
      <c r="CD19" s="146"/>
      <c r="CE19" s="146"/>
      <c r="CF19" s="115"/>
      <c r="CG19" s="13"/>
      <c r="CH19" s="14"/>
      <c r="CI19" s="14"/>
    </row>
    <row r="20" spans="1:87">
      <c r="A20" s="18"/>
      <c r="B20" s="18">
        <v>2016</v>
      </c>
      <c r="C20" s="107">
        <f>112.17*100000000</f>
        <v>11217000000</v>
      </c>
      <c r="D20" s="107" t="s">
        <v>93</v>
      </c>
      <c r="E20" s="18"/>
      <c r="F20" s="18"/>
      <c r="G20" s="18"/>
      <c r="H20" s="18"/>
      <c r="I20" s="107">
        <v>4910866585.04</v>
      </c>
      <c r="J20" s="59">
        <v>3089104604.76</v>
      </c>
      <c r="K20" s="51"/>
      <c r="L20" s="59">
        <v>2799259157.1</v>
      </c>
      <c r="M20" s="51">
        <f t="shared" si="29"/>
        <v>0.906171695444247</v>
      </c>
      <c r="N20" s="59"/>
      <c r="O20" s="59"/>
      <c r="P20" s="59">
        <v>894432652.35</v>
      </c>
      <c r="Q20" s="59"/>
      <c r="R20" s="59"/>
      <c r="S20" s="59"/>
      <c r="T20" s="59"/>
      <c r="U20" s="59"/>
      <c r="V20" s="59"/>
      <c r="W20" s="59">
        <f t="shared" si="30"/>
        <v>894432652.35</v>
      </c>
      <c r="X20" s="59"/>
      <c r="Y20" s="59"/>
      <c r="Z20" s="59">
        <v>61821715.09</v>
      </c>
      <c r="AA20" s="59"/>
      <c r="AB20" s="59">
        <v>48885214.48</v>
      </c>
      <c r="AC20" s="59"/>
      <c r="AD20" s="60"/>
      <c r="AE20" s="60">
        <v>335490531.15</v>
      </c>
      <c r="AF20" s="60">
        <v>115724324.08</v>
      </c>
      <c r="AG20" s="60"/>
      <c r="AH20" s="60"/>
      <c r="AI20" s="60">
        <f t="shared" si="31"/>
        <v>561921784.8</v>
      </c>
      <c r="AJ20" s="60">
        <f t="shared" si="32"/>
        <v>446197460.72</v>
      </c>
      <c r="AK20" s="51"/>
      <c r="AL20" s="60">
        <f t="shared" si="33"/>
        <v>115724324.08</v>
      </c>
      <c r="AM20" s="51"/>
      <c r="AN20" s="60">
        <f t="shared" si="34"/>
        <v>4348944800.24</v>
      </c>
      <c r="AO20" s="60">
        <v>5070807.93</v>
      </c>
      <c r="AP20" s="60">
        <v>220403829.62</v>
      </c>
      <c r="AQ20" s="60">
        <v>143185158.14</v>
      </c>
      <c r="AR20" s="51">
        <f t="shared" si="35"/>
        <v>0.0847699413590293</v>
      </c>
      <c r="AS20" s="51"/>
      <c r="AT20" s="131"/>
      <c r="AU20" s="133"/>
      <c r="AV20" s="133"/>
      <c r="AW20" s="133"/>
      <c r="AX20" s="133"/>
      <c r="AY20" s="133"/>
      <c r="AZ20" s="133"/>
      <c r="BA20" s="133"/>
      <c r="BB20" s="14"/>
      <c r="BC20" s="14"/>
      <c r="BD20" s="14"/>
      <c r="BE20" s="14"/>
      <c r="BF20" s="14"/>
      <c r="BG20" s="14"/>
      <c r="BH20" s="14"/>
      <c r="BI20" s="14"/>
      <c r="BJ20" s="14"/>
      <c r="BK20" s="87">
        <f t="shared" si="20"/>
        <v>3983537257.11</v>
      </c>
      <c r="BL20" s="51"/>
      <c r="BM20" s="60">
        <f t="shared" si="36"/>
        <v>3421615472.31</v>
      </c>
      <c r="BN20" s="51"/>
      <c r="BO20" s="60">
        <v>467381534.74</v>
      </c>
      <c r="BP20" s="51">
        <f t="shared" si="39"/>
        <v>0.553748756960987</v>
      </c>
      <c r="BQ20" s="60">
        <v>486262492.39</v>
      </c>
      <c r="BR20" s="60"/>
      <c r="BS20" s="60">
        <v>63247203.54</v>
      </c>
      <c r="BT20" s="59">
        <f t="shared" si="37"/>
        <v>549509695.93</v>
      </c>
      <c r="BU20" s="59">
        <f t="shared" si="38"/>
        <v>530628738.28</v>
      </c>
      <c r="BV20" s="51">
        <f t="shared" si="28"/>
        <v>0.122068016690969</v>
      </c>
      <c r="BW20" s="146">
        <f t="shared" si="40"/>
        <v>0.15508134756059</v>
      </c>
      <c r="BX20" s="59"/>
      <c r="BY20" s="59"/>
      <c r="BZ20" s="59"/>
      <c r="CA20" s="59"/>
      <c r="CB20" s="59"/>
      <c r="CC20" s="59"/>
      <c r="CD20" s="146"/>
      <c r="CE20" s="146"/>
      <c r="CF20" s="115"/>
      <c r="CG20" s="13"/>
      <c r="CH20" s="14"/>
      <c r="CI20" s="14"/>
    </row>
    <row r="21" spans="1:87">
      <c r="A21" s="18"/>
      <c r="B21" s="13">
        <v>2015</v>
      </c>
      <c r="C21" s="107">
        <f>124.67*100000000</f>
        <v>12467000000</v>
      </c>
      <c r="D21" s="107" t="s">
        <v>94</v>
      </c>
      <c r="E21" s="18"/>
      <c r="F21" s="18"/>
      <c r="G21" s="18"/>
      <c r="H21" s="18"/>
      <c r="I21" s="107">
        <v>4523115170.58</v>
      </c>
      <c r="J21" s="59">
        <v>2798588123.5</v>
      </c>
      <c r="K21" s="51"/>
      <c r="L21" s="59">
        <v>2513979782.5</v>
      </c>
      <c r="M21" s="51">
        <f t="shared" si="29"/>
        <v>0.898302884011363</v>
      </c>
      <c r="N21" s="59"/>
      <c r="O21" s="59"/>
      <c r="P21" s="59">
        <v>892732741.68</v>
      </c>
      <c r="Q21" s="59"/>
      <c r="R21" s="59"/>
      <c r="S21" s="59"/>
      <c r="T21" s="59"/>
      <c r="U21" s="59"/>
      <c r="V21" s="59"/>
      <c r="W21" s="59">
        <f t="shared" si="30"/>
        <v>892732741.68</v>
      </c>
      <c r="X21" s="59"/>
      <c r="Y21" s="59"/>
      <c r="Z21" s="59">
        <v>64590909.09</v>
      </c>
      <c r="AA21" s="59"/>
      <c r="AB21" s="59">
        <v>53009892.18</v>
      </c>
      <c r="AC21" s="59"/>
      <c r="AD21" s="60"/>
      <c r="AE21" s="60">
        <v>386602381.17</v>
      </c>
      <c r="AF21" s="60">
        <v>91815071.75</v>
      </c>
      <c r="AG21" s="60"/>
      <c r="AH21" s="60"/>
      <c r="AI21" s="60">
        <f t="shared" si="31"/>
        <v>596018254.19</v>
      </c>
      <c r="AJ21" s="60">
        <f t="shared" si="32"/>
        <v>504203182.44</v>
      </c>
      <c r="AK21" s="51"/>
      <c r="AL21" s="60">
        <f t="shared" si="33"/>
        <v>91815071.75</v>
      </c>
      <c r="AM21" s="51"/>
      <c r="AN21" s="60">
        <f t="shared" si="34"/>
        <v>3927096916.39</v>
      </c>
      <c r="AO21" s="60">
        <v>5050771.62</v>
      </c>
      <c r="AP21" s="60">
        <v>219840981.62</v>
      </c>
      <c r="AQ21" s="60">
        <v>107229007.99</v>
      </c>
      <c r="AR21" s="51">
        <f t="shared" si="35"/>
        <v>0.0845715724111294</v>
      </c>
      <c r="AS21" s="51"/>
      <c r="AT21" s="131"/>
      <c r="AU21" s="133"/>
      <c r="AV21" s="133"/>
      <c r="AW21" s="133"/>
      <c r="AX21" s="133"/>
      <c r="AY21" s="133"/>
      <c r="AZ21" s="133"/>
      <c r="BA21" s="133"/>
      <c r="BB21" s="14"/>
      <c r="BC21" s="14"/>
      <c r="BD21" s="14"/>
      <c r="BE21" s="14"/>
      <c r="BF21" s="14"/>
      <c r="BG21" s="14"/>
      <c r="BH21" s="14"/>
      <c r="BI21" s="14"/>
      <c r="BJ21" s="14"/>
      <c r="BK21" s="87">
        <f t="shared" si="20"/>
        <v>3691320865.18</v>
      </c>
      <c r="BL21" s="51"/>
      <c r="BM21" s="60">
        <f t="shared" si="36"/>
        <v>3095302610.99</v>
      </c>
      <c r="BN21" s="51"/>
      <c r="BO21" s="60">
        <v>300808951.67</v>
      </c>
      <c r="BP21" s="51">
        <f t="shared" si="39"/>
        <v>-0.0680903445305802</v>
      </c>
      <c r="BQ21" s="60">
        <v>339119271.56</v>
      </c>
      <c r="BR21" s="60"/>
      <c r="BS21" s="60">
        <v>61164838.68</v>
      </c>
      <c r="BT21" s="59">
        <f t="shared" si="37"/>
        <v>400284110.24</v>
      </c>
      <c r="BU21" s="59">
        <f t="shared" si="38"/>
        <v>361973790.35</v>
      </c>
      <c r="BV21" s="51">
        <f t="shared" ref="BV21:BV52" si="41">BQ21/BK21</f>
        <v>0.0918693562401716</v>
      </c>
      <c r="BW21" s="146">
        <f t="shared" si="40"/>
        <v>0.116942940914661</v>
      </c>
      <c r="BX21" s="59"/>
      <c r="BY21" s="59"/>
      <c r="BZ21" s="59"/>
      <c r="CA21" s="59"/>
      <c r="CB21" s="59"/>
      <c r="CC21" s="59"/>
      <c r="CD21" s="146"/>
      <c r="CE21" s="146"/>
      <c r="CF21" s="115"/>
      <c r="CG21" s="13"/>
      <c r="CH21" s="14"/>
      <c r="CI21" s="14"/>
    </row>
    <row r="22" spans="1:87">
      <c r="A22" s="18"/>
      <c r="B22" s="13">
        <v>2014</v>
      </c>
      <c r="C22" s="107">
        <f>82.69*100000000</f>
        <v>8269000000</v>
      </c>
      <c r="D22" s="107" t="s">
        <v>95</v>
      </c>
      <c r="E22" s="18"/>
      <c r="F22" s="18"/>
      <c r="G22" s="18"/>
      <c r="H22" s="18"/>
      <c r="I22" s="107">
        <v>4058969587.71</v>
      </c>
      <c r="J22" s="59">
        <v>2612537101.13</v>
      </c>
      <c r="K22" s="51"/>
      <c r="L22" s="59">
        <v>2354641481.49</v>
      </c>
      <c r="M22" s="51">
        <f t="shared" si="29"/>
        <v>0.901285375228374</v>
      </c>
      <c r="N22" s="59"/>
      <c r="O22" s="59">
        <v>108570000</v>
      </c>
      <c r="P22" s="59">
        <v>495236064.74</v>
      </c>
      <c r="Q22" s="59"/>
      <c r="R22" s="59"/>
      <c r="S22" s="59">
        <v>100000000</v>
      </c>
      <c r="T22" s="59"/>
      <c r="U22" s="59"/>
      <c r="V22" s="59"/>
      <c r="W22" s="59">
        <f t="shared" si="30"/>
        <v>703806064.74</v>
      </c>
      <c r="X22" s="59"/>
      <c r="Y22" s="59"/>
      <c r="Z22" s="59">
        <v>64590909.09</v>
      </c>
      <c r="AA22" s="59"/>
      <c r="AB22" s="59">
        <v>51725432.12</v>
      </c>
      <c r="AC22" s="59"/>
      <c r="AD22" s="60"/>
      <c r="AE22" s="60">
        <v>429600695.28</v>
      </c>
      <c r="AF22" s="60">
        <v>270362211.98</v>
      </c>
      <c r="AG22" s="60"/>
      <c r="AH22" s="60">
        <v>2792908.28</v>
      </c>
      <c r="AI22" s="60">
        <f t="shared" si="31"/>
        <v>819072156.75</v>
      </c>
      <c r="AJ22" s="60">
        <f t="shared" si="32"/>
        <v>545917036.49</v>
      </c>
      <c r="AK22" s="51"/>
      <c r="AL22" s="60">
        <f t="shared" si="33"/>
        <v>273155120.26</v>
      </c>
      <c r="AM22" s="51"/>
      <c r="AN22" s="60">
        <f t="shared" si="34"/>
        <v>3239897430.96</v>
      </c>
      <c r="AO22" s="60">
        <v>1176377517.48</v>
      </c>
      <c r="AP22" s="60">
        <v>191069756.34</v>
      </c>
      <c r="AQ22" s="60">
        <v>114142333.91</v>
      </c>
      <c r="AR22" s="51">
        <f t="shared" si="35"/>
        <v>0.457295219772126</v>
      </c>
      <c r="AS22" s="51"/>
      <c r="AT22" s="131"/>
      <c r="AU22" s="133"/>
      <c r="AV22" s="133"/>
      <c r="AW22" s="133"/>
      <c r="AX22" s="133"/>
      <c r="AY22" s="133"/>
      <c r="AZ22" s="133"/>
      <c r="BA22" s="133"/>
      <c r="BB22" s="14"/>
      <c r="BC22" s="14"/>
      <c r="BD22" s="14"/>
      <c r="BE22" s="14"/>
      <c r="BF22" s="14"/>
      <c r="BG22" s="14"/>
      <c r="BH22" s="14"/>
      <c r="BI22" s="14"/>
      <c r="BJ22" s="14"/>
      <c r="BK22" s="87">
        <f t="shared" si="20"/>
        <v>3316343165.87</v>
      </c>
      <c r="BL22" s="51"/>
      <c r="BM22" s="60">
        <f t="shared" si="36"/>
        <v>2497271009.12</v>
      </c>
      <c r="BN22" s="51"/>
      <c r="BO22" s="60">
        <v>322787675.72</v>
      </c>
      <c r="BP22" s="51">
        <f t="shared" si="39"/>
        <v>0.269571861103629</v>
      </c>
      <c r="BQ22" s="60">
        <v>344024306.1</v>
      </c>
      <c r="BR22" s="60"/>
      <c r="BS22" s="60">
        <v>33214100.66</v>
      </c>
      <c r="BT22" s="59">
        <f t="shared" si="37"/>
        <v>377238406.76</v>
      </c>
      <c r="BU22" s="59">
        <f t="shared" si="38"/>
        <v>356001776.38</v>
      </c>
      <c r="BV22" s="51">
        <f t="shared" si="41"/>
        <v>0.103736039635618</v>
      </c>
      <c r="BW22" s="146">
        <f t="shared" si="40"/>
        <v>0.142556324515796</v>
      </c>
      <c r="BX22" s="59"/>
      <c r="BY22" s="59"/>
      <c r="BZ22" s="59"/>
      <c r="CA22" s="59"/>
      <c r="CB22" s="59"/>
      <c r="CC22" s="59"/>
      <c r="CD22" s="146"/>
      <c r="CE22" s="146"/>
      <c r="CF22" s="115"/>
      <c r="CG22" s="13"/>
      <c r="CH22" s="14"/>
      <c r="CI22" s="14"/>
    </row>
    <row r="23" spans="1:87">
      <c r="A23" s="18"/>
      <c r="B23" s="13">
        <v>2013</v>
      </c>
      <c r="C23" s="107">
        <f>90.58*100000000</f>
        <v>9058000000</v>
      </c>
      <c r="D23" s="18" t="s">
        <v>97</v>
      </c>
      <c r="E23" s="18"/>
      <c r="F23" s="18"/>
      <c r="G23" s="18"/>
      <c r="H23" s="18"/>
      <c r="I23" s="107">
        <v>3696122566.48</v>
      </c>
      <c r="J23" s="59">
        <v>2384818024.28</v>
      </c>
      <c r="K23" s="51"/>
      <c r="L23" s="59">
        <v>2132672364.41</v>
      </c>
      <c r="M23" s="51">
        <f t="shared" si="29"/>
        <v>0.89427048214879</v>
      </c>
      <c r="N23" s="59"/>
      <c r="O23" s="59">
        <v>119570000</v>
      </c>
      <c r="P23" s="59"/>
      <c r="Q23" s="59"/>
      <c r="R23" s="59"/>
      <c r="S23" s="59">
        <v>164120000</v>
      </c>
      <c r="T23" s="59"/>
      <c r="U23" s="59"/>
      <c r="V23" s="59"/>
      <c r="W23" s="59">
        <f t="shared" si="30"/>
        <v>283690000</v>
      </c>
      <c r="X23" s="59"/>
      <c r="Y23" s="59"/>
      <c r="Z23" s="59">
        <v>63090909.09</v>
      </c>
      <c r="AA23" s="59"/>
      <c r="AB23" s="59">
        <v>50949811.29</v>
      </c>
      <c r="AC23" s="59"/>
      <c r="AD23" s="60"/>
      <c r="AE23" s="60">
        <v>494115489.98</v>
      </c>
      <c r="AF23" s="60">
        <v>355308868.93</v>
      </c>
      <c r="AG23" s="60"/>
      <c r="AH23" s="60">
        <v>2470756.05</v>
      </c>
      <c r="AI23" s="60">
        <f t="shared" si="31"/>
        <v>965935835.34</v>
      </c>
      <c r="AJ23" s="60">
        <f t="shared" si="32"/>
        <v>608156210.36</v>
      </c>
      <c r="AK23" s="51"/>
      <c r="AL23" s="60">
        <f t="shared" si="33"/>
        <v>357779624.98</v>
      </c>
      <c r="AM23" s="51"/>
      <c r="AN23" s="60">
        <f t="shared" si="34"/>
        <v>2730186731.14</v>
      </c>
      <c r="AO23" s="60">
        <v>669634314.87</v>
      </c>
      <c r="AP23" s="60">
        <v>318586622.82</v>
      </c>
      <c r="AQ23" s="60">
        <v>105849021.03</v>
      </c>
      <c r="AR23" s="51">
        <f t="shared" si="35"/>
        <v>0.400730816775733</v>
      </c>
      <c r="AS23" s="51"/>
      <c r="AT23" s="131"/>
      <c r="AU23" s="133"/>
      <c r="AV23" s="133"/>
      <c r="AW23" s="133"/>
      <c r="AX23" s="133"/>
      <c r="AY23" s="133"/>
      <c r="AZ23" s="133"/>
      <c r="BA23" s="133"/>
      <c r="BB23" s="14"/>
      <c r="BC23" s="14"/>
      <c r="BD23" s="14"/>
      <c r="BE23" s="14"/>
      <c r="BF23" s="14"/>
      <c r="BG23" s="14"/>
      <c r="BH23" s="14"/>
      <c r="BI23" s="14"/>
      <c r="BJ23" s="14"/>
      <c r="BK23" s="87">
        <f t="shared" si="20"/>
        <v>2668508024.28</v>
      </c>
      <c r="BL23" s="51"/>
      <c r="BM23" s="60">
        <f t="shared" si="36"/>
        <v>1702572188.94</v>
      </c>
      <c r="BN23" s="51"/>
      <c r="BO23" s="60">
        <v>254249235.99</v>
      </c>
      <c r="BP23" s="51">
        <f t="shared" si="39"/>
        <v>1.15947512084879</v>
      </c>
      <c r="BQ23" s="60">
        <v>262357521.58</v>
      </c>
      <c r="BR23" s="60"/>
      <c r="BS23" s="60">
        <v>33833713.16</v>
      </c>
      <c r="BT23" s="59">
        <f t="shared" si="37"/>
        <v>296191234.74</v>
      </c>
      <c r="BU23" s="59">
        <f t="shared" si="38"/>
        <v>288082949.15</v>
      </c>
      <c r="BV23" s="51">
        <f t="shared" si="41"/>
        <v>0.0983161823734023</v>
      </c>
      <c r="BW23" s="146">
        <f t="shared" si="40"/>
        <v>0.16920454299759</v>
      </c>
      <c r="BX23" s="59"/>
      <c r="BY23" s="59"/>
      <c r="BZ23" s="59"/>
      <c r="CA23" s="59"/>
      <c r="CB23" s="59"/>
      <c r="CC23" s="59"/>
      <c r="CD23" s="146"/>
      <c r="CE23" s="146"/>
      <c r="CF23" s="115"/>
      <c r="CG23" s="13"/>
      <c r="CH23" s="14"/>
      <c r="CI23" s="14"/>
    </row>
    <row r="24" spans="1:87">
      <c r="A24" s="18"/>
      <c r="B24" s="13">
        <v>2012</v>
      </c>
      <c r="C24" s="107"/>
      <c r="D24" s="18"/>
      <c r="E24" s="18"/>
      <c r="F24" s="18"/>
      <c r="G24" s="18"/>
      <c r="H24" s="18"/>
      <c r="I24" s="107">
        <v>3495088667.33</v>
      </c>
      <c r="J24" s="59">
        <v>2189553863.83</v>
      </c>
      <c r="K24" s="51"/>
      <c r="L24" s="59">
        <v>1947986370.95</v>
      </c>
      <c r="M24" s="51">
        <f t="shared" si="29"/>
        <v>0.889672733395356</v>
      </c>
      <c r="N24" s="59"/>
      <c r="O24" s="59">
        <v>75000000</v>
      </c>
      <c r="P24" s="59"/>
      <c r="Q24" s="59"/>
      <c r="R24" s="59"/>
      <c r="S24" s="59">
        <v>10000000</v>
      </c>
      <c r="T24" s="59"/>
      <c r="U24" s="59"/>
      <c r="V24" s="59"/>
      <c r="W24" s="59">
        <f t="shared" si="30"/>
        <v>85000000</v>
      </c>
      <c r="X24" s="59"/>
      <c r="Y24" s="59"/>
      <c r="Z24" s="59"/>
      <c r="AA24" s="59"/>
      <c r="AB24" s="59">
        <v>92901339.6</v>
      </c>
      <c r="AC24" s="59"/>
      <c r="AD24" s="60"/>
      <c r="AE24" s="60">
        <v>519796165.2</v>
      </c>
      <c r="AF24" s="60">
        <v>354573106.95</v>
      </c>
      <c r="AG24" s="60"/>
      <c r="AH24" s="60">
        <v>3181507.07</v>
      </c>
      <c r="AI24" s="60">
        <f t="shared" si="31"/>
        <v>970452118.82</v>
      </c>
      <c r="AJ24" s="60">
        <f t="shared" si="32"/>
        <v>612697504.8</v>
      </c>
      <c r="AK24" s="51"/>
      <c r="AL24" s="60">
        <f t="shared" si="33"/>
        <v>357754614.02</v>
      </c>
      <c r="AM24" s="51"/>
      <c r="AN24" s="60">
        <f t="shared" si="34"/>
        <v>2524636548.51</v>
      </c>
      <c r="AO24" s="60">
        <v>588313085.14</v>
      </c>
      <c r="AP24" s="60">
        <v>138230365.82</v>
      </c>
      <c r="AQ24" s="60">
        <v>89661621.47</v>
      </c>
      <c r="AR24" s="51">
        <f t="shared" si="35"/>
        <v>0.323296069254686</v>
      </c>
      <c r="AS24" s="51"/>
      <c r="AT24" s="131"/>
      <c r="AU24" s="133"/>
      <c r="AV24" s="133"/>
      <c r="AW24" s="133"/>
      <c r="AX24" s="133"/>
      <c r="AY24" s="133"/>
      <c r="AZ24" s="133"/>
      <c r="BA24" s="133"/>
      <c r="BB24" s="14"/>
      <c r="BC24" s="14"/>
      <c r="BD24" s="14"/>
      <c r="BE24" s="14"/>
      <c r="BF24" s="14"/>
      <c r="BG24" s="14"/>
      <c r="BH24" s="14"/>
      <c r="BI24" s="14"/>
      <c r="BJ24" s="14"/>
      <c r="BK24" s="87">
        <f t="shared" si="20"/>
        <v>2274553863.83</v>
      </c>
      <c r="BL24" s="51"/>
      <c r="BM24" s="60">
        <f t="shared" si="36"/>
        <v>1304101745.01</v>
      </c>
      <c r="BN24" s="51"/>
      <c r="BO24" s="60">
        <v>117736589.57</v>
      </c>
      <c r="BP24" s="51"/>
      <c r="BQ24" s="60">
        <v>145320131.28</v>
      </c>
      <c r="BR24" s="60"/>
      <c r="BS24" s="60">
        <v>40927808.72</v>
      </c>
      <c r="BT24" s="59">
        <f t="shared" si="37"/>
        <v>186247940</v>
      </c>
      <c r="BU24" s="59">
        <f t="shared" si="38"/>
        <v>158664398.29</v>
      </c>
      <c r="BV24" s="51">
        <f t="shared" si="41"/>
        <v>0.0638895097587635</v>
      </c>
      <c r="BW24" s="146">
        <f t="shared" si="40"/>
        <v>0.121665659061581</v>
      </c>
      <c r="BX24" s="59"/>
      <c r="BY24" s="59"/>
      <c r="BZ24" s="59"/>
      <c r="CA24" s="59"/>
      <c r="CB24" s="59"/>
      <c r="CC24" s="59"/>
      <c r="CD24" s="146"/>
      <c r="CE24" s="146"/>
      <c r="CF24" s="115"/>
      <c r="CG24" s="13"/>
      <c r="CH24" s="14"/>
      <c r="CI24" s="14"/>
    </row>
    <row r="25" customFormat="1" spans="1:87">
      <c r="A25" s="13" t="s">
        <v>98</v>
      </c>
      <c r="B25" s="13">
        <v>2022</v>
      </c>
      <c r="C25" s="107">
        <f>200.62*100000000</f>
        <v>20062000000</v>
      </c>
      <c r="D25" s="107" t="s">
        <v>86</v>
      </c>
      <c r="E25" s="18"/>
      <c r="F25" s="18"/>
      <c r="G25" s="18"/>
      <c r="H25" s="18"/>
      <c r="I25" s="107">
        <v>3171593207.19</v>
      </c>
      <c r="J25" s="59">
        <v>2353022936.1</v>
      </c>
      <c r="K25" s="51"/>
      <c r="L25" s="59"/>
      <c r="M25" s="51"/>
      <c r="N25" s="59"/>
      <c r="O25" s="59"/>
      <c r="P25" s="59"/>
      <c r="Q25" s="59">
        <v>73646.11</v>
      </c>
      <c r="R25" s="59"/>
      <c r="S25" s="59">
        <v>65000000</v>
      </c>
      <c r="T25" s="59"/>
      <c r="U25" s="59"/>
      <c r="V25" s="59"/>
      <c r="W25" s="59">
        <f t="shared" si="30"/>
        <v>65000000</v>
      </c>
      <c r="X25" s="59"/>
      <c r="Y25" s="59"/>
      <c r="Z25" s="59"/>
      <c r="AA25" s="59"/>
      <c r="AB25" s="59"/>
      <c r="AC25" s="59"/>
      <c r="AD25" s="60"/>
      <c r="AE25" s="60"/>
      <c r="AF25" s="60">
        <v>409279659.48</v>
      </c>
      <c r="AG25" s="60"/>
      <c r="AH25" s="60">
        <v>410000000</v>
      </c>
      <c r="AI25" s="60">
        <f t="shared" si="31"/>
        <v>819279659.48</v>
      </c>
      <c r="AJ25" s="60">
        <f t="shared" si="32"/>
        <v>0</v>
      </c>
      <c r="AK25" s="51"/>
      <c r="AL25" s="60">
        <f t="shared" si="33"/>
        <v>819279659.48</v>
      </c>
      <c r="AM25" s="51"/>
      <c r="AN25" s="60">
        <f t="shared" si="34"/>
        <v>2352313547.71</v>
      </c>
      <c r="AO25" s="60">
        <v>882644351.4</v>
      </c>
      <c r="AP25" s="60">
        <v>351547774.26</v>
      </c>
      <c r="AQ25" s="60">
        <v>97675956.36</v>
      </c>
      <c r="AR25" s="51">
        <f t="shared" si="35"/>
        <v>0.566194962961713</v>
      </c>
      <c r="AS25" s="51"/>
      <c r="AT25" s="131"/>
      <c r="AU25" s="133"/>
      <c r="AV25" s="133"/>
      <c r="AW25" s="133"/>
      <c r="AX25" s="133"/>
      <c r="AY25" s="133"/>
      <c r="AZ25" s="133"/>
      <c r="BA25" s="133"/>
      <c r="BB25" s="14"/>
      <c r="BC25" s="14"/>
      <c r="BD25" s="14"/>
      <c r="BE25" s="14"/>
      <c r="BF25" s="14"/>
      <c r="BG25" s="14"/>
      <c r="BH25" s="14"/>
      <c r="BI25" s="14"/>
      <c r="BJ25" s="14"/>
      <c r="BK25" s="87">
        <f t="shared" ref="BK25:BK56" si="42">J25+W25</f>
        <v>2418022936.1</v>
      </c>
      <c r="BL25" s="51"/>
      <c r="BM25" s="60">
        <f t="shared" si="36"/>
        <v>1598743276.62</v>
      </c>
      <c r="BN25" s="51"/>
      <c r="BO25" s="60">
        <v>400347681.7</v>
      </c>
      <c r="BP25" s="51">
        <f t="shared" si="39"/>
        <v>0.482807717901446</v>
      </c>
      <c r="BQ25" s="60">
        <v>400347681.7</v>
      </c>
      <c r="BR25" s="60"/>
      <c r="BS25" s="60">
        <v>-8308696.86</v>
      </c>
      <c r="BT25" s="59">
        <f t="shared" si="37"/>
        <v>392038984.84</v>
      </c>
      <c r="BU25" s="59">
        <f t="shared" si="38"/>
        <v>392038984.84</v>
      </c>
      <c r="BV25" s="51">
        <f t="shared" si="41"/>
        <v>0.165568190327308</v>
      </c>
      <c r="BW25" s="146">
        <f t="shared" si="40"/>
        <v>0.245216971713453</v>
      </c>
      <c r="BX25" s="59"/>
      <c r="BY25" s="59"/>
      <c r="BZ25" s="59"/>
      <c r="CA25" s="59"/>
      <c r="CB25" s="59"/>
      <c r="CC25" s="59"/>
      <c r="CD25" s="146"/>
      <c r="CE25" s="146"/>
      <c r="CF25" s="115"/>
      <c r="CG25" s="13"/>
      <c r="CH25" s="14"/>
      <c r="CI25" s="14"/>
    </row>
    <row r="26" customFormat="1" spans="1:87">
      <c r="A26" s="13"/>
      <c r="B26" s="13">
        <v>2021</v>
      </c>
      <c r="C26" s="107">
        <f>192.35*100000000</f>
        <v>19235000000</v>
      </c>
      <c r="D26" s="107" t="s">
        <v>88</v>
      </c>
      <c r="E26" s="18"/>
      <c r="F26" s="18"/>
      <c r="G26" s="18"/>
      <c r="H26" s="18"/>
      <c r="I26" s="107">
        <v>2397922657.19</v>
      </c>
      <c r="J26" s="59">
        <v>2074320828.6</v>
      </c>
      <c r="K26" s="51"/>
      <c r="L26" s="59"/>
      <c r="M26" s="51"/>
      <c r="N26" s="59"/>
      <c r="O26" s="59"/>
      <c r="P26" s="59"/>
      <c r="Q26" s="59">
        <v>425887.22</v>
      </c>
      <c r="R26" s="59"/>
      <c r="S26" s="59"/>
      <c r="T26" s="59"/>
      <c r="U26" s="59"/>
      <c r="V26" s="59"/>
      <c r="W26" s="59">
        <f t="shared" si="30"/>
        <v>0</v>
      </c>
      <c r="X26" s="59"/>
      <c r="Y26" s="59"/>
      <c r="Z26" s="59"/>
      <c r="AA26" s="59"/>
      <c r="AB26" s="59"/>
      <c r="AC26" s="59"/>
      <c r="AD26" s="60"/>
      <c r="AE26" s="60"/>
      <c r="AF26" s="60">
        <v>196955347.02</v>
      </c>
      <c r="AG26" s="60"/>
      <c r="AH26" s="60">
        <v>160000000</v>
      </c>
      <c r="AI26" s="60">
        <f t="shared" si="31"/>
        <v>356955347.02</v>
      </c>
      <c r="AJ26" s="60">
        <f t="shared" si="32"/>
        <v>0</v>
      </c>
      <c r="AK26" s="51"/>
      <c r="AL26" s="60">
        <f t="shared" si="33"/>
        <v>356955347.02</v>
      </c>
      <c r="AM26" s="51"/>
      <c r="AN26" s="60">
        <f t="shared" si="34"/>
        <v>2040967310.17</v>
      </c>
      <c r="AO26" s="60">
        <v>842528924.16</v>
      </c>
      <c r="AP26" s="60">
        <v>284081775.37</v>
      </c>
      <c r="AQ26" s="60">
        <v>103322955.28</v>
      </c>
      <c r="AR26" s="51">
        <f t="shared" si="35"/>
        <v>0.602622907619012</v>
      </c>
      <c r="AS26" s="51"/>
      <c r="AT26" s="131"/>
      <c r="AU26" s="133"/>
      <c r="AV26" s="133"/>
      <c r="AW26" s="133"/>
      <c r="AX26" s="133"/>
      <c r="AY26" s="133"/>
      <c r="AZ26" s="133"/>
      <c r="BA26" s="133"/>
      <c r="BB26" s="14"/>
      <c r="BC26" s="14"/>
      <c r="BD26" s="14"/>
      <c r="BE26" s="14"/>
      <c r="BF26" s="14"/>
      <c r="BG26" s="14"/>
      <c r="BH26" s="14"/>
      <c r="BI26" s="14"/>
      <c r="BJ26" s="14"/>
      <c r="BK26" s="87">
        <f t="shared" si="42"/>
        <v>2074320828.6</v>
      </c>
      <c r="BL26" s="51"/>
      <c r="BM26" s="60">
        <f t="shared" si="36"/>
        <v>1717365481.58</v>
      </c>
      <c r="BN26" s="51"/>
      <c r="BO26" s="60">
        <v>269992984.84</v>
      </c>
      <c r="BP26" s="51">
        <f t="shared" ref="BP26:BP31" si="43">(BO26-BO27)/BO27</f>
        <v>0.0308449051626719</v>
      </c>
      <c r="BQ26" s="60">
        <v>269992984.84</v>
      </c>
      <c r="BR26" s="60"/>
      <c r="BS26" s="144">
        <v>-2704183.35</v>
      </c>
      <c r="BT26" s="59">
        <f t="shared" si="37"/>
        <v>267288801.49</v>
      </c>
      <c r="BU26" s="59">
        <f t="shared" si="38"/>
        <v>267288801.49</v>
      </c>
      <c r="BV26" s="51">
        <f t="shared" si="41"/>
        <v>0.130159703897986</v>
      </c>
      <c r="BW26" s="146">
        <f t="shared" si="40"/>
        <v>0.155638857515694</v>
      </c>
      <c r="BX26" s="59"/>
      <c r="BY26" s="59"/>
      <c r="BZ26" s="59"/>
      <c r="CA26" s="59"/>
      <c r="CB26" s="59"/>
      <c r="CC26" s="59"/>
      <c r="CD26" s="146"/>
      <c r="CE26" s="146"/>
      <c r="CF26" s="115"/>
      <c r="CG26" s="13"/>
      <c r="CH26" s="14"/>
      <c r="CI26" s="14"/>
    </row>
    <row r="27" customFormat="1" spans="1:87">
      <c r="A27" s="13"/>
      <c r="B27" s="13">
        <v>2020</v>
      </c>
      <c r="C27" s="107">
        <f>248.83*100000000</f>
        <v>24883000000</v>
      </c>
      <c r="D27" s="107" t="s">
        <v>89</v>
      </c>
      <c r="E27" s="18"/>
      <c r="F27" s="18"/>
      <c r="G27" s="18"/>
      <c r="H27" s="18"/>
      <c r="I27" s="107">
        <v>2185494550.48</v>
      </c>
      <c r="J27" s="59">
        <v>1897911349</v>
      </c>
      <c r="K27" s="51"/>
      <c r="L27" s="59"/>
      <c r="M27" s="51"/>
      <c r="N27" s="59"/>
      <c r="O27" s="59"/>
      <c r="P27" s="59"/>
      <c r="Q27" s="59"/>
      <c r="R27" s="59"/>
      <c r="S27" s="59"/>
      <c r="T27" s="59"/>
      <c r="U27" s="59"/>
      <c r="V27" s="59"/>
      <c r="W27" s="59">
        <f t="shared" si="30"/>
        <v>0</v>
      </c>
      <c r="X27" s="59"/>
      <c r="Y27" s="59"/>
      <c r="Z27" s="59"/>
      <c r="AA27" s="59"/>
      <c r="AB27" s="59"/>
      <c r="AC27" s="59"/>
      <c r="AD27" s="60"/>
      <c r="AE27" s="60"/>
      <c r="AF27" s="60">
        <v>117463290.74</v>
      </c>
      <c r="AG27" s="60"/>
      <c r="AH27" s="60">
        <v>390000000</v>
      </c>
      <c r="AI27" s="60">
        <f t="shared" si="31"/>
        <v>507463290.74</v>
      </c>
      <c r="AJ27" s="60">
        <f t="shared" si="32"/>
        <v>0</v>
      </c>
      <c r="AK27" s="51"/>
      <c r="AL27" s="60">
        <f t="shared" si="33"/>
        <v>507463290.74</v>
      </c>
      <c r="AM27" s="51"/>
      <c r="AN27" s="60">
        <f t="shared" si="34"/>
        <v>1678031259.74</v>
      </c>
      <c r="AO27" s="60">
        <v>826764257.92</v>
      </c>
      <c r="AP27" s="60">
        <v>140301049.56</v>
      </c>
      <c r="AQ27" s="60">
        <v>105258498.85</v>
      </c>
      <c r="AR27" s="51">
        <f t="shared" si="35"/>
        <v>0.639036847559175</v>
      </c>
      <c r="AS27" s="51"/>
      <c r="AT27" s="131"/>
      <c r="AU27" s="133"/>
      <c r="AV27" s="133"/>
      <c r="AW27" s="133"/>
      <c r="AX27" s="133"/>
      <c r="AY27" s="133"/>
      <c r="AZ27" s="133"/>
      <c r="BA27" s="133"/>
      <c r="BB27" s="14"/>
      <c r="BC27" s="14"/>
      <c r="BD27" s="14"/>
      <c r="BE27" s="14"/>
      <c r="BF27" s="14"/>
      <c r="BG27" s="14"/>
      <c r="BH27" s="14"/>
      <c r="BI27" s="14"/>
      <c r="BJ27" s="14"/>
      <c r="BK27" s="87">
        <f t="shared" si="42"/>
        <v>1897911349</v>
      </c>
      <c r="BL27" s="51"/>
      <c r="BM27" s="60">
        <f t="shared" si="36"/>
        <v>1390448058.26</v>
      </c>
      <c r="BN27" s="51"/>
      <c r="BO27" s="60">
        <v>261914264.2</v>
      </c>
      <c r="BP27" s="51">
        <f t="shared" si="43"/>
        <v>0.129739274060072</v>
      </c>
      <c r="BQ27" s="60">
        <v>261914264.2</v>
      </c>
      <c r="BR27" s="60"/>
      <c r="BS27" s="60">
        <v>-3216073.21</v>
      </c>
      <c r="BT27" s="59">
        <f t="shared" si="37"/>
        <v>258698190.99</v>
      </c>
      <c r="BU27" s="59">
        <f t="shared" si="38"/>
        <v>258698190.99</v>
      </c>
      <c r="BV27" s="51">
        <f t="shared" si="41"/>
        <v>0.138001316203732</v>
      </c>
      <c r="BW27" s="146">
        <f t="shared" si="40"/>
        <v>0.186053833117458</v>
      </c>
      <c r="BX27" s="59"/>
      <c r="BY27" s="59"/>
      <c r="BZ27" s="59"/>
      <c r="CA27" s="59"/>
      <c r="CB27" s="59"/>
      <c r="CC27" s="59"/>
      <c r="CD27" s="146"/>
      <c r="CE27" s="146"/>
      <c r="CF27" s="115"/>
      <c r="CG27" s="13"/>
      <c r="CH27" s="14"/>
      <c r="CI27" s="14"/>
    </row>
    <row r="28" customFormat="1" spans="1:87">
      <c r="A28" s="13"/>
      <c r="B28" s="13">
        <v>2019</v>
      </c>
      <c r="C28" s="107">
        <f>99.04*100000000</f>
        <v>9904000000</v>
      </c>
      <c r="D28" s="107" t="s">
        <v>90</v>
      </c>
      <c r="E28" s="18"/>
      <c r="F28" s="18"/>
      <c r="G28" s="18"/>
      <c r="H28" s="18"/>
      <c r="I28" s="107">
        <v>2055571609.08</v>
      </c>
      <c r="J28" s="59">
        <v>1592531795</v>
      </c>
      <c r="K28" s="51"/>
      <c r="L28" s="59"/>
      <c r="M28" s="51"/>
      <c r="N28" s="59"/>
      <c r="O28" s="59"/>
      <c r="P28" s="59">
        <v>158004865.85</v>
      </c>
      <c r="Q28" s="59"/>
      <c r="R28" s="59"/>
      <c r="S28" s="59"/>
      <c r="T28" s="59"/>
      <c r="U28" s="59"/>
      <c r="V28" s="59"/>
      <c r="W28" s="59">
        <f t="shared" si="30"/>
        <v>158004865.85</v>
      </c>
      <c r="X28" s="59"/>
      <c r="Y28" s="59"/>
      <c r="Z28" s="59"/>
      <c r="AA28" s="59"/>
      <c r="AB28" s="59"/>
      <c r="AC28" s="59"/>
      <c r="AD28" s="60"/>
      <c r="AE28" s="60"/>
      <c r="AF28" s="60">
        <v>86062661.58</v>
      </c>
      <c r="AG28" s="60"/>
      <c r="AH28" s="60">
        <v>343000000</v>
      </c>
      <c r="AI28" s="60">
        <f t="shared" si="31"/>
        <v>429062661.58</v>
      </c>
      <c r="AJ28" s="60">
        <f t="shared" si="32"/>
        <v>0</v>
      </c>
      <c r="AK28" s="51"/>
      <c r="AL28" s="60">
        <f t="shared" si="33"/>
        <v>429062661.58</v>
      </c>
      <c r="AM28" s="51"/>
      <c r="AN28" s="60">
        <f t="shared" si="34"/>
        <v>1626508947.5</v>
      </c>
      <c r="AO28" s="60">
        <v>692422171.85</v>
      </c>
      <c r="AP28" s="60">
        <v>198232449.32</v>
      </c>
      <c r="AQ28" s="60">
        <v>121391437.7</v>
      </c>
      <c r="AR28" s="51">
        <f t="shared" si="35"/>
        <v>0.622219791920327</v>
      </c>
      <c r="AS28" s="51"/>
      <c r="AT28" s="131"/>
      <c r="AU28" s="133"/>
      <c r="AV28" s="133"/>
      <c r="AW28" s="133"/>
      <c r="AX28" s="133"/>
      <c r="AY28" s="133"/>
      <c r="AZ28" s="133"/>
      <c r="BA28" s="133"/>
      <c r="BB28" s="14"/>
      <c r="BC28" s="14"/>
      <c r="BD28" s="14"/>
      <c r="BE28" s="14"/>
      <c r="BF28" s="14"/>
      <c r="BG28" s="14"/>
      <c r="BH28" s="14"/>
      <c r="BI28" s="14"/>
      <c r="BJ28" s="14"/>
      <c r="BK28" s="87">
        <f t="shared" si="42"/>
        <v>1750536660.85</v>
      </c>
      <c r="BL28" s="51"/>
      <c r="BM28" s="60">
        <f t="shared" si="36"/>
        <v>1321473999.27</v>
      </c>
      <c r="BN28" s="51"/>
      <c r="BO28" s="60">
        <v>231836026.43</v>
      </c>
      <c r="BP28" s="51">
        <f t="shared" si="43"/>
        <v>-0.187040220446328</v>
      </c>
      <c r="BQ28" s="60">
        <v>231836026.43</v>
      </c>
      <c r="BR28" s="60"/>
      <c r="BS28" s="60">
        <v>-7515207.85</v>
      </c>
      <c r="BT28" s="59">
        <f t="shared" si="37"/>
        <v>224320818.58</v>
      </c>
      <c r="BU28" s="59">
        <f t="shared" si="38"/>
        <v>224320818.58</v>
      </c>
      <c r="BV28" s="51">
        <f t="shared" si="41"/>
        <v>0.132437115779928</v>
      </c>
      <c r="BW28" s="146">
        <f t="shared" si="40"/>
        <v>0.169750459489871</v>
      </c>
      <c r="BX28" s="59"/>
      <c r="BY28" s="59"/>
      <c r="BZ28" s="59"/>
      <c r="CA28" s="59"/>
      <c r="CB28" s="59"/>
      <c r="CC28" s="59"/>
      <c r="CD28" s="146"/>
      <c r="CE28" s="146"/>
      <c r="CF28" s="115"/>
      <c r="CG28" s="13"/>
      <c r="CH28" s="14"/>
      <c r="CI28" s="14"/>
    </row>
    <row r="29" customFormat="1" spans="1:87">
      <c r="A29" s="13"/>
      <c r="B29" s="13">
        <v>2018</v>
      </c>
      <c r="C29" s="107">
        <f>50.17*100000000</f>
        <v>5017000000</v>
      </c>
      <c r="D29" s="107" t="s">
        <v>91</v>
      </c>
      <c r="E29" s="18"/>
      <c r="F29" s="18"/>
      <c r="G29" s="18"/>
      <c r="H29" s="18"/>
      <c r="I29" s="107">
        <v>1931143438.96</v>
      </c>
      <c r="J29" s="59">
        <v>1306508786.36</v>
      </c>
      <c r="K29" s="51"/>
      <c r="L29" s="59"/>
      <c r="M29" s="51"/>
      <c r="N29" s="59"/>
      <c r="O29" s="59"/>
      <c r="P29" s="59">
        <v>286525248.65</v>
      </c>
      <c r="Q29" s="59"/>
      <c r="R29" s="59"/>
      <c r="S29" s="59">
        <v>100000000</v>
      </c>
      <c r="T29" s="59"/>
      <c r="U29" s="59"/>
      <c r="V29" s="59"/>
      <c r="W29" s="59">
        <f t="shared" si="30"/>
        <v>386525248.65</v>
      </c>
      <c r="X29" s="59"/>
      <c r="Y29" s="59"/>
      <c r="Z29" s="59"/>
      <c r="AA29" s="59"/>
      <c r="AB29" s="59"/>
      <c r="AC29" s="59"/>
      <c r="AD29" s="60"/>
      <c r="AE29" s="60"/>
      <c r="AF29" s="60">
        <v>454485084.24</v>
      </c>
      <c r="AG29" s="60"/>
      <c r="AH29" s="60"/>
      <c r="AI29" s="60">
        <f t="shared" si="31"/>
        <v>454485084.24</v>
      </c>
      <c r="AJ29" s="60">
        <f t="shared" si="32"/>
        <v>0</v>
      </c>
      <c r="AK29" s="51"/>
      <c r="AL29" s="60">
        <f t="shared" si="33"/>
        <v>454485084.24</v>
      </c>
      <c r="AM29" s="51"/>
      <c r="AN29" s="60">
        <f t="shared" si="34"/>
        <v>1476658354.72</v>
      </c>
      <c r="AO29" s="60">
        <v>414111164.86</v>
      </c>
      <c r="AP29" s="60">
        <v>305810425.36</v>
      </c>
      <c r="AQ29" s="60">
        <v>52826585.01</v>
      </c>
      <c r="AR29" s="51">
        <f t="shared" si="35"/>
        <v>0.523308707637066</v>
      </c>
      <c r="AS29" s="51"/>
      <c r="AT29" s="131"/>
      <c r="AU29" s="133"/>
      <c r="AV29" s="133"/>
      <c r="AW29" s="133"/>
      <c r="AX29" s="133"/>
      <c r="AY29" s="133"/>
      <c r="AZ29" s="133"/>
      <c r="BA29" s="133"/>
      <c r="BB29" s="14"/>
      <c r="BC29" s="14"/>
      <c r="BD29" s="14"/>
      <c r="BE29" s="14"/>
      <c r="BF29" s="14"/>
      <c r="BG29" s="14"/>
      <c r="BH29" s="14"/>
      <c r="BI29" s="14"/>
      <c r="BJ29" s="14"/>
      <c r="BK29" s="87">
        <f t="shared" si="42"/>
        <v>1693034035.01</v>
      </c>
      <c r="BL29" s="51"/>
      <c r="BM29" s="60">
        <f t="shared" si="36"/>
        <v>1238548950.77</v>
      </c>
      <c r="BN29" s="51"/>
      <c r="BO29" s="60">
        <v>285175272.21</v>
      </c>
      <c r="BP29" s="51">
        <f t="shared" si="43"/>
        <v>0.685464477427612</v>
      </c>
      <c r="BQ29" s="60">
        <v>285175272.21</v>
      </c>
      <c r="BR29" s="60"/>
      <c r="BS29" s="60">
        <v>1697152.63</v>
      </c>
      <c r="BT29" s="59">
        <f t="shared" si="37"/>
        <v>286872424.84</v>
      </c>
      <c r="BU29" s="59">
        <f t="shared" si="38"/>
        <v>286872424.84</v>
      </c>
      <c r="BV29" s="51">
        <f t="shared" si="41"/>
        <v>0.168440365824256</v>
      </c>
      <c r="BW29" s="146">
        <f t="shared" si="40"/>
        <v>0.231619771395917</v>
      </c>
      <c r="BX29" s="59"/>
      <c r="BY29" s="59"/>
      <c r="BZ29" s="59"/>
      <c r="CA29" s="59"/>
      <c r="CB29" s="59"/>
      <c r="CC29" s="59"/>
      <c r="CD29" s="146"/>
      <c r="CE29" s="146"/>
      <c r="CF29" s="115"/>
      <c r="CG29" s="13"/>
      <c r="CH29" s="14"/>
      <c r="CI29" s="14"/>
    </row>
    <row r="30" customFormat="1" spans="1:87">
      <c r="A30" s="13"/>
      <c r="B30" s="13">
        <v>2017</v>
      </c>
      <c r="C30" s="107">
        <f>58.64*100000000</f>
        <v>5864000000</v>
      </c>
      <c r="D30" s="107" t="s">
        <v>92</v>
      </c>
      <c r="E30" s="18"/>
      <c r="F30" s="18"/>
      <c r="G30" s="18"/>
      <c r="H30" s="18"/>
      <c r="I30" s="107">
        <v>1196126831.38</v>
      </c>
      <c r="J30" s="59">
        <v>1062987000.38</v>
      </c>
      <c r="K30" s="51"/>
      <c r="L30" s="59"/>
      <c r="M30" s="51"/>
      <c r="N30" s="59"/>
      <c r="O30" s="59"/>
      <c r="P30" s="59"/>
      <c r="Q30" s="59"/>
      <c r="R30" s="59"/>
      <c r="S30" s="59"/>
      <c r="T30" s="59"/>
      <c r="U30" s="59"/>
      <c r="V30" s="59"/>
      <c r="W30" s="59">
        <f t="shared" si="30"/>
        <v>0</v>
      </c>
      <c r="X30" s="59"/>
      <c r="Y30" s="59"/>
      <c r="Z30" s="59"/>
      <c r="AA30" s="59"/>
      <c r="AB30" s="59"/>
      <c r="AC30" s="59"/>
      <c r="AD30" s="60"/>
      <c r="AE30" s="60"/>
      <c r="AF30" s="60">
        <v>80908967.56</v>
      </c>
      <c r="AG30" s="60"/>
      <c r="AH30" s="60"/>
      <c r="AI30" s="60">
        <f t="shared" si="31"/>
        <v>80908967.56</v>
      </c>
      <c r="AJ30" s="60">
        <f t="shared" si="32"/>
        <v>0</v>
      </c>
      <c r="AK30" s="51"/>
      <c r="AL30" s="60">
        <f t="shared" si="33"/>
        <v>80908967.56</v>
      </c>
      <c r="AM30" s="51"/>
      <c r="AN30" s="60">
        <f t="shared" si="34"/>
        <v>1115217863.82</v>
      </c>
      <c r="AO30" s="60">
        <v>433226421.79</v>
      </c>
      <c r="AP30" s="60">
        <v>99305024.29</v>
      </c>
      <c r="AQ30" s="60">
        <v>57617282.2</v>
      </c>
      <c r="AR30" s="51">
        <f t="shared" si="35"/>
        <v>0.529177972686467</v>
      </c>
      <c r="AS30" s="51"/>
      <c r="AT30" s="131"/>
      <c r="AU30" s="133"/>
      <c r="AV30" s="133"/>
      <c r="AW30" s="133"/>
      <c r="AX30" s="133"/>
      <c r="AY30" s="133"/>
      <c r="AZ30" s="133"/>
      <c r="BA30" s="133"/>
      <c r="BB30" s="14"/>
      <c r="BC30" s="14"/>
      <c r="BD30" s="14"/>
      <c r="BE30" s="14"/>
      <c r="BF30" s="14"/>
      <c r="BG30" s="14"/>
      <c r="BH30" s="14"/>
      <c r="BI30" s="14"/>
      <c r="BJ30" s="14"/>
      <c r="BK30" s="87">
        <f t="shared" si="42"/>
        <v>1062987000.38</v>
      </c>
      <c r="BL30" s="51"/>
      <c r="BM30" s="60">
        <f t="shared" si="36"/>
        <v>982078032.82</v>
      </c>
      <c r="BN30" s="51"/>
      <c r="BO30" s="60">
        <v>169196845.16</v>
      </c>
      <c r="BP30" s="51">
        <f t="shared" si="43"/>
        <v>0.540882684440888</v>
      </c>
      <c r="BQ30" s="60">
        <v>169196845.16</v>
      </c>
      <c r="BR30" s="60"/>
      <c r="BS30" s="60">
        <v>1193171.8</v>
      </c>
      <c r="BT30" s="59">
        <f t="shared" si="37"/>
        <v>170390016.96</v>
      </c>
      <c r="BU30" s="59">
        <f t="shared" si="38"/>
        <v>170390016.96</v>
      </c>
      <c r="BV30" s="51">
        <f t="shared" si="41"/>
        <v>0.159171132948489</v>
      </c>
      <c r="BW30" s="146">
        <f t="shared" si="40"/>
        <v>0.173499468744588</v>
      </c>
      <c r="BX30" s="59"/>
      <c r="BY30" s="59"/>
      <c r="BZ30" s="59"/>
      <c r="CA30" s="59"/>
      <c r="CB30" s="59"/>
      <c r="CC30" s="59"/>
      <c r="CD30" s="146"/>
      <c r="CE30" s="146"/>
      <c r="CF30" s="115"/>
      <c r="CG30" s="13"/>
      <c r="CH30" s="14"/>
      <c r="CI30" s="14"/>
    </row>
    <row r="31" customFormat="1" spans="1:87">
      <c r="A31" s="13"/>
      <c r="B31" s="13">
        <v>2016</v>
      </c>
      <c r="C31" s="107">
        <f>71.95*100000000</f>
        <v>7195000000</v>
      </c>
      <c r="D31" s="107" t="s">
        <v>93</v>
      </c>
      <c r="E31" s="18"/>
      <c r="F31" s="18"/>
      <c r="G31" s="18"/>
      <c r="H31" s="18"/>
      <c r="I31" s="107">
        <v>1026655803.71</v>
      </c>
      <c r="J31" s="59">
        <v>890420754.13</v>
      </c>
      <c r="K31" s="51"/>
      <c r="L31" s="59"/>
      <c r="M31" s="51"/>
      <c r="N31" s="59"/>
      <c r="O31" s="59"/>
      <c r="P31" s="59"/>
      <c r="Q31" s="59"/>
      <c r="R31" s="59"/>
      <c r="S31" s="59"/>
      <c r="T31" s="59"/>
      <c r="U31" s="59"/>
      <c r="V31" s="59"/>
      <c r="W31" s="59">
        <f t="shared" si="30"/>
        <v>0</v>
      </c>
      <c r="X31" s="59"/>
      <c r="Y31" s="59"/>
      <c r="Z31" s="59"/>
      <c r="AA31" s="59"/>
      <c r="AB31" s="59"/>
      <c r="AC31" s="59"/>
      <c r="AD31" s="60"/>
      <c r="AE31" s="60"/>
      <c r="AF31" s="60">
        <v>92047470.8</v>
      </c>
      <c r="AG31" s="60"/>
      <c r="AH31" s="60"/>
      <c r="AI31" s="60">
        <f t="shared" si="31"/>
        <v>92047470.8</v>
      </c>
      <c r="AJ31" s="60">
        <f t="shared" si="32"/>
        <v>0</v>
      </c>
      <c r="AK31" s="51"/>
      <c r="AL31" s="60">
        <f t="shared" si="33"/>
        <v>92047470.8</v>
      </c>
      <c r="AM31" s="51"/>
      <c r="AN31" s="60">
        <f t="shared" si="34"/>
        <v>934608332.91</v>
      </c>
      <c r="AO31" s="60">
        <v>441122863.27</v>
      </c>
      <c r="AP31" s="60">
        <v>351208.05</v>
      </c>
      <c r="AQ31" s="60">
        <v>52537975.61</v>
      </c>
      <c r="AR31" s="51">
        <f t="shared" si="35"/>
        <v>0.528576548629566</v>
      </c>
      <c r="AS31" s="51"/>
      <c r="AT31" s="131"/>
      <c r="AU31" s="133"/>
      <c r="AV31" s="133"/>
      <c r="AW31" s="133"/>
      <c r="AX31" s="133"/>
      <c r="AY31" s="133"/>
      <c r="AZ31" s="133"/>
      <c r="BA31" s="133"/>
      <c r="BB31" s="14"/>
      <c r="BC31" s="14"/>
      <c r="BD31" s="14"/>
      <c r="BE31" s="14"/>
      <c r="BF31" s="14"/>
      <c r="BG31" s="14"/>
      <c r="BH31" s="14"/>
      <c r="BI31" s="14"/>
      <c r="BJ31" s="14"/>
      <c r="BK31" s="87">
        <f t="shared" si="42"/>
        <v>890420754.13</v>
      </c>
      <c r="BL31" s="51"/>
      <c r="BM31" s="60">
        <f t="shared" si="36"/>
        <v>798373283.33</v>
      </c>
      <c r="BN31" s="51"/>
      <c r="BO31" s="60">
        <v>109805144.07</v>
      </c>
      <c r="BP31" s="51">
        <f t="shared" si="43"/>
        <v>0.399912047672062</v>
      </c>
      <c r="BQ31" s="60">
        <v>109805144.07</v>
      </c>
      <c r="BR31" s="60"/>
      <c r="BS31" s="60">
        <v>-744236.12</v>
      </c>
      <c r="BT31" s="59">
        <f t="shared" si="37"/>
        <v>109060907.95</v>
      </c>
      <c r="BU31" s="59">
        <f t="shared" si="38"/>
        <v>109060907.95</v>
      </c>
      <c r="BV31" s="51">
        <f t="shared" si="41"/>
        <v>0.123318266741533</v>
      </c>
      <c r="BW31" s="146">
        <f t="shared" si="40"/>
        <v>0.136603904748802</v>
      </c>
      <c r="BX31" s="59"/>
      <c r="BY31" s="59"/>
      <c r="BZ31" s="59"/>
      <c r="CA31" s="59"/>
      <c r="CB31" s="59"/>
      <c r="CC31" s="59"/>
      <c r="CD31" s="146"/>
      <c r="CE31" s="146"/>
      <c r="CF31" s="115"/>
      <c r="CG31" s="13"/>
      <c r="CH31" s="14"/>
      <c r="CI31" s="14"/>
    </row>
    <row r="32" customFormat="1" spans="1:87">
      <c r="A32" s="13"/>
      <c r="B32" s="13">
        <v>2015</v>
      </c>
      <c r="C32" s="107"/>
      <c r="D32" s="107"/>
      <c r="E32" s="18"/>
      <c r="F32" s="18"/>
      <c r="G32" s="18"/>
      <c r="H32" s="18"/>
      <c r="I32" s="107">
        <v>724122606.18</v>
      </c>
      <c r="J32" s="59">
        <v>467498088.49</v>
      </c>
      <c r="K32" s="51"/>
      <c r="L32" s="59"/>
      <c r="M32" s="51"/>
      <c r="N32" s="59"/>
      <c r="O32" s="59"/>
      <c r="P32" s="59"/>
      <c r="Q32" s="59"/>
      <c r="R32" s="59"/>
      <c r="S32" s="59">
        <v>134500000</v>
      </c>
      <c r="T32" s="59"/>
      <c r="U32" s="59"/>
      <c r="V32" s="59"/>
      <c r="W32" s="59">
        <f t="shared" si="30"/>
        <v>134500000</v>
      </c>
      <c r="X32" s="59"/>
      <c r="Y32" s="59"/>
      <c r="Z32" s="59"/>
      <c r="AA32" s="59"/>
      <c r="AB32" s="59"/>
      <c r="AC32" s="59"/>
      <c r="AD32" s="60"/>
      <c r="AE32" s="60"/>
      <c r="AF32" s="60">
        <v>48418130.2</v>
      </c>
      <c r="AG32" s="60"/>
      <c r="AH32" s="60"/>
      <c r="AI32" s="60">
        <f t="shared" si="31"/>
        <v>48418130.2</v>
      </c>
      <c r="AJ32" s="60">
        <f t="shared" si="32"/>
        <v>0</v>
      </c>
      <c r="AK32" s="51"/>
      <c r="AL32" s="60">
        <f t="shared" si="33"/>
        <v>48418130.2</v>
      </c>
      <c r="AM32" s="51"/>
      <c r="AN32" s="60">
        <f t="shared" si="34"/>
        <v>675704475.98</v>
      </c>
      <c r="AO32" s="60">
        <v>296712047.05</v>
      </c>
      <c r="AP32" s="60">
        <v>100113894.14</v>
      </c>
      <c r="AQ32" s="60">
        <v>45529574.87</v>
      </c>
      <c r="AR32" s="51">
        <f t="shared" si="35"/>
        <v>0.654658259320297</v>
      </c>
      <c r="AS32" s="51"/>
      <c r="AT32" s="131"/>
      <c r="AU32" s="133"/>
      <c r="AV32" s="133"/>
      <c r="AW32" s="133"/>
      <c r="AX32" s="133"/>
      <c r="AY32" s="133"/>
      <c r="AZ32" s="133"/>
      <c r="BA32" s="133"/>
      <c r="BB32" s="14"/>
      <c r="BC32" s="14"/>
      <c r="BD32" s="14"/>
      <c r="BE32" s="14"/>
      <c r="BF32" s="14"/>
      <c r="BG32" s="14"/>
      <c r="BH32" s="14"/>
      <c r="BI32" s="14"/>
      <c r="BJ32" s="14"/>
      <c r="BK32" s="87">
        <f t="shared" si="42"/>
        <v>601998088.49</v>
      </c>
      <c r="BL32" s="51"/>
      <c r="BM32" s="60">
        <f t="shared" si="36"/>
        <v>553579958.29</v>
      </c>
      <c r="BN32" s="51"/>
      <c r="BO32" s="60">
        <v>78437173.43</v>
      </c>
      <c r="BP32" s="51"/>
      <c r="BQ32" s="60">
        <v>78437173.43</v>
      </c>
      <c r="BR32" s="60"/>
      <c r="BS32" s="60">
        <v>7181535.02</v>
      </c>
      <c r="BT32" s="59">
        <f t="shared" si="37"/>
        <v>85618708.45</v>
      </c>
      <c r="BU32" s="59">
        <f t="shared" si="38"/>
        <v>85618708.45</v>
      </c>
      <c r="BV32" s="51">
        <f t="shared" si="41"/>
        <v>0.130294721743627</v>
      </c>
      <c r="BW32" s="146">
        <f t="shared" si="40"/>
        <v>0.15466367083533</v>
      </c>
      <c r="BX32" s="59"/>
      <c r="BY32" s="59"/>
      <c r="BZ32" s="59"/>
      <c r="CA32" s="59"/>
      <c r="CB32" s="59"/>
      <c r="CC32" s="59"/>
      <c r="CD32" s="146"/>
      <c r="CE32" s="146"/>
      <c r="CF32" s="115"/>
      <c r="CG32" s="13"/>
      <c r="CH32" s="14"/>
      <c r="CI32" s="14"/>
    </row>
    <row r="33" customFormat="1" spans="1:87">
      <c r="A33" s="13"/>
      <c r="B33" s="13">
        <v>2014</v>
      </c>
      <c r="C33" s="107"/>
      <c r="D33" s="107"/>
      <c r="E33" s="18"/>
      <c r="F33" s="18"/>
      <c r="G33" s="18"/>
      <c r="H33" s="18"/>
      <c r="I33" s="107"/>
      <c r="J33" s="59"/>
      <c r="K33" s="51"/>
      <c r="L33" s="59"/>
      <c r="M33" s="51"/>
      <c r="N33" s="59"/>
      <c r="O33" s="59"/>
      <c r="P33" s="59"/>
      <c r="Q33" s="59"/>
      <c r="R33" s="59"/>
      <c r="S33" s="59"/>
      <c r="T33" s="59"/>
      <c r="U33" s="59"/>
      <c r="V33" s="59"/>
      <c r="W33" s="59">
        <f t="shared" si="30"/>
        <v>0</v>
      </c>
      <c r="X33" s="59"/>
      <c r="Y33" s="59"/>
      <c r="Z33" s="59"/>
      <c r="AA33" s="59"/>
      <c r="AB33" s="59"/>
      <c r="AC33" s="59"/>
      <c r="AD33" s="60"/>
      <c r="AE33" s="60"/>
      <c r="AF33" s="60"/>
      <c r="AG33" s="60"/>
      <c r="AH33" s="60"/>
      <c r="AI33" s="60">
        <f t="shared" si="31"/>
        <v>0</v>
      </c>
      <c r="AJ33" s="60">
        <f t="shared" si="32"/>
        <v>0</v>
      </c>
      <c r="AK33" s="51"/>
      <c r="AL33" s="60">
        <f t="shared" si="33"/>
        <v>0</v>
      </c>
      <c r="AM33" s="51"/>
      <c r="AN33" s="60">
        <f t="shared" si="34"/>
        <v>0</v>
      </c>
      <c r="AO33" s="60"/>
      <c r="AP33" s="60"/>
      <c r="AQ33" s="60"/>
      <c r="AR33" s="51" t="e">
        <f t="shared" si="35"/>
        <v>#DIV/0!</v>
      </c>
      <c r="AS33" s="51"/>
      <c r="AT33" s="131"/>
      <c r="AU33" s="133"/>
      <c r="AV33" s="133"/>
      <c r="AW33" s="133"/>
      <c r="AX33" s="133"/>
      <c r="AY33" s="133"/>
      <c r="AZ33" s="133"/>
      <c r="BA33" s="133"/>
      <c r="BB33" s="14"/>
      <c r="BC33" s="14"/>
      <c r="BD33" s="14"/>
      <c r="BE33" s="14"/>
      <c r="BF33" s="14"/>
      <c r="BG33" s="14"/>
      <c r="BH33" s="14"/>
      <c r="BI33" s="14"/>
      <c r="BJ33" s="14"/>
      <c r="BK33" s="87">
        <f t="shared" si="42"/>
        <v>0</v>
      </c>
      <c r="BL33" s="51"/>
      <c r="BM33" s="60">
        <f t="shared" si="36"/>
        <v>0</v>
      </c>
      <c r="BN33" s="51"/>
      <c r="BO33" s="60"/>
      <c r="BP33" s="51"/>
      <c r="BQ33" s="60"/>
      <c r="BR33" s="60"/>
      <c r="BS33" s="60"/>
      <c r="BT33" s="59">
        <f t="shared" si="37"/>
        <v>0</v>
      </c>
      <c r="BU33" s="59">
        <f t="shared" si="38"/>
        <v>0</v>
      </c>
      <c r="BV33" s="51" t="e">
        <f t="shared" si="41"/>
        <v>#DIV/0!</v>
      </c>
      <c r="BW33" s="146" t="e">
        <f t="shared" si="40"/>
        <v>#DIV/0!</v>
      </c>
      <c r="BX33" s="59"/>
      <c r="BY33" s="59"/>
      <c r="BZ33" s="59"/>
      <c r="CA33" s="59"/>
      <c r="CB33" s="59"/>
      <c r="CC33" s="59"/>
      <c r="CD33" s="146"/>
      <c r="CE33" s="146"/>
      <c r="CF33" s="115"/>
      <c r="CG33" s="13"/>
      <c r="CH33" s="14"/>
      <c r="CI33" s="14"/>
    </row>
    <row r="34" customFormat="1" spans="1:87">
      <c r="A34" s="13"/>
      <c r="B34" s="13">
        <v>2013</v>
      </c>
      <c r="C34" s="107"/>
      <c r="D34" s="18"/>
      <c r="E34" s="18"/>
      <c r="F34" s="18"/>
      <c r="G34" s="18"/>
      <c r="H34" s="18"/>
      <c r="I34" s="107"/>
      <c r="J34" s="59"/>
      <c r="K34" s="51"/>
      <c r="L34" s="59"/>
      <c r="M34" s="51"/>
      <c r="N34" s="59"/>
      <c r="O34" s="59"/>
      <c r="P34" s="59"/>
      <c r="Q34" s="59"/>
      <c r="R34" s="59"/>
      <c r="S34" s="59"/>
      <c r="T34" s="59"/>
      <c r="U34" s="59"/>
      <c r="V34" s="59"/>
      <c r="W34" s="59">
        <f t="shared" si="30"/>
        <v>0</v>
      </c>
      <c r="X34" s="59"/>
      <c r="Y34" s="59"/>
      <c r="Z34" s="59"/>
      <c r="AA34" s="59"/>
      <c r="AB34" s="59"/>
      <c r="AC34" s="59"/>
      <c r="AD34" s="60"/>
      <c r="AE34" s="60"/>
      <c r="AF34" s="60"/>
      <c r="AG34" s="60"/>
      <c r="AH34" s="60"/>
      <c r="AI34" s="60">
        <f t="shared" si="31"/>
        <v>0</v>
      </c>
      <c r="AJ34" s="60">
        <f t="shared" si="32"/>
        <v>0</v>
      </c>
      <c r="AK34" s="51"/>
      <c r="AL34" s="60">
        <f t="shared" si="33"/>
        <v>0</v>
      </c>
      <c r="AM34" s="51"/>
      <c r="AN34" s="60">
        <f t="shared" si="34"/>
        <v>0</v>
      </c>
      <c r="AO34" s="60"/>
      <c r="AP34" s="60"/>
      <c r="AQ34" s="60"/>
      <c r="AR34" s="51" t="e">
        <f t="shared" si="35"/>
        <v>#DIV/0!</v>
      </c>
      <c r="AS34" s="51"/>
      <c r="AT34" s="131"/>
      <c r="AU34" s="133"/>
      <c r="AV34" s="133"/>
      <c r="AW34" s="133"/>
      <c r="AX34" s="133"/>
      <c r="AY34" s="133"/>
      <c r="AZ34" s="133"/>
      <c r="BA34" s="133"/>
      <c r="BB34" s="14"/>
      <c r="BC34" s="14"/>
      <c r="BD34" s="14"/>
      <c r="BE34" s="14"/>
      <c r="BF34" s="14"/>
      <c r="BG34" s="14"/>
      <c r="BH34" s="14"/>
      <c r="BI34" s="14"/>
      <c r="BJ34" s="14"/>
      <c r="BK34" s="87">
        <f t="shared" si="42"/>
        <v>0</v>
      </c>
      <c r="BL34" s="51"/>
      <c r="BM34" s="60">
        <f t="shared" si="36"/>
        <v>0</v>
      </c>
      <c r="BN34" s="51"/>
      <c r="BO34" s="60"/>
      <c r="BP34" s="51"/>
      <c r="BQ34" s="60"/>
      <c r="BR34" s="60"/>
      <c r="BS34" s="60"/>
      <c r="BT34" s="59">
        <f t="shared" si="37"/>
        <v>0</v>
      </c>
      <c r="BU34" s="59">
        <f t="shared" si="38"/>
        <v>0</v>
      </c>
      <c r="BV34" s="51" t="e">
        <f t="shared" si="41"/>
        <v>#DIV/0!</v>
      </c>
      <c r="BW34" s="146" t="e">
        <f t="shared" si="40"/>
        <v>#DIV/0!</v>
      </c>
      <c r="BX34" s="59"/>
      <c r="BY34" s="59"/>
      <c r="BZ34" s="59"/>
      <c r="CA34" s="59"/>
      <c r="CB34" s="59"/>
      <c r="CC34" s="59"/>
      <c r="CD34" s="146"/>
      <c r="CE34" s="146"/>
      <c r="CF34" s="115"/>
      <c r="CG34" s="13"/>
      <c r="CH34" s="14"/>
      <c r="CI34" s="14"/>
    </row>
    <row r="35" customFormat="1" spans="1:87">
      <c r="A35" s="13"/>
      <c r="B35" s="13">
        <v>2012</v>
      </c>
      <c r="C35" s="107"/>
      <c r="D35" s="18"/>
      <c r="E35" s="18"/>
      <c r="F35" s="18"/>
      <c r="G35" s="18"/>
      <c r="H35" s="18"/>
      <c r="I35" s="107"/>
      <c r="J35" s="59"/>
      <c r="K35" s="51"/>
      <c r="L35" s="59"/>
      <c r="M35" s="51"/>
      <c r="N35" s="59"/>
      <c r="O35" s="59"/>
      <c r="P35" s="59"/>
      <c r="Q35" s="59"/>
      <c r="R35" s="59"/>
      <c r="S35" s="59"/>
      <c r="T35" s="59"/>
      <c r="U35" s="59"/>
      <c r="V35" s="59"/>
      <c r="W35" s="59">
        <f t="shared" si="30"/>
        <v>0</v>
      </c>
      <c r="X35" s="59"/>
      <c r="Y35" s="59"/>
      <c r="Z35" s="59"/>
      <c r="AA35" s="59"/>
      <c r="AB35" s="59"/>
      <c r="AC35" s="59"/>
      <c r="AD35" s="60"/>
      <c r="AE35" s="60"/>
      <c r="AF35" s="60"/>
      <c r="AG35" s="60"/>
      <c r="AH35" s="60"/>
      <c r="AI35" s="60">
        <f t="shared" si="31"/>
        <v>0</v>
      </c>
      <c r="AJ35" s="60">
        <f t="shared" si="32"/>
        <v>0</v>
      </c>
      <c r="AK35" s="51"/>
      <c r="AL35" s="60">
        <f t="shared" si="33"/>
        <v>0</v>
      </c>
      <c r="AM35" s="51"/>
      <c r="AN35" s="60">
        <f t="shared" si="34"/>
        <v>0</v>
      </c>
      <c r="AO35" s="60"/>
      <c r="AP35" s="60"/>
      <c r="AQ35" s="60"/>
      <c r="AR35" s="51" t="e">
        <f t="shared" si="35"/>
        <v>#DIV/0!</v>
      </c>
      <c r="AS35" s="51"/>
      <c r="AT35" s="131"/>
      <c r="AU35" s="133"/>
      <c r="AV35" s="133"/>
      <c r="AW35" s="133"/>
      <c r="AX35" s="133"/>
      <c r="AY35" s="133"/>
      <c r="AZ35" s="133"/>
      <c r="BA35" s="133"/>
      <c r="BB35" s="14"/>
      <c r="BC35" s="14"/>
      <c r="BD35" s="14"/>
      <c r="BE35" s="14"/>
      <c r="BF35" s="14"/>
      <c r="BG35" s="14"/>
      <c r="BH35" s="14"/>
      <c r="BI35" s="14"/>
      <c r="BJ35" s="14"/>
      <c r="BK35" s="87">
        <f t="shared" si="42"/>
        <v>0</v>
      </c>
      <c r="BL35" s="51"/>
      <c r="BM35" s="60">
        <f t="shared" si="36"/>
        <v>0</v>
      </c>
      <c r="BN35" s="51"/>
      <c r="BO35" s="60"/>
      <c r="BP35" s="51"/>
      <c r="BQ35" s="60"/>
      <c r="BR35" s="60"/>
      <c r="BS35" s="60"/>
      <c r="BT35" s="59">
        <f t="shared" si="37"/>
        <v>0</v>
      </c>
      <c r="BU35" s="59">
        <f t="shared" si="38"/>
        <v>0</v>
      </c>
      <c r="BV35" s="51" t="e">
        <f t="shared" si="41"/>
        <v>#DIV/0!</v>
      </c>
      <c r="BW35" s="146" t="e">
        <f t="shared" si="40"/>
        <v>#DIV/0!</v>
      </c>
      <c r="BX35" s="59"/>
      <c r="BY35" s="59"/>
      <c r="BZ35" s="59"/>
      <c r="CA35" s="59"/>
      <c r="CB35" s="59"/>
      <c r="CC35" s="59"/>
      <c r="CD35" s="146"/>
      <c r="CE35" s="146"/>
      <c r="CF35" s="115"/>
      <c r="CG35" s="13"/>
      <c r="CH35" s="14"/>
      <c r="CI35" s="14"/>
    </row>
    <row r="36" customFormat="1" spans="1:87">
      <c r="A36" s="13" t="s">
        <v>99</v>
      </c>
      <c r="B36" s="13">
        <v>2022</v>
      </c>
      <c r="C36" s="108">
        <f>209.69*100000000</f>
        <v>20969000000</v>
      </c>
      <c r="D36" s="107" t="s">
        <v>86</v>
      </c>
      <c r="E36" s="18"/>
      <c r="F36" s="18"/>
      <c r="G36" s="18"/>
      <c r="H36" s="18"/>
      <c r="I36" s="107">
        <v>4821728151.31</v>
      </c>
      <c r="J36" s="59">
        <v>4024801422.74</v>
      </c>
      <c r="K36" s="51"/>
      <c r="L36" s="59">
        <v>4020108495.73</v>
      </c>
      <c r="M36" s="51">
        <f t="shared" ref="M36:M46" si="44">L36/J36</f>
        <v>0.998833997875402</v>
      </c>
      <c r="N36" s="59"/>
      <c r="O36" s="59"/>
      <c r="P36" s="59"/>
      <c r="Q36" s="59"/>
      <c r="R36" s="59"/>
      <c r="S36" s="59"/>
      <c r="T36" s="59"/>
      <c r="U36" s="59"/>
      <c r="V36" s="59"/>
      <c r="W36" s="59">
        <f t="shared" si="30"/>
        <v>0</v>
      </c>
      <c r="X36" s="59"/>
      <c r="Y36" s="59"/>
      <c r="Z36" s="59"/>
      <c r="AA36" s="59"/>
      <c r="AB36" s="59">
        <v>397953829.27</v>
      </c>
      <c r="AC36" s="59">
        <v>100016388.43</v>
      </c>
      <c r="AD36" s="60"/>
      <c r="AE36" s="60"/>
      <c r="AF36" s="60">
        <v>449537465.83</v>
      </c>
      <c r="AG36" s="60"/>
      <c r="AH36" s="60">
        <v>2500000000</v>
      </c>
      <c r="AI36" s="60">
        <f t="shared" si="31"/>
        <v>3447507683.53</v>
      </c>
      <c r="AJ36" s="60">
        <f t="shared" si="32"/>
        <v>497970217.7</v>
      </c>
      <c r="AK36" s="51"/>
      <c r="AL36" s="60">
        <f t="shared" si="33"/>
        <v>2949537465.83</v>
      </c>
      <c r="AM36" s="51"/>
      <c r="AN36" s="60">
        <f t="shared" si="34"/>
        <v>1374220467.78</v>
      </c>
      <c r="AO36" s="60">
        <v>727027170.02</v>
      </c>
      <c r="AP36" s="60">
        <v>287525786.58</v>
      </c>
      <c r="AQ36" s="60">
        <v>45828226.9</v>
      </c>
      <c r="AR36" s="51">
        <f t="shared" si="35"/>
        <v>0.771623773886154</v>
      </c>
      <c r="AS36" s="51"/>
      <c r="AT36" s="131"/>
      <c r="AU36" s="133"/>
      <c r="AV36" s="133"/>
      <c r="AW36" s="133"/>
      <c r="AX36" s="133"/>
      <c r="AY36" s="133"/>
      <c r="AZ36" s="133"/>
      <c r="BA36" s="133"/>
      <c r="BB36" s="14"/>
      <c r="BC36" s="14"/>
      <c r="BD36" s="14"/>
      <c r="BE36" s="14"/>
      <c r="BF36" s="14"/>
      <c r="BG36" s="14"/>
      <c r="BH36" s="14"/>
      <c r="BI36" s="14"/>
      <c r="BJ36" s="14"/>
      <c r="BK36" s="87">
        <f t="shared" si="42"/>
        <v>4024801422.74</v>
      </c>
      <c r="BL36" s="51"/>
      <c r="BM36" s="60">
        <f t="shared" si="36"/>
        <v>577293739.21</v>
      </c>
      <c r="BN36" s="51"/>
      <c r="BO36" s="60">
        <v>405819152.23</v>
      </c>
      <c r="BP36" s="51">
        <f t="shared" ref="BP36:BP41" si="45">(BO36-BO37)/BO37</f>
        <v>1.14663861623975</v>
      </c>
      <c r="BQ36" s="60">
        <v>403799001.87</v>
      </c>
      <c r="BR36" s="60"/>
      <c r="BS36" s="60">
        <v>-18204490.44</v>
      </c>
      <c r="BT36" s="59">
        <f t="shared" si="37"/>
        <v>385594511.43</v>
      </c>
      <c r="BU36" s="59">
        <f t="shared" si="38"/>
        <v>387614661.79</v>
      </c>
      <c r="BV36" s="51">
        <f t="shared" si="41"/>
        <v>0.100327683146937</v>
      </c>
      <c r="BW36" s="146">
        <f t="shared" si="40"/>
        <v>0.671434029962689</v>
      </c>
      <c r="BX36" s="59"/>
      <c r="BY36" s="59"/>
      <c r="BZ36" s="59"/>
      <c r="CA36" s="59"/>
      <c r="CB36" s="59"/>
      <c r="CC36" s="59"/>
      <c r="CD36" s="146"/>
      <c r="CE36" s="146"/>
      <c r="CF36" s="115"/>
      <c r="CG36" s="13"/>
      <c r="CH36" s="14"/>
      <c r="CI36" s="14"/>
    </row>
    <row r="37" customFormat="1" spans="1:87">
      <c r="A37" s="13"/>
      <c r="B37" s="13">
        <v>2021</v>
      </c>
      <c r="C37" s="109">
        <f>202.2*100000000</f>
        <v>20220000000</v>
      </c>
      <c r="D37" s="107" t="s">
        <v>88</v>
      </c>
      <c r="E37" s="18"/>
      <c r="F37" s="18"/>
      <c r="G37" s="18"/>
      <c r="H37" s="18"/>
      <c r="I37" s="107">
        <v>4230481534.85</v>
      </c>
      <c r="J37" s="59">
        <v>3804077971.37</v>
      </c>
      <c r="K37" s="51"/>
      <c r="L37" s="59">
        <v>3804291456.8</v>
      </c>
      <c r="M37" s="51">
        <f t="shared" si="44"/>
        <v>1.00005612015096</v>
      </c>
      <c r="N37" s="59"/>
      <c r="O37" s="59"/>
      <c r="P37" s="59"/>
      <c r="Q37" s="59"/>
      <c r="R37" s="59"/>
      <c r="S37" s="59"/>
      <c r="T37" s="59"/>
      <c r="U37" s="59"/>
      <c r="V37" s="59"/>
      <c r="W37" s="59">
        <f t="shared" si="30"/>
        <v>0</v>
      </c>
      <c r="X37" s="59"/>
      <c r="Y37" s="59"/>
      <c r="Z37" s="59"/>
      <c r="AA37" s="59"/>
      <c r="AB37" s="59">
        <v>182035039.03</v>
      </c>
      <c r="AC37" s="59">
        <v>1492.54</v>
      </c>
      <c r="AD37" s="60"/>
      <c r="AE37" s="60"/>
      <c r="AF37" s="60">
        <v>1344703430.4</v>
      </c>
      <c r="AG37" s="60"/>
      <c r="AH37" s="60">
        <v>1600000000</v>
      </c>
      <c r="AI37" s="60">
        <f t="shared" si="31"/>
        <v>3126739961.97</v>
      </c>
      <c r="AJ37" s="60">
        <f t="shared" si="32"/>
        <v>182036531.57</v>
      </c>
      <c r="AK37" s="51"/>
      <c r="AL37" s="60">
        <f t="shared" si="33"/>
        <v>2944703430.4</v>
      </c>
      <c r="AM37" s="51"/>
      <c r="AN37" s="60">
        <f t="shared" si="34"/>
        <v>1103741572.88</v>
      </c>
      <c r="AO37" s="60">
        <v>442833056.84</v>
      </c>
      <c r="AP37" s="60">
        <v>268340570.54</v>
      </c>
      <c r="AQ37" s="60">
        <v>44958296.82</v>
      </c>
      <c r="AR37" s="51">
        <f t="shared" si="35"/>
        <v>0.685062466413239</v>
      </c>
      <c r="AS37" s="51"/>
      <c r="AT37" s="131"/>
      <c r="AU37" s="133"/>
      <c r="AV37" s="133"/>
      <c r="AW37" s="133"/>
      <c r="AX37" s="133"/>
      <c r="AY37" s="133"/>
      <c r="AZ37" s="133"/>
      <c r="BA37" s="133"/>
      <c r="BB37" s="14"/>
      <c r="BC37" s="14"/>
      <c r="BD37" s="14"/>
      <c r="BE37" s="14"/>
      <c r="BF37" s="14"/>
      <c r="BG37" s="14"/>
      <c r="BH37" s="14"/>
      <c r="BI37" s="14"/>
      <c r="BJ37" s="14"/>
      <c r="BK37" s="87">
        <f t="shared" si="42"/>
        <v>3804077971.37</v>
      </c>
      <c r="BL37" s="51"/>
      <c r="BM37" s="60">
        <f t="shared" si="36"/>
        <v>677338009.4</v>
      </c>
      <c r="BN37" s="51"/>
      <c r="BO37" s="60">
        <v>189048659.22</v>
      </c>
      <c r="BP37" s="51">
        <f t="shared" si="45"/>
        <v>-0.535422513007205</v>
      </c>
      <c r="BQ37" s="60">
        <v>216128285.6</v>
      </c>
      <c r="BR37" s="60"/>
      <c r="BS37" s="60">
        <v>-34723295.56</v>
      </c>
      <c r="BT37" s="59">
        <f t="shared" si="37"/>
        <v>181404990.04</v>
      </c>
      <c r="BU37" s="59">
        <f t="shared" si="38"/>
        <v>154325363.66</v>
      </c>
      <c r="BV37" s="51">
        <f t="shared" si="41"/>
        <v>0.056814893707913</v>
      </c>
      <c r="BW37" s="146">
        <f t="shared" si="40"/>
        <v>0.227840991526084</v>
      </c>
      <c r="BX37" s="59"/>
      <c r="BY37" s="59"/>
      <c r="BZ37" s="59"/>
      <c r="CA37" s="59"/>
      <c r="CB37" s="59"/>
      <c r="CC37" s="59"/>
      <c r="CD37" s="146"/>
      <c r="CE37" s="146"/>
      <c r="CF37" s="115"/>
      <c r="CG37" s="13"/>
      <c r="CH37" s="14"/>
      <c r="CI37" s="14"/>
    </row>
    <row r="38" customFormat="1" spans="1:87">
      <c r="A38" s="13"/>
      <c r="B38" s="13">
        <v>2020</v>
      </c>
      <c r="C38" s="109">
        <f>518.48*100000000</f>
        <v>51848000000</v>
      </c>
      <c r="D38" s="107" t="s">
        <v>89</v>
      </c>
      <c r="E38" s="18"/>
      <c r="F38" s="18"/>
      <c r="G38" s="18"/>
      <c r="H38" s="18"/>
      <c r="I38" s="107">
        <v>4289984896.09</v>
      </c>
      <c r="J38" s="59">
        <v>3729658162.74</v>
      </c>
      <c r="K38" s="51"/>
      <c r="L38" s="59">
        <v>3729658162.74</v>
      </c>
      <c r="M38" s="51">
        <f t="shared" si="44"/>
        <v>1</v>
      </c>
      <c r="N38" s="59"/>
      <c r="O38" s="59"/>
      <c r="P38" s="59"/>
      <c r="Q38" s="59"/>
      <c r="R38" s="59"/>
      <c r="S38" s="59"/>
      <c r="T38" s="59"/>
      <c r="U38" s="59"/>
      <c r="V38" s="59"/>
      <c r="W38" s="59">
        <f t="shared" si="30"/>
        <v>0</v>
      </c>
      <c r="X38" s="59"/>
      <c r="Y38" s="59"/>
      <c r="Z38" s="59"/>
      <c r="AA38" s="59"/>
      <c r="AB38" s="59"/>
      <c r="AC38" s="59"/>
      <c r="AD38" s="60"/>
      <c r="AE38" s="60"/>
      <c r="AF38" s="60">
        <v>2728845771.53</v>
      </c>
      <c r="AG38" s="60"/>
      <c r="AH38" s="60">
        <v>650000000</v>
      </c>
      <c r="AI38" s="60">
        <f t="shared" si="31"/>
        <v>3378845771.53</v>
      </c>
      <c r="AJ38" s="60">
        <f t="shared" si="32"/>
        <v>0</v>
      </c>
      <c r="AK38" s="51"/>
      <c r="AL38" s="60">
        <f t="shared" si="33"/>
        <v>3378845771.53</v>
      </c>
      <c r="AM38" s="51"/>
      <c r="AN38" s="60">
        <f t="shared" si="34"/>
        <v>911139124.56</v>
      </c>
      <c r="AO38" s="60">
        <v>432123417.35</v>
      </c>
      <c r="AP38" s="60">
        <v>75890363.53</v>
      </c>
      <c r="AQ38" s="60">
        <v>44707222.63</v>
      </c>
      <c r="AR38" s="51">
        <f t="shared" si="35"/>
        <v>0.606626352234535</v>
      </c>
      <c r="AS38" s="51"/>
      <c r="AT38" s="131"/>
      <c r="AU38" s="133"/>
      <c r="AV38" s="133"/>
      <c r="AW38" s="133"/>
      <c r="AX38" s="133"/>
      <c r="AY38" s="133"/>
      <c r="AZ38" s="133"/>
      <c r="BA38" s="133"/>
      <c r="BB38" s="14"/>
      <c r="BC38" s="14"/>
      <c r="BD38" s="14"/>
      <c r="BE38" s="14"/>
      <c r="BF38" s="14"/>
      <c r="BG38" s="14"/>
      <c r="BH38" s="14"/>
      <c r="BI38" s="14"/>
      <c r="BJ38" s="14"/>
      <c r="BK38" s="87">
        <f t="shared" si="42"/>
        <v>3729658162.74</v>
      </c>
      <c r="BL38" s="51"/>
      <c r="BM38" s="60">
        <f t="shared" si="36"/>
        <v>350812391.21</v>
      </c>
      <c r="BN38" s="51"/>
      <c r="BO38" s="60">
        <v>406926001.61</v>
      </c>
      <c r="BP38" s="51">
        <f t="shared" si="45"/>
        <v>0.219366471762599</v>
      </c>
      <c r="BQ38" s="60">
        <v>428054028.52</v>
      </c>
      <c r="BR38" s="60"/>
      <c r="BS38" s="60">
        <v>-15207763.94</v>
      </c>
      <c r="BT38" s="59">
        <f t="shared" si="37"/>
        <v>412846264.58</v>
      </c>
      <c r="BU38" s="59">
        <f t="shared" si="38"/>
        <v>391718237.67</v>
      </c>
      <c r="BV38" s="51">
        <f t="shared" si="41"/>
        <v>0.114770311337468</v>
      </c>
      <c r="BW38" s="146">
        <f t="shared" si="40"/>
        <v>1.1166031972785</v>
      </c>
      <c r="BX38" s="59"/>
      <c r="BY38" s="59"/>
      <c r="BZ38" s="59"/>
      <c r="CA38" s="59"/>
      <c r="CB38" s="59"/>
      <c r="CC38" s="59"/>
      <c r="CD38" s="146"/>
      <c r="CE38" s="146"/>
      <c r="CF38" s="115"/>
      <c r="CG38" s="13"/>
      <c r="CH38" s="14"/>
      <c r="CI38" s="14"/>
    </row>
    <row r="39" customFormat="1" spans="1:87">
      <c r="A39" s="13"/>
      <c r="B39" s="13">
        <v>2019</v>
      </c>
      <c r="C39" s="109">
        <f>185.51*100000000</f>
        <v>18551000000</v>
      </c>
      <c r="D39" s="107" t="s">
        <v>90</v>
      </c>
      <c r="E39" s="18"/>
      <c r="F39" s="18"/>
      <c r="G39" s="18"/>
      <c r="H39" s="18"/>
      <c r="I39" s="107">
        <v>2142313400.4</v>
      </c>
      <c r="J39" s="59">
        <v>1841916395.05</v>
      </c>
      <c r="K39" s="51"/>
      <c r="L39" s="59">
        <v>1841916395.05</v>
      </c>
      <c r="M39" s="51">
        <f t="shared" si="44"/>
        <v>1</v>
      </c>
      <c r="N39" s="59"/>
      <c r="O39" s="59"/>
      <c r="P39" s="59"/>
      <c r="Q39" s="59"/>
      <c r="R39" s="59">
        <v>1500000</v>
      </c>
      <c r="S39" s="59"/>
      <c r="T39" s="59"/>
      <c r="U39" s="59"/>
      <c r="V39" s="59"/>
      <c r="W39" s="59">
        <f t="shared" si="30"/>
        <v>1500000</v>
      </c>
      <c r="X39" s="59"/>
      <c r="Y39" s="59"/>
      <c r="Z39" s="59"/>
      <c r="AA39" s="59"/>
      <c r="AB39" s="59"/>
      <c r="AC39" s="59"/>
      <c r="AD39" s="60"/>
      <c r="AE39" s="60"/>
      <c r="AF39" s="60">
        <v>676296162.79</v>
      </c>
      <c r="AG39" s="60"/>
      <c r="AH39" s="60">
        <v>940000000</v>
      </c>
      <c r="AI39" s="60">
        <f t="shared" si="31"/>
        <v>1616296162.79</v>
      </c>
      <c r="AJ39" s="60">
        <f t="shared" si="32"/>
        <v>0</v>
      </c>
      <c r="AK39" s="51"/>
      <c r="AL39" s="60">
        <f t="shared" si="33"/>
        <v>1616296162.79</v>
      </c>
      <c r="AM39" s="51"/>
      <c r="AN39" s="60">
        <f t="shared" si="34"/>
        <v>526017237.61</v>
      </c>
      <c r="AO39" s="60">
        <v>361890082.05</v>
      </c>
      <c r="AP39" s="60"/>
      <c r="AQ39" s="60">
        <v>34248482.92</v>
      </c>
      <c r="AR39" s="51">
        <f t="shared" si="35"/>
        <v>0.753090462909326</v>
      </c>
      <c r="AS39" s="51"/>
      <c r="AT39" s="131"/>
      <c r="AU39" s="133"/>
      <c r="AV39" s="133"/>
      <c r="AW39" s="133"/>
      <c r="AX39" s="133"/>
      <c r="AY39" s="133"/>
      <c r="AZ39" s="133"/>
      <c r="BA39" s="133"/>
      <c r="BB39" s="14"/>
      <c r="BC39" s="14"/>
      <c r="BD39" s="14"/>
      <c r="BE39" s="14"/>
      <c r="BF39" s="14"/>
      <c r="BG39" s="14"/>
      <c r="BH39" s="14"/>
      <c r="BI39" s="14"/>
      <c r="BJ39" s="14"/>
      <c r="BK39" s="87">
        <f t="shared" si="42"/>
        <v>1843416395.05</v>
      </c>
      <c r="BL39" s="51"/>
      <c r="BM39" s="60">
        <f t="shared" si="36"/>
        <v>227120232.26</v>
      </c>
      <c r="BN39" s="51"/>
      <c r="BO39" s="60">
        <v>333719198.48</v>
      </c>
      <c r="BP39" s="51">
        <f t="shared" si="45"/>
        <v>0.113954011194644</v>
      </c>
      <c r="BQ39" s="60">
        <v>346426076.51</v>
      </c>
      <c r="BR39" s="60"/>
      <c r="BS39" s="60">
        <v>-4547297.69</v>
      </c>
      <c r="BT39" s="59">
        <f t="shared" si="37"/>
        <v>341878778.82</v>
      </c>
      <c r="BU39" s="59">
        <f t="shared" si="38"/>
        <v>329171900.79</v>
      </c>
      <c r="BV39" s="51">
        <f t="shared" si="41"/>
        <v>0.187926112320707</v>
      </c>
      <c r="BW39" s="146">
        <f t="shared" si="40"/>
        <v>1.44932883131774</v>
      </c>
      <c r="BX39" s="59"/>
      <c r="BY39" s="59"/>
      <c r="BZ39" s="59"/>
      <c r="CA39" s="59"/>
      <c r="CB39" s="59"/>
      <c r="CC39" s="59"/>
      <c r="CD39" s="146"/>
      <c r="CE39" s="146"/>
      <c r="CF39" s="115"/>
      <c r="CG39" s="13"/>
      <c r="CH39" s="14"/>
      <c r="CI39" s="14"/>
    </row>
    <row r="40" customFormat="1" spans="1:87">
      <c r="A40" s="13"/>
      <c r="B40" s="13">
        <v>2018</v>
      </c>
      <c r="C40" s="107"/>
      <c r="D40" s="107" t="s">
        <v>91</v>
      </c>
      <c r="E40" s="18"/>
      <c r="F40" s="18"/>
      <c r="G40" s="18"/>
      <c r="H40" s="18"/>
      <c r="I40" s="107">
        <v>1386819709.64</v>
      </c>
      <c r="J40" s="59">
        <v>1138264322.8</v>
      </c>
      <c r="K40" s="51"/>
      <c r="L40" s="59">
        <v>1138264322.8</v>
      </c>
      <c r="M40" s="51">
        <f t="shared" si="44"/>
        <v>1</v>
      </c>
      <c r="N40" s="59"/>
      <c r="O40" s="59"/>
      <c r="P40" s="59"/>
      <c r="Q40" s="59"/>
      <c r="R40" s="59">
        <v>1250000</v>
      </c>
      <c r="S40" s="59"/>
      <c r="T40" s="59"/>
      <c r="U40" s="59"/>
      <c r="V40" s="59"/>
      <c r="W40" s="59">
        <f t="shared" si="30"/>
        <v>1250000</v>
      </c>
      <c r="X40" s="59"/>
      <c r="Y40" s="59"/>
      <c r="Z40" s="59"/>
      <c r="AA40" s="59"/>
      <c r="AB40" s="59"/>
      <c r="AC40" s="59"/>
      <c r="AD40" s="60"/>
      <c r="AE40" s="60"/>
      <c r="AF40" s="60">
        <v>354894241.72</v>
      </c>
      <c r="AG40" s="60"/>
      <c r="AH40" s="60"/>
      <c r="AI40" s="60">
        <f t="shared" si="31"/>
        <v>354894241.72</v>
      </c>
      <c r="AJ40" s="60">
        <f t="shared" si="32"/>
        <v>0</v>
      </c>
      <c r="AK40" s="51"/>
      <c r="AL40" s="60">
        <f t="shared" si="33"/>
        <v>354894241.72</v>
      </c>
      <c r="AM40" s="51"/>
      <c r="AN40" s="60">
        <f t="shared" si="34"/>
        <v>1031925467.92</v>
      </c>
      <c r="AO40" s="60">
        <v>347270926.98</v>
      </c>
      <c r="AP40" s="60"/>
      <c r="AQ40" s="60">
        <v>34876914.15</v>
      </c>
      <c r="AR40" s="51">
        <f t="shared" si="35"/>
        <v>0.370325040916255</v>
      </c>
      <c r="AS40" s="51"/>
      <c r="AT40" s="131"/>
      <c r="AU40" s="133"/>
      <c r="AV40" s="133"/>
      <c r="AW40" s="133"/>
      <c r="AX40" s="133"/>
      <c r="AY40" s="133"/>
      <c r="AZ40" s="133"/>
      <c r="BA40" s="133"/>
      <c r="BB40" s="14"/>
      <c r="BC40" s="14"/>
      <c r="BD40" s="14"/>
      <c r="BE40" s="14"/>
      <c r="BF40" s="14"/>
      <c r="BG40" s="14"/>
      <c r="BH40" s="14"/>
      <c r="BI40" s="14"/>
      <c r="BJ40" s="14"/>
      <c r="BK40" s="87">
        <f t="shared" si="42"/>
        <v>1139514322.8</v>
      </c>
      <c r="BL40" s="51"/>
      <c r="BM40" s="60">
        <f t="shared" si="36"/>
        <v>784620081.08</v>
      </c>
      <c r="BN40" s="51"/>
      <c r="BO40" s="60">
        <v>299580768.26</v>
      </c>
      <c r="BP40" s="51">
        <f t="shared" si="45"/>
        <v>0.478886610771441</v>
      </c>
      <c r="BQ40" s="60">
        <v>310714328.49</v>
      </c>
      <c r="BR40" s="60"/>
      <c r="BS40" s="60">
        <v>-1795071.34</v>
      </c>
      <c r="BT40" s="59">
        <f t="shared" si="37"/>
        <v>308919257.15</v>
      </c>
      <c r="BU40" s="59">
        <f t="shared" si="38"/>
        <v>297785696.92</v>
      </c>
      <c r="BV40" s="51">
        <f t="shared" si="41"/>
        <v>0.272672595923601</v>
      </c>
      <c r="BW40" s="146">
        <f t="shared" si="40"/>
        <v>0.379528518452025</v>
      </c>
      <c r="BX40" s="59"/>
      <c r="BY40" s="59"/>
      <c r="BZ40" s="59"/>
      <c r="CA40" s="59"/>
      <c r="CB40" s="59"/>
      <c r="CC40" s="59"/>
      <c r="CD40" s="146"/>
      <c r="CE40" s="146"/>
      <c r="CF40" s="115"/>
      <c r="CG40" s="13"/>
      <c r="CH40" s="14"/>
      <c r="CI40" s="14"/>
    </row>
    <row r="41" customFormat="1" spans="1:87">
      <c r="A41" s="13"/>
      <c r="B41" s="13">
        <v>2017</v>
      </c>
      <c r="C41" s="107"/>
      <c r="D41" s="107" t="s">
        <v>92</v>
      </c>
      <c r="E41" s="18"/>
      <c r="F41" s="18"/>
      <c r="G41" s="18"/>
      <c r="H41" s="18"/>
      <c r="I41" s="107">
        <v>1192648317.5</v>
      </c>
      <c r="J41" s="59">
        <v>931150919.19</v>
      </c>
      <c r="K41" s="51"/>
      <c r="L41" s="59">
        <v>931150919.19</v>
      </c>
      <c r="M41" s="51">
        <f t="shared" si="44"/>
        <v>1</v>
      </c>
      <c r="N41" s="59"/>
      <c r="O41" s="59"/>
      <c r="P41" s="59"/>
      <c r="Q41" s="59"/>
      <c r="R41" s="59">
        <v>750000</v>
      </c>
      <c r="S41" s="59"/>
      <c r="T41" s="59"/>
      <c r="U41" s="59"/>
      <c r="V41" s="59"/>
      <c r="W41" s="59">
        <f t="shared" si="30"/>
        <v>750000</v>
      </c>
      <c r="X41" s="59"/>
      <c r="Y41" s="59"/>
      <c r="Z41" s="59"/>
      <c r="AA41" s="59"/>
      <c r="AB41" s="59"/>
      <c r="AC41" s="59"/>
      <c r="AD41" s="60"/>
      <c r="AE41" s="60"/>
      <c r="AF41" s="60">
        <v>244636371.41</v>
      </c>
      <c r="AG41" s="60"/>
      <c r="AH41" s="60"/>
      <c r="AI41" s="60">
        <f t="shared" si="31"/>
        <v>244636371.41</v>
      </c>
      <c r="AJ41" s="60">
        <f t="shared" si="32"/>
        <v>0</v>
      </c>
      <c r="AK41" s="51"/>
      <c r="AL41" s="60">
        <f t="shared" si="33"/>
        <v>244636371.41</v>
      </c>
      <c r="AM41" s="51"/>
      <c r="AN41" s="60">
        <f t="shared" si="34"/>
        <v>948011946.09</v>
      </c>
      <c r="AO41" s="60">
        <v>348935152.83</v>
      </c>
      <c r="AP41" s="60"/>
      <c r="AQ41" s="60">
        <v>35079098.02</v>
      </c>
      <c r="AR41" s="51">
        <f t="shared" si="35"/>
        <v>0.405073219207665</v>
      </c>
      <c r="AS41" s="51"/>
      <c r="AT41" s="131"/>
      <c r="AU41" s="133"/>
      <c r="AV41" s="133"/>
      <c r="AW41" s="133"/>
      <c r="AX41" s="133"/>
      <c r="AY41" s="133"/>
      <c r="AZ41" s="133"/>
      <c r="BA41" s="133"/>
      <c r="BB41" s="14"/>
      <c r="BC41" s="14"/>
      <c r="BD41" s="14"/>
      <c r="BE41" s="14"/>
      <c r="BF41" s="14"/>
      <c r="BG41" s="14"/>
      <c r="BH41" s="14"/>
      <c r="BI41" s="14"/>
      <c r="BJ41" s="14"/>
      <c r="BK41" s="87">
        <f t="shared" si="42"/>
        <v>931900919.19</v>
      </c>
      <c r="BL41" s="51"/>
      <c r="BM41" s="60">
        <f t="shared" si="36"/>
        <v>687264547.78</v>
      </c>
      <c r="BN41" s="51"/>
      <c r="BO41" s="60">
        <v>202571830.78</v>
      </c>
      <c r="BP41" s="51">
        <f t="shared" si="45"/>
        <v>-0.0043782750622469</v>
      </c>
      <c r="BQ41" s="60">
        <v>214910355.24</v>
      </c>
      <c r="BR41" s="60"/>
      <c r="BS41" s="60">
        <v>-2099574.4</v>
      </c>
      <c r="BT41" s="59">
        <f t="shared" si="37"/>
        <v>212810780.84</v>
      </c>
      <c r="BU41" s="59">
        <f t="shared" si="38"/>
        <v>200472256.38</v>
      </c>
      <c r="BV41" s="51">
        <f t="shared" si="41"/>
        <v>0.230615026570419</v>
      </c>
      <c r="BW41" s="146">
        <f t="shared" si="40"/>
        <v>0.291695908115099</v>
      </c>
      <c r="BX41" s="59"/>
      <c r="BY41" s="59"/>
      <c r="BZ41" s="59"/>
      <c r="CA41" s="59"/>
      <c r="CB41" s="59"/>
      <c r="CC41" s="59"/>
      <c r="CD41" s="146"/>
      <c r="CE41" s="146"/>
      <c r="CF41" s="115"/>
      <c r="CG41" s="13"/>
      <c r="CH41" s="14"/>
      <c r="CI41" s="14"/>
    </row>
    <row r="42" customFormat="1" spans="1:87">
      <c r="A42" s="13"/>
      <c r="B42" s="13">
        <v>2016</v>
      </c>
      <c r="C42" s="107"/>
      <c r="D42" s="107" t="s">
        <v>93</v>
      </c>
      <c r="E42" s="18"/>
      <c r="F42" s="18"/>
      <c r="G42" s="18"/>
      <c r="H42" s="18"/>
      <c r="I42" s="107">
        <v>1151506778.33</v>
      </c>
      <c r="J42" s="59">
        <v>945560809.3</v>
      </c>
      <c r="K42" s="51"/>
      <c r="L42" s="59">
        <v>945560809.3</v>
      </c>
      <c r="M42" s="51">
        <f t="shared" si="44"/>
        <v>1</v>
      </c>
      <c r="N42" s="59"/>
      <c r="O42" s="59"/>
      <c r="P42" s="59"/>
      <c r="Q42" s="59"/>
      <c r="R42" s="59"/>
      <c r="S42" s="59"/>
      <c r="T42" s="59"/>
      <c r="U42" s="59"/>
      <c r="V42" s="59"/>
      <c r="W42" s="59">
        <f t="shared" si="30"/>
        <v>0</v>
      </c>
      <c r="X42" s="59"/>
      <c r="Y42" s="59"/>
      <c r="Z42" s="59"/>
      <c r="AA42" s="59"/>
      <c r="AB42" s="59"/>
      <c r="AC42" s="59"/>
      <c r="AD42" s="60"/>
      <c r="AE42" s="60"/>
      <c r="AF42" s="60">
        <v>312085269.45</v>
      </c>
      <c r="AG42" s="60"/>
      <c r="AH42" s="60"/>
      <c r="AI42" s="60">
        <f t="shared" si="31"/>
        <v>312085269.45</v>
      </c>
      <c r="AJ42" s="60">
        <f t="shared" si="32"/>
        <v>0</v>
      </c>
      <c r="AK42" s="51"/>
      <c r="AL42" s="60">
        <f t="shared" si="33"/>
        <v>312085269.45</v>
      </c>
      <c r="AM42" s="51"/>
      <c r="AN42" s="60">
        <f t="shared" si="34"/>
        <v>839421508.88</v>
      </c>
      <c r="AO42" s="60">
        <v>360596708.86</v>
      </c>
      <c r="AP42" s="60">
        <v>55641.03</v>
      </c>
      <c r="AQ42" s="60">
        <v>36778441.29</v>
      </c>
      <c r="AR42" s="51">
        <f t="shared" si="35"/>
        <v>0.473457955241429</v>
      </c>
      <c r="AS42" s="51"/>
      <c r="AT42" s="131"/>
      <c r="AU42" s="133"/>
      <c r="AV42" s="133"/>
      <c r="AW42" s="133"/>
      <c r="AX42" s="133"/>
      <c r="AY42" s="133"/>
      <c r="AZ42" s="133"/>
      <c r="BA42" s="133"/>
      <c r="BB42" s="14"/>
      <c r="BC42" s="14"/>
      <c r="BD42" s="14"/>
      <c r="BE42" s="14"/>
      <c r="BF42" s="14"/>
      <c r="BG42" s="14"/>
      <c r="BH42" s="14"/>
      <c r="BI42" s="14"/>
      <c r="BJ42" s="14"/>
      <c r="BK42" s="87">
        <f t="shared" si="42"/>
        <v>945560809.3</v>
      </c>
      <c r="BL42" s="51"/>
      <c r="BM42" s="60">
        <f t="shared" si="36"/>
        <v>633475539.85</v>
      </c>
      <c r="BN42" s="51"/>
      <c r="BO42" s="60">
        <v>203462646.21</v>
      </c>
      <c r="BP42" s="51"/>
      <c r="BQ42" s="60">
        <v>237185917.95</v>
      </c>
      <c r="BR42" s="60"/>
      <c r="BS42" s="60">
        <v>-1677127.31</v>
      </c>
      <c r="BT42" s="59">
        <f t="shared" si="37"/>
        <v>235508790.64</v>
      </c>
      <c r="BU42" s="59">
        <f t="shared" si="38"/>
        <v>201785518.9</v>
      </c>
      <c r="BV42" s="51">
        <f t="shared" si="41"/>
        <v>0.250841527712627</v>
      </c>
      <c r="BW42" s="146">
        <f t="shared" si="40"/>
        <v>0.318537190793161</v>
      </c>
      <c r="BX42" s="59"/>
      <c r="BY42" s="59"/>
      <c r="BZ42" s="59"/>
      <c r="CA42" s="59"/>
      <c r="CB42" s="59"/>
      <c r="CC42" s="59"/>
      <c r="CD42" s="146"/>
      <c r="CE42" s="146"/>
      <c r="CF42" s="115"/>
      <c r="CG42" s="13"/>
      <c r="CH42" s="14"/>
      <c r="CI42" s="14"/>
    </row>
    <row r="43" customFormat="1" spans="1:87">
      <c r="A43" s="13"/>
      <c r="B43" s="13">
        <v>2015</v>
      </c>
      <c r="C43" s="107"/>
      <c r="D43" s="18"/>
      <c r="E43" s="18"/>
      <c r="F43" s="18"/>
      <c r="G43" s="18"/>
      <c r="H43" s="18"/>
      <c r="I43" s="107"/>
      <c r="J43" s="59"/>
      <c r="K43" s="51"/>
      <c r="L43" s="59"/>
      <c r="M43" s="51" t="e">
        <f t="shared" si="44"/>
        <v>#DIV/0!</v>
      </c>
      <c r="N43" s="59"/>
      <c r="O43" s="59"/>
      <c r="P43" s="59"/>
      <c r="Q43" s="59"/>
      <c r="R43" s="59"/>
      <c r="S43" s="59"/>
      <c r="T43" s="59"/>
      <c r="U43" s="59"/>
      <c r="V43" s="59"/>
      <c r="W43" s="59">
        <f t="shared" si="30"/>
        <v>0</v>
      </c>
      <c r="X43" s="59"/>
      <c r="Y43" s="59"/>
      <c r="Z43" s="59"/>
      <c r="AA43" s="59"/>
      <c r="AB43" s="59"/>
      <c r="AC43" s="59"/>
      <c r="AD43" s="60"/>
      <c r="AE43" s="60"/>
      <c r="AF43" s="60"/>
      <c r="AG43" s="60"/>
      <c r="AH43" s="60"/>
      <c r="AI43" s="60">
        <f t="shared" si="31"/>
        <v>0</v>
      </c>
      <c r="AJ43" s="60">
        <f t="shared" si="32"/>
        <v>0</v>
      </c>
      <c r="AK43" s="51"/>
      <c r="AL43" s="60">
        <f t="shared" si="33"/>
        <v>0</v>
      </c>
      <c r="AM43" s="51"/>
      <c r="AN43" s="60">
        <f t="shared" si="34"/>
        <v>0</v>
      </c>
      <c r="AO43" s="60"/>
      <c r="AP43" s="60"/>
      <c r="AQ43" s="60"/>
      <c r="AR43" s="51" t="e">
        <f t="shared" si="35"/>
        <v>#DIV/0!</v>
      </c>
      <c r="AS43" s="51"/>
      <c r="AT43" s="131"/>
      <c r="AU43" s="133"/>
      <c r="AV43" s="133"/>
      <c r="AW43" s="133"/>
      <c r="AX43" s="133"/>
      <c r="AY43" s="133"/>
      <c r="AZ43" s="133"/>
      <c r="BA43" s="133"/>
      <c r="BB43" s="14"/>
      <c r="BC43" s="14"/>
      <c r="BD43" s="14"/>
      <c r="BE43" s="14"/>
      <c r="BF43" s="14"/>
      <c r="BG43" s="14"/>
      <c r="BH43" s="14"/>
      <c r="BI43" s="14"/>
      <c r="BJ43" s="14"/>
      <c r="BK43" s="87">
        <f t="shared" si="42"/>
        <v>0</v>
      </c>
      <c r="BL43" s="51"/>
      <c r="BM43" s="60">
        <f t="shared" si="36"/>
        <v>0</v>
      </c>
      <c r="BN43" s="51"/>
      <c r="BO43" s="60"/>
      <c r="BP43" s="51"/>
      <c r="BQ43" s="60"/>
      <c r="BR43" s="60"/>
      <c r="BS43" s="60"/>
      <c r="BT43" s="59">
        <f t="shared" si="37"/>
        <v>0</v>
      </c>
      <c r="BU43" s="59">
        <f t="shared" si="38"/>
        <v>0</v>
      </c>
      <c r="BV43" s="51" t="e">
        <f t="shared" si="41"/>
        <v>#DIV/0!</v>
      </c>
      <c r="BW43" s="146"/>
      <c r="BX43" s="59"/>
      <c r="BY43" s="59"/>
      <c r="BZ43" s="59"/>
      <c r="CA43" s="59"/>
      <c r="CB43" s="59"/>
      <c r="CC43" s="59"/>
      <c r="CD43" s="146"/>
      <c r="CE43" s="146"/>
      <c r="CF43" s="115"/>
      <c r="CG43" s="13"/>
      <c r="CH43" s="14"/>
      <c r="CI43" s="14"/>
    </row>
    <row r="44" customFormat="1" spans="1:87">
      <c r="A44" s="13"/>
      <c r="B44" s="13">
        <v>2014</v>
      </c>
      <c r="C44" s="107"/>
      <c r="D44" s="18"/>
      <c r="E44" s="18"/>
      <c r="F44" s="18"/>
      <c r="G44" s="18"/>
      <c r="H44" s="18"/>
      <c r="I44" s="107"/>
      <c r="J44" s="59"/>
      <c r="K44" s="51"/>
      <c r="L44" s="59"/>
      <c r="M44" s="51" t="e">
        <f t="shared" si="44"/>
        <v>#DIV/0!</v>
      </c>
      <c r="N44" s="59"/>
      <c r="O44" s="59"/>
      <c r="P44" s="59"/>
      <c r="Q44" s="59"/>
      <c r="R44" s="59"/>
      <c r="S44" s="59"/>
      <c r="T44" s="59"/>
      <c r="U44" s="59"/>
      <c r="V44" s="59"/>
      <c r="W44" s="59">
        <f t="shared" si="30"/>
        <v>0</v>
      </c>
      <c r="X44" s="59"/>
      <c r="Y44" s="59"/>
      <c r="Z44" s="59"/>
      <c r="AA44" s="59"/>
      <c r="AB44" s="59"/>
      <c r="AC44" s="59"/>
      <c r="AD44" s="60"/>
      <c r="AE44" s="60"/>
      <c r="AF44" s="60"/>
      <c r="AG44" s="60"/>
      <c r="AH44" s="60"/>
      <c r="AI44" s="60">
        <f t="shared" si="31"/>
        <v>0</v>
      </c>
      <c r="AJ44" s="60">
        <f t="shared" si="32"/>
        <v>0</v>
      </c>
      <c r="AK44" s="51"/>
      <c r="AL44" s="60">
        <f t="shared" si="33"/>
        <v>0</v>
      </c>
      <c r="AM44" s="51"/>
      <c r="AN44" s="60">
        <f t="shared" si="34"/>
        <v>0</v>
      </c>
      <c r="AO44" s="60"/>
      <c r="AP44" s="60"/>
      <c r="AQ44" s="60"/>
      <c r="AR44" s="51" t="e">
        <f t="shared" si="35"/>
        <v>#DIV/0!</v>
      </c>
      <c r="AS44" s="51"/>
      <c r="AT44" s="131"/>
      <c r="AU44" s="133"/>
      <c r="AV44" s="133"/>
      <c r="AW44" s="133"/>
      <c r="AX44" s="133"/>
      <c r="AY44" s="133"/>
      <c r="AZ44" s="133"/>
      <c r="BA44" s="133"/>
      <c r="BB44" s="14"/>
      <c r="BC44" s="14"/>
      <c r="BD44" s="14"/>
      <c r="BE44" s="14"/>
      <c r="BF44" s="14"/>
      <c r="BG44" s="14"/>
      <c r="BH44" s="14"/>
      <c r="BI44" s="14"/>
      <c r="BJ44" s="14"/>
      <c r="BK44" s="87">
        <f t="shared" si="42"/>
        <v>0</v>
      </c>
      <c r="BL44" s="51"/>
      <c r="BM44" s="60">
        <f t="shared" si="36"/>
        <v>0</v>
      </c>
      <c r="BN44" s="51"/>
      <c r="BO44" s="60"/>
      <c r="BP44" s="51"/>
      <c r="BQ44" s="60"/>
      <c r="BR44" s="60"/>
      <c r="BS44" s="60"/>
      <c r="BT44" s="59">
        <f t="shared" si="37"/>
        <v>0</v>
      </c>
      <c r="BU44" s="59">
        <f t="shared" si="38"/>
        <v>0</v>
      </c>
      <c r="BV44" s="51" t="e">
        <f t="shared" si="41"/>
        <v>#DIV/0!</v>
      </c>
      <c r="BW44" s="146"/>
      <c r="BX44" s="59"/>
      <c r="BY44" s="59"/>
      <c r="BZ44" s="59"/>
      <c r="CA44" s="59"/>
      <c r="CB44" s="59"/>
      <c r="CC44" s="59"/>
      <c r="CD44" s="146"/>
      <c r="CE44" s="146"/>
      <c r="CF44" s="115"/>
      <c r="CG44" s="13"/>
      <c r="CH44" s="14"/>
      <c r="CI44" s="14"/>
    </row>
    <row r="45" customFormat="1" spans="1:87">
      <c r="A45" s="13"/>
      <c r="B45" s="13">
        <v>2013</v>
      </c>
      <c r="C45" s="107"/>
      <c r="D45" s="18"/>
      <c r="E45" s="18"/>
      <c r="F45" s="18"/>
      <c r="G45" s="18"/>
      <c r="H45" s="18"/>
      <c r="I45" s="107"/>
      <c r="J45" s="59"/>
      <c r="K45" s="51"/>
      <c r="L45" s="59"/>
      <c r="M45" s="51" t="e">
        <f t="shared" si="44"/>
        <v>#DIV/0!</v>
      </c>
      <c r="N45" s="59"/>
      <c r="O45" s="59"/>
      <c r="P45" s="59"/>
      <c r="Q45" s="59"/>
      <c r="R45" s="59"/>
      <c r="S45" s="59"/>
      <c r="T45" s="59"/>
      <c r="U45" s="59"/>
      <c r="V45" s="59"/>
      <c r="W45" s="59">
        <f t="shared" si="30"/>
        <v>0</v>
      </c>
      <c r="X45" s="59"/>
      <c r="Y45" s="59"/>
      <c r="Z45" s="59"/>
      <c r="AA45" s="59"/>
      <c r="AB45" s="59"/>
      <c r="AC45" s="59"/>
      <c r="AD45" s="60"/>
      <c r="AE45" s="60"/>
      <c r="AF45" s="60"/>
      <c r="AG45" s="60"/>
      <c r="AH45" s="60"/>
      <c r="AI45" s="60">
        <f t="shared" si="31"/>
        <v>0</v>
      </c>
      <c r="AJ45" s="60">
        <f t="shared" si="32"/>
        <v>0</v>
      </c>
      <c r="AK45" s="51"/>
      <c r="AL45" s="60">
        <f t="shared" si="33"/>
        <v>0</v>
      </c>
      <c r="AM45" s="51"/>
      <c r="AN45" s="60">
        <f t="shared" si="34"/>
        <v>0</v>
      </c>
      <c r="AO45" s="60"/>
      <c r="AP45" s="60"/>
      <c r="AQ45" s="60"/>
      <c r="AR45" s="51" t="e">
        <f t="shared" si="35"/>
        <v>#DIV/0!</v>
      </c>
      <c r="AS45" s="51"/>
      <c r="AT45" s="131"/>
      <c r="AU45" s="133"/>
      <c r="AV45" s="133"/>
      <c r="AW45" s="133"/>
      <c r="AX45" s="133"/>
      <c r="AY45" s="133"/>
      <c r="AZ45" s="133"/>
      <c r="BA45" s="133"/>
      <c r="BB45" s="14"/>
      <c r="BC45" s="14"/>
      <c r="BD45" s="14"/>
      <c r="BE45" s="14"/>
      <c r="BF45" s="14"/>
      <c r="BG45" s="14"/>
      <c r="BH45" s="14"/>
      <c r="BI45" s="14"/>
      <c r="BJ45" s="14"/>
      <c r="BK45" s="87">
        <f t="shared" si="42"/>
        <v>0</v>
      </c>
      <c r="BL45" s="51"/>
      <c r="BM45" s="60">
        <f t="shared" si="36"/>
        <v>0</v>
      </c>
      <c r="BN45" s="51"/>
      <c r="BO45" s="60"/>
      <c r="BP45" s="51"/>
      <c r="BQ45" s="60"/>
      <c r="BR45" s="60"/>
      <c r="BS45" s="60"/>
      <c r="BT45" s="59">
        <f t="shared" si="37"/>
        <v>0</v>
      </c>
      <c r="BU45" s="59">
        <f t="shared" si="38"/>
        <v>0</v>
      </c>
      <c r="BV45" s="51" t="e">
        <f t="shared" si="41"/>
        <v>#DIV/0!</v>
      </c>
      <c r="BW45" s="146"/>
      <c r="BX45" s="59"/>
      <c r="BY45" s="59"/>
      <c r="BZ45" s="59"/>
      <c r="CA45" s="59"/>
      <c r="CB45" s="59"/>
      <c r="CC45" s="59"/>
      <c r="CD45" s="146"/>
      <c r="CE45" s="146"/>
      <c r="CF45" s="115"/>
      <c r="CG45" s="13"/>
      <c r="CH45" s="14"/>
      <c r="CI45" s="14"/>
    </row>
    <row r="46" customFormat="1" spans="1:87">
      <c r="A46" s="13"/>
      <c r="B46" s="13">
        <v>2012</v>
      </c>
      <c r="C46" s="107"/>
      <c r="D46" s="18"/>
      <c r="E46" s="18"/>
      <c r="F46" s="18"/>
      <c r="G46" s="18"/>
      <c r="H46" s="18"/>
      <c r="I46" s="107"/>
      <c r="J46" s="59"/>
      <c r="K46" s="51"/>
      <c r="L46" s="59"/>
      <c r="M46" s="51" t="e">
        <f t="shared" si="44"/>
        <v>#DIV/0!</v>
      </c>
      <c r="N46" s="59"/>
      <c r="O46" s="59"/>
      <c r="P46" s="59"/>
      <c r="Q46" s="59"/>
      <c r="R46" s="59"/>
      <c r="S46" s="59"/>
      <c r="T46" s="59"/>
      <c r="U46" s="59"/>
      <c r="V46" s="59"/>
      <c r="W46" s="59">
        <f t="shared" si="30"/>
        <v>0</v>
      </c>
      <c r="X46" s="59"/>
      <c r="Y46" s="59"/>
      <c r="Z46" s="59"/>
      <c r="AA46" s="59"/>
      <c r="AB46" s="59"/>
      <c r="AC46" s="59"/>
      <c r="AD46" s="60"/>
      <c r="AE46" s="60"/>
      <c r="AF46" s="60"/>
      <c r="AG46" s="60"/>
      <c r="AH46" s="60"/>
      <c r="AI46" s="60">
        <f t="shared" si="31"/>
        <v>0</v>
      </c>
      <c r="AJ46" s="60">
        <f t="shared" si="32"/>
        <v>0</v>
      </c>
      <c r="AK46" s="51"/>
      <c r="AL46" s="60">
        <f t="shared" si="33"/>
        <v>0</v>
      </c>
      <c r="AM46" s="51"/>
      <c r="AN46" s="60">
        <f t="shared" si="34"/>
        <v>0</v>
      </c>
      <c r="AO46" s="60"/>
      <c r="AP46" s="60"/>
      <c r="AQ46" s="60"/>
      <c r="AR46" s="51" t="e">
        <f t="shared" si="35"/>
        <v>#DIV/0!</v>
      </c>
      <c r="AS46" s="51"/>
      <c r="AT46" s="131"/>
      <c r="AU46" s="133"/>
      <c r="AV46" s="133"/>
      <c r="AW46" s="133"/>
      <c r="AX46" s="133"/>
      <c r="AY46" s="133"/>
      <c r="AZ46" s="133"/>
      <c r="BA46" s="133"/>
      <c r="BB46" s="14"/>
      <c r="BC46" s="14"/>
      <c r="BD46" s="14"/>
      <c r="BE46" s="14"/>
      <c r="BF46" s="14"/>
      <c r="BG46" s="14"/>
      <c r="BH46" s="14"/>
      <c r="BI46" s="14"/>
      <c r="BJ46" s="14"/>
      <c r="BK46" s="87">
        <f t="shared" si="42"/>
        <v>0</v>
      </c>
      <c r="BL46" s="51"/>
      <c r="BM46" s="60">
        <f t="shared" si="36"/>
        <v>0</v>
      </c>
      <c r="BN46" s="51"/>
      <c r="BO46" s="60"/>
      <c r="BP46" s="51"/>
      <c r="BQ46" s="60"/>
      <c r="BR46" s="60"/>
      <c r="BS46" s="60"/>
      <c r="BT46" s="59">
        <f t="shared" si="37"/>
        <v>0</v>
      </c>
      <c r="BU46" s="59">
        <f t="shared" si="38"/>
        <v>0</v>
      </c>
      <c r="BV46" s="51" t="e">
        <f t="shared" si="41"/>
        <v>#DIV/0!</v>
      </c>
      <c r="BW46" s="146"/>
      <c r="BX46" s="59"/>
      <c r="BY46" s="59"/>
      <c r="BZ46" s="59"/>
      <c r="CA46" s="59"/>
      <c r="CB46" s="59"/>
      <c r="CC46" s="59"/>
      <c r="CD46" s="146"/>
      <c r="CE46" s="146"/>
      <c r="CF46" s="115"/>
      <c r="CG46" s="13"/>
      <c r="CH46" s="14"/>
      <c r="CI46" s="14"/>
    </row>
    <row r="47" spans="1:87">
      <c r="A47" s="18" t="s">
        <v>100</v>
      </c>
      <c r="B47" s="18">
        <v>2022</v>
      </c>
      <c r="C47" s="107"/>
      <c r="D47" s="18"/>
      <c r="E47" s="18"/>
      <c r="F47" s="18"/>
      <c r="G47" s="18"/>
      <c r="H47" s="18"/>
      <c r="I47" s="107"/>
      <c r="J47" s="59"/>
      <c r="K47" s="51"/>
      <c r="L47" s="59"/>
      <c r="M47" s="51"/>
      <c r="N47" s="59"/>
      <c r="O47" s="59"/>
      <c r="P47" s="59"/>
      <c r="Q47" s="59"/>
      <c r="R47" s="59"/>
      <c r="S47" s="59"/>
      <c r="T47" s="59"/>
      <c r="U47" s="59"/>
      <c r="V47" s="59"/>
      <c r="W47" s="59"/>
      <c r="X47" s="59"/>
      <c r="Y47" s="59"/>
      <c r="Z47" s="59"/>
      <c r="AA47" s="59"/>
      <c r="AB47" s="59"/>
      <c r="AC47" s="59"/>
      <c r="AD47" s="60"/>
      <c r="AE47" s="60"/>
      <c r="AF47" s="60"/>
      <c r="AG47" s="60"/>
      <c r="AH47" s="60"/>
      <c r="AI47" s="60"/>
      <c r="AJ47" s="60"/>
      <c r="AK47" s="51"/>
      <c r="AL47" s="60"/>
      <c r="AM47" s="51"/>
      <c r="AN47" s="60"/>
      <c r="AO47" s="60"/>
      <c r="AP47" s="60"/>
      <c r="AQ47" s="60"/>
      <c r="AR47" s="131"/>
      <c r="AS47" s="131"/>
      <c r="AT47" s="131"/>
      <c r="AU47" s="133"/>
      <c r="AV47" s="133"/>
      <c r="AW47" s="133"/>
      <c r="AX47" s="133"/>
      <c r="AY47" s="133"/>
      <c r="AZ47" s="133"/>
      <c r="BA47" s="133"/>
      <c r="BB47" s="14"/>
      <c r="BC47" s="14"/>
      <c r="BD47" s="14"/>
      <c r="BE47" s="14"/>
      <c r="BF47" s="14"/>
      <c r="BG47" s="14"/>
      <c r="BH47" s="14"/>
      <c r="BI47" s="14"/>
      <c r="BJ47" s="14"/>
      <c r="BK47" s="87">
        <f t="shared" si="42"/>
        <v>0</v>
      </c>
      <c r="BL47" s="51"/>
      <c r="BM47" s="60"/>
      <c r="BN47" s="51"/>
      <c r="BO47" s="60"/>
      <c r="BP47" s="51"/>
      <c r="BQ47" s="60"/>
      <c r="BR47" s="60"/>
      <c r="BS47" s="60"/>
      <c r="BT47" s="59"/>
      <c r="BU47" s="59"/>
      <c r="BV47" s="51" t="e">
        <f t="shared" si="41"/>
        <v>#DIV/0!</v>
      </c>
      <c r="BW47" s="146"/>
      <c r="BX47" s="59"/>
      <c r="BY47" s="59"/>
      <c r="BZ47" s="59"/>
      <c r="CA47" s="59"/>
      <c r="CB47" s="59"/>
      <c r="CC47" s="59"/>
      <c r="CD47" s="146"/>
      <c r="CE47" s="146"/>
      <c r="CF47" s="115"/>
      <c r="CG47" s="13"/>
      <c r="CH47" s="14"/>
      <c r="CI47" s="14"/>
    </row>
    <row r="48" spans="1:87">
      <c r="A48" s="18"/>
      <c r="B48" s="18">
        <v>2021</v>
      </c>
      <c r="C48" s="107"/>
      <c r="D48" s="18"/>
      <c r="E48" s="18"/>
      <c r="F48" s="18"/>
      <c r="G48" s="18"/>
      <c r="H48" s="18"/>
      <c r="I48" s="107"/>
      <c r="J48" s="59"/>
      <c r="K48" s="51"/>
      <c r="L48" s="59"/>
      <c r="M48" s="51"/>
      <c r="N48" s="59"/>
      <c r="O48" s="59"/>
      <c r="P48" s="59"/>
      <c r="Q48" s="59"/>
      <c r="R48" s="59"/>
      <c r="S48" s="59"/>
      <c r="T48" s="59"/>
      <c r="U48" s="59"/>
      <c r="V48" s="59"/>
      <c r="W48" s="59"/>
      <c r="X48" s="59"/>
      <c r="Y48" s="59"/>
      <c r="Z48" s="59"/>
      <c r="AA48" s="59"/>
      <c r="AB48" s="59"/>
      <c r="AC48" s="59"/>
      <c r="AD48" s="60"/>
      <c r="AE48" s="60"/>
      <c r="AF48" s="60"/>
      <c r="AG48" s="60"/>
      <c r="AH48" s="60"/>
      <c r="AI48" s="60"/>
      <c r="AJ48" s="60"/>
      <c r="AK48" s="51"/>
      <c r="AL48" s="60"/>
      <c r="AM48" s="51"/>
      <c r="AN48" s="60"/>
      <c r="AO48" s="60"/>
      <c r="AP48" s="60"/>
      <c r="AQ48" s="60"/>
      <c r="AR48" s="131"/>
      <c r="AS48" s="131"/>
      <c r="AT48" s="131"/>
      <c r="AU48" s="133"/>
      <c r="AV48" s="133"/>
      <c r="AW48" s="133"/>
      <c r="AX48" s="133"/>
      <c r="AY48" s="133"/>
      <c r="AZ48" s="133"/>
      <c r="BA48" s="133"/>
      <c r="BB48" s="14"/>
      <c r="BC48" s="14"/>
      <c r="BD48" s="14"/>
      <c r="BE48" s="14"/>
      <c r="BF48" s="14"/>
      <c r="BG48" s="14"/>
      <c r="BH48" s="14"/>
      <c r="BI48" s="14"/>
      <c r="BJ48" s="14"/>
      <c r="BK48" s="87">
        <f t="shared" si="42"/>
        <v>0</v>
      </c>
      <c r="BL48" s="51"/>
      <c r="BM48" s="60"/>
      <c r="BN48" s="51"/>
      <c r="BO48" s="60"/>
      <c r="BP48" s="51"/>
      <c r="BQ48" s="60"/>
      <c r="BR48" s="60"/>
      <c r="BS48" s="60"/>
      <c r="BT48" s="59"/>
      <c r="BU48" s="59"/>
      <c r="BV48" s="51" t="e">
        <f t="shared" si="41"/>
        <v>#DIV/0!</v>
      </c>
      <c r="BW48" s="146"/>
      <c r="BX48" s="59"/>
      <c r="BY48" s="59"/>
      <c r="BZ48" s="59"/>
      <c r="CA48" s="59"/>
      <c r="CB48" s="59"/>
      <c r="CC48" s="59"/>
      <c r="CD48" s="146"/>
      <c r="CE48" s="146"/>
      <c r="CF48" s="115"/>
      <c r="CG48" s="13"/>
      <c r="CH48" s="14"/>
      <c r="CI48" s="14"/>
    </row>
    <row r="49" spans="1:87">
      <c r="A49" s="18"/>
      <c r="B49" s="18">
        <v>2020</v>
      </c>
      <c r="C49" s="107"/>
      <c r="D49" s="18"/>
      <c r="E49" s="18"/>
      <c r="F49" s="18"/>
      <c r="G49" s="18"/>
      <c r="H49" s="18"/>
      <c r="I49" s="107"/>
      <c r="J49" s="59"/>
      <c r="K49" s="51"/>
      <c r="L49" s="59"/>
      <c r="M49" s="51"/>
      <c r="N49" s="59"/>
      <c r="O49" s="59"/>
      <c r="P49" s="59"/>
      <c r="Q49" s="59"/>
      <c r="R49" s="59"/>
      <c r="S49" s="59"/>
      <c r="T49" s="59"/>
      <c r="U49" s="59"/>
      <c r="V49" s="59"/>
      <c r="W49" s="59"/>
      <c r="X49" s="59"/>
      <c r="Y49" s="59"/>
      <c r="Z49" s="59"/>
      <c r="AA49" s="59"/>
      <c r="AB49" s="59"/>
      <c r="AC49" s="59"/>
      <c r="AD49" s="60"/>
      <c r="AE49" s="60"/>
      <c r="AF49" s="60"/>
      <c r="AG49" s="60"/>
      <c r="AH49" s="60"/>
      <c r="AI49" s="60"/>
      <c r="AJ49" s="60"/>
      <c r="AK49" s="51"/>
      <c r="AL49" s="60"/>
      <c r="AM49" s="51"/>
      <c r="AN49" s="60"/>
      <c r="AO49" s="60"/>
      <c r="AP49" s="60"/>
      <c r="AQ49" s="60"/>
      <c r="AR49" s="131"/>
      <c r="AS49" s="131"/>
      <c r="AT49" s="131"/>
      <c r="AU49" s="133"/>
      <c r="AV49" s="133"/>
      <c r="AW49" s="133"/>
      <c r="AX49" s="133"/>
      <c r="AY49" s="133"/>
      <c r="AZ49" s="133"/>
      <c r="BA49" s="133"/>
      <c r="BB49" s="14"/>
      <c r="BC49" s="14"/>
      <c r="BD49" s="14"/>
      <c r="BE49" s="14"/>
      <c r="BF49" s="14"/>
      <c r="BG49" s="14"/>
      <c r="BH49" s="14"/>
      <c r="BI49" s="14"/>
      <c r="BJ49" s="14"/>
      <c r="BK49" s="87">
        <f t="shared" si="42"/>
        <v>0</v>
      </c>
      <c r="BL49" s="51"/>
      <c r="BM49" s="60"/>
      <c r="BN49" s="51"/>
      <c r="BO49" s="60"/>
      <c r="BP49" s="51"/>
      <c r="BQ49" s="60"/>
      <c r="BR49" s="60"/>
      <c r="BS49" s="60"/>
      <c r="BT49" s="59"/>
      <c r="BU49" s="59"/>
      <c r="BV49" s="51" t="e">
        <f t="shared" si="41"/>
        <v>#DIV/0!</v>
      </c>
      <c r="BW49" s="146"/>
      <c r="BX49" s="59"/>
      <c r="BY49" s="59"/>
      <c r="BZ49" s="59"/>
      <c r="CA49" s="59"/>
      <c r="CB49" s="59"/>
      <c r="CC49" s="59"/>
      <c r="CD49" s="146"/>
      <c r="CE49" s="146"/>
      <c r="CF49" s="115"/>
      <c r="CG49" s="13"/>
      <c r="CH49" s="14"/>
      <c r="CI49" s="14"/>
    </row>
    <row r="50" spans="1:87">
      <c r="A50" s="18"/>
      <c r="B50" s="18">
        <v>2019</v>
      </c>
      <c r="C50" s="107"/>
      <c r="D50" s="18"/>
      <c r="E50" s="18"/>
      <c r="F50" s="18"/>
      <c r="G50" s="18"/>
      <c r="H50" s="18"/>
      <c r="I50" s="107"/>
      <c r="J50" s="59"/>
      <c r="K50" s="51"/>
      <c r="L50" s="59"/>
      <c r="M50" s="51"/>
      <c r="N50" s="59"/>
      <c r="O50" s="59"/>
      <c r="P50" s="59"/>
      <c r="Q50" s="59"/>
      <c r="R50" s="59"/>
      <c r="S50" s="59"/>
      <c r="T50" s="59"/>
      <c r="U50" s="59"/>
      <c r="V50" s="59"/>
      <c r="W50" s="59"/>
      <c r="X50" s="59"/>
      <c r="Y50" s="59"/>
      <c r="Z50" s="59"/>
      <c r="AA50" s="59"/>
      <c r="AB50" s="59"/>
      <c r="AC50" s="59"/>
      <c r="AD50" s="60"/>
      <c r="AE50" s="60"/>
      <c r="AF50" s="60"/>
      <c r="AG50" s="60"/>
      <c r="AH50" s="60"/>
      <c r="AI50" s="60"/>
      <c r="AJ50" s="60"/>
      <c r="AK50" s="51"/>
      <c r="AL50" s="60"/>
      <c r="AM50" s="51"/>
      <c r="AN50" s="60"/>
      <c r="AO50" s="60"/>
      <c r="AP50" s="60"/>
      <c r="AQ50" s="60"/>
      <c r="AR50" s="131"/>
      <c r="AS50" s="131"/>
      <c r="AT50" s="131"/>
      <c r="AU50" s="133"/>
      <c r="AV50" s="133"/>
      <c r="AW50" s="133"/>
      <c r="AX50" s="133"/>
      <c r="AY50" s="133"/>
      <c r="AZ50" s="133"/>
      <c r="BA50" s="133"/>
      <c r="BB50" s="14"/>
      <c r="BC50" s="14"/>
      <c r="BD50" s="14"/>
      <c r="BE50" s="14"/>
      <c r="BF50" s="14"/>
      <c r="BG50" s="14"/>
      <c r="BH50" s="14"/>
      <c r="BI50" s="14"/>
      <c r="BJ50" s="14"/>
      <c r="BK50" s="87">
        <f t="shared" si="42"/>
        <v>0</v>
      </c>
      <c r="BL50" s="51"/>
      <c r="BM50" s="60"/>
      <c r="BN50" s="51"/>
      <c r="BO50" s="60"/>
      <c r="BP50" s="51"/>
      <c r="BQ50" s="60"/>
      <c r="BR50" s="60"/>
      <c r="BS50" s="60"/>
      <c r="BT50" s="59"/>
      <c r="BU50" s="59"/>
      <c r="BV50" s="51" t="e">
        <f t="shared" si="41"/>
        <v>#DIV/0!</v>
      </c>
      <c r="BW50" s="146"/>
      <c r="BX50" s="59"/>
      <c r="BY50" s="59"/>
      <c r="BZ50" s="59"/>
      <c r="CA50" s="59"/>
      <c r="CB50" s="59"/>
      <c r="CC50" s="59"/>
      <c r="CD50" s="146"/>
      <c r="CE50" s="146"/>
      <c r="CF50" s="115"/>
      <c r="CG50" s="13"/>
      <c r="CH50" s="14"/>
      <c r="CI50" s="14"/>
    </row>
    <row r="51" spans="1:87">
      <c r="A51" s="18"/>
      <c r="B51" s="18">
        <v>2018</v>
      </c>
      <c r="C51" s="107"/>
      <c r="D51" s="18"/>
      <c r="E51" s="18"/>
      <c r="F51" s="18"/>
      <c r="G51" s="18"/>
      <c r="H51" s="18"/>
      <c r="I51" s="107"/>
      <c r="J51" s="59"/>
      <c r="K51" s="51"/>
      <c r="L51" s="59"/>
      <c r="M51" s="51"/>
      <c r="N51" s="59"/>
      <c r="O51" s="59"/>
      <c r="P51" s="59"/>
      <c r="Q51" s="59"/>
      <c r="R51" s="59"/>
      <c r="S51" s="59"/>
      <c r="T51" s="59"/>
      <c r="U51" s="59"/>
      <c r="V51" s="59"/>
      <c r="W51" s="59"/>
      <c r="X51" s="59"/>
      <c r="Y51" s="59"/>
      <c r="Z51" s="59"/>
      <c r="AA51" s="59"/>
      <c r="AB51" s="59"/>
      <c r="AC51" s="59"/>
      <c r="AD51" s="60"/>
      <c r="AE51" s="60"/>
      <c r="AF51" s="60"/>
      <c r="AG51" s="60"/>
      <c r="AH51" s="60"/>
      <c r="AI51" s="60"/>
      <c r="AJ51" s="60"/>
      <c r="AK51" s="51"/>
      <c r="AL51" s="60"/>
      <c r="AM51" s="51"/>
      <c r="AN51" s="60"/>
      <c r="AO51" s="60"/>
      <c r="AP51" s="60"/>
      <c r="AQ51" s="60"/>
      <c r="AR51" s="131"/>
      <c r="AS51" s="131"/>
      <c r="AT51" s="131"/>
      <c r="AU51" s="133"/>
      <c r="AV51" s="133"/>
      <c r="AW51" s="133"/>
      <c r="AX51" s="133"/>
      <c r="AY51" s="133"/>
      <c r="AZ51" s="133"/>
      <c r="BA51" s="133"/>
      <c r="BB51" s="14"/>
      <c r="BC51" s="14"/>
      <c r="BD51" s="14"/>
      <c r="BE51" s="14"/>
      <c r="BF51" s="14"/>
      <c r="BG51" s="14"/>
      <c r="BH51" s="14"/>
      <c r="BI51" s="14"/>
      <c r="BJ51" s="14"/>
      <c r="BK51" s="87">
        <f t="shared" si="42"/>
        <v>0</v>
      </c>
      <c r="BL51" s="51"/>
      <c r="BM51" s="60"/>
      <c r="BN51" s="51"/>
      <c r="BO51" s="60"/>
      <c r="BP51" s="51"/>
      <c r="BQ51" s="60"/>
      <c r="BR51" s="60"/>
      <c r="BS51" s="60"/>
      <c r="BT51" s="59"/>
      <c r="BU51" s="59"/>
      <c r="BV51" s="51" t="e">
        <f t="shared" si="41"/>
        <v>#DIV/0!</v>
      </c>
      <c r="BW51" s="146"/>
      <c r="BX51" s="59"/>
      <c r="BY51" s="59"/>
      <c r="BZ51" s="59"/>
      <c r="CA51" s="59"/>
      <c r="CB51" s="59"/>
      <c r="CC51" s="59"/>
      <c r="CD51" s="146"/>
      <c r="CE51" s="146"/>
      <c r="CF51" s="115"/>
      <c r="CG51" s="13"/>
      <c r="CH51" s="14"/>
      <c r="CI51" s="14"/>
    </row>
    <row r="52" spans="1:87">
      <c r="A52" s="18"/>
      <c r="B52" s="18">
        <v>2017</v>
      </c>
      <c r="C52" s="107"/>
      <c r="D52" s="18"/>
      <c r="E52" s="18"/>
      <c r="F52" s="18"/>
      <c r="G52" s="18"/>
      <c r="H52" s="18"/>
      <c r="I52" s="107"/>
      <c r="J52" s="59"/>
      <c r="K52" s="51"/>
      <c r="L52" s="59"/>
      <c r="M52" s="51"/>
      <c r="N52" s="59"/>
      <c r="O52" s="59"/>
      <c r="P52" s="59"/>
      <c r="Q52" s="59"/>
      <c r="R52" s="59"/>
      <c r="S52" s="59"/>
      <c r="T52" s="59"/>
      <c r="U52" s="59"/>
      <c r="V52" s="59"/>
      <c r="W52" s="59"/>
      <c r="X52" s="59"/>
      <c r="Y52" s="59"/>
      <c r="Z52" s="59"/>
      <c r="AA52" s="59"/>
      <c r="AB52" s="59"/>
      <c r="AC52" s="59"/>
      <c r="AD52" s="60"/>
      <c r="AE52" s="60"/>
      <c r="AF52" s="60"/>
      <c r="AG52" s="60"/>
      <c r="AH52" s="60"/>
      <c r="AI52" s="60"/>
      <c r="AJ52" s="60"/>
      <c r="AK52" s="51"/>
      <c r="AL52" s="60"/>
      <c r="AM52" s="51"/>
      <c r="AN52" s="60"/>
      <c r="AO52" s="60"/>
      <c r="AP52" s="60"/>
      <c r="AQ52" s="60"/>
      <c r="AR52" s="131"/>
      <c r="AS52" s="131"/>
      <c r="AT52" s="131"/>
      <c r="AU52" s="133"/>
      <c r="AV52" s="133"/>
      <c r="AW52" s="133"/>
      <c r="AX52" s="133"/>
      <c r="AY52" s="133"/>
      <c r="AZ52" s="133"/>
      <c r="BA52" s="133"/>
      <c r="BB52" s="14"/>
      <c r="BC52" s="14"/>
      <c r="BD52" s="14"/>
      <c r="BE52" s="14"/>
      <c r="BF52" s="14"/>
      <c r="BG52" s="14"/>
      <c r="BH52" s="14"/>
      <c r="BI52" s="14"/>
      <c r="BJ52" s="14"/>
      <c r="BK52" s="87">
        <f t="shared" si="42"/>
        <v>0</v>
      </c>
      <c r="BL52" s="51"/>
      <c r="BM52" s="60"/>
      <c r="BN52" s="51"/>
      <c r="BO52" s="60"/>
      <c r="BP52" s="51"/>
      <c r="BQ52" s="60"/>
      <c r="BR52" s="60"/>
      <c r="BS52" s="60"/>
      <c r="BT52" s="59"/>
      <c r="BU52" s="59"/>
      <c r="BV52" s="51" t="e">
        <f t="shared" si="41"/>
        <v>#DIV/0!</v>
      </c>
      <c r="BW52" s="146"/>
      <c r="BX52" s="59"/>
      <c r="BY52" s="59"/>
      <c r="BZ52" s="59"/>
      <c r="CA52" s="59"/>
      <c r="CB52" s="59"/>
      <c r="CC52" s="59"/>
      <c r="CD52" s="146"/>
      <c r="CE52" s="146"/>
      <c r="CF52" s="115"/>
      <c r="CG52" s="13"/>
      <c r="CH52" s="14"/>
      <c r="CI52" s="14"/>
    </row>
    <row r="53" spans="1:87">
      <c r="A53" s="18"/>
      <c r="B53" s="18">
        <v>2016</v>
      </c>
      <c r="C53" s="107"/>
      <c r="D53" s="18"/>
      <c r="E53" s="18"/>
      <c r="F53" s="18"/>
      <c r="G53" s="18"/>
      <c r="H53" s="18"/>
      <c r="I53" s="107"/>
      <c r="J53" s="59"/>
      <c r="K53" s="51"/>
      <c r="L53" s="59"/>
      <c r="M53" s="51"/>
      <c r="N53" s="59"/>
      <c r="O53" s="59"/>
      <c r="P53" s="59"/>
      <c r="Q53" s="59"/>
      <c r="R53" s="59"/>
      <c r="S53" s="59"/>
      <c r="T53" s="59"/>
      <c r="U53" s="59"/>
      <c r="V53" s="59"/>
      <c r="W53" s="59"/>
      <c r="X53" s="59"/>
      <c r="Y53" s="59"/>
      <c r="Z53" s="59"/>
      <c r="AA53" s="59"/>
      <c r="AB53" s="59"/>
      <c r="AC53" s="59"/>
      <c r="AD53" s="60"/>
      <c r="AE53" s="60"/>
      <c r="AF53" s="60"/>
      <c r="AG53" s="60"/>
      <c r="AH53" s="60"/>
      <c r="AI53" s="60"/>
      <c r="AJ53" s="60"/>
      <c r="AK53" s="51"/>
      <c r="AL53" s="60"/>
      <c r="AM53" s="51"/>
      <c r="AN53" s="60"/>
      <c r="AO53" s="60"/>
      <c r="AP53" s="60"/>
      <c r="AQ53" s="60"/>
      <c r="AR53" s="131"/>
      <c r="AS53" s="131"/>
      <c r="AT53" s="131"/>
      <c r="AU53" s="133"/>
      <c r="AV53" s="133"/>
      <c r="AW53" s="133"/>
      <c r="AX53" s="133"/>
      <c r="AY53" s="133"/>
      <c r="AZ53" s="133"/>
      <c r="BA53" s="133"/>
      <c r="BB53" s="14"/>
      <c r="BC53" s="14"/>
      <c r="BD53" s="14"/>
      <c r="BE53" s="14"/>
      <c r="BF53" s="14"/>
      <c r="BG53" s="14"/>
      <c r="BH53" s="14"/>
      <c r="BI53" s="14"/>
      <c r="BJ53" s="14"/>
      <c r="BK53" s="87">
        <f t="shared" si="42"/>
        <v>0</v>
      </c>
      <c r="BL53" s="51"/>
      <c r="BM53" s="60"/>
      <c r="BN53" s="51"/>
      <c r="BO53" s="60"/>
      <c r="BP53" s="51"/>
      <c r="BQ53" s="60"/>
      <c r="BR53" s="60"/>
      <c r="BS53" s="60"/>
      <c r="BT53" s="59"/>
      <c r="BU53" s="59"/>
      <c r="BV53" s="51" t="e">
        <f t="shared" ref="BV53:BV84" si="46">BQ53/BK53</f>
        <v>#DIV/0!</v>
      </c>
      <c r="BW53" s="146"/>
      <c r="BX53" s="59"/>
      <c r="BY53" s="59"/>
      <c r="BZ53" s="59"/>
      <c r="CA53" s="59"/>
      <c r="CB53" s="59"/>
      <c r="CC53" s="59"/>
      <c r="CD53" s="146"/>
      <c r="CE53" s="146"/>
      <c r="CF53" s="115"/>
      <c r="CG53" s="13"/>
      <c r="CH53" s="14"/>
      <c r="CI53" s="14"/>
    </row>
    <row r="54" spans="1:87">
      <c r="A54" s="18"/>
      <c r="B54" s="18">
        <v>2015</v>
      </c>
      <c r="C54" s="107"/>
      <c r="D54" s="18"/>
      <c r="E54" s="18"/>
      <c r="F54" s="18"/>
      <c r="G54" s="18"/>
      <c r="H54" s="18"/>
      <c r="I54" s="107"/>
      <c r="J54" s="59"/>
      <c r="K54" s="51"/>
      <c r="L54" s="59"/>
      <c r="M54" s="51"/>
      <c r="N54" s="59"/>
      <c r="O54" s="59"/>
      <c r="P54" s="59"/>
      <c r="Q54" s="59"/>
      <c r="R54" s="59"/>
      <c r="S54" s="59"/>
      <c r="T54" s="59"/>
      <c r="U54" s="59"/>
      <c r="V54" s="59"/>
      <c r="W54" s="59"/>
      <c r="X54" s="59"/>
      <c r="Y54" s="59"/>
      <c r="Z54" s="59"/>
      <c r="AA54" s="59"/>
      <c r="AB54" s="59"/>
      <c r="AC54" s="59"/>
      <c r="AD54" s="60"/>
      <c r="AE54" s="60"/>
      <c r="AF54" s="60"/>
      <c r="AG54" s="60"/>
      <c r="AH54" s="60"/>
      <c r="AI54" s="60"/>
      <c r="AJ54" s="60"/>
      <c r="AK54" s="51"/>
      <c r="AL54" s="60"/>
      <c r="AM54" s="51"/>
      <c r="AN54" s="60"/>
      <c r="AO54" s="60"/>
      <c r="AP54" s="60"/>
      <c r="AQ54" s="60"/>
      <c r="AR54" s="131"/>
      <c r="AS54" s="131"/>
      <c r="AT54" s="131"/>
      <c r="AU54" s="133"/>
      <c r="AV54" s="133"/>
      <c r="AW54" s="133"/>
      <c r="AX54" s="133"/>
      <c r="AY54" s="133"/>
      <c r="AZ54" s="133"/>
      <c r="BA54" s="133"/>
      <c r="BB54" s="14"/>
      <c r="BC54" s="14"/>
      <c r="BD54" s="14"/>
      <c r="BE54" s="14"/>
      <c r="BF54" s="14"/>
      <c r="BG54" s="14"/>
      <c r="BH54" s="14"/>
      <c r="BI54" s="14"/>
      <c r="BJ54" s="14"/>
      <c r="BK54" s="87">
        <f t="shared" si="42"/>
        <v>0</v>
      </c>
      <c r="BL54" s="51"/>
      <c r="BM54" s="60"/>
      <c r="BN54" s="51"/>
      <c r="BO54" s="60"/>
      <c r="BP54" s="51"/>
      <c r="BQ54" s="60"/>
      <c r="BR54" s="60"/>
      <c r="BS54" s="60"/>
      <c r="BT54" s="59"/>
      <c r="BU54" s="59"/>
      <c r="BV54" s="51" t="e">
        <f t="shared" si="46"/>
        <v>#DIV/0!</v>
      </c>
      <c r="BW54" s="146"/>
      <c r="BX54" s="59"/>
      <c r="BY54" s="59"/>
      <c r="BZ54" s="59"/>
      <c r="CA54" s="59"/>
      <c r="CB54" s="59"/>
      <c r="CC54" s="59"/>
      <c r="CD54" s="146"/>
      <c r="CE54" s="146"/>
      <c r="CF54" s="115"/>
      <c r="CG54" s="13"/>
      <c r="CH54" s="14"/>
      <c r="CI54" s="14"/>
    </row>
    <row r="55" spans="1:87">
      <c r="A55" s="18"/>
      <c r="B55" s="18">
        <v>2014</v>
      </c>
      <c r="C55" s="107"/>
      <c r="D55" s="18"/>
      <c r="E55" s="18"/>
      <c r="F55" s="18"/>
      <c r="G55" s="18"/>
      <c r="H55" s="18"/>
      <c r="I55" s="107"/>
      <c r="J55" s="59"/>
      <c r="K55" s="51"/>
      <c r="L55" s="59"/>
      <c r="M55" s="51"/>
      <c r="N55" s="59"/>
      <c r="O55" s="59"/>
      <c r="P55" s="59"/>
      <c r="Q55" s="59"/>
      <c r="R55" s="59"/>
      <c r="S55" s="59"/>
      <c r="T55" s="59"/>
      <c r="U55" s="59"/>
      <c r="V55" s="59"/>
      <c r="W55" s="59"/>
      <c r="X55" s="59"/>
      <c r="Y55" s="59"/>
      <c r="Z55" s="59"/>
      <c r="AA55" s="59"/>
      <c r="AB55" s="59"/>
      <c r="AC55" s="59"/>
      <c r="AD55" s="60"/>
      <c r="AE55" s="60"/>
      <c r="AF55" s="60"/>
      <c r="AG55" s="60"/>
      <c r="AH55" s="60"/>
      <c r="AI55" s="60"/>
      <c r="AJ55" s="60"/>
      <c r="AK55" s="51"/>
      <c r="AL55" s="60"/>
      <c r="AM55" s="51"/>
      <c r="AN55" s="60"/>
      <c r="AO55" s="60"/>
      <c r="AP55" s="60"/>
      <c r="AQ55" s="60"/>
      <c r="AR55" s="131"/>
      <c r="AS55" s="131"/>
      <c r="AT55" s="131"/>
      <c r="AU55" s="133"/>
      <c r="AV55" s="133"/>
      <c r="AW55" s="133"/>
      <c r="AX55" s="133"/>
      <c r="AY55" s="133"/>
      <c r="AZ55" s="133"/>
      <c r="BA55" s="133"/>
      <c r="BB55" s="14"/>
      <c r="BC55" s="14"/>
      <c r="BD55" s="14"/>
      <c r="BE55" s="14"/>
      <c r="BF55" s="14"/>
      <c r="BG55" s="14"/>
      <c r="BH55" s="14"/>
      <c r="BI55" s="14"/>
      <c r="BJ55" s="14"/>
      <c r="BK55" s="87">
        <f t="shared" si="42"/>
        <v>0</v>
      </c>
      <c r="BL55" s="51"/>
      <c r="BM55" s="60"/>
      <c r="BN55" s="51"/>
      <c r="BO55" s="60"/>
      <c r="BP55" s="51"/>
      <c r="BQ55" s="60"/>
      <c r="BR55" s="60"/>
      <c r="BS55" s="60"/>
      <c r="BT55" s="59"/>
      <c r="BU55" s="59"/>
      <c r="BV55" s="51" t="e">
        <f t="shared" si="46"/>
        <v>#DIV/0!</v>
      </c>
      <c r="BW55" s="146"/>
      <c r="BX55" s="59"/>
      <c r="BY55" s="59"/>
      <c r="BZ55" s="59"/>
      <c r="CA55" s="59"/>
      <c r="CB55" s="59"/>
      <c r="CC55" s="59"/>
      <c r="CD55" s="146"/>
      <c r="CE55" s="146"/>
      <c r="CF55" s="115"/>
      <c r="CG55" s="13"/>
      <c r="CH55" s="14"/>
      <c r="CI55" s="14"/>
    </row>
    <row r="56" spans="1:87">
      <c r="A56" s="18"/>
      <c r="B56" s="18">
        <v>2013</v>
      </c>
      <c r="C56" s="107"/>
      <c r="D56" s="18"/>
      <c r="E56" s="18"/>
      <c r="F56" s="18"/>
      <c r="G56" s="18"/>
      <c r="H56" s="18"/>
      <c r="I56" s="107"/>
      <c r="J56" s="59"/>
      <c r="K56" s="51"/>
      <c r="L56" s="59"/>
      <c r="M56" s="51"/>
      <c r="N56" s="59"/>
      <c r="O56" s="59"/>
      <c r="P56" s="59"/>
      <c r="Q56" s="59"/>
      <c r="R56" s="59"/>
      <c r="S56" s="59"/>
      <c r="T56" s="59"/>
      <c r="U56" s="59"/>
      <c r="V56" s="59"/>
      <c r="W56" s="59"/>
      <c r="X56" s="59"/>
      <c r="Y56" s="59"/>
      <c r="Z56" s="59"/>
      <c r="AA56" s="59"/>
      <c r="AB56" s="59"/>
      <c r="AC56" s="59"/>
      <c r="AD56" s="60"/>
      <c r="AE56" s="60"/>
      <c r="AF56" s="60"/>
      <c r="AG56" s="60"/>
      <c r="AH56" s="60"/>
      <c r="AI56" s="60"/>
      <c r="AJ56" s="60"/>
      <c r="AK56" s="51"/>
      <c r="AL56" s="60"/>
      <c r="AM56" s="51"/>
      <c r="AN56" s="60"/>
      <c r="AO56" s="60"/>
      <c r="AP56" s="60"/>
      <c r="AQ56" s="60"/>
      <c r="AR56" s="131"/>
      <c r="AS56" s="131"/>
      <c r="AT56" s="131"/>
      <c r="AU56" s="133"/>
      <c r="AV56" s="133"/>
      <c r="AW56" s="133"/>
      <c r="AX56" s="133"/>
      <c r="AY56" s="133"/>
      <c r="AZ56" s="133"/>
      <c r="BA56" s="133"/>
      <c r="BB56" s="14"/>
      <c r="BC56" s="14"/>
      <c r="BD56" s="14"/>
      <c r="BE56" s="14"/>
      <c r="BF56" s="14"/>
      <c r="BG56" s="14"/>
      <c r="BH56" s="14"/>
      <c r="BI56" s="14"/>
      <c r="BJ56" s="14"/>
      <c r="BK56" s="87">
        <f t="shared" si="42"/>
        <v>0</v>
      </c>
      <c r="BL56" s="51"/>
      <c r="BM56" s="60"/>
      <c r="BN56" s="51"/>
      <c r="BO56" s="60"/>
      <c r="BP56" s="51"/>
      <c r="BQ56" s="60"/>
      <c r="BR56" s="60"/>
      <c r="BS56" s="60"/>
      <c r="BT56" s="59"/>
      <c r="BU56" s="59"/>
      <c r="BV56" s="51" t="e">
        <f t="shared" si="46"/>
        <v>#DIV/0!</v>
      </c>
      <c r="BW56" s="146"/>
      <c r="BX56" s="59"/>
      <c r="BY56" s="59"/>
      <c r="BZ56" s="59"/>
      <c r="CA56" s="59"/>
      <c r="CB56" s="59"/>
      <c r="CC56" s="59"/>
      <c r="CD56" s="146"/>
      <c r="CE56" s="146"/>
      <c r="CF56" s="115"/>
      <c r="CG56" s="13"/>
      <c r="CH56" s="14"/>
      <c r="CI56" s="14"/>
    </row>
    <row r="57" spans="1:87">
      <c r="A57" s="18"/>
      <c r="B57" s="18">
        <v>2012</v>
      </c>
      <c r="C57" s="107"/>
      <c r="D57" s="18"/>
      <c r="E57" s="18"/>
      <c r="F57" s="18"/>
      <c r="G57" s="18"/>
      <c r="H57" s="18"/>
      <c r="I57" s="107"/>
      <c r="J57" s="59"/>
      <c r="K57" s="51"/>
      <c r="L57" s="59"/>
      <c r="M57" s="51"/>
      <c r="N57" s="59"/>
      <c r="O57" s="59"/>
      <c r="P57" s="59"/>
      <c r="Q57" s="59"/>
      <c r="R57" s="59"/>
      <c r="S57" s="59"/>
      <c r="T57" s="59"/>
      <c r="U57" s="59"/>
      <c r="V57" s="59"/>
      <c r="W57" s="59"/>
      <c r="X57" s="59"/>
      <c r="Y57" s="59"/>
      <c r="Z57" s="59"/>
      <c r="AA57" s="59"/>
      <c r="AB57" s="59"/>
      <c r="AC57" s="59"/>
      <c r="AD57" s="60"/>
      <c r="AE57" s="60"/>
      <c r="AF57" s="60"/>
      <c r="AG57" s="60"/>
      <c r="AH57" s="60"/>
      <c r="AI57" s="60"/>
      <c r="AJ57" s="60"/>
      <c r="AK57" s="51"/>
      <c r="AL57" s="60"/>
      <c r="AM57" s="51"/>
      <c r="AN57" s="60"/>
      <c r="AO57" s="60"/>
      <c r="AP57" s="60"/>
      <c r="AQ57" s="60"/>
      <c r="AR57" s="131"/>
      <c r="AS57" s="131"/>
      <c r="AT57" s="131"/>
      <c r="AU57" s="133"/>
      <c r="AV57" s="133"/>
      <c r="AW57" s="133"/>
      <c r="AX57" s="133"/>
      <c r="AY57" s="133"/>
      <c r="AZ57" s="133"/>
      <c r="BA57" s="133"/>
      <c r="BB57" s="14"/>
      <c r="BC57" s="14"/>
      <c r="BD57" s="14"/>
      <c r="BE57" s="14"/>
      <c r="BF57" s="14"/>
      <c r="BG57" s="14"/>
      <c r="BH57" s="14"/>
      <c r="BI57" s="14"/>
      <c r="BJ57" s="14"/>
      <c r="BK57" s="87">
        <f t="shared" ref="BK57:BK107" si="47">J57+W57</f>
        <v>0</v>
      </c>
      <c r="BL57" s="51"/>
      <c r="BM57" s="60"/>
      <c r="BN57" s="51"/>
      <c r="BO57" s="60"/>
      <c r="BP57" s="51"/>
      <c r="BQ57" s="60"/>
      <c r="BR57" s="60"/>
      <c r="BS57" s="60"/>
      <c r="BT57" s="59"/>
      <c r="BU57" s="59"/>
      <c r="BV57" s="51" t="e">
        <f t="shared" si="46"/>
        <v>#DIV/0!</v>
      </c>
      <c r="BW57" s="146"/>
      <c r="BX57" s="59"/>
      <c r="BY57" s="59"/>
      <c r="BZ57" s="59"/>
      <c r="CA57" s="59"/>
      <c r="CB57" s="59"/>
      <c r="CC57" s="59"/>
      <c r="CD57" s="146"/>
      <c r="CE57" s="146"/>
      <c r="CF57" s="115"/>
      <c r="CG57" s="13"/>
      <c r="CH57" s="14"/>
      <c r="CI57" s="14"/>
    </row>
    <row r="58" spans="1:87">
      <c r="A58" s="18" t="s">
        <v>101</v>
      </c>
      <c r="B58" s="18">
        <v>2022</v>
      </c>
      <c r="C58" s="107">
        <f>53.22*100000000</f>
        <v>5322000000</v>
      </c>
      <c r="D58" s="107" t="s">
        <v>86</v>
      </c>
      <c r="E58" s="18"/>
      <c r="F58" s="18"/>
      <c r="G58" s="18"/>
      <c r="H58" s="18"/>
      <c r="I58" s="107"/>
      <c r="J58" s="59"/>
      <c r="K58" s="51"/>
      <c r="L58" s="59"/>
      <c r="M58" s="51"/>
      <c r="N58" s="59"/>
      <c r="O58" s="59"/>
      <c r="P58" s="59"/>
      <c r="Q58" s="59"/>
      <c r="R58" s="59"/>
      <c r="S58" s="59"/>
      <c r="T58" s="59"/>
      <c r="U58" s="59"/>
      <c r="V58" s="59"/>
      <c r="W58" s="59"/>
      <c r="X58" s="59"/>
      <c r="Y58" s="59"/>
      <c r="Z58" s="59"/>
      <c r="AA58" s="59"/>
      <c r="AB58" s="59"/>
      <c r="AC58" s="59"/>
      <c r="AD58" s="60"/>
      <c r="AE58" s="60"/>
      <c r="AF58" s="60"/>
      <c r="AG58" s="60"/>
      <c r="AH58" s="60"/>
      <c r="AI58" s="60"/>
      <c r="AJ58" s="60"/>
      <c r="AK58" s="51"/>
      <c r="AL58" s="60"/>
      <c r="AM58" s="51"/>
      <c r="AN58" s="60"/>
      <c r="AO58" s="60"/>
      <c r="AP58" s="60"/>
      <c r="AQ58" s="60"/>
      <c r="AR58" s="131"/>
      <c r="AS58" s="131"/>
      <c r="AT58" s="131"/>
      <c r="AU58" s="133"/>
      <c r="AV58" s="133"/>
      <c r="AW58" s="133"/>
      <c r="AX58" s="133"/>
      <c r="AY58" s="133"/>
      <c r="AZ58" s="133"/>
      <c r="BA58" s="133"/>
      <c r="BB58" s="14"/>
      <c r="BC58" s="14"/>
      <c r="BD58" s="14"/>
      <c r="BE58" s="14"/>
      <c r="BF58" s="14"/>
      <c r="BG58" s="14"/>
      <c r="BH58" s="14"/>
      <c r="BI58" s="14"/>
      <c r="BJ58" s="14"/>
      <c r="BK58" s="87">
        <f t="shared" si="47"/>
        <v>0</v>
      </c>
      <c r="BL58" s="51"/>
      <c r="BM58" s="60"/>
      <c r="BN58" s="51"/>
      <c r="BO58" s="60"/>
      <c r="BP58" s="51"/>
      <c r="BQ58" s="60"/>
      <c r="BR58" s="60"/>
      <c r="BS58" s="60"/>
      <c r="BT58" s="59"/>
      <c r="BU58" s="59"/>
      <c r="BV58" s="51" t="e">
        <f t="shared" si="46"/>
        <v>#DIV/0!</v>
      </c>
      <c r="BW58" s="146"/>
      <c r="BX58" s="59"/>
      <c r="BY58" s="59"/>
      <c r="BZ58" s="59"/>
      <c r="CA58" s="59"/>
      <c r="CB58" s="59"/>
      <c r="CC58" s="59"/>
      <c r="CD58" s="146"/>
      <c r="CE58" s="146"/>
      <c r="CF58" s="115"/>
      <c r="CG58" s="14"/>
      <c r="CH58" s="14"/>
      <c r="CI58" s="14"/>
    </row>
    <row r="59" spans="1:87">
      <c r="A59" s="18"/>
      <c r="B59" s="18">
        <v>2021</v>
      </c>
      <c r="C59" s="107">
        <f>79.03*100000000</f>
        <v>7903000000</v>
      </c>
      <c r="D59" s="107" t="s">
        <v>88</v>
      </c>
      <c r="E59" s="18"/>
      <c r="F59" s="18"/>
      <c r="G59" s="18"/>
      <c r="H59" s="18"/>
      <c r="I59" s="107"/>
      <c r="J59" s="59"/>
      <c r="K59" s="51"/>
      <c r="L59" s="59"/>
      <c r="M59" s="51"/>
      <c r="N59" s="59"/>
      <c r="O59" s="59"/>
      <c r="P59" s="59"/>
      <c r="Q59" s="59"/>
      <c r="R59" s="59"/>
      <c r="S59" s="59"/>
      <c r="T59" s="59"/>
      <c r="U59" s="59"/>
      <c r="V59" s="59"/>
      <c r="W59" s="59"/>
      <c r="X59" s="59"/>
      <c r="Y59" s="59"/>
      <c r="Z59" s="59"/>
      <c r="AA59" s="59"/>
      <c r="AB59" s="59"/>
      <c r="AC59" s="59"/>
      <c r="AD59" s="60"/>
      <c r="AE59" s="60"/>
      <c r="AF59" s="60"/>
      <c r="AG59" s="60"/>
      <c r="AH59" s="60"/>
      <c r="AI59" s="60"/>
      <c r="AJ59" s="60"/>
      <c r="AK59" s="51"/>
      <c r="AL59" s="60"/>
      <c r="AM59" s="51"/>
      <c r="AN59" s="60"/>
      <c r="AO59" s="60"/>
      <c r="AP59" s="60"/>
      <c r="AQ59" s="60"/>
      <c r="AR59" s="131"/>
      <c r="AS59" s="131"/>
      <c r="AT59" s="131"/>
      <c r="AU59" s="133"/>
      <c r="AV59" s="133"/>
      <c r="AW59" s="133"/>
      <c r="AX59" s="133"/>
      <c r="AY59" s="133"/>
      <c r="AZ59" s="133"/>
      <c r="BA59" s="133"/>
      <c r="BB59" s="14"/>
      <c r="BC59" s="14"/>
      <c r="BD59" s="14"/>
      <c r="BE59" s="14"/>
      <c r="BF59" s="14"/>
      <c r="BG59" s="14"/>
      <c r="BH59" s="14"/>
      <c r="BI59" s="14"/>
      <c r="BJ59" s="14"/>
      <c r="BK59" s="87">
        <f t="shared" si="47"/>
        <v>0</v>
      </c>
      <c r="BL59" s="51"/>
      <c r="BM59" s="60"/>
      <c r="BN59" s="51"/>
      <c r="BO59" s="60"/>
      <c r="BP59" s="51"/>
      <c r="BQ59" s="60"/>
      <c r="BR59" s="60"/>
      <c r="BS59" s="60"/>
      <c r="BT59" s="59"/>
      <c r="BU59" s="59"/>
      <c r="BV59" s="51" t="e">
        <f t="shared" si="46"/>
        <v>#DIV/0!</v>
      </c>
      <c r="BW59" s="146"/>
      <c r="BX59" s="59"/>
      <c r="BY59" s="59"/>
      <c r="BZ59" s="59"/>
      <c r="CA59" s="59"/>
      <c r="CB59" s="59"/>
      <c r="CC59" s="59"/>
      <c r="CD59" s="146"/>
      <c r="CE59" s="146"/>
      <c r="CF59" s="115"/>
      <c r="CG59" s="14"/>
      <c r="CH59" s="14"/>
      <c r="CI59" s="14"/>
    </row>
    <row r="60" spans="1:87">
      <c r="A60" s="18"/>
      <c r="B60" s="18">
        <v>2020</v>
      </c>
      <c r="C60" s="107">
        <f>78.11*100000000</f>
        <v>7811000000</v>
      </c>
      <c r="D60" s="107" t="s">
        <v>89</v>
      </c>
      <c r="E60" s="18"/>
      <c r="F60" s="18"/>
      <c r="G60" s="18"/>
      <c r="H60" s="18"/>
      <c r="I60" s="107"/>
      <c r="J60" s="59"/>
      <c r="K60" s="51"/>
      <c r="L60" s="59"/>
      <c r="M60" s="51"/>
      <c r="N60" s="59"/>
      <c r="O60" s="59"/>
      <c r="P60" s="59"/>
      <c r="Q60" s="59"/>
      <c r="R60" s="59"/>
      <c r="S60" s="59"/>
      <c r="T60" s="59"/>
      <c r="U60" s="59"/>
      <c r="V60" s="59"/>
      <c r="W60" s="59"/>
      <c r="X60" s="59"/>
      <c r="Y60" s="59"/>
      <c r="Z60" s="59"/>
      <c r="AA60" s="59"/>
      <c r="AB60" s="59"/>
      <c r="AC60" s="59"/>
      <c r="AD60" s="60"/>
      <c r="AE60" s="60"/>
      <c r="AF60" s="60"/>
      <c r="AG60" s="60"/>
      <c r="AH60" s="60"/>
      <c r="AI60" s="60"/>
      <c r="AJ60" s="60"/>
      <c r="AK60" s="51"/>
      <c r="AL60" s="60"/>
      <c r="AM60" s="51"/>
      <c r="AN60" s="60"/>
      <c r="AO60" s="60"/>
      <c r="AP60" s="60"/>
      <c r="AQ60" s="60"/>
      <c r="AR60" s="131"/>
      <c r="AS60" s="131"/>
      <c r="AT60" s="131"/>
      <c r="AU60" s="133"/>
      <c r="AV60" s="133"/>
      <c r="AW60" s="133"/>
      <c r="AX60" s="133"/>
      <c r="AY60" s="133"/>
      <c r="AZ60" s="133"/>
      <c r="BA60" s="133"/>
      <c r="BB60" s="14"/>
      <c r="BC60" s="14"/>
      <c r="BD60" s="14"/>
      <c r="BE60" s="14"/>
      <c r="BF60" s="14"/>
      <c r="BG60" s="14"/>
      <c r="BH60" s="14"/>
      <c r="BI60" s="14"/>
      <c r="BJ60" s="14"/>
      <c r="BK60" s="87">
        <f t="shared" si="47"/>
        <v>0</v>
      </c>
      <c r="BL60" s="51"/>
      <c r="BM60" s="60"/>
      <c r="BN60" s="51"/>
      <c r="BO60" s="60"/>
      <c r="BP60" s="51"/>
      <c r="BQ60" s="60"/>
      <c r="BR60" s="60"/>
      <c r="BS60" s="60"/>
      <c r="BT60" s="59"/>
      <c r="BU60" s="59"/>
      <c r="BV60" s="51" t="e">
        <f t="shared" si="46"/>
        <v>#DIV/0!</v>
      </c>
      <c r="BW60" s="146"/>
      <c r="BX60" s="59"/>
      <c r="BY60" s="59"/>
      <c r="BZ60" s="59"/>
      <c r="CA60" s="59"/>
      <c r="CB60" s="59"/>
      <c r="CC60" s="59"/>
      <c r="CD60" s="146"/>
      <c r="CE60" s="146"/>
      <c r="CF60" s="115"/>
      <c r="CG60" s="14"/>
      <c r="CH60" s="14"/>
      <c r="CI60" s="14"/>
    </row>
    <row r="61" spans="1:87">
      <c r="A61" s="18"/>
      <c r="B61" s="18">
        <v>2019</v>
      </c>
      <c r="C61" s="107">
        <f>41.24*100000000</f>
        <v>4124000000</v>
      </c>
      <c r="D61" s="107" t="s">
        <v>90</v>
      </c>
      <c r="E61" s="18"/>
      <c r="F61" s="18"/>
      <c r="G61" s="18"/>
      <c r="H61" s="18"/>
      <c r="I61" s="107"/>
      <c r="J61" s="59"/>
      <c r="K61" s="51"/>
      <c r="L61" s="59"/>
      <c r="M61" s="51"/>
      <c r="N61" s="59"/>
      <c r="O61" s="59"/>
      <c r="P61" s="59"/>
      <c r="Q61" s="59"/>
      <c r="R61" s="59"/>
      <c r="S61" s="59"/>
      <c r="T61" s="59"/>
      <c r="U61" s="59"/>
      <c r="V61" s="59"/>
      <c r="W61" s="59"/>
      <c r="X61" s="59"/>
      <c r="Y61" s="59"/>
      <c r="Z61" s="59"/>
      <c r="AA61" s="59"/>
      <c r="AB61" s="59"/>
      <c r="AC61" s="59"/>
      <c r="AD61" s="60"/>
      <c r="AE61" s="60"/>
      <c r="AF61" s="60"/>
      <c r="AG61" s="60"/>
      <c r="AH61" s="60"/>
      <c r="AI61" s="60"/>
      <c r="AJ61" s="60"/>
      <c r="AK61" s="51"/>
      <c r="AL61" s="60"/>
      <c r="AM61" s="51"/>
      <c r="AN61" s="60"/>
      <c r="AO61" s="60"/>
      <c r="AP61" s="60"/>
      <c r="AQ61" s="60"/>
      <c r="AR61" s="131"/>
      <c r="AS61" s="131"/>
      <c r="AT61" s="131"/>
      <c r="AU61" s="133"/>
      <c r="AV61" s="133"/>
      <c r="AW61" s="133"/>
      <c r="AX61" s="133"/>
      <c r="AY61" s="133"/>
      <c r="AZ61" s="133"/>
      <c r="BA61" s="133"/>
      <c r="BB61" s="14"/>
      <c r="BC61" s="14"/>
      <c r="BD61" s="14"/>
      <c r="BE61" s="14"/>
      <c r="BF61" s="14"/>
      <c r="BG61" s="14"/>
      <c r="BH61" s="14"/>
      <c r="BI61" s="14"/>
      <c r="BJ61" s="14"/>
      <c r="BK61" s="87">
        <f t="shared" si="47"/>
        <v>0</v>
      </c>
      <c r="BL61" s="51"/>
      <c r="BM61" s="60"/>
      <c r="BN61" s="51"/>
      <c r="BO61" s="60"/>
      <c r="BP61" s="51"/>
      <c r="BQ61" s="60"/>
      <c r="BR61" s="60"/>
      <c r="BS61" s="60"/>
      <c r="BT61" s="59"/>
      <c r="BU61" s="59"/>
      <c r="BV61" s="51" t="e">
        <f t="shared" si="46"/>
        <v>#DIV/0!</v>
      </c>
      <c r="BW61" s="146"/>
      <c r="BX61" s="59"/>
      <c r="BY61" s="59"/>
      <c r="BZ61" s="59"/>
      <c r="CA61" s="59"/>
      <c r="CB61" s="59"/>
      <c r="CC61" s="59"/>
      <c r="CD61" s="146"/>
      <c r="CE61" s="146"/>
      <c r="CF61" s="115"/>
      <c r="CG61" s="14"/>
      <c r="CH61" s="14"/>
      <c r="CI61" s="14"/>
    </row>
    <row r="62" spans="1:87">
      <c r="A62" s="18"/>
      <c r="B62" s="18">
        <v>2018</v>
      </c>
      <c r="C62" s="107">
        <f>41.47*100000000</f>
        <v>4147000000</v>
      </c>
      <c r="D62" s="107" t="s">
        <v>91</v>
      </c>
      <c r="E62" s="18"/>
      <c r="F62" s="18"/>
      <c r="G62" s="18"/>
      <c r="H62" s="18"/>
      <c r="I62" s="107"/>
      <c r="J62" s="59"/>
      <c r="K62" s="51"/>
      <c r="L62" s="59"/>
      <c r="M62" s="51"/>
      <c r="N62" s="59"/>
      <c r="O62" s="59"/>
      <c r="P62" s="59"/>
      <c r="Q62" s="59"/>
      <c r="R62" s="59"/>
      <c r="S62" s="59"/>
      <c r="T62" s="59"/>
      <c r="U62" s="59"/>
      <c r="V62" s="59"/>
      <c r="W62" s="59"/>
      <c r="X62" s="59"/>
      <c r="Y62" s="59"/>
      <c r="Z62" s="59"/>
      <c r="AA62" s="59"/>
      <c r="AB62" s="59"/>
      <c r="AC62" s="59"/>
      <c r="AD62" s="60"/>
      <c r="AE62" s="60"/>
      <c r="AF62" s="60"/>
      <c r="AG62" s="60"/>
      <c r="AH62" s="60"/>
      <c r="AI62" s="60"/>
      <c r="AJ62" s="60"/>
      <c r="AK62" s="51"/>
      <c r="AL62" s="60"/>
      <c r="AM62" s="51"/>
      <c r="AN62" s="60"/>
      <c r="AO62" s="60"/>
      <c r="AP62" s="60"/>
      <c r="AQ62" s="60"/>
      <c r="AR62" s="131"/>
      <c r="AS62" s="131"/>
      <c r="AT62" s="131"/>
      <c r="AU62" s="133"/>
      <c r="AV62" s="133"/>
      <c r="AW62" s="133"/>
      <c r="AX62" s="133"/>
      <c r="AY62" s="133"/>
      <c r="AZ62" s="133"/>
      <c r="BA62" s="133"/>
      <c r="BB62" s="14"/>
      <c r="BC62" s="14"/>
      <c r="BD62" s="14"/>
      <c r="BE62" s="14"/>
      <c r="BF62" s="14"/>
      <c r="BG62" s="14"/>
      <c r="BH62" s="14"/>
      <c r="BI62" s="14"/>
      <c r="BJ62" s="14"/>
      <c r="BK62" s="87">
        <f t="shared" si="47"/>
        <v>0</v>
      </c>
      <c r="BL62" s="51"/>
      <c r="BM62" s="60"/>
      <c r="BN62" s="51"/>
      <c r="BO62" s="60"/>
      <c r="BP62" s="51"/>
      <c r="BQ62" s="60"/>
      <c r="BR62" s="60"/>
      <c r="BS62" s="60"/>
      <c r="BT62" s="59"/>
      <c r="BU62" s="59"/>
      <c r="BV62" s="51" t="e">
        <f t="shared" si="46"/>
        <v>#DIV/0!</v>
      </c>
      <c r="BW62" s="146"/>
      <c r="BX62" s="59"/>
      <c r="BY62" s="59"/>
      <c r="BZ62" s="59"/>
      <c r="CA62" s="59"/>
      <c r="CB62" s="59"/>
      <c r="CC62" s="59"/>
      <c r="CD62" s="146"/>
      <c r="CE62" s="146"/>
      <c r="CF62" s="115"/>
      <c r="CG62" s="14"/>
      <c r="CH62" s="14"/>
      <c r="CI62" s="14"/>
    </row>
    <row r="63" spans="1:87">
      <c r="A63" s="18"/>
      <c r="B63" s="18">
        <v>2017</v>
      </c>
      <c r="C63" s="107">
        <f>81.33*100000000</f>
        <v>8133000000</v>
      </c>
      <c r="D63" s="107" t="s">
        <v>92</v>
      </c>
      <c r="E63" s="18"/>
      <c r="F63" s="18"/>
      <c r="G63" s="18"/>
      <c r="H63" s="18"/>
      <c r="I63" s="107"/>
      <c r="J63" s="59"/>
      <c r="K63" s="51"/>
      <c r="L63" s="59"/>
      <c r="M63" s="51"/>
      <c r="N63" s="59"/>
      <c r="O63" s="59"/>
      <c r="P63" s="59"/>
      <c r="Q63" s="59"/>
      <c r="R63" s="59"/>
      <c r="S63" s="59"/>
      <c r="T63" s="59"/>
      <c r="U63" s="59"/>
      <c r="V63" s="59"/>
      <c r="W63" s="59"/>
      <c r="X63" s="59"/>
      <c r="Y63" s="59"/>
      <c r="Z63" s="59"/>
      <c r="AA63" s="59"/>
      <c r="AB63" s="59"/>
      <c r="AC63" s="59"/>
      <c r="AD63" s="60"/>
      <c r="AE63" s="60"/>
      <c r="AF63" s="60"/>
      <c r="AG63" s="60"/>
      <c r="AH63" s="60"/>
      <c r="AI63" s="60"/>
      <c r="AJ63" s="60"/>
      <c r="AK63" s="51"/>
      <c r="AL63" s="60"/>
      <c r="AM63" s="51"/>
      <c r="AN63" s="60"/>
      <c r="AO63" s="60"/>
      <c r="AP63" s="60"/>
      <c r="AQ63" s="60"/>
      <c r="AR63" s="131"/>
      <c r="AS63" s="131"/>
      <c r="AT63" s="131"/>
      <c r="AU63" s="133"/>
      <c r="AV63" s="133"/>
      <c r="AW63" s="133"/>
      <c r="AX63" s="133"/>
      <c r="AY63" s="133"/>
      <c r="AZ63" s="133"/>
      <c r="BA63" s="133"/>
      <c r="BB63" s="14"/>
      <c r="BC63" s="14"/>
      <c r="BD63" s="14"/>
      <c r="BE63" s="14"/>
      <c r="BF63" s="14"/>
      <c r="BG63" s="14"/>
      <c r="BH63" s="14"/>
      <c r="BI63" s="14"/>
      <c r="BJ63" s="14"/>
      <c r="BK63" s="87">
        <f t="shared" si="47"/>
        <v>0</v>
      </c>
      <c r="BL63" s="51"/>
      <c r="BM63" s="60"/>
      <c r="BN63" s="51"/>
      <c r="BO63" s="60"/>
      <c r="BP63" s="51"/>
      <c r="BQ63" s="60"/>
      <c r="BR63" s="60"/>
      <c r="BS63" s="60"/>
      <c r="BT63" s="59"/>
      <c r="BU63" s="59"/>
      <c r="BV63" s="51" t="e">
        <f t="shared" si="46"/>
        <v>#DIV/0!</v>
      </c>
      <c r="BW63" s="146"/>
      <c r="BX63" s="59"/>
      <c r="BY63" s="59"/>
      <c r="BZ63" s="59"/>
      <c r="CA63" s="59"/>
      <c r="CB63" s="59"/>
      <c r="CC63" s="59"/>
      <c r="CD63" s="146"/>
      <c r="CE63" s="146"/>
      <c r="CF63" s="115"/>
      <c r="CG63" s="14"/>
      <c r="CH63" s="14"/>
      <c r="CI63" s="14"/>
    </row>
    <row r="64" spans="1:87">
      <c r="A64" s="18"/>
      <c r="B64" s="18">
        <v>2016</v>
      </c>
      <c r="C64" s="107">
        <f>81.1*100000000</f>
        <v>8110000000</v>
      </c>
      <c r="D64" s="107" t="s">
        <v>93</v>
      </c>
      <c r="E64" s="18"/>
      <c r="F64" s="18"/>
      <c r="G64" s="18"/>
      <c r="H64" s="18"/>
      <c r="I64" s="107"/>
      <c r="J64" s="59"/>
      <c r="K64" s="51"/>
      <c r="L64" s="59"/>
      <c r="M64" s="51"/>
      <c r="N64" s="59"/>
      <c r="O64" s="59"/>
      <c r="P64" s="59"/>
      <c r="Q64" s="59"/>
      <c r="R64" s="59"/>
      <c r="S64" s="59"/>
      <c r="T64" s="59"/>
      <c r="U64" s="59"/>
      <c r="V64" s="59"/>
      <c r="W64" s="59"/>
      <c r="X64" s="59"/>
      <c r="Y64" s="59"/>
      <c r="Z64" s="59"/>
      <c r="AA64" s="59"/>
      <c r="AB64" s="59"/>
      <c r="AC64" s="59"/>
      <c r="AD64" s="60"/>
      <c r="AE64" s="60"/>
      <c r="AF64" s="60"/>
      <c r="AG64" s="60"/>
      <c r="AH64" s="60"/>
      <c r="AI64" s="60"/>
      <c r="AJ64" s="60"/>
      <c r="AK64" s="51"/>
      <c r="AL64" s="60"/>
      <c r="AM64" s="51"/>
      <c r="AN64" s="60"/>
      <c r="AO64" s="60"/>
      <c r="AP64" s="60"/>
      <c r="AQ64" s="60"/>
      <c r="AR64" s="131"/>
      <c r="AS64" s="131"/>
      <c r="AT64" s="131"/>
      <c r="AU64" s="133"/>
      <c r="AV64" s="133"/>
      <c r="AW64" s="133"/>
      <c r="AX64" s="133"/>
      <c r="AY64" s="133"/>
      <c r="AZ64" s="133"/>
      <c r="BA64" s="133"/>
      <c r="BB64" s="14"/>
      <c r="BC64" s="14"/>
      <c r="BD64" s="14"/>
      <c r="BE64" s="14"/>
      <c r="BF64" s="14"/>
      <c r="BG64" s="14"/>
      <c r="BH64" s="14"/>
      <c r="BI64" s="14"/>
      <c r="BJ64" s="14"/>
      <c r="BK64" s="87">
        <f t="shared" si="47"/>
        <v>0</v>
      </c>
      <c r="BL64" s="51"/>
      <c r="BM64" s="60"/>
      <c r="BN64" s="51"/>
      <c r="BO64" s="60"/>
      <c r="BP64" s="51"/>
      <c r="BQ64" s="60"/>
      <c r="BR64" s="60"/>
      <c r="BS64" s="60"/>
      <c r="BT64" s="59"/>
      <c r="BU64" s="59"/>
      <c r="BV64" s="51" t="e">
        <f t="shared" si="46"/>
        <v>#DIV/0!</v>
      </c>
      <c r="BW64" s="146"/>
      <c r="BX64" s="59"/>
      <c r="BY64" s="59"/>
      <c r="BZ64" s="59"/>
      <c r="CA64" s="59"/>
      <c r="CB64" s="59"/>
      <c r="CC64" s="59"/>
      <c r="CD64" s="146"/>
      <c r="CE64" s="146"/>
      <c r="CF64" s="115"/>
      <c r="CG64" s="14"/>
      <c r="CH64" s="14"/>
      <c r="CI64" s="14"/>
    </row>
    <row r="65" spans="1:87">
      <c r="A65" s="18"/>
      <c r="B65" s="18">
        <v>2015</v>
      </c>
      <c r="C65" s="107">
        <f>93.54*100000000</f>
        <v>9354000000</v>
      </c>
      <c r="D65" s="107" t="s">
        <v>94</v>
      </c>
      <c r="E65" s="18"/>
      <c r="F65" s="18"/>
      <c r="G65" s="18"/>
      <c r="H65" s="18"/>
      <c r="I65" s="107"/>
      <c r="J65" s="59"/>
      <c r="K65" s="51"/>
      <c r="L65" s="59"/>
      <c r="M65" s="51"/>
      <c r="N65" s="59"/>
      <c r="O65" s="59"/>
      <c r="P65" s="59"/>
      <c r="Q65" s="59"/>
      <c r="R65" s="59"/>
      <c r="S65" s="59"/>
      <c r="T65" s="59"/>
      <c r="U65" s="59"/>
      <c r="V65" s="59"/>
      <c r="W65" s="59"/>
      <c r="X65" s="59"/>
      <c r="Y65" s="59"/>
      <c r="Z65" s="59"/>
      <c r="AA65" s="59"/>
      <c r="AB65" s="59"/>
      <c r="AC65" s="59"/>
      <c r="AD65" s="60"/>
      <c r="AE65" s="60"/>
      <c r="AF65" s="60"/>
      <c r="AG65" s="60"/>
      <c r="AH65" s="60"/>
      <c r="AI65" s="60"/>
      <c r="AJ65" s="60"/>
      <c r="AK65" s="51"/>
      <c r="AL65" s="60"/>
      <c r="AM65" s="51"/>
      <c r="AN65" s="60"/>
      <c r="AO65" s="60"/>
      <c r="AP65" s="60"/>
      <c r="AQ65" s="60"/>
      <c r="AR65" s="131"/>
      <c r="AS65" s="131"/>
      <c r="AT65" s="131"/>
      <c r="AU65" s="133"/>
      <c r="AV65" s="133"/>
      <c r="AW65" s="133"/>
      <c r="AX65" s="133"/>
      <c r="AY65" s="133"/>
      <c r="AZ65" s="133"/>
      <c r="BA65" s="133"/>
      <c r="BB65" s="14"/>
      <c r="BC65" s="14"/>
      <c r="BD65" s="14"/>
      <c r="BE65" s="14"/>
      <c r="BF65" s="14"/>
      <c r="BG65" s="14"/>
      <c r="BH65" s="14"/>
      <c r="BI65" s="14"/>
      <c r="BJ65" s="14"/>
      <c r="BK65" s="87">
        <f t="shared" si="47"/>
        <v>0</v>
      </c>
      <c r="BL65" s="51"/>
      <c r="BM65" s="60"/>
      <c r="BN65" s="51"/>
      <c r="BO65" s="60"/>
      <c r="BP65" s="51"/>
      <c r="BQ65" s="60"/>
      <c r="BR65" s="60"/>
      <c r="BS65" s="60"/>
      <c r="BT65" s="59"/>
      <c r="BU65" s="59"/>
      <c r="BV65" s="51" t="e">
        <f t="shared" si="46"/>
        <v>#DIV/0!</v>
      </c>
      <c r="BW65" s="146"/>
      <c r="BX65" s="59"/>
      <c r="BY65" s="59"/>
      <c r="BZ65" s="59"/>
      <c r="CA65" s="59"/>
      <c r="CB65" s="59"/>
      <c r="CC65" s="59"/>
      <c r="CD65" s="146"/>
      <c r="CE65" s="146"/>
      <c r="CF65" s="115"/>
      <c r="CG65" s="14"/>
      <c r="CH65" s="14"/>
      <c r="CI65" s="14"/>
    </row>
    <row r="66" spans="1:87">
      <c r="A66" s="18"/>
      <c r="B66" s="18">
        <v>2014</v>
      </c>
      <c r="C66" s="107">
        <f>54.51*100000000</f>
        <v>5451000000</v>
      </c>
      <c r="D66" s="107" t="s">
        <v>95</v>
      </c>
      <c r="E66" s="18"/>
      <c r="F66" s="18"/>
      <c r="G66" s="18"/>
      <c r="H66" s="18"/>
      <c r="I66" s="107"/>
      <c r="J66" s="59"/>
      <c r="K66" s="51"/>
      <c r="L66" s="59"/>
      <c r="M66" s="51"/>
      <c r="N66" s="59"/>
      <c r="O66" s="59"/>
      <c r="P66" s="59"/>
      <c r="Q66" s="59"/>
      <c r="R66" s="59"/>
      <c r="S66" s="59"/>
      <c r="T66" s="59"/>
      <c r="U66" s="59"/>
      <c r="V66" s="59"/>
      <c r="W66" s="59"/>
      <c r="X66" s="59"/>
      <c r="Y66" s="59"/>
      <c r="Z66" s="59"/>
      <c r="AA66" s="59"/>
      <c r="AB66" s="59"/>
      <c r="AC66" s="59"/>
      <c r="AD66" s="60"/>
      <c r="AE66" s="60"/>
      <c r="AF66" s="60"/>
      <c r="AG66" s="60"/>
      <c r="AH66" s="60"/>
      <c r="AI66" s="60"/>
      <c r="AJ66" s="60"/>
      <c r="AK66" s="51"/>
      <c r="AL66" s="60"/>
      <c r="AM66" s="51"/>
      <c r="AN66" s="60"/>
      <c r="AO66" s="60"/>
      <c r="AP66" s="60"/>
      <c r="AQ66" s="60"/>
      <c r="AR66" s="131"/>
      <c r="AS66" s="131"/>
      <c r="AT66" s="131"/>
      <c r="AU66" s="133"/>
      <c r="AV66" s="133"/>
      <c r="AW66" s="133"/>
      <c r="AX66" s="133"/>
      <c r="AY66" s="133"/>
      <c r="AZ66" s="133"/>
      <c r="BA66" s="133"/>
      <c r="BB66" s="14"/>
      <c r="BC66" s="14"/>
      <c r="BD66" s="14"/>
      <c r="BE66" s="14"/>
      <c r="BF66" s="14"/>
      <c r="BG66" s="14"/>
      <c r="BH66" s="14"/>
      <c r="BI66" s="14"/>
      <c r="BJ66" s="14"/>
      <c r="BK66" s="87">
        <f t="shared" si="47"/>
        <v>0</v>
      </c>
      <c r="BL66" s="51"/>
      <c r="BM66" s="60"/>
      <c r="BN66" s="51"/>
      <c r="BO66" s="60"/>
      <c r="BP66" s="51"/>
      <c r="BQ66" s="60"/>
      <c r="BR66" s="60"/>
      <c r="BS66" s="60"/>
      <c r="BT66" s="59"/>
      <c r="BU66" s="59"/>
      <c r="BV66" s="51" t="e">
        <f t="shared" si="46"/>
        <v>#DIV/0!</v>
      </c>
      <c r="BW66" s="146"/>
      <c r="BX66" s="59"/>
      <c r="BY66" s="59"/>
      <c r="BZ66" s="59"/>
      <c r="CA66" s="59"/>
      <c r="CB66" s="59"/>
      <c r="CC66" s="59"/>
      <c r="CD66" s="146"/>
      <c r="CE66" s="146"/>
      <c r="CF66" s="115"/>
      <c r="CG66" s="14"/>
      <c r="CH66" s="14"/>
      <c r="CI66" s="14"/>
    </row>
    <row r="67" spans="1:87">
      <c r="A67" s="18"/>
      <c r="B67" s="18">
        <v>2013</v>
      </c>
      <c r="C67" s="107">
        <f>43.82*100000000</f>
        <v>4382000000</v>
      </c>
      <c r="D67" s="18" t="s">
        <v>97</v>
      </c>
      <c r="E67" s="18"/>
      <c r="F67" s="18"/>
      <c r="G67" s="18"/>
      <c r="H67" s="18"/>
      <c r="I67" s="107"/>
      <c r="J67" s="59"/>
      <c r="K67" s="51"/>
      <c r="L67" s="59"/>
      <c r="M67" s="51"/>
      <c r="N67" s="59"/>
      <c r="O67" s="59"/>
      <c r="P67" s="59"/>
      <c r="Q67" s="59"/>
      <c r="R67" s="59"/>
      <c r="S67" s="59"/>
      <c r="T67" s="59"/>
      <c r="U67" s="59"/>
      <c r="V67" s="59"/>
      <c r="W67" s="59"/>
      <c r="X67" s="59"/>
      <c r="Y67" s="59"/>
      <c r="Z67" s="59"/>
      <c r="AA67" s="59"/>
      <c r="AB67" s="59"/>
      <c r="AC67" s="59"/>
      <c r="AD67" s="60"/>
      <c r="AE67" s="60"/>
      <c r="AF67" s="60"/>
      <c r="AG67" s="60"/>
      <c r="AH67" s="60"/>
      <c r="AI67" s="60"/>
      <c r="AJ67" s="60"/>
      <c r="AK67" s="51"/>
      <c r="AL67" s="60"/>
      <c r="AM67" s="51"/>
      <c r="AN67" s="60"/>
      <c r="AO67" s="60"/>
      <c r="AP67" s="60"/>
      <c r="AQ67" s="60"/>
      <c r="AR67" s="131"/>
      <c r="AS67" s="131"/>
      <c r="AT67" s="131"/>
      <c r="AU67" s="133"/>
      <c r="AV67" s="133"/>
      <c r="AW67" s="133"/>
      <c r="AX67" s="133"/>
      <c r="AY67" s="133"/>
      <c r="AZ67" s="133"/>
      <c r="BA67" s="133"/>
      <c r="BB67" s="14"/>
      <c r="BC67" s="14"/>
      <c r="BD67" s="14"/>
      <c r="BE67" s="14"/>
      <c r="BF67" s="14"/>
      <c r="BG67" s="14"/>
      <c r="BH67" s="14"/>
      <c r="BI67" s="14"/>
      <c r="BJ67" s="14"/>
      <c r="BK67" s="87">
        <f t="shared" si="47"/>
        <v>0</v>
      </c>
      <c r="BL67" s="51"/>
      <c r="BM67" s="60"/>
      <c r="BN67" s="51"/>
      <c r="BO67" s="60"/>
      <c r="BP67" s="51"/>
      <c r="BQ67" s="60"/>
      <c r="BR67" s="60"/>
      <c r="BS67" s="60"/>
      <c r="BT67" s="59"/>
      <c r="BU67" s="59"/>
      <c r="BV67" s="51" t="e">
        <f t="shared" si="46"/>
        <v>#DIV/0!</v>
      </c>
      <c r="BW67" s="146"/>
      <c r="BX67" s="59"/>
      <c r="BY67" s="59"/>
      <c r="BZ67" s="59"/>
      <c r="CA67" s="59"/>
      <c r="CB67" s="59"/>
      <c r="CC67" s="59"/>
      <c r="CD67" s="146"/>
      <c r="CE67" s="146"/>
      <c r="CF67" s="115"/>
      <c r="CG67" s="14"/>
      <c r="CH67" s="14"/>
      <c r="CI67" s="14"/>
    </row>
    <row r="68" spans="1:87">
      <c r="A68" s="18"/>
      <c r="B68" s="18">
        <v>2012</v>
      </c>
      <c r="C68" s="107"/>
      <c r="D68" s="18"/>
      <c r="E68" s="18"/>
      <c r="F68" s="18"/>
      <c r="G68" s="18"/>
      <c r="H68" s="18"/>
      <c r="I68" s="107"/>
      <c r="J68" s="59"/>
      <c r="K68" s="51"/>
      <c r="L68" s="59"/>
      <c r="M68" s="51"/>
      <c r="N68" s="59"/>
      <c r="O68" s="59"/>
      <c r="P68" s="59"/>
      <c r="Q68" s="59"/>
      <c r="R68" s="59"/>
      <c r="S68" s="59"/>
      <c r="T68" s="59"/>
      <c r="U68" s="59"/>
      <c r="V68" s="59"/>
      <c r="W68" s="59"/>
      <c r="X68" s="59"/>
      <c r="Y68" s="59"/>
      <c r="Z68" s="59"/>
      <c r="AA68" s="59"/>
      <c r="AB68" s="59"/>
      <c r="AC68" s="59"/>
      <c r="AD68" s="60"/>
      <c r="AE68" s="60"/>
      <c r="AF68" s="60"/>
      <c r="AG68" s="60"/>
      <c r="AH68" s="60"/>
      <c r="AI68" s="60"/>
      <c r="AJ68" s="60"/>
      <c r="AK68" s="51"/>
      <c r="AL68" s="60"/>
      <c r="AM68" s="51"/>
      <c r="AN68" s="60"/>
      <c r="AO68" s="60"/>
      <c r="AP68" s="60"/>
      <c r="AQ68" s="60"/>
      <c r="AR68" s="131"/>
      <c r="AS68" s="131"/>
      <c r="AT68" s="131"/>
      <c r="AU68" s="133"/>
      <c r="AV68" s="133"/>
      <c r="AW68" s="133"/>
      <c r="AX68" s="133"/>
      <c r="AY68" s="133"/>
      <c r="AZ68" s="133"/>
      <c r="BA68" s="133"/>
      <c r="BB68" s="14"/>
      <c r="BC68" s="14"/>
      <c r="BD68" s="14"/>
      <c r="BE68" s="14"/>
      <c r="BF68" s="14"/>
      <c r="BG68" s="14"/>
      <c r="BH68" s="14"/>
      <c r="BI68" s="14"/>
      <c r="BJ68" s="14"/>
      <c r="BK68" s="87">
        <f t="shared" si="47"/>
        <v>0</v>
      </c>
      <c r="BL68" s="51"/>
      <c r="BM68" s="60"/>
      <c r="BN68" s="51"/>
      <c r="BO68" s="60"/>
      <c r="BP68" s="51"/>
      <c r="BQ68" s="60"/>
      <c r="BR68" s="60"/>
      <c r="BS68" s="60"/>
      <c r="BT68" s="59"/>
      <c r="BU68" s="59"/>
      <c r="BV68" s="51" t="e">
        <f t="shared" si="46"/>
        <v>#DIV/0!</v>
      </c>
      <c r="BW68" s="146"/>
      <c r="BX68" s="59"/>
      <c r="BY68" s="59"/>
      <c r="BZ68" s="59"/>
      <c r="CA68" s="59"/>
      <c r="CB68" s="59"/>
      <c r="CC68" s="59"/>
      <c r="CD68" s="146"/>
      <c r="CE68" s="146"/>
      <c r="CF68" s="115"/>
      <c r="CG68" s="14"/>
      <c r="CH68" s="14"/>
      <c r="CI68" s="14"/>
    </row>
    <row r="69" spans="1:87">
      <c r="A69" s="18" t="s">
        <v>102</v>
      </c>
      <c r="B69" s="18">
        <v>2022</v>
      </c>
      <c r="C69" s="107"/>
      <c r="D69" s="18"/>
      <c r="E69" s="18"/>
      <c r="F69" s="18"/>
      <c r="G69" s="18"/>
      <c r="H69" s="18"/>
      <c r="I69" s="107"/>
      <c r="J69" s="59"/>
      <c r="K69" s="51"/>
      <c r="L69" s="59"/>
      <c r="M69" s="51"/>
      <c r="N69" s="59"/>
      <c r="O69" s="59"/>
      <c r="P69" s="59"/>
      <c r="Q69" s="59"/>
      <c r="R69" s="59"/>
      <c r="S69" s="59"/>
      <c r="T69" s="59"/>
      <c r="U69" s="59"/>
      <c r="V69" s="59"/>
      <c r="W69" s="59"/>
      <c r="X69" s="59"/>
      <c r="Y69" s="59"/>
      <c r="Z69" s="59"/>
      <c r="AA69" s="59"/>
      <c r="AB69" s="59"/>
      <c r="AC69" s="59"/>
      <c r="AD69" s="60"/>
      <c r="AE69" s="60"/>
      <c r="AF69" s="60"/>
      <c r="AG69" s="60"/>
      <c r="AH69" s="60"/>
      <c r="AI69" s="60"/>
      <c r="AJ69" s="60"/>
      <c r="AK69" s="51"/>
      <c r="AL69" s="60"/>
      <c r="AM69" s="51"/>
      <c r="AN69" s="60"/>
      <c r="AO69" s="60"/>
      <c r="AP69" s="60"/>
      <c r="AQ69" s="60"/>
      <c r="AR69" s="131"/>
      <c r="AS69" s="131"/>
      <c r="AT69" s="131"/>
      <c r="AU69" s="133"/>
      <c r="AV69" s="133"/>
      <c r="AW69" s="133"/>
      <c r="AX69" s="133"/>
      <c r="AY69" s="133"/>
      <c r="AZ69" s="133"/>
      <c r="BA69" s="133"/>
      <c r="BB69" s="14"/>
      <c r="BC69" s="14"/>
      <c r="BD69" s="14"/>
      <c r="BE69" s="14"/>
      <c r="BF69" s="14"/>
      <c r="BG69" s="14"/>
      <c r="BH69" s="14"/>
      <c r="BI69" s="14"/>
      <c r="BJ69" s="14"/>
      <c r="BK69" s="87">
        <f t="shared" si="47"/>
        <v>0</v>
      </c>
      <c r="BL69" s="51"/>
      <c r="BM69" s="60"/>
      <c r="BN69" s="51"/>
      <c r="BO69" s="60"/>
      <c r="BP69" s="51"/>
      <c r="BQ69" s="60"/>
      <c r="BR69" s="60"/>
      <c r="BS69" s="60"/>
      <c r="BT69" s="59"/>
      <c r="BU69" s="59"/>
      <c r="BV69" s="51" t="e">
        <f t="shared" si="46"/>
        <v>#DIV/0!</v>
      </c>
      <c r="BW69" s="146"/>
      <c r="BX69" s="59"/>
      <c r="BY69" s="59"/>
      <c r="BZ69" s="59"/>
      <c r="CA69" s="59"/>
      <c r="CB69" s="59"/>
      <c r="CC69" s="59"/>
      <c r="CD69" s="146"/>
      <c r="CE69" s="146"/>
      <c r="CF69" s="115"/>
      <c r="CG69" s="14"/>
      <c r="CH69" s="14"/>
      <c r="CI69" s="14"/>
    </row>
    <row r="70" spans="1:87">
      <c r="A70" s="18"/>
      <c r="B70" s="18">
        <v>2021</v>
      </c>
      <c r="C70" s="107"/>
      <c r="D70" s="18"/>
      <c r="E70" s="18"/>
      <c r="F70" s="18"/>
      <c r="G70" s="18"/>
      <c r="H70" s="18"/>
      <c r="I70" s="107"/>
      <c r="J70" s="59"/>
      <c r="K70" s="51"/>
      <c r="L70" s="59"/>
      <c r="M70" s="51"/>
      <c r="N70" s="59"/>
      <c r="O70" s="59"/>
      <c r="P70" s="59"/>
      <c r="Q70" s="59"/>
      <c r="R70" s="59"/>
      <c r="S70" s="59"/>
      <c r="T70" s="59"/>
      <c r="U70" s="59"/>
      <c r="V70" s="59"/>
      <c r="W70" s="59"/>
      <c r="X70" s="59"/>
      <c r="Y70" s="59"/>
      <c r="Z70" s="59"/>
      <c r="AA70" s="59"/>
      <c r="AB70" s="59"/>
      <c r="AC70" s="59"/>
      <c r="AD70" s="60"/>
      <c r="AE70" s="60"/>
      <c r="AF70" s="60"/>
      <c r="AG70" s="60"/>
      <c r="AH70" s="60"/>
      <c r="AI70" s="60"/>
      <c r="AJ70" s="60"/>
      <c r="AK70" s="51"/>
      <c r="AL70" s="60"/>
      <c r="AM70" s="51"/>
      <c r="AN70" s="60"/>
      <c r="AO70" s="60"/>
      <c r="AP70" s="60"/>
      <c r="AQ70" s="60"/>
      <c r="AR70" s="131"/>
      <c r="AS70" s="131"/>
      <c r="AT70" s="131"/>
      <c r="AU70" s="133"/>
      <c r="AV70" s="133"/>
      <c r="AW70" s="133"/>
      <c r="AX70" s="133"/>
      <c r="AY70" s="133"/>
      <c r="AZ70" s="133"/>
      <c r="BA70" s="133"/>
      <c r="BB70" s="14"/>
      <c r="BC70" s="14"/>
      <c r="BD70" s="14"/>
      <c r="BE70" s="14"/>
      <c r="BF70" s="14"/>
      <c r="BG70" s="14"/>
      <c r="BH70" s="14"/>
      <c r="BI70" s="14"/>
      <c r="BJ70" s="14"/>
      <c r="BK70" s="87">
        <f t="shared" si="47"/>
        <v>0</v>
      </c>
      <c r="BL70" s="51"/>
      <c r="BM70" s="60"/>
      <c r="BN70" s="51"/>
      <c r="BO70" s="60"/>
      <c r="BP70" s="51"/>
      <c r="BQ70" s="60"/>
      <c r="BR70" s="60"/>
      <c r="BS70" s="60"/>
      <c r="BT70" s="59"/>
      <c r="BU70" s="59"/>
      <c r="BV70" s="51" t="e">
        <f t="shared" si="46"/>
        <v>#DIV/0!</v>
      </c>
      <c r="BW70" s="146"/>
      <c r="BX70" s="59"/>
      <c r="BY70" s="59"/>
      <c r="BZ70" s="59"/>
      <c r="CA70" s="59"/>
      <c r="CB70" s="59"/>
      <c r="CC70" s="59"/>
      <c r="CD70" s="146"/>
      <c r="CE70" s="146"/>
      <c r="CF70" s="115"/>
      <c r="CG70" s="14"/>
      <c r="CH70" s="14"/>
      <c r="CI70" s="14"/>
    </row>
    <row r="71" spans="1:87">
      <c r="A71" s="18"/>
      <c r="B71" s="18">
        <v>2020</v>
      </c>
      <c r="C71" s="107"/>
      <c r="D71" s="18"/>
      <c r="E71" s="18"/>
      <c r="F71" s="18"/>
      <c r="G71" s="18"/>
      <c r="H71" s="18"/>
      <c r="I71" s="107"/>
      <c r="J71" s="59"/>
      <c r="K71" s="51"/>
      <c r="L71" s="59"/>
      <c r="M71" s="51"/>
      <c r="N71" s="59"/>
      <c r="O71" s="59"/>
      <c r="P71" s="59"/>
      <c r="Q71" s="59"/>
      <c r="R71" s="59"/>
      <c r="S71" s="59"/>
      <c r="T71" s="59"/>
      <c r="U71" s="59"/>
      <c r="V71" s="59"/>
      <c r="W71" s="59"/>
      <c r="X71" s="59"/>
      <c r="Y71" s="59"/>
      <c r="Z71" s="59"/>
      <c r="AA71" s="59"/>
      <c r="AB71" s="59"/>
      <c r="AC71" s="59"/>
      <c r="AD71" s="60"/>
      <c r="AE71" s="60"/>
      <c r="AF71" s="60"/>
      <c r="AG71" s="60"/>
      <c r="AH71" s="60"/>
      <c r="AI71" s="60"/>
      <c r="AJ71" s="60"/>
      <c r="AK71" s="51"/>
      <c r="AL71" s="60"/>
      <c r="AM71" s="51"/>
      <c r="AN71" s="60"/>
      <c r="AO71" s="60"/>
      <c r="AP71" s="60"/>
      <c r="AQ71" s="60"/>
      <c r="AR71" s="131"/>
      <c r="AS71" s="131"/>
      <c r="AT71" s="131"/>
      <c r="AU71" s="133"/>
      <c r="AV71" s="133"/>
      <c r="AW71" s="133"/>
      <c r="AX71" s="133"/>
      <c r="AY71" s="133"/>
      <c r="AZ71" s="133"/>
      <c r="BA71" s="133"/>
      <c r="BB71" s="14"/>
      <c r="BC71" s="14"/>
      <c r="BD71" s="14"/>
      <c r="BE71" s="14"/>
      <c r="BF71" s="14"/>
      <c r="BG71" s="14"/>
      <c r="BH71" s="14"/>
      <c r="BI71" s="14"/>
      <c r="BJ71" s="14"/>
      <c r="BK71" s="87">
        <f t="shared" si="47"/>
        <v>0</v>
      </c>
      <c r="BL71" s="51"/>
      <c r="BM71" s="60"/>
      <c r="BN71" s="51"/>
      <c r="BO71" s="60"/>
      <c r="BP71" s="51"/>
      <c r="BQ71" s="60"/>
      <c r="BR71" s="60"/>
      <c r="BS71" s="60"/>
      <c r="BT71" s="59"/>
      <c r="BU71" s="59"/>
      <c r="BV71" s="51" t="e">
        <f t="shared" si="46"/>
        <v>#DIV/0!</v>
      </c>
      <c r="BW71" s="146"/>
      <c r="BX71" s="59"/>
      <c r="BY71" s="59"/>
      <c r="BZ71" s="59"/>
      <c r="CA71" s="59"/>
      <c r="CB71" s="59"/>
      <c r="CC71" s="59"/>
      <c r="CD71" s="146"/>
      <c r="CE71" s="146"/>
      <c r="CF71" s="115"/>
      <c r="CG71" s="14"/>
      <c r="CH71" s="14"/>
      <c r="CI71" s="14"/>
    </row>
    <row r="72" spans="1:87">
      <c r="A72" s="18"/>
      <c r="B72" s="18">
        <v>2019</v>
      </c>
      <c r="C72" s="107"/>
      <c r="D72" s="18"/>
      <c r="E72" s="18"/>
      <c r="F72" s="18"/>
      <c r="G72" s="18"/>
      <c r="H72" s="18"/>
      <c r="I72" s="107"/>
      <c r="J72" s="59"/>
      <c r="K72" s="51"/>
      <c r="L72" s="59"/>
      <c r="M72" s="51"/>
      <c r="N72" s="59"/>
      <c r="O72" s="59"/>
      <c r="P72" s="59"/>
      <c r="Q72" s="59"/>
      <c r="R72" s="59"/>
      <c r="S72" s="59"/>
      <c r="T72" s="59"/>
      <c r="U72" s="59"/>
      <c r="V72" s="59"/>
      <c r="W72" s="59"/>
      <c r="X72" s="59"/>
      <c r="Y72" s="59"/>
      <c r="Z72" s="59"/>
      <c r="AA72" s="59"/>
      <c r="AB72" s="59"/>
      <c r="AC72" s="59"/>
      <c r="AD72" s="60"/>
      <c r="AE72" s="60"/>
      <c r="AF72" s="60"/>
      <c r="AG72" s="60"/>
      <c r="AH72" s="60"/>
      <c r="AI72" s="60"/>
      <c r="AJ72" s="60"/>
      <c r="AK72" s="51"/>
      <c r="AL72" s="60"/>
      <c r="AM72" s="51"/>
      <c r="AN72" s="60"/>
      <c r="AO72" s="60"/>
      <c r="AP72" s="60"/>
      <c r="AQ72" s="60"/>
      <c r="AR72" s="131"/>
      <c r="AS72" s="131"/>
      <c r="AT72" s="131"/>
      <c r="AU72" s="133"/>
      <c r="AV72" s="133"/>
      <c r="AW72" s="133"/>
      <c r="AX72" s="133"/>
      <c r="AY72" s="133"/>
      <c r="AZ72" s="133"/>
      <c r="BA72" s="133"/>
      <c r="BB72" s="14"/>
      <c r="BC72" s="14"/>
      <c r="BD72" s="14"/>
      <c r="BE72" s="14"/>
      <c r="BF72" s="14"/>
      <c r="BG72" s="14"/>
      <c r="BH72" s="14"/>
      <c r="BI72" s="14"/>
      <c r="BJ72" s="14"/>
      <c r="BK72" s="87">
        <f t="shared" si="47"/>
        <v>0</v>
      </c>
      <c r="BL72" s="51"/>
      <c r="BM72" s="60"/>
      <c r="BN72" s="51"/>
      <c r="BO72" s="60"/>
      <c r="BP72" s="51"/>
      <c r="BQ72" s="60"/>
      <c r="BR72" s="60"/>
      <c r="BS72" s="60"/>
      <c r="BT72" s="59"/>
      <c r="BU72" s="59"/>
      <c r="BV72" s="51" t="e">
        <f t="shared" si="46"/>
        <v>#DIV/0!</v>
      </c>
      <c r="BW72" s="146"/>
      <c r="BX72" s="59"/>
      <c r="BY72" s="59"/>
      <c r="BZ72" s="59"/>
      <c r="CA72" s="59"/>
      <c r="CB72" s="59"/>
      <c r="CC72" s="59"/>
      <c r="CD72" s="146"/>
      <c r="CE72" s="146"/>
      <c r="CF72" s="115"/>
      <c r="CG72" s="14"/>
      <c r="CH72" s="14"/>
      <c r="CI72" s="14"/>
    </row>
    <row r="73" spans="1:87">
      <c r="A73" s="18"/>
      <c r="B73" s="18">
        <v>2018</v>
      </c>
      <c r="C73" s="107"/>
      <c r="D73" s="18"/>
      <c r="E73" s="18"/>
      <c r="F73" s="18"/>
      <c r="G73" s="18"/>
      <c r="H73" s="18"/>
      <c r="I73" s="107"/>
      <c r="J73" s="59"/>
      <c r="K73" s="51"/>
      <c r="L73" s="59"/>
      <c r="M73" s="51"/>
      <c r="N73" s="59"/>
      <c r="O73" s="59"/>
      <c r="P73" s="59"/>
      <c r="Q73" s="59"/>
      <c r="R73" s="59"/>
      <c r="S73" s="59"/>
      <c r="T73" s="59"/>
      <c r="U73" s="59"/>
      <c r="V73" s="59"/>
      <c r="W73" s="59"/>
      <c r="X73" s="59"/>
      <c r="Y73" s="59"/>
      <c r="Z73" s="59"/>
      <c r="AA73" s="59"/>
      <c r="AB73" s="59"/>
      <c r="AC73" s="59"/>
      <c r="AD73" s="60"/>
      <c r="AE73" s="60"/>
      <c r="AF73" s="60"/>
      <c r="AG73" s="60"/>
      <c r="AH73" s="60"/>
      <c r="AI73" s="60"/>
      <c r="AJ73" s="60"/>
      <c r="AK73" s="51"/>
      <c r="AL73" s="60"/>
      <c r="AM73" s="51"/>
      <c r="AN73" s="60"/>
      <c r="AO73" s="60"/>
      <c r="AP73" s="60"/>
      <c r="AQ73" s="60"/>
      <c r="AR73" s="131"/>
      <c r="AS73" s="131"/>
      <c r="AT73" s="131"/>
      <c r="AU73" s="133"/>
      <c r="AV73" s="133"/>
      <c r="AW73" s="133"/>
      <c r="AX73" s="133"/>
      <c r="AY73" s="133"/>
      <c r="AZ73" s="133"/>
      <c r="BA73" s="133"/>
      <c r="BB73" s="14"/>
      <c r="BC73" s="14"/>
      <c r="BD73" s="14"/>
      <c r="BE73" s="14"/>
      <c r="BF73" s="14"/>
      <c r="BG73" s="14"/>
      <c r="BH73" s="14"/>
      <c r="BI73" s="14"/>
      <c r="BJ73" s="14"/>
      <c r="BK73" s="87">
        <f t="shared" si="47"/>
        <v>0</v>
      </c>
      <c r="BL73" s="51"/>
      <c r="BM73" s="60"/>
      <c r="BN73" s="51"/>
      <c r="BO73" s="60"/>
      <c r="BP73" s="51"/>
      <c r="BQ73" s="60"/>
      <c r="BR73" s="60"/>
      <c r="BS73" s="60"/>
      <c r="BT73" s="59"/>
      <c r="BU73" s="59"/>
      <c r="BV73" s="51" t="e">
        <f t="shared" si="46"/>
        <v>#DIV/0!</v>
      </c>
      <c r="BW73" s="146"/>
      <c r="BX73" s="59"/>
      <c r="BY73" s="59"/>
      <c r="BZ73" s="59"/>
      <c r="CA73" s="59"/>
      <c r="CB73" s="59"/>
      <c r="CC73" s="59"/>
      <c r="CD73" s="146"/>
      <c r="CE73" s="146"/>
      <c r="CF73" s="115"/>
      <c r="CG73" s="14"/>
      <c r="CH73" s="14"/>
      <c r="CI73" s="14"/>
    </row>
    <row r="74" spans="1:87">
      <c r="A74" s="18"/>
      <c r="B74" s="18">
        <v>2017</v>
      </c>
      <c r="C74" s="107"/>
      <c r="D74" s="18"/>
      <c r="E74" s="18"/>
      <c r="F74" s="18"/>
      <c r="G74" s="18"/>
      <c r="H74" s="18"/>
      <c r="I74" s="107"/>
      <c r="J74" s="59"/>
      <c r="K74" s="51"/>
      <c r="L74" s="59"/>
      <c r="M74" s="51"/>
      <c r="N74" s="59"/>
      <c r="O74" s="59"/>
      <c r="P74" s="59"/>
      <c r="Q74" s="59"/>
      <c r="R74" s="59"/>
      <c r="S74" s="59"/>
      <c r="T74" s="59"/>
      <c r="U74" s="59"/>
      <c r="V74" s="59"/>
      <c r="W74" s="59"/>
      <c r="X74" s="59"/>
      <c r="Y74" s="59"/>
      <c r="Z74" s="59"/>
      <c r="AA74" s="59"/>
      <c r="AB74" s="59"/>
      <c r="AC74" s="59"/>
      <c r="AD74" s="60"/>
      <c r="AE74" s="60"/>
      <c r="AF74" s="60"/>
      <c r="AG74" s="60"/>
      <c r="AH74" s="60"/>
      <c r="AI74" s="60"/>
      <c r="AJ74" s="60"/>
      <c r="AK74" s="51"/>
      <c r="AL74" s="60"/>
      <c r="AM74" s="51"/>
      <c r="AN74" s="60"/>
      <c r="AO74" s="60"/>
      <c r="AP74" s="60"/>
      <c r="AQ74" s="60"/>
      <c r="AR74" s="131"/>
      <c r="AS74" s="131"/>
      <c r="AT74" s="131"/>
      <c r="AU74" s="133"/>
      <c r="AV74" s="133"/>
      <c r="AW74" s="133"/>
      <c r="AX74" s="133"/>
      <c r="AY74" s="133"/>
      <c r="AZ74" s="133"/>
      <c r="BA74" s="133"/>
      <c r="BB74" s="14"/>
      <c r="BC74" s="14"/>
      <c r="BD74" s="14"/>
      <c r="BE74" s="14"/>
      <c r="BF74" s="14"/>
      <c r="BG74" s="14"/>
      <c r="BH74" s="14"/>
      <c r="BI74" s="14"/>
      <c r="BJ74" s="14"/>
      <c r="BK74" s="87">
        <f t="shared" si="47"/>
        <v>0</v>
      </c>
      <c r="BL74" s="51"/>
      <c r="BM74" s="60"/>
      <c r="BN74" s="51"/>
      <c r="BO74" s="60"/>
      <c r="BP74" s="51"/>
      <c r="BQ74" s="60"/>
      <c r="BR74" s="60"/>
      <c r="BS74" s="60"/>
      <c r="BT74" s="59"/>
      <c r="BU74" s="59"/>
      <c r="BV74" s="51" t="e">
        <f t="shared" si="46"/>
        <v>#DIV/0!</v>
      </c>
      <c r="BW74" s="146"/>
      <c r="BX74" s="59"/>
      <c r="BY74" s="59"/>
      <c r="BZ74" s="59"/>
      <c r="CA74" s="59"/>
      <c r="CB74" s="59"/>
      <c r="CC74" s="59"/>
      <c r="CD74" s="146"/>
      <c r="CE74" s="146"/>
      <c r="CF74" s="115"/>
      <c r="CG74" s="14"/>
      <c r="CH74" s="14"/>
      <c r="CI74" s="14"/>
    </row>
    <row r="75" spans="1:87">
      <c r="A75" s="18"/>
      <c r="B75" s="18">
        <v>2016</v>
      </c>
      <c r="C75" s="107"/>
      <c r="D75" s="18"/>
      <c r="E75" s="18"/>
      <c r="F75" s="18"/>
      <c r="G75" s="18"/>
      <c r="H75" s="18"/>
      <c r="I75" s="107"/>
      <c r="J75" s="59"/>
      <c r="K75" s="51"/>
      <c r="L75" s="59"/>
      <c r="M75" s="51"/>
      <c r="N75" s="59"/>
      <c r="O75" s="59"/>
      <c r="P75" s="59"/>
      <c r="Q75" s="59"/>
      <c r="R75" s="59"/>
      <c r="S75" s="59"/>
      <c r="T75" s="59"/>
      <c r="U75" s="59"/>
      <c r="V75" s="59"/>
      <c r="W75" s="59"/>
      <c r="X75" s="59"/>
      <c r="Y75" s="59"/>
      <c r="Z75" s="59"/>
      <c r="AA75" s="59"/>
      <c r="AB75" s="59"/>
      <c r="AC75" s="59"/>
      <c r="AD75" s="60"/>
      <c r="AE75" s="60"/>
      <c r="AF75" s="60"/>
      <c r="AG75" s="60"/>
      <c r="AH75" s="60"/>
      <c r="AI75" s="60"/>
      <c r="AJ75" s="60"/>
      <c r="AK75" s="51"/>
      <c r="AL75" s="60"/>
      <c r="AM75" s="51"/>
      <c r="AN75" s="60"/>
      <c r="AO75" s="60"/>
      <c r="AP75" s="60"/>
      <c r="AQ75" s="60"/>
      <c r="AR75" s="131"/>
      <c r="AS75" s="131"/>
      <c r="AT75" s="131"/>
      <c r="AU75" s="133"/>
      <c r="AV75" s="133"/>
      <c r="AW75" s="133"/>
      <c r="AX75" s="133"/>
      <c r="AY75" s="133"/>
      <c r="AZ75" s="133"/>
      <c r="BA75" s="133"/>
      <c r="BB75" s="14"/>
      <c r="BC75" s="14"/>
      <c r="BD75" s="14"/>
      <c r="BE75" s="14"/>
      <c r="BF75" s="14"/>
      <c r="BG75" s="14"/>
      <c r="BH75" s="14"/>
      <c r="BI75" s="14"/>
      <c r="BJ75" s="14"/>
      <c r="BK75" s="87">
        <f t="shared" si="47"/>
        <v>0</v>
      </c>
      <c r="BL75" s="51"/>
      <c r="BM75" s="60"/>
      <c r="BN75" s="51"/>
      <c r="BO75" s="60"/>
      <c r="BP75" s="51"/>
      <c r="BQ75" s="60"/>
      <c r="BR75" s="60"/>
      <c r="BS75" s="60"/>
      <c r="BT75" s="59"/>
      <c r="BU75" s="59"/>
      <c r="BV75" s="51" t="e">
        <f t="shared" si="46"/>
        <v>#DIV/0!</v>
      </c>
      <c r="BW75" s="146"/>
      <c r="BX75" s="59"/>
      <c r="BY75" s="59"/>
      <c r="BZ75" s="59"/>
      <c r="CA75" s="59"/>
      <c r="CB75" s="59"/>
      <c r="CC75" s="59"/>
      <c r="CD75" s="146"/>
      <c r="CE75" s="146"/>
      <c r="CF75" s="115"/>
      <c r="CG75" s="14"/>
      <c r="CH75" s="14"/>
      <c r="CI75" s="14"/>
    </row>
    <row r="76" spans="1:87">
      <c r="A76" s="18"/>
      <c r="B76" s="18">
        <v>2015</v>
      </c>
      <c r="C76" s="107"/>
      <c r="D76" s="18"/>
      <c r="E76" s="18"/>
      <c r="F76" s="18"/>
      <c r="G76" s="18"/>
      <c r="H76" s="18"/>
      <c r="I76" s="107"/>
      <c r="J76" s="59"/>
      <c r="K76" s="51"/>
      <c r="L76" s="59"/>
      <c r="M76" s="51"/>
      <c r="N76" s="59"/>
      <c r="O76" s="59"/>
      <c r="P76" s="59"/>
      <c r="Q76" s="59"/>
      <c r="R76" s="59"/>
      <c r="S76" s="59"/>
      <c r="T76" s="59"/>
      <c r="U76" s="59"/>
      <c r="V76" s="59"/>
      <c r="W76" s="59"/>
      <c r="X76" s="59"/>
      <c r="Y76" s="59"/>
      <c r="Z76" s="59"/>
      <c r="AA76" s="59"/>
      <c r="AB76" s="59"/>
      <c r="AC76" s="59"/>
      <c r="AD76" s="60"/>
      <c r="AE76" s="60"/>
      <c r="AF76" s="60"/>
      <c r="AG76" s="60"/>
      <c r="AH76" s="60"/>
      <c r="AI76" s="60"/>
      <c r="AJ76" s="60"/>
      <c r="AK76" s="51"/>
      <c r="AL76" s="60"/>
      <c r="AM76" s="51"/>
      <c r="AN76" s="60"/>
      <c r="AO76" s="60"/>
      <c r="AP76" s="60"/>
      <c r="AQ76" s="60"/>
      <c r="AR76" s="131"/>
      <c r="AS76" s="131"/>
      <c r="AT76" s="131"/>
      <c r="AU76" s="133"/>
      <c r="AV76" s="133"/>
      <c r="AW76" s="133"/>
      <c r="AX76" s="133"/>
      <c r="AY76" s="133"/>
      <c r="AZ76" s="133"/>
      <c r="BA76" s="133"/>
      <c r="BB76" s="14"/>
      <c r="BC76" s="14"/>
      <c r="BD76" s="14"/>
      <c r="BE76" s="14"/>
      <c r="BF76" s="14"/>
      <c r="BG76" s="14"/>
      <c r="BH76" s="14"/>
      <c r="BI76" s="14"/>
      <c r="BJ76" s="14"/>
      <c r="BK76" s="87">
        <f t="shared" si="47"/>
        <v>0</v>
      </c>
      <c r="BL76" s="51"/>
      <c r="BM76" s="60"/>
      <c r="BN76" s="51"/>
      <c r="BO76" s="60"/>
      <c r="BP76" s="51"/>
      <c r="BQ76" s="60"/>
      <c r="BR76" s="60"/>
      <c r="BS76" s="60"/>
      <c r="BT76" s="59"/>
      <c r="BU76" s="59"/>
      <c r="BV76" s="51" t="e">
        <f t="shared" si="46"/>
        <v>#DIV/0!</v>
      </c>
      <c r="BW76" s="146"/>
      <c r="BX76" s="59"/>
      <c r="BY76" s="59"/>
      <c r="BZ76" s="59"/>
      <c r="CA76" s="59"/>
      <c r="CB76" s="59"/>
      <c r="CC76" s="59"/>
      <c r="CD76" s="146"/>
      <c r="CE76" s="146"/>
      <c r="CF76" s="115"/>
      <c r="CG76" s="14"/>
      <c r="CH76" s="14"/>
      <c r="CI76" s="14"/>
    </row>
    <row r="77" spans="1:87">
      <c r="A77" s="18"/>
      <c r="B77" s="18">
        <v>2014</v>
      </c>
      <c r="C77" s="107"/>
      <c r="D77" s="18"/>
      <c r="E77" s="18"/>
      <c r="F77" s="18"/>
      <c r="G77" s="18"/>
      <c r="H77" s="18"/>
      <c r="I77" s="107"/>
      <c r="J77" s="59"/>
      <c r="K77" s="51"/>
      <c r="L77" s="59"/>
      <c r="M77" s="51"/>
      <c r="N77" s="59"/>
      <c r="O77" s="59"/>
      <c r="P77" s="59"/>
      <c r="Q77" s="59"/>
      <c r="R77" s="59"/>
      <c r="S77" s="59"/>
      <c r="T77" s="59"/>
      <c r="U77" s="59"/>
      <c r="V77" s="59"/>
      <c r="W77" s="59"/>
      <c r="X77" s="59"/>
      <c r="Y77" s="59"/>
      <c r="Z77" s="59"/>
      <c r="AA77" s="59"/>
      <c r="AB77" s="59"/>
      <c r="AC77" s="59"/>
      <c r="AD77" s="60"/>
      <c r="AE77" s="60"/>
      <c r="AF77" s="60"/>
      <c r="AG77" s="60"/>
      <c r="AH77" s="60"/>
      <c r="AI77" s="60"/>
      <c r="AJ77" s="60"/>
      <c r="AK77" s="51"/>
      <c r="AL77" s="60"/>
      <c r="AM77" s="51"/>
      <c r="AN77" s="60"/>
      <c r="AO77" s="60"/>
      <c r="AP77" s="60"/>
      <c r="AQ77" s="60"/>
      <c r="AR77" s="131"/>
      <c r="AS77" s="131"/>
      <c r="AT77" s="131"/>
      <c r="AU77" s="133"/>
      <c r="AV77" s="133"/>
      <c r="AW77" s="133"/>
      <c r="AX77" s="133"/>
      <c r="AY77" s="133"/>
      <c r="AZ77" s="133"/>
      <c r="BA77" s="133"/>
      <c r="BB77" s="14"/>
      <c r="BC77" s="14"/>
      <c r="BD77" s="14"/>
      <c r="BE77" s="14"/>
      <c r="BF77" s="14"/>
      <c r="BG77" s="14"/>
      <c r="BH77" s="14"/>
      <c r="BI77" s="14"/>
      <c r="BJ77" s="14"/>
      <c r="BK77" s="87">
        <f t="shared" si="47"/>
        <v>0</v>
      </c>
      <c r="BL77" s="51"/>
      <c r="BM77" s="60"/>
      <c r="BN77" s="51"/>
      <c r="BO77" s="60"/>
      <c r="BP77" s="51"/>
      <c r="BQ77" s="60"/>
      <c r="BR77" s="60"/>
      <c r="BS77" s="60"/>
      <c r="BT77" s="59"/>
      <c r="BU77" s="59"/>
      <c r="BV77" s="51" t="e">
        <f t="shared" si="46"/>
        <v>#DIV/0!</v>
      </c>
      <c r="BW77" s="146"/>
      <c r="BX77" s="59"/>
      <c r="BY77" s="59"/>
      <c r="BZ77" s="59"/>
      <c r="CA77" s="59"/>
      <c r="CB77" s="59"/>
      <c r="CC77" s="59"/>
      <c r="CD77" s="146"/>
      <c r="CE77" s="146"/>
      <c r="CF77" s="115"/>
      <c r="CG77" s="14"/>
      <c r="CH77" s="14"/>
      <c r="CI77" s="14"/>
    </row>
    <row r="78" spans="1:87">
      <c r="A78" s="18"/>
      <c r="B78" s="18">
        <v>2013</v>
      </c>
      <c r="C78" s="107"/>
      <c r="D78" s="18"/>
      <c r="E78" s="18"/>
      <c r="F78" s="18"/>
      <c r="G78" s="18"/>
      <c r="H78" s="18"/>
      <c r="I78" s="107"/>
      <c r="J78" s="59"/>
      <c r="K78" s="51"/>
      <c r="L78" s="59"/>
      <c r="M78" s="51"/>
      <c r="N78" s="59"/>
      <c r="O78" s="59"/>
      <c r="P78" s="59"/>
      <c r="Q78" s="59"/>
      <c r="R78" s="59"/>
      <c r="S78" s="59"/>
      <c r="T78" s="59"/>
      <c r="U78" s="59"/>
      <c r="V78" s="59"/>
      <c r="W78" s="59"/>
      <c r="X78" s="59"/>
      <c r="Y78" s="59"/>
      <c r="Z78" s="59"/>
      <c r="AA78" s="59"/>
      <c r="AB78" s="59"/>
      <c r="AC78" s="59"/>
      <c r="AD78" s="60"/>
      <c r="AE78" s="60"/>
      <c r="AF78" s="60"/>
      <c r="AG78" s="60"/>
      <c r="AH78" s="60"/>
      <c r="AI78" s="60"/>
      <c r="AJ78" s="60"/>
      <c r="AK78" s="51"/>
      <c r="AL78" s="60"/>
      <c r="AM78" s="51"/>
      <c r="AN78" s="60"/>
      <c r="AO78" s="60"/>
      <c r="AP78" s="60"/>
      <c r="AQ78" s="60"/>
      <c r="AR78" s="131"/>
      <c r="AS78" s="131"/>
      <c r="AT78" s="131"/>
      <c r="AU78" s="133"/>
      <c r="AV78" s="133"/>
      <c r="AW78" s="133"/>
      <c r="AX78" s="133"/>
      <c r="AY78" s="133"/>
      <c r="AZ78" s="133"/>
      <c r="BA78" s="133"/>
      <c r="BB78" s="14"/>
      <c r="BC78" s="14"/>
      <c r="BD78" s="14"/>
      <c r="BE78" s="14"/>
      <c r="BF78" s="14"/>
      <c r="BG78" s="14"/>
      <c r="BH78" s="14"/>
      <c r="BI78" s="14"/>
      <c r="BJ78" s="14"/>
      <c r="BK78" s="87">
        <f t="shared" si="47"/>
        <v>0</v>
      </c>
      <c r="BL78" s="51"/>
      <c r="BM78" s="60"/>
      <c r="BN78" s="51"/>
      <c r="BO78" s="60"/>
      <c r="BP78" s="51"/>
      <c r="BQ78" s="60"/>
      <c r="BR78" s="60"/>
      <c r="BS78" s="60"/>
      <c r="BT78" s="59"/>
      <c r="BU78" s="59"/>
      <c r="BV78" s="51" t="e">
        <f t="shared" si="46"/>
        <v>#DIV/0!</v>
      </c>
      <c r="BW78" s="146"/>
      <c r="BX78" s="59"/>
      <c r="BY78" s="59"/>
      <c r="BZ78" s="59"/>
      <c r="CA78" s="59"/>
      <c r="CB78" s="59"/>
      <c r="CC78" s="59"/>
      <c r="CD78" s="146"/>
      <c r="CE78" s="146"/>
      <c r="CF78" s="115"/>
      <c r="CG78" s="14"/>
      <c r="CH78" s="14"/>
      <c r="CI78" s="14"/>
    </row>
    <row r="79" spans="1:87">
      <c r="A79" s="18"/>
      <c r="B79" s="18">
        <v>2012</v>
      </c>
      <c r="C79" s="107"/>
      <c r="D79" s="18"/>
      <c r="E79" s="18"/>
      <c r="F79" s="18"/>
      <c r="G79" s="18"/>
      <c r="H79" s="18"/>
      <c r="I79" s="107"/>
      <c r="J79" s="59"/>
      <c r="K79" s="51"/>
      <c r="L79" s="59"/>
      <c r="M79" s="51"/>
      <c r="N79" s="59"/>
      <c r="O79" s="59"/>
      <c r="P79" s="59"/>
      <c r="Q79" s="59"/>
      <c r="R79" s="59"/>
      <c r="S79" s="59"/>
      <c r="T79" s="59"/>
      <c r="U79" s="59"/>
      <c r="V79" s="59"/>
      <c r="W79" s="59"/>
      <c r="X79" s="59"/>
      <c r="Y79" s="59"/>
      <c r="Z79" s="59"/>
      <c r="AA79" s="59"/>
      <c r="AB79" s="59"/>
      <c r="AC79" s="59"/>
      <c r="AD79" s="60"/>
      <c r="AE79" s="60"/>
      <c r="AF79" s="60"/>
      <c r="AG79" s="60"/>
      <c r="AH79" s="60"/>
      <c r="AI79" s="60"/>
      <c r="AJ79" s="60"/>
      <c r="AK79" s="51"/>
      <c r="AL79" s="60"/>
      <c r="AM79" s="51"/>
      <c r="AN79" s="60"/>
      <c r="AO79" s="60"/>
      <c r="AP79" s="60"/>
      <c r="AQ79" s="60"/>
      <c r="AR79" s="131"/>
      <c r="AS79" s="131"/>
      <c r="AT79" s="131"/>
      <c r="AU79" s="133"/>
      <c r="AV79" s="133"/>
      <c r="AW79" s="133"/>
      <c r="AX79" s="133"/>
      <c r="AY79" s="133"/>
      <c r="AZ79" s="133"/>
      <c r="BA79" s="133"/>
      <c r="BB79" s="14"/>
      <c r="BC79" s="14"/>
      <c r="BD79" s="14"/>
      <c r="BE79" s="14"/>
      <c r="BF79" s="14"/>
      <c r="BG79" s="14"/>
      <c r="BH79" s="14"/>
      <c r="BI79" s="14"/>
      <c r="BJ79" s="14"/>
      <c r="BK79" s="87">
        <f t="shared" si="47"/>
        <v>0</v>
      </c>
      <c r="BL79" s="51"/>
      <c r="BM79" s="60"/>
      <c r="BN79" s="51"/>
      <c r="BO79" s="60"/>
      <c r="BP79" s="51"/>
      <c r="BQ79" s="60"/>
      <c r="BR79" s="60"/>
      <c r="BS79" s="60"/>
      <c r="BT79" s="59"/>
      <c r="BU79" s="59"/>
      <c r="BV79" s="51" t="e">
        <f t="shared" si="46"/>
        <v>#DIV/0!</v>
      </c>
      <c r="BW79" s="146"/>
      <c r="BX79" s="59"/>
      <c r="BY79" s="59"/>
      <c r="BZ79" s="59"/>
      <c r="CA79" s="59"/>
      <c r="CB79" s="59"/>
      <c r="CC79" s="59"/>
      <c r="CD79" s="146"/>
      <c r="CE79" s="146"/>
      <c r="CF79" s="115"/>
      <c r="CG79" s="14"/>
      <c r="CH79" s="14"/>
      <c r="CI79" s="14"/>
    </row>
    <row r="80" spans="1:87">
      <c r="A80" s="18" t="s">
        <v>103</v>
      </c>
      <c r="B80" s="18">
        <v>2022</v>
      </c>
      <c r="C80" s="107"/>
      <c r="D80" s="18"/>
      <c r="E80" s="18"/>
      <c r="F80" s="18"/>
      <c r="G80" s="18"/>
      <c r="H80" s="18"/>
      <c r="I80" s="107"/>
      <c r="J80" s="59"/>
      <c r="K80" s="51"/>
      <c r="L80" s="59"/>
      <c r="M80" s="51"/>
      <c r="N80" s="59"/>
      <c r="O80" s="59"/>
      <c r="P80" s="59"/>
      <c r="Q80" s="59"/>
      <c r="R80" s="59"/>
      <c r="S80" s="59"/>
      <c r="T80" s="59"/>
      <c r="U80" s="59"/>
      <c r="V80" s="59"/>
      <c r="W80" s="59"/>
      <c r="X80" s="59"/>
      <c r="Y80" s="59"/>
      <c r="Z80" s="59"/>
      <c r="AA80" s="59"/>
      <c r="AB80" s="59"/>
      <c r="AC80" s="59"/>
      <c r="AD80" s="60"/>
      <c r="AE80" s="60"/>
      <c r="AF80" s="60"/>
      <c r="AG80" s="60"/>
      <c r="AH80" s="60"/>
      <c r="AI80" s="60"/>
      <c r="AJ80" s="60"/>
      <c r="AK80" s="51"/>
      <c r="AL80" s="60"/>
      <c r="AM80" s="51"/>
      <c r="AN80" s="60"/>
      <c r="AO80" s="60"/>
      <c r="AP80" s="60"/>
      <c r="AQ80" s="60"/>
      <c r="AR80" s="131"/>
      <c r="AS80" s="131"/>
      <c r="AT80" s="131"/>
      <c r="AU80" s="133"/>
      <c r="AV80" s="133"/>
      <c r="AW80" s="133"/>
      <c r="AX80" s="133"/>
      <c r="AY80" s="133"/>
      <c r="AZ80" s="133"/>
      <c r="BA80" s="133"/>
      <c r="BB80" s="14"/>
      <c r="BC80" s="14"/>
      <c r="BD80" s="14"/>
      <c r="BE80" s="14"/>
      <c r="BF80" s="14"/>
      <c r="BG80" s="14"/>
      <c r="BH80" s="14"/>
      <c r="BI80" s="14"/>
      <c r="BJ80" s="14"/>
      <c r="BK80" s="87">
        <f t="shared" si="47"/>
        <v>0</v>
      </c>
      <c r="BL80" s="51"/>
      <c r="BM80" s="60"/>
      <c r="BN80" s="51"/>
      <c r="BO80" s="60"/>
      <c r="BP80" s="51"/>
      <c r="BQ80" s="60"/>
      <c r="BR80" s="60"/>
      <c r="BS80" s="60"/>
      <c r="BT80" s="59"/>
      <c r="BU80" s="59"/>
      <c r="BV80" s="51" t="e">
        <f t="shared" si="46"/>
        <v>#DIV/0!</v>
      </c>
      <c r="BW80" s="146"/>
      <c r="BX80" s="59"/>
      <c r="BY80" s="59"/>
      <c r="BZ80" s="59"/>
      <c r="CA80" s="59"/>
      <c r="CB80" s="59"/>
      <c r="CC80" s="59"/>
      <c r="CD80" s="146"/>
      <c r="CE80" s="146"/>
      <c r="CF80" s="115"/>
      <c r="CG80" s="14"/>
      <c r="CH80" s="14"/>
      <c r="CI80" s="14"/>
    </row>
    <row r="81" spans="1:87">
      <c r="A81" s="18"/>
      <c r="B81" s="18">
        <v>2021</v>
      </c>
      <c r="C81" s="107"/>
      <c r="D81" s="18"/>
      <c r="E81" s="18"/>
      <c r="F81" s="18"/>
      <c r="G81" s="18"/>
      <c r="H81" s="18"/>
      <c r="I81" s="107"/>
      <c r="J81" s="59"/>
      <c r="K81" s="51"/>
      <c r="L81" s="59"/>
      <c r="M81" s="51"/>
      <c r="N81" s="59"/>
      <c r="O81" s="59"/>
      <c r="P81" s="59"/>
      <c r="Q81" s="59"/>
      <c r="R81" s="59"/>
      <c r="S81" s="59"/>
      <c r="T81" s="59"/>
      <c r="U81" s="59"/>
      <c r="V81" s="59"/>
      <c r="W81" s="59"/>
      <c r="X81" s="59"/>
      <c r="Y81" s="59"/>
      <c r="Z81" s="59"/>
      <c r="AA81" s="59"/>
      <c r="AB81" s="59"/>
      <c r="AC81" s="59"/>
      <c r="AD81" s="60"/>
      <c r="AE81" s="60"/>
      <c r="AF81" s="60"/>
      <c r="AG81" s="60"/>
      <c r="AH81" s="60"/>
      <c r="AI81" s="60"/>
      <c r="AJ81" s="60"/>
      <c r="AK81" s="51"/>
      <c r="AL81" s="60"/>
      <c r="AM81" s="51"/>
      <c r="AN81" s="60"/>
      <c r="AO81" s="60"/>
      <c r="AP81" s="60"/>
      <c r="AQ81" s="60"/>
      <c r="AR81" s="131"/>
      <c r="AS81" s="131"/>
      <c r="AT81" s="131"/>
      <c r="AU81" s="133"/>
      <c r="AV81" s="133"/>
      <c r="AW81" s="133"/>
      <c r="AX81" s="133"/>
      <c r="AY81" s="133"/>
      <c r="AZ81" s="133"/>
      <c r="BA81" s="133"/>
      <c r="BB81" s="14"/>
      <c r="BC81" s="14"/>
      <c r="BD81" s="14"/>
      <c r="BE81" s="14"/>
      <c r="BF81" s="14"/>
      <c r="BG81" s="14"/>
      <c r="BH81" s="14"/>
      <c r="BI81" s="14"/>
      <c r="BJ81" s="14"/>
      <c r="BK81" s="87">
        <f t="shared" si="47"/>
        <v>0</v>
      </c>
      <c r="BL81" s="51"/>
      <c r="BM81" s="60"/>
      <c r="BN81" s="51"/>
      <c r="BO81" s="60"/>
      <c r="BP81" s="51"/>
      <c r="BQ81" s="60"/>
      <c r="BR81" s="60"/>
      <c r="BS81" s="60"/>
      <c r="BT81" s="59"/>
      <c r="BU81" s="59"/>
      <c r="BV81" s="51" t="e">
        <f t="shared" si="46"/>
        <v>#DIV/0!</v>
      </c>
      <c r="BW81" s="146"/>
      <c r="BX81" s="59"/>
      <c r="BY81" s="59"/>
      <c r="BZ81" s="59"/>
      <c r="CA81" s="59"/>
      <c r="CB81" s="59"/>
      <c r="CC81" s="59"/>
      <c r="CD81" s="146"/>
      <c r="CE81" s="146"/>
      <c r="CF81" s="115"/>
      <c r="CG81" s="14"/>
      <c r="CH81" s="14"/>
      <c r="CI81" s="14"/>
    </row>
    <row r="82" spans="1:87">
      <c r="A82" s="18"/>
      <c r="B82" s="18">
        <v>2020</v>
      </c>
      <c r="C82" s="107"/>
      <c r="D82" s="18"/>
      <c r="E82" s="18"/>
      <c r="F82" s="18"/>
      <c r="G82" s="18"/>
      <c r="H82" s="18"/>
      <c r="I82" s="107"/>
      <c r="J82" s="59"/>
      <c r="K82" s="51"/>
      <c r="L82" s="59"/>
      <c r="M82" s="51"/>
      <c r="N82" s="59"/>
      <c r="O82" s="59"/>
      <c r="P82" s="59"/>
      <c r="Q82" s="59"/>
      <c r="R82" s="59"/>
      <c r="S82" s="59"/>
      <c r="T82" s="59"/>
      <c r="U82" s="59"/>
      <c r="V82" s="59"/>
      <c r="W82" s="59"/>
      <c r="X82" s="59"/>
      <c r="Y82" s="59"/>
      <c r="Z82" s="59"/>
      <c r="AA82" s="59"/>
      <c r="AB82" s="59"/>
      <c r="AC82" s="59"/>
      <c r="AD82" s="60"/>
      <c r="AE82" s="60"/>
      <c r="AF82" s="60"/>
      <c r="AG82" s="60"/>
      <c r="AH82" s="60"/>
      <c r="AI82" s="60"/>
      <c r="AJ82" s="60"/>
      <c r="AK82" s="51"/>
      <c r="AL82" s="60"/>
      <c r="AM82" s="51"/>
      <c r="AN82" s="60"/>
      <c r="AO82" s="60"/>
      <c r="AP82" s="60"/>
      <c r="AQ82" s="60"/>
      <c r="AR82" s="131"/>
      <c r="AS82" s="131"/>
      <c r="AT82" s="131"/>
      <c r="AU82" s="133"/>
      <c r="AV82" s="133"/>
      <c r="AW82" s="133"/>
      <c r="AX82" s="133"/>
      <c r="AY82" s="133"/>
      <c r="AZ82" s="133"/>
      <c r="BA82" s="133"/>
      <c r="BB82" s="14"/>
      <c r="BC82" s="14"/>
      <c r="BD82" s="14"/>
      <c r="BE82" s="14"/>
      <c r="BF82" s="14"/>
      <c r="BG82" s="14"/>
      <c r="BH82" s="14"/>
      <c r="BI82" s="14"/>
      <c r="BJ82" s="14"/>
      <c r="BK82" s="87">
        <f t="shared" si="47"/>
        <v>0</v>
      </c>
      <c r="BL82" s="51"/>
      <c r="BM82" s="60"/>
      <c r="BN82" s="51"/>
      <c r="BO82" s="60"/>
      <c r="BP82" s="51"/>
      <c r="BQ82" s="60"/>
      <c r="BR82" s="60"/>
      <c r="BS82" s="60"/>
      <c r="BT82" s="59"/>
      <c r="BU82" s="59"/>
      <c r="BV82" s="51" t="e">
        <f t="shared" si="46"/>
        <v>#DIV/0!</v>
      </c>
      <c r="BW82" s="146"/>
      <c r="BX82" s="59"/>
      <c r="BY82" s="59"/>
      <c r="BZ82" s="59"/>
      <c r="CA82" s="59"/>
      <c r="CB82" s="59"/>
      <c r="CC82" s="59"/>
      <c r="CD82" s="146"/>
      <c r="CE82" s="146"/>
      <c r="CF82" s="115"/>
      <c r="CG82" s="14"/>
      <c r="CH82" s="14"/>
      <c r="CI82" s="14"/>
    </row>
    <row r="83" spans="1:87">
      <c r="A83" s="18"/>
      <c r="B83" s="18">
        <v>2019</v>
      </c>
      <c r="C83" s="107"/>
      <c r="D83" s="18"/>
      <c r="E83" s="18"/>
      <c r="F83" s="18"/>
      <c r="G83" s="18"/>
      <c r="H83" s="18"/>
      <c r="I83" s="107"/>
      <c r="J83" s="59"/>
      <c r="K83" s="51"/>
      <c r="L83" s="59"/>
      <c r="M83" s="51"/>
      <c r="N83" s="59"/>
      <c r="O83" s="59"/>
      <c r="P83" s="59"/>
      <c r="Q83" s="59"/>
      <c r="R83" s="59"/>
      <c r="S83" s="59"/>
      <c r="T83" s="59"/>
      <c r="U83" s="59"/>
      <c r="V83" s="59"/>
      <c r="W83" s="59"/>
      <c r="X83" s="59"/>
      <c r="Y83" s="59"/>
      <c r="Z83" s="59"/>
      <c r="AA83" s="59"/>
      <c r="AB83" s="59"/>
      <c r="AC83" s="59"/>
      <c r="AD83" s="60"/>
      <c r="AE83" s="60"/>
      <c r="AF83" s="60"/>
      <c r="AG83" s="60"/>
      <c r="AH83" s="60"/>
      <c r="AI83" s="60"/>
      <c r="AJ83" s="60"/>
      <c r="AK83" s="51"/>
      <c r="AL83" s="60"/>
      <c r="AM83" s="51"/>
      <c r="AN83" s="60"/>
      <c r="AO83" s="60"/>
      <c r="AP83" s="60"/>
      <c r="AQ83" s="60"/>
      <c r="AR83" s="131"/>
      <c r="AS83" s="131"/>
      <c r="AT83" s="131"/>
      <c r="AU83" s="133"/>
      <c r="AV83" s="133"/>
      <c r="AW83" s="133"/>
      <c r="AX83" s="133"/>
      <c r="AY83" s="133"/>
      <c r="AZ83" s="133"/>
      <c r="BA83" s="133"/>
      <c r="BB83" s="14"/>
      <c r="BC83" s="14"/>
      <c r="BD83" s="14"/>
      <c r="BE83" s="14"/>
      <c r="BF83" s="14"/>
      <c r="BG83" s="14"/>
      <c r="BH83" s="14"/>
      <c r="BI83" s="14"/>
      <c r="BJ83" s="14"/>
      <c r="BK83" s="87">
        <f t="shared" si="47"/>
        <v>0</v>
      </c>
      <c r="BL83" s="51"/>
      <c r="BM83" s="60"/>
      <c r="BN83" s="51"/>
      <c r="BO83" s="60"/>
      <c r="BP83" s="51"/>
      <c r="BQ83" s="60"/>
      <c r="BR83" s="60"/>
      <c r="BS83" s="60"/>
      <c r="BT83" s="59"/>
      <c r="BU83" s="59"/>
      <c r="BV83" s="51" t="e">
        <f t="shared" si="46"/>
        <v>#DIV/0!</v>
      </c>
      <c r="BW83" s="156"/>
      <c r="BX83" s="107"/>
      <c r="BY83" s="107"/>
      <c r="BZ83" s="107"/>
      <c r="CA83" s="107"/>
      <c r="CB83" s="107"/>
      <c r="CC83" s="107"/>
      <c r="CD83" s="156"/>
      <c r="CE83" s="156"/>
      <c r="CF83" s="115"/>
      <c r="CG83" s="14"/>
      <c r="CH83" s="14"/>
      <c r="CI83" s="14"/>
    </row>
    <row r="84" spans="1:87">
      <c r="A84" s="18"/>
      <c r="B84" s="18">
        <v>2018</v>
      </c>
      <c r="C84" s="107"/>
      <c r="D84" s="18"/>
      <c r="E84" s="18"/>
      <c r="F84" s="18"/>
      <c r="G84" s="18"/>
      <c r="H84" s="18"/>
      <c r="I84" s="107"/>
      <c r="J84" s="59"/>
      <c r="K84" s="51"/>
      <c r="L84" s="59"/>
      <c r="M84" s="51"/>
      <c r="N84" s="59"/>
      <c r="O84" s="59"/>
      <c r="P84" s="59"/>
      <c r="Q84" s="59"/>
      <c r="R84" s="59"/>
      <c r="S84" s="59"/>
      <c r="T84" s="59"/>
      <c r="U84" s="59"/>
      <c r="V84" s="59"/>
      <c r="W84" s="59"/>
      <c r="X84" s="59"/>
      <c r="Y84" s="59"/>
      <c r="Z84" s="59"/>
      <c r="AA84" s="59"/>
      <c r="AB84" s="59"/>
      <c r="AC84" s="59"/>
      <c r="AD84" s="60"/>
      <c r="AE84" s="60"/>
      <c r="AF84" s="60"/>
      <c r="AG84" s="60"/>
      <c r="AH84" s="60"/>
      <c r="AI84" s="60"/>
      <c r="AJ84" s="60"/>
      <c r="AK84" s="51"/>
      <c r="AL84" s="60"/>
      <c r="AM84" s="51"/>
      <c r="AN84" s="60"/>
      <c r="AO84" s="60"/>
      <c r="AP84" s="60"/>
      <c r="AQ84" s="60"/>
      <c r="AR84" s="131"/>
      <c r="AS84" s="131"/>
      <c r="AT84" s="131"/>
      <c r="AU84" s="133"/>
      <c r="AV84" s="133"/>
      <c r="AW84" s="133"/>
      <c r="AX84" s="133"/>
      <c r="AY84" s="133"/>
      <c r="AZ84" s="133"/>
      <c r="BA84" s="133"/>
      <c r="BB84" s="14"/>
      <c r="BC84" s="14"/>
      <c r="BD84" s="14"/>
      <c r="BE84" s="14"/>
      <c r="BF84" s="14"/>
      <c r="BG84" s="14"/>
      <c r="BH84" s="14"/>
      <c r="BI84" s="14"/>
      <c r="BJ84" s="14"/>
      <c r="BK84" s="87">
        <f t="shared" si="47"/>
        <v>0</v>
      </c>
      <c r="BL84" s="51"/>
      <c r="BM84" s="60"/>
      <c r="BN84" s="51"/>
      <c r="BO84" s="60"/>
      <c r="BP84" s="51"/>
      <c r="BQ84" s="60"/>
      <c r="BR84" s="60"/>
      <c r="BS84" s="60"/>
      <c r="BT84" s="59"/>
      <c r="BU84" s="59"/>
      <c r="BV84" s="51" t="e">
        <f t="shared" si="46"/>
        <v>#DIV/0!</v>
      </c>
      <c r="BW84" s="156"/>
      <c r="BX84" s="107"/>
      <c r="BY84" s="107"/>
      <c r="BZ84" s="107"/>
      <c r="CA84" s="107"/>
      <c r="CB84" s="107"/>
      <c r="CC84" s="107"/>
      <c r="CD84" s="156"/>
      <c r="CE84" s="156"/>
      <c r="CF84" s="115"/>
      <c r="CG84" s="14"/>
      <c r="CH84" s="14"/>
      <c r="CI84" s="14"/>
    </row>
    <row r="85" spans="1:87">
      <c r="A85" s="18"/>
      <c r="B85" s="18">
        <v>2017</v>
      </c>
      <c r="C85" s="107"/>
      <c r="D85" s="18"/>
      <c r="E85" s="18"/>
      <c r="F85" s="18"/>
      <c r="G85" s="18"/>
      <c r="H85" s="18"/>
      <c r="I85" s="107"/>
      <c r="J85" s="59"/>
      <c r="K85" s="51"/>
      <c r="L85" s="59"/>
      <c r="M85" s="51"/>
      <c r="N85" s="59"/>
      <c r="O85" s="59"/>
      <c r="P85" s="59"/>
      <c r="Q85" s="59"/>
      <c r="R85" s="59"/>
      <c r="S85" s="59"/>
      <c r="T85" s="59"/>
      <c r="U85" s="59"/>
      <c r="V85" s="59"/>
      <c r="W85" s="59"/>
      <c r="X85" s="59"/>
      <c r="Y85" s="59"/>
      <c r="Z85" s="59"/>
      <c r="AA85" s="59"/>
      <c r="AB85" s="59"/>
      <c r="AC85" s="59"/>
      <c r="AD85" s="60"/>
      <c r="AE85" s="60"/>
      <c r="AF85" s="60"/>
      <c r="AG85" s="60"/>
      <c r="AH85" s="60"/>
      <c r="AI85" s="60"/>
      <c r="AJ85" s="60"/>
      <c r="AK85" s="51"/>
      <c r="AL85" s="60"/>
      <c r="AM85" s="51"/>
      <c r="AN85" s="60"/>
      <c r="AO85" s="60"/>
      <c r="AP85" s="60"/>
      <c r="AQ85" s="60"/>
      <c r="AR85" s="131"/>
      <c r="AS85" s="131"/>
      <c r="AT85" s="131"/>
      <c r="AU85" s="133"/>
      <c r="AV85" s="133"/>
      <c r="AW85" s="133"/>
      <c r="AX85" s="133"/>
      <c r="AY85" s="133"/>
      <c r="AZ85" s="133"/>
      <c r="BA85" s="133"/>
      <c r="BB85" s="14"/>
      <c r="BC85" s="14"/>
      <c r="BD85" s="14"/>
      <c r="BE85" s="14"/>
      <c r="BF85" s="14"/>
      <c r="BG85" s="14"/>
      <c r="BH85" s="14"/>
      <c r="BI85" s="14"/>
      <c r="BJ85" s="14"/>
      <c r="BK85" s="87">
        <f t="shared" si="47"/>
        <v>0</v>
      </c>
      <c r="BL85" s="51"/>
      <c r="BM85" s="60"/>
      <c r="BN85" s="51"/>
      <c r="BO85" s="60"/>
      <c r="BP85" s="51"/>
      <c r="BQ85" s="60"/>
      <c r="BR85" s="60"/>
      <c r="BS85" s="60"/>
      <c r="BT85" s="59"/>
      <c r="BU85" s="59"/>
      <c r="BV85" s="51" t="e">
        <f t="shared" ref="BV85:BV107" si="48">BQ85/BK85</f>
        <v>#DIV/0!</v>
      </c>
      <c r="BW85" s="156"/>
      <c r="BX85" s="107"/>
      <c r="BY85" s="107"/>
      <c r="BZ85" s="107"/>
      <c r="CA85" s="107"/>
      <c r="CB85" s="107"/>
      <c r="CC85" s="107"/>
      <c r="CD85" s="156"/>
      <c r="CE85" s="156"/>
      <c r="CF85" s="115"/>
      <c r="CG85" s="14"/>
      <c r="CH85" s="14"/>
      <c r="CI85" s="14"/>
    </row>
    <row r="86" spans="1:87">
      <c r="A86" s="18"/>
      <c r="B86" s="18">
        <v>2016</v>
      </c>
      <c r="C86" s="107"/>
      <c r="D86" s="18"/>
      <c r="E86" s="18"/>
      <c r="F86" s="18"/>
      <c r="G86" s="18"/>
      <c r="H86" s="18"/>
      <c r="I86" s="107"/>
      <c r="J86" s="59"/>
      <c r="K86" s="51"/>
      <c r="L86" s="59"/>
      <c r="M86" s="51"/>
      <c r="N86" s="59"/>
      <c r="O86" s="59"/>
      <c r="P86" s="59"/>
      <c r="Q86" s="59"/>
      <c r="R86" s="59"/>
      <c r="S86" s="59"/>
      <c r="T86" s="59"/>
      <c r="U86" s="59"/>
      <c r="V86" s="59"/>
      <c r="W86" s="59"/>
      <c r="X86" s="59"/>
      <c r="Y86" s="59"/>
      <c r="Z86" s="59"/>
      <c r="AA86" s="59"/>
      <c r="AB86" s="59"/>
      <c r="AC86" s="59"/>
      <c r="AD86" s="60"/>
      <c r="AE86" s="60"/>
      <c r="AF86" s="60"/>
      <c r="AG86" s="60"/>
      <c r="AH86" s="60"/>
      <c r="AI86" s="60"/>
      <c r="AJ86" s="60"/>
      <c r="AK86" s="51"/>
      <c r="AL86" s="60"/>
      <c r="AM86" s="51"/>
      <c r="AN86" s="60"/>
      <c r="AO86" s="60"/>
      <c r="AP86" s="60"/>
      <c r="AQ86" s="60"/>
      <c r="AR86" s="131"/>
      <c r="AS86" s="131"/>
      <c r="AT86" s="131"/>
      <c r="AU86" s="133"/>
      <c r="AV86" s="133"/>
      <c r="AW86" s="133"/>
      <c r="AX86" s="133"/>
      <c r="AY86" s="133"/>
      <c r="AZ86" s="133"/>
      <c r="BA86" s="133"/>
      <c r="BB86" s="14"/>
      <c r="BC86" s="14"/>
      <c r="BD86" s="14"/>
      <c r="BE86" s="14"/>
      <c r="BF86" s="14"/>
      <c r="BG86" s="14"/>
      <c r="BH86" s="14"/>
      <c r="BI86" s="14"/>
      <c r="BJ86" s="14"/>
      <c r="BK86" s="87">
        <f t="shared" si="47"/>
        <v>0</v>
      </c>
      <c r="BL86" s="51"/>
      <c r="BM86" s="60"/>
      <c r="BN86" s="51"/>
      <c r="BO86" s="60"/>
      <c r="BP86" s="51"/>
      <c r="BQ86" s="60"/>
      <c r="BR86" s="60"/>
      <c r="BS86" s="60"/>
      <c r="BT86" s="59"/>
      <c r="BU86" s="59"/>
      <c r="BV86" s="51" t="e">
        <f t="shared" si="48"/>
        <v>#DIV/0!</v>
      </c>
      <c r="BW86" s="156"/>
      <c r="BX86" s="107"/>
      <c r="BY86" s="107"/>
      <c r="BZ86" s="107"/>
      <c r="CA86" s="107"/>
      <c r="CB86" s="107"/>
      <c r="CC86" s="107"/>
      <c r="CD86" s="156"/>
      <c r="CE86" s="156"/>
      <c r="CF86" s="115"/>
      <c r="CG86" s="14"/>
      <c r="CH86" s="14"/>
      <c r="CI86" s="14"/>
    </row>
    <row r="87" spans="1:87">
      <c r="A87" s="18"/>
      <c r="B87" s="18">
        <v>2015</v>
      </c>
      <c r="C87" s="107"/>
      <c r="D87" s="18"/>
      <c r="E87" s="18"/>
      <c r="F87" s="18"/>
      <c r="G87" s="18"/>
      <c r="H87" s="18"/>
      <c r="I87" s="107"/>
      <c r="J87" s="59"/>
      <c r="K87" s="51"/>
      <c r="L87" s="59"/>
      <c r="M87" s="51"/>
      <c r="N87" s="59"/>
      <c r="O87" s="59"/>
      <c r="P87" s="59"/>
      <c r="Q87" s="59"/>
      <c r="R87" s="59"/>
      <c r="S87" s="59"/>
      <c r="T87" s="59"/>
      <c r="U87" s="59"/>
      <c r="V87" s="59"/>
      <c r="W87" s="59"/>
      <c r="X87" s="59"/>
      <c r="Y87" s="59"/>
      <c r="Z87" s="59"/>
      <c r="AA87" s="59"/>
      <c r="AB87" s="59"/>
      <c r="AC87" s="59"/>
      <c r="AD87" s="60"/>
      <c r="AE87" s="60"/>
      <c r="AF87" s="60"/>
      <c r="AG87" s="60"/>
      <c r="AH87" s="60"/>
      <c r="AI87" s="60"/>
      <c r="AJ87" s="60"/>
      <c r="AK87" s="51"/>
      <c r="AL87" s="60"/>
      <c r="AM87" s="51"/>
      <c r="AN87" s="60"/>
      <c r="AO87" s="60"/>
      <c r="AP87" s="60"/>
      <c r="AQ87" s="60"/>
      <c r="AR87" s="131"/>
      <c r="AS87" s="131"/>
      <c r="AT87" s="131"/>
      <c r="AU87" s="133"/>
      <c r="AV87" s="133"/>
      <c r="AW87" s="133"/>
      <c r="AX87" s="133"/>
      <c r="AY87" s="133"/>
      <c r="AZ87" s="133"/>
      <c r="BA87" s="133"/>
      <c r="BB87" s="14"/>
      <c r="BC87" s="14"/>
      <c r="BD87" s="14"/>
      <c r="BE87" s="14"/>
      <c r="BF87" s="14"/>
      <c r="BG87" s="14"/>
      <c r="BH87" s="14"/>
      <c r="BI87" s="14"/>
      <c r="BJ87" s="14"/>
      <c r="BK87" s="87">
        <f t="shared" si="47"/>
        <v>0</v>
      </c>
      <c r="BL87" s="51"/>
      <c r="BM87" s="60"/>
      <c r="BN87" s="51"/>
      <c r="BO87" s="60"/>
      <c r="BP87" s="51"/>
      <c r="BQ87" s="60"/>
      <c r="BR87" s="60"/>
      <c r="BS87" s="60"/>
      <c r="BT87" s="59"/>
      <c r="BU87" s="59"/>
      <c r="BV87" s="51" t="e">
        <f t="shared" si="48"/>
        <v>#DIV/0!</v>
      </c>
      <c r="BW87" s="156"/>
      <c r="BX87" s="107"/>
      <c r="BY87" s="107"/>
      <c r="BZ87" s="107"/>
      <c r="CA87" s="107"/>
      <c r="CB87" s="107"/>
      <c r="CC87" s="107"/>
      <c r="CD87" s="156"/>
      <c r="CE87" s="156"/>
      <c r="CF87" s="115"/>
      <c r="CG87" s="14"/>
      <c r="CH87" s="14"/>
      <c r="CI87" s="14"/>
    </row>
    <row r="88" spans="1:87">
      <c r="A88" s="18"/>
      <c r="B88" s="18">
        <v>2014</v>
      </c>
      <c r="C88" s="107"/>
      <c r="D88" s="18"/>
      <c r="E88" s="18"/>
      <c r="F88" s="18"/>
      <c r="G88" s="18"/>
      <c r="H88" s="18"/>
      <c r="I88" s="107"/>
      <c r="J88" s="59"/>
      <c r="K88" s="51"/>
      <c r="L88" s="59"/>
      <c r="M88" s="51"/>
      <c r="N88" s="59"/>
      <c r="O88" s="59"/>
      <c r="P88" s="59"/>
      <c r="Q88" s="59"/>
      <c r="R88" s="59"/>
      <c r="S88" s="59"/>
      <c r="T88" s="59"/>
      <c r="U88" s="59"/>
      <c r="V88" s="59"/>
      <c r="W88" s="59"/>
      <c r="X88" s="59"/>
      <c r="Y88" s="59"/>
      <c r="Z88" s="59"/>
      <c r="AA88" s="59"/>
      <c r="AB88" s="59"/>
      <c r="AC88" s="59"/>
      <c r="AD88" s="60"/>
      <c r="AE88" s="60"/>
      <c r="AF88" s="60"/>
      <c r="AG88" s="60"/>
      <c r="AH88" s="60"/>
      <c r="AI88" s="60"/>
      <c r="AJ88" s="60"/>
      <c r="AK88" s="51"/>
      <c r="AL88" s="60"/>
      <c r="AM88" s="51"/>
      <c r="AN88" s="60"/>
      <c r="AO88" s="60"/>
      <c r="AP88" s="60"/>
      <c r="AQ88" s="60"/>
      <c r="AR88" s="131"/>
      <c r="AS88" s="131"/>
      <c r="AT88" s="131"/>
      <c r="AU88" s="133"/>
      <c r="AV88" s="133"/>
      <c r="AW88" s="133"/>
      <c r="AX88" s="133"/>
      <c r="AY88" s="133"/>
      <c r="AZ88" s="133"/>
      <c r="BA88" s="133"/>
      <c r="BB88" s="14"/>
      <c r="BC88" s="14"/>
      <c r="BD88" s="14"/>
      <c r="BE88" s="14"/>
      <c r="BF88" s="14"/>
      <c r="BG88" s="14"/>
      <c r="BH88" s="14"/>
      <c r="BI88" s="14"/>
      <c r="BJ88" s="14"/>
      <c r="BK88" s="87">
        <f t="shared" si="47"/>
        <v>0</v>
      </c>
      <c r="BL88" s="51"/>
      <c r="BM88" s="60"/>
      <c r="BN88" s="51"/>
      <c r="BO88" s="60"/>
      <c r="BP88" s="51"/>
      <c r="BQ88" s="60"/>
      <c r="BR88" s="60"/>
      <c r="BS88" s="60"/>
      <c r="BT88" s="59"/>
      <c r="BU88" s="59"/>
      <c r="BV88" s="51" t="e">
        <f t="shared" si="48"/>
        <v>#DIV/0!</v>
      </c>
      <c r="BW88" s="156"/>
      <c r="BX88" s="107"/>
      <c r="BY88" s="107"/>
      <c r="BZ88" s="107"/>
      <c r="CA88" s="107"/>
      <c r="CB88" s="107"/>
      <c r="CC88" s="107"/>
      <c r="CD88" s="156"/>
      <c r="CE88" s="156"/>
      <c r="CF88" s="115"/>
      <c r="CG88" s="14"/>
      <c r="CH88" s="14"/>
      <c r="CI88" s="14"/>
    </row>
    <row r="89" spans="1:87">
      <c r="A89" s="18"/>
      <c r="B89" s="18">
        <v>2013</v>
      </c>
      <c r="C89" s="107"/>
      <c r="D89" s="18"/>
      <c r="E89" s="18"/>
      <c r="F89" s="18"/>
      <c r="G89" s="18"/>
      <c r="H89" s="18"/>
      <c r="I89" s="107"/>
      <c r="J89" s="59"/>
      <c r="K89" s="51"/>
      <c r="L89" s="59"/>
      <c r="M89" s="51"/>
      <c r="N89" s="59"/>
      <c r="O89" s="59"/>
      <c r="P89" s="59"/>
      <c r="Q89" s="59"/>
      <c r="R89" s="59"/>
      <c r="S89" s="59"/>
      <c r="T89" s="59"/>
      <c r="U89" s="59"/>
      <c r="V89" s="59"/>
      <c r="W89" s="59"/>
      <c r="X89" s="59"/>
      <c r="Y89" s="59"/>
      <c r="Z89" s="59"/>
      <c r="AA89" s="59"/>
      <c r="AB89" s="59"/>
      <c r="AC89" s="59"/>
      <c r="AD89" s="60"/>
      <c r="AE89" s="60"/>
      <c r="AF89" s="60"/>
      <c r="AG89" s="60"/>
      <c r="AH89" s="60"/>
      <c r="AI89" s="60"/>
      <c r="AJ89" s="60"/>
      <c r="AK89" s="51"/>
      <c r="AL89" s="60"/>
      <c r="AM89" s="51"/>
      <c r="AN89" s="60"/>
      <c r="AO89" s="60"/>
      <c r="AP89" s="60"/>
      <c r="AQ89" s="60"/>
      <c r="AR89" s="131"/>
      <c r="AS89" s="131"/>
      <c r="AT89" s="131"/>
      <c r="AU89" s="133"/>
      <c r="AV89" s="133"/>
      <c r="AW89" s="133"/>
      <c r="AX89" s="133"/>
      <c r="AY89" s="133"/>
      <c r="AZ89" s="133"/>
      <c r="BA89" s="133"/>
      <c r="BB89" s="14"/>
      <c r="BC89" s="14"/>
      <c r="BD89" s="14"/>
      <c r="BE89" s="14"/>
      <c r="BF89" s="14"/>
      <c r="BG89" s="14"/>
      <c r="BH89" s="14"/>
      <c r="BI89" s="14"/>
      <c r="BJ89" s="14"/>
      <c r="BK89" s="87">
        <f t="shared" si="47"/>
        <v>0</v>
      </c>
      <c r="BL89" s="51"/>
      <c r="BM89" s="60"/>
      <c r="BN89" s="51"/>
      <c r="BO89" s="60"/>
      <c r="BP89" s="51"/>
      <c r="BQ89" s="60"/>
      <c r="BR89" s="60"/>
      <c r="BS89" s="60"/>
      <c r="BT89" s="59"/>
      <c r="BU89" s="59"/>
      <c r="BV89" s="51" t="e">
        <f t="shared" si="48"/>
        <v>#DIV/0!</v>
      </c>
      <c r="BW89" s="156"/>
      <c r="BX89" s="107"/>
      <c r="BY89" s="107"/>
      <c r="BZ89" s="107"/>
      <c r="CA89" s="107"/>
      <c r="CB89" s="107"/>
      <c r="CC89" s="107"/>
      <c r="CD89" s="156"/>
      <c r="CE89" s="156"/>
      <c r="CF89" s="115"/>
      <c r="CG89" s="14"/>
      <c r="CH89" s="14"/>
      <c r="CI89" s="14"/>
    </row>
    <row r="90" spans="1:87">
      <c r="A90" s="18"/>
      <c r="B90" s="18">
        <v>2012</v>
      </c>
      <c r="C90" s="107"/>
      <c r="D90" s="18"/>
      <c r="E90" s="18"/>
      <c r="F90" s="18"/>
      <c r="G90" s="18"/>
      <c r="H90" s="18"/>
      <c r="I90" s="107"/>
      <c r="J90" s="59"/>
      <c r="K90" s="51"/>
      <c r="L90" s="59"/>
      <c r="M90" s="51"/>
      <c r="N90" s="59"/>
      <c r="O90" s="59"/>
      <c r="P90" s="59"/>
      <c r="Q90" s="59"/>
      <c r="R90" s="59"/>
      <c r="S90" s="59"/>
      <c r="T90" s="59"/>
      <c r="U90" s="59"/>
      <c r="V90" s="59"/>
      <c r="W90" s="59"/>
      <c r="X90" s="59"/>
      <c r="Y90" s="59"/>
      <c r="Z90" s="59"/>
      <c r="AA90" s="59"/>
      <c r="AB90" s="59"/>
      <c r="AC90" s="59"/>
      <c r="AD90" s="60"/>
      <c r="AE90" s="60"/>
      <c r="AF90" s="60"/>
      <c r="AG90" s="60"/>
      <c r="AH90" s="60"/>
      <c r="AI90" s="60"/>
      <c r="AJ90" s="60"/>
      <c r="AK90" s="51"/>
      <c r="AL90" s="60"/>
      <c r="AM90" s="51"/>
      <c r="AN90" s="60"/>
      <c r="AO90" s="60"/>
      <c r="AP90" s="60"/>
      <c r="AQ90" s="60"/>
      <c r="AR90" s="131"/>
      <c r="AS90" s="131"/>
      <c r="AT90" s="131"/>
      <c r="AU90" s="133"/>
      <c r="AV90" s="133"/>
      <c r="AW90" s="133"/>
      <c r="AX90" s="133"/>
      <c r="AY90" s="133"/>
      <c r="AZ90" s="133"/>
      <c r="BA90" s="133"/>
      <c r="BB90" s="14"/>
      <c r="BC90" s="14"/>
      <c r="BD90" s="14"/>
      <c r="BE90" s="14"/>
      <c r="BF90" s="14"/>
      <c r="BG90" s="14"/>
      <c r="BH90" s="14"/>
      <c r="BI90" s="14"/>
      <c r="BJ90" s="14"/>
      <c r="BK90" s="87">
        <f t="shared" si="47"/>
        <v>0</v>
      </c>
      <c r="BL90" s="51"/>
      <c r="BM90" s="60"/>
      <c r="BN90" s="51"/>
      <c r="BO90" s="60"/>
      <c r="BP90" s="51"/>
      <c r="BQ90" s="60"/>
      <c r="BR90" s="60"/>
      <c r="BS90" s="60"/>
      <c r="BT90" s="59"/>
      <c r="BU90" s="59"/>
      <c r="BV90" s="51" t="e">
        <f t="shared" si="48"/>
        <v>#DIV/0!</v>
      </c>
      <c r="BW90" s="156"/>
      <c r="BX90" s="107"/>
      <c r="BY90" s="107"/>
      <c r="BZ90" s="107"/>
      <c r="CA90" s="107"/>
      <c r="CB90" s="107"/>
      <c r="CC90" s="107"/>
      <c r="CD90" s="156"/>
      <c r="CE90" s="156"/>
      <c r="CF90" s="115"/>
      <c r="CG90" s="14"/>
      <c r="CH90" s="14"/>
      <c r="CI90" s="14"/>
    </row>
    <row r="91" spans="1:87">
      <c r="A91" s="18" t="s">
        <v>104</v>
      </c>
      <c r="B91" s="18">
        <v>2022</v>
      </c>
      <c r="C91" s="107"/>
      <c r="D91" s="18"/>
      <c r="E91" s="18"/>
      <c r="F91" s="18"/>
      <c r="G91" s="18"/>
      <c r="H91" s="18"/>
      <c r="I91" s="107"/>
      <c r="J91" s="59"/>
      <c r="K91" s="51"/>
      <c r="L91" s="59"/>
      <c r="M91" s="51"/>
      <c r="N91" s="59"/>
      <c r="O91" s="59"/>
      <c r="P91" s="59"/>
      <c r="Q91" s="59"/>
      <c r="R91" s="59"/>
      <c r="S91" s="59"/>
      <c r="T91" s="59"/>
      <c r="U91" s="59"/>
      <c r="V91" s="59"/>
      <c r="W91" s="59"/>
      <c r="X91" s="59"/>
      <c r="Y91" s="59"/>
      <c r="Z91" s="59"/>
      <c r="AA91" s="59"/>
      <c r="AB91" s="59"/>
      <c r="AC91" s="59"/>
      <c r="AD91" s="60"/>
      <c r="AE91" s="60"/>
      <c r="AF91" s="60"/>
      <c r="AG91" s="60"/>
      <c r="AH91" s="60"/>
      <c r="AI91" s="60"/>
      <c r="AJ91" s="60"/>
      <c r="AK91" s="51"/>
      <c r="AL91" s="60"/>
      <c r="AM91" s="51"/>
      <c r="AN91" s="60"/>
      <c r="AO91" s="60"/>
      <c r="AP91" s="60"/>
      <c r="AQ91" s="60"/>
      <c r="AR91" s="131"/>
      <c r="AS91" s="131"/>
      <c r="AT91" s="131"/>
      <c r="AU91" s="133"/>
      <c r="AV91" s="133"/>
      <c r="AW91" s="133"/>
      <c r="AX91" s="133"/>
      <c r="AY91" s="133"/>
      <c r="AZ91" s="133"/>
      <c r="BA91" s="133"/>
      <c r="BB91" s="14"/>
      <c r="BC91" s="14"/>
      <c r="BD91" s="14"/>
      <c r="BE91" s="14"/>
      <c r="BF91" s="14"/>
      <c r="BG91" s="14"/>
      <c r="BH91" s="14"/>
      <c r="BI91" s="14"/>
      <c r="BJ91" s="14"/>
      <c r="BK91" s="87">
        <f t="shared" si="47"/>
        <v>0</v>
      </c>
      <c r="BL91" s="51"/>
      <c r="BM91" s="60"/>
      <c r="BN91" s="51"/>
      <c r="BO91" s="60"/>
      <c r="BP91" s="51"/>
      <c r="BQ91" s="60"/>
      <c r="BR91" s="60"/>
      <c r="BS91" s="60"/>
      <c r="BT91" s="59"/>
      <c r="BU91" s="59"/>
      <c r="BV91" s="51" t="e">
        <f t="shared" si="48"/>
        <v>#DIV/0!</v>
      </c>
      <c r="BW91" s="156"/>
      <c r="BX91" s="107"/>
      <c r="BY91" s="107"/>
      <c r="BZ91" s="107"/>
      <c r="CA91" s="107"/>
      <c r="CB91" s="107"/>
      <c r="CC91" s="107"/>
      <c r="CD91" s="156"/>
      <c r="CE91" s="156"/>
      <c r="CF91" s="115"/>
      <c r="CG91" s="14"/>
      <c r="CH91" s="14"/>
      <c r="CI91" s="14"/>
    </row>
    <row r="92" spans="1:87">
      <c r="A92" s="18"/>
      <c r="B92" s="18">
        <v>2021</v>
      </c>
      <c r="C92" s="107"/>
      <c r="D92" s="18"/>
      <c r="E92" s="18"/>
      <c r="F92" s="18"/>
      <c r="G92" s="18"/>
      <c r="H92" s="18"/>
      <c r="I92" s="107"/>
      <c r="J92" s="59"/>
      <c r="K92" s="51"/>
      <c r="L92" s="59"/>
      <c r="M92" s="51"/>
      <c r="N92" s="59"/>
      <c r="O92" s="59"/>
      <c r="P92" s="59"/>
      <c r="Q92" s="59"/>
      <c r="R92" s="59"/>
      <c r="S92" s="59"/>
      <c r="T92" s="59"/>
      <c r="U92" s="59"/>
      <c r="V92" s="59"/>
      <c r="W92" s="59"/>
      <c r="X92" s="59"/>
      <c r="Y92" s="59"/>
      <c r="Z92" s="59"/>
      <c r="AA92" s="59"/>
      <c r="AB92" s="59"/>
      <c r="AC92" s="59"/>
      <c r="AD92" s="60"/>
      <c r="AE92" s="60"/>
      <c r="AF92" s="60"/>
      <c r="AG92" s="60"/>
      <c r="AH92" s="60"/>
      <c r="AI92" s="60"/>
      <c r="AJ92" s="60"/>
      <c r="AK92" s="51"/>
      <c r="AL92" s="60"/>
      <c r="AM92" s="51"/>
      <c r="AN92" s="60"/>
      <c r="AO92" s="60"/>
      <c r="AP92" s="60"/>
      <c r="AQ92" s="60"/>
      <c r="AR92" s="131"/>
      <c r="AS92" s="131"/>
      <c r="AT92" s="131"/>
      <c r="AU92" s="133"/>
      <c r="AV92" s="133"/>
      <c r="AW92" s="133"/>
      <c r="AX92" s="133"/>
      <c r="AY92" s="133"/>
      <c r="AZ92" s="133"/>
      <c r="BA92" s="133"/>
      <c r="BB92" s="14"/>
      <c r="BC92" s="14"/>
      <c r="BD92" s="14"/>
      <c r="BE92" s="14"/>
      <c r="BF92" s="14"/>
      <c r="BG92" s="14"/>
      <c r="BH92" s="14"/>
      <c r="BI92" s="14"/>
      <c r="BJ92" s="14"/>
      <c r="BK92" s="87">
        <f t="shared" si="47"/>
        <v>0</v>
      </c>
      <c r="BL92" s="51"/>
      <c r="BM92" s="60"/>
      <c r="BN92" s="51"/>
      <c r="BO92" s="60"/>
      <c r="BP92" s="51"/>
      <c r="BQ92" s="60"/>
      <c r="BR92" s="60"/>
      <c r="BS92" s="60"/>
      <c r="BT92" s="59"/>
      <c r="BU92" s="59"/>
      <c r="BV92" s="51" t="e">
        <f t="shared" si="48"/>
        <v>#DIV/0!</v>
      </c>
      <c r="BW92" s="156"/>
      <c r="BX92" s="107"/>
      <c r="BY92" s="107"/>
      <c r="BZ92" s="107"/>
      <c r="CA92" s="107"/>
      <c r="CB92" s="107"/>
      <c r="CC92" s="107"/>
      <c r="CD92" s="156"/>
      <c r="CE92" s="156"/>
      <c r="CF92" s="115"/>
      <c r="CG92" s="14"/>
      <c r="CH92" s="14"/>
      <c r="CI92" s="14"/>
    </row>
    <row r="93" spans="1:87">
      <c r="A93" s="18"/>
      <c r="B93" s="18">
        <v>2020</v>
      </c>
      <c r="C93" s="107"/>
      <c r="D93" s="18"/>
      <c r="E93" s="18"/>
      <c r="F93" s="18"/>
      <c r="G93" s="18"/>
      <c r="H93" s="18"/>
      <c r="I93" s="107"/>
      <c r="J93" s="59"/>
      <c r="K93" s="51"/>
      <c r="L93" s="59"/>
      <c r="M93" s="51"/>
      <c r="N93" s="59"/>
      <c r="O93" s="59"/>
      <c r="P93" s="59"/>
      <c r="Q93" s="59"/>
      <c r="R93" s="59"/>
      <c r="S93" s="59"/>
      <c r="T93" s="59"/>
      <c r="U93" s="59"/>
      <c r="V93" s="59"/>
      <c r="W93" s="59"/>
      <c r="X93" s="59"/>
      <c r="Y93" s="59"/>
      <c r="Z93" s="59"/>
      <c r="AA93" s="59"/>
      <c r="AB93" s="59"/>
      <c r="AC93" s="59"/>
      <c r="AD93" s="60"/>
      <c r="AE93" s="60"/>
      <c r="AF93" s="60"/>
      <c r="AG93" s="60"/>
      <c r="AH93" s="60"/>
      <c r="AI93" s="60"/>
      <c r="AJ93" s="60"/>
      <c r="AK93" s="51"/>
      <c r="AL93" s="60"/>
      <c r="AM93" s="51"/>
      <c r="AN93" s="60"/>
      <c r="AO93" s="60"/>
      <c r="AP93" s="60"/>
      <c r="AQ93" s="60"/>
      <c r="AR93" s="131"/>
      <c r="AS93" s="131"/>
      <c r="AT93" s="131"/>
      <c r="AU93" s="133"/>
      <c r="AV93" s="133"/>
      <c r="AW93" s="133"/>
      <c r="AX93" s="133"/>
      <c r="AY93" s="133"/>
      <c r="AZ93" s="133"/>
      <c r="BA93" s="133"/>
      <c r="BB93" s="14"/>
      <c r="BC93" s="14"/>
      <c r="BD93" s="14"/>
      <c r="BE93" s="14"/>
      <c r="BF93" s="14"/>
      <c r="BG93" s="14"/>
      <c r="BH93" s="14"/>
      <c r="BI93" s="14"/>
      <c r="BJ93" s="14"/>
      <c r="BK93" s="87">
        <f t="shared" si="47"/>
        <v>0</v>
      </c>
      <c r="BL93" s="51"/>
      <c r="BM93" s="60"/>
      <c r="BN93" s="51"/>
      <c r="BO93" s="60"/>
      <c r="BP93" s="51"/>
      <c r="BQ93" s="60"/>
      <c r="BR93" s="60"/>
      <c r="BS93" s="60"/>
      <c r="BT93" s="59"/>
      <c r="BU93" s="59"/>
      <c r="BV93" s="51" t="e">
        <f t="shared" si="48"/>
        <v>#DIV/0!</v>
      </c>
      <c r="BW93" s="156"/>
      <c r="BX93" s="107"/>
      <c r="BY93" s="107"/>
      <c r="BZ93" s="107"/>
      <c r="CA93" s="107"/>
      <c r="CB93" s="107"/>
      <c r="CC93" s="107"/>
      <c r="CD93" s="156"/>
      <c r="CE93" s="156"/>
      <c r="CF93" s="115"/>
      <c r="CG93" s="14"/>
      <c r="CH93" s="14"/>
      <c r="CI93" s="14"/>
    </row>
    <row r="94" spans="1:87">
      <c r="A94" s="18"/>
      <c r="B94" s="18">
        <v>2019</v>
      </c>
      <c r="C94" s="107"/>
      <c r="D94" s="18"/>
      <c r="E94" s="18"/>
      <c r="F94" s="18"/>
      <c r="G94" s="18"/>
      <c r="H94" s="18"/>
      <c r="I94" s="107"/>
      <c r="J94" s="59"/>
      <c r="K94" s="51"/>
      <c r="L94" s="59"/>
      <c r="M94" s="51"/>
      <c r="N94" s="59"/>
      <c r="O94" s="59"/>
      <c r="P94" s="59"/>
      <c r="Q94" s="59"/>
      <c r="R94" s="59"/>
      <c r="S94" s="59"/>
      <c r="T94" s="59"/>
      <c r="U94" s="59"/>
      <c r="V94" s="59"/>
      <c r="W94" s="59"/>
      <c r="X94" s="59"/>
      <c r="Y94" s="59"/>
      <c r="Z94" s="59"/>
      <c r="AA94" s="59"/>
      <c r="AB94" s="59"/>
      <c r="AC94" s="59"/>
      <c r="AD94" s="60"/>
      <c r="AE94" s="60"/>
      <c r="AF94" s="60"/>
      <c r="AG94" s="60"/>
      <c r="AH94" s="60"/>
      <c r="AI94" s="60"/>
      <c r="AJ94" s="60"/>
      <c r="AK94" s="51"/>
      <c r="AL94" s="60"/>
      <c r="AM94" s="51"/>
      <c r="AN94" s="60"/>
      <c r="AO94" s="60"/>
      <c r="AP94" s="60"/>
      <c r="AQ94" s="60"/>
      <c r="AR94" s="131"/>
      <c r="AS94" s="131"/>
      <c r="AT94" s="131"/>
      <c r="AU94" s="133"/>
      <c r="AV94" s="133"/>
      <c r="AW94" s="133"/>
      <c r="AX94" s="133"/>
      <c r="AY94" s="133"/>
      <c r="AZ94" s="133"/>
      <c r="BA94" s="133"/>
      <c r="BB94" s="14"/>
      <c r="BC94" s="14"/>
      <c r="BD94" s="14"/>
      <c r="BE94" s="14"/>
      <c r="BF94" s="14"/>
      <c r="BG94" s="14"/>
      <c r="BH94" s="14"/>
      <c r="BI94" s="14"/>
      <c r="BJ94" s="14"/>
      <c r="BK94" s="87">
        <f t="shared" si="47"/>
        <v>0</v>
      </c>
      <c r="BL94" s="51"/>
      <c r="BM94" s="60"/>
      <c r="BN94" s="51"/>
      <c r="BO94" s="60"/>
      <c r="BP94" s="51"/>
      <c r="BQ94" s="60"/>
      <c r="BR94" s="60"/>
      <c r="BS94" s="60"/>
      <c r="BT94" s="59"/>
      <c r="BU94" s="59"/>
      <c r="BV94" s="51" t="e">
        <f t="shared" si="48"/>
        <v>#DIV/0!</v>
      </c>
      <c r="BW94" s="156"/>
      <c r="BX94" s="107"/>
      <c r="BY94" s="107"/>
      <c r="BZ94" s="107"/>
      <c r="CA94" s="107"/>
      <c r="CB94" s="107"/>
      <c r="CC94" s="107"/>
      <c r="CD94" s="156"/>
      <c r="CE94" s="156"/>
      <c r="CF94" s="115"/>
      <c r="CG94" s="14"/>
      <c r="CH94" s="14"/>
      <c r="CI94" s="14"/>
    </row>
    <row r="95" spans="1:87">
      <c r="A95" s="18"/>
      <c r="B95" s="18">
        <v>2018</v>
      </c>
      <c r="C95" s="107"/>
      <c r="D95" s="18"/>
      <c r="E95" s="18"/>
      <c r="F95" s="18"/>
      <c r="G95" s="18"/>
      <c r="H95" s="18"/>
      <c r="I95" s="107"/>
      <c r="J95" s="59"/>
      <c r="K95" s="51"/>
      <c r="L95" s="59"/>
      <c r="M95" s="51"/>
      <c r="N95" s="59"/>
      <c r="O95" s="59"/>
      <c r="P95" s="59"/>
      <c r="Q95" s="59"/>
      <c r="R95" s="59"/>
      <c r="S95" s="59"/>
      <c r="T95" s="59"/>
      <c r="U95" s="59"/>
      <c r="V95" s="59"/>
      <c r="W95" s="59"/>
      <c r="X95" s="59"/>
      <c r="Y95" s="59"/>
      <c r="Z95" s="59"/>
      <c r="AA95" s="59"/>
      <c r="AB95" s="59"/>
      <c r="AC95" s="59"/>
      <c r="AD95" s="60"/>
      <c r="AE95" s="60"/>
      <c r="AF95" s="60"/>
      <c r="AG95" s="60"/>
      <c r="AH95" s="60"/>
      <c r="AI95" s="60"/>
      <c r="AJ95" s="60"/>
      <c r="AK95" s="51"/>
      <c r="AL95" s="60"/>
      <c r="AM95" s="51"/>
      <c r="AN95" s="60"/>
      <c r="AO95" s="60"/>
      <c r="AP95" s="60"/>
      <c r="AQ95" s="60"/>
      <c r="AR95" s="131"/>
      <c r="AS95" s="131"/>
      <c r="AT95" s="131"/>
      <c r="AU95" s="133"/>
      <c r="AV95" s="133"/>
      <c r="AW95" s="133"/>
      <c r="AX95" s="133"/>
      <c r="AY95" s="133"/>
      <c r="AZ95" s="133"/>
      <c r="BA95" s="133"/>
      <c r="BB95" s="14"/>
      <c r="BC95" s="14"/>
      <c r="BD95" s="14"/>
      <c r="BE95" s="14"/>
      <c r="BF95" s="14"/>
      <c r="BG95" s="14"/>
      <c r="BH95" s="14"/>
      <c r="BI95" s="14"/>
      <c r="BJ95" s="14"/>
      <c r="BK95" s="87">
        <f t="shared" si="47"/>
        <v>0</v>
      </c>
      <c r="BL95" s="51"/>
      <c r="BM95" s="60"/>
      <c r="BN95" s="51"/>
      <c r="BO95" s="60"/>
      <c r="BP95" s="51"/>
      <c r="BQ95" s="60"/>
      <c r="BR95" s="60"/>
      <c r="BS95" s="60"/>
      <c r="BT95" s="59"/>
      <c r="BU95" s="59"/>
      <c r="BV95" s="51" t="e">
        <f t="shared" si="48"/>
        <v>#DIV/0!</v>
      </c>
      <c r="BW95" s="156"/>
      <c r="BX95" s="107"/>
      <c r="BY95" s="107"/>
      <c r="BZ95" s="107"/>
      <c r="CA95" s="107"/>
      <c r="CB95" s="107"/>
      <c r="CC95" s="107"/>
      <c r="CD95" s="156"/>
      <c r="CE95" s="156"/>
      <c r="CF95" s="115"/>
      <c r="CG95" s="14"/>
      <c r="CH95" s="14"/>
      <c r="CI95" s="14"/>
    </row>
    <row r="96" spans="1:87">
      <c r="A96" s="18"/>
      <c r="B96" s="18">
        <v>2017</v>
      </c>
      <c r="C96" s="107"/>
      <c r="D96" s="18"/>
      <c r="E96" s="18"/>
      <c r="F96" s="18"/>
      <c r="G96" s="18"/>
      <c r="H96" s="18"/>
      <c r="I96" s="107"/>
      <c r="J96" s="59"/>
      <c r="K96" s="51"/>
      <c r="L96" s="59"/>
      <c r="M96" s="51"/>
      <c r="N96" s="59"/>
      <c r="O96" s="59"/>
      <c r="P96" s="59"/>
      <c r="Q96" s="59"/>
      <c r="R96" s="59"/>
      <c r="S96" s="59"/>
      <c r="T96" s="59"/>
      <c r="U96" s="59"/>
      <c r="V96" s="59"/>
      <c r="W96" s="59"/>
      <c r="X96" s="59"/>
      <c r="Y96" s="59"/>
      <c r="Z96" s="59"/>
      <c r="AA96" s="59"/>
      <c r="AB96" s="59"/>
      <c r="AC96" s="59"/>
      <c r="AD96" s="60"/>
      <c r="AE96" s="60"/>
      <c r="AF96" s="60"/>
      <c r="AG96" s="60"/>
      <c r="AH96" s="60"/>
      <c r="AI96" s="60"/>
      <c r="AJ96" s="60"/>
      <c r="AK96" s="51"/>
      <c r="AL96" s="60"/>
      <c r="AM96" s="51"/>
      <c r="AN96" s="60"/>
      <c r="AO96" s="60"/>
      <c r="AP96" s="60"/>
      <c r="AQ96" s="60"/>
      <c r="AR96" s="131"/>
      <c r="AS96" s="131"/>
      <c r="AT96" s="131"/>
      <c r="AU96" s="133"/>
      <c r="AV96" s="133"/>
      <c r="AW96" s="133"/>
      <c r="AX96" s="133"/>
      <c r="AY96" s="133"/>
      <c r="AZ96" s="133"/>
      <c r="BA96" s="133"/>
      <c r="BB96" s="14"/>
      <c r="BC96" s="14"/>
      <c r="BD96" s="14"/>
      <c r="BE96" s="14"/>
      <c r="BF96" s="14"/>
      <c r="BG96" s="14"/>
      <c r="BH96" s="14"/>
      <c r="BI96" s="14"/>
      <c r="BJ96" s="14"/>
      <c r="BK96" s="87">
        <f t="shared" si="47"/>
        <v>0</v>
      </c>
      <c r="BL96" s="51"/>
      <c r="BM96" s="60"/>
      <c r="BN96" s="51"/>
      <c r="BO96" s="60"/>
      <c r="BP96" s="51"/>
      <c r="BQ96" s="60"/>
      <c r="BR96" s="60"/>
      <c r="BS96" s="60"/>
      <c r="BT96" s="59"/>
      <c r="BU96" s="59"/>
      <c r="BV96" s="51" t="e">
        <f t="shared" si="48"/>
        <v>#DIV/0!</v>
      </c>
      <c r="BW96" s="156"/>
      <c r="BX96" s="107"/>
      <c r="BY96" s="107"/>
      <c r="BZ96" s="107"/>
      <c r="CA96" s="107"/>
      <c r="CB96" s="107"/>
      <c r="CC96" s="107"/>
      <c r="CD96" s="156"/>
      <c r="CE96" s="156"/>
      <c r="CF96" s="115"/>
      <c r="CG96" s="14"/>
      <c r="CH96" s="14"/>
      <c r="CI96" s="14"/>
    </row>
    <row r="97" spans="1:87">
      <c r="A97" s="18"/>
      <c r="B97" s="18">
        <v>2016</v>
      </c>
      <c r="C97" s="107"/>
      <c r="D97" s="18"/>
      <c r="E97" s="18"/>
      <c r="F97" s="18"/>
      <c r="G97" s="18"/>
      <c r="H97" s="18"/>
      <c r="I97" s="107"/>
      <c r="J97" s="59"/>
      <c r="K97" s="51"/>
      <c r="L97" s="59"/>
      <c r="M97" s="51"/>
      <c r="N97" s="59"/>
      <c r="O97" s="59"/>
      <c r="P97" s="59"/>
      <c r="Q97" s="59"/>
      <c r="R97" s="59"/>
      <c r="S97" s="59"/>
      <c r="T97" s="59"/>
      <c r="U97" s="59"/>
      <c r="V97" s="59"/>
      <c r="W97" s="59"/>
      <c r="X97" s="59"/>
      <c r="Y97" s="59"/>
      <c r="Z97" s="59"/>
      <c r="AA97" s="59"/>
      <c r="AB97" s="59"/>
      <c r="AC97" s="59"/>
      <c r="AD97" s="60"/>
      <c r="AE97" s="60"/>
      <c r="AF97" s="60"/>
      <c r="AG97" s="60"/>
      <c r="AH97" s="60"/>
      <c r="AI97" s="60"/>
      <c r="AJ97" s="60"/>
      <c r="AK97" s="51"/>
      <c r="AL97" s="60"/>
      <c r="AM97" s="51"/>
      <c r="AN97" s="60"/>
      <c r="AO97" s="60"/>
      <c r="AP97" s="60"/>
      <c r="AQ97" s="60"/>
      <c r="AR97" s="131"/>
      <c r="AS97" s="131"/>
      <c r="AT97" s="131"/>
      <c r="AU97" s="133"/>
      <c r="AV97" s="133"/>
      <c r="AW97" s="133"/>
      <c r="AX97" s="133"/>
      <c r="AY97" s="133"/>
      <c r="AZ97" s="133"/>
      <c r="BA97" s="133"/>
      <c r="BB97" s="14"/>
      <c r="BC97" s="14"/>
      <c r="BD97" s="14"/>
      <c r="BE97" s="14"/>
      <c r="BF97" s="14"/>
      <c r="BG97" s="14"/>
      <c r="BH97" s="14"/>
      <c r="BI97" s="14"/>
      <c r="BJ97" s="14"/>
      <c r="BK97" s="87">
        <f t="shared" si="47"/>
        <v>0</v>
      </c>
      <c r="BL97" s="51"/>
      <c r="BM97" s="60"/>
      <c r="BN97" s="51"/>
      <c r="BO97" s="60"/>
      <c r="BP97" s="51"/>
      <c r="BQ97" s="60"/>
      <c r="BR97" s="60"/>
      <c r="BS97" s="60"/>
      <c r="BT97" s="59"/>
      <c r="BU97" s="59"/>
      <c r="BV97" s="51" t="e">
        <f t="shared" si="48"/>
        <v>#DIV/0!</v>
      </c>
      <c r="BW97" s="156"/>
      <c r="BX97" s="107"/>
      <c r="BY97" s="107"/>
      <c r="BZ97" s="107"/>
      <c r="CA97" s="107"/>
      <c r="CB97" s="107"/>
      <c r="CC97" s="107"/>
      <c r="CD97" s="156"/>
      <c r="CE97" s="156"/>
      <c r="CF97" s="115"/>
      <c r="CG97" s="14"/>
      <c r="CH97" s="14"/>
      <c r="CI97" s="14"/>
    </row>
    <row r="98" spans="1:87">
      <c r="A98" s="18"/>
      <c r="B98" s="18">
        <v>2015</v>
      </c>
      <c r="C98" s="107"/>
      <c r="D98" s="18"/>
      <c r="E98" s="18"/>
      <c r="F98" s="18"/>
      <c r="G98" s="18"/>
      <c r="H98" s="18"/>
      <c r="I98" s="107"/>
      <c r="J98" s="59"/>
      <c r="K98" s="51"/>
      <c r="L98" s="59"/>
      <c r="M98" s="51"/>
      <c r="N98" s="59"/>
      <c r="O98" s="59"/>
      <c r="P98" s="59"/>
      <c r="Q98" s="59"/>
      <c r="R98" s="59"/>
      <c r="S98" s="59"/>
      <c r="T98" s="59"/>
      <c r="U98" s="59"/>
      <c r="V98" s="59"/>
      <c r="W98" s="59"/>
      <c r="X98" s="59"/>
      <c r="Y98" s="59"/>
      <c r="Z98" s="59"/>
      <c r="AA98" s="59"/>
      <c r="AB98" s="59"/>
      <c r="AC98" s="59"/>
      <c r="AD98" s="60"/>
      <c r="AE98" s="60"/>
      <c r="AF98" s="60"/>
      <c r="AG98" s="60"/>
      <c r="AH98" s="60"/>
      <c r="AI98" s="60"/>
      <c r="AJ98" s="60"/>
      <c r="AK98" s="51"/>
      <c r="AL98" s="60"/>
      <c r="AM98" s="51"/>
      <c r="AN98" s="60"/>
      <c r="AO98" s="60"/>
      <c r="AP98" s="60"/>
      <c r="AQ98" s="60"/>
      <c r="AR98" s="131"/>
      <c r="AS98" s="131"/>
      <c r="AT98" s="131"/>
      <c r="AU98" s="133"/>
      <c r="AV98" s="133"/>
      <c r="AW98" s="133"/>
      <c r="AX98" s="133"/>
      <c r="AY98" s="133"/>
      <c r="AZ98" s="133"/>
      <c r="BA98" s="133"/>
      <c r="BB98" s="14"/>
      <c r="BC98" s="14"/>
      <c r="BD98" s="14"/>
      <c r="BE98" s="14"/>
      <c r="BF98" s="14"/>
      <c r="BG98" s="14"/>
      <c r="BH98" s="14"/>
      <c r="BI98" s="14"/>
      <c r="BJ98" s="14"/>
      <c r="BK98" s="87">
        <f t="shared" si="47"/>
        <v>0</v>
      </c>
      <c r="BL98" s="51"/>
      <c r="BM98" s="60"/>
      <c r="BN98" s="51"/>
      <c r="BO98" s="60"/>
      <c r="BP98" s="51"/>
      <c r="BQ98" s="60"/>
      <c r="BR98" s="60"/>
      <c r="BS98" s="60"/>
      <c r="BT98" s="59"/>
      <c r="BU98" s="59"/>
      <c r="BV98" s="51" t="e">
        <f t="shared" si="48"/>
        <v>#DIV/0!</v>
      </c>
      <c r="BW98" s="156"/>
      <c r="BX98" s="107"/>
      <c r="BY98" s="107"/>
      <c r="BZ98" s="107"/>
      <c r="CA98" s="107"/>
      <c r="CB98" s="107"/>
      <c r="CC98" s="107"/>
      <c r="CD98" s="156"/>
      <c r="CE98" s="156"/>
      <c r="CF98" s="115"/>
      <c r="CG98" s="14"/>
      <c r="CH98" s="14"/>
      <c r="CI98" s="14"/>
    </row>
    <row r="99" spans="1:87">
      <c r="A99" s="18"/>
      <c r="B99" s="18">
        <v>2014</v>
      </c>
      <c r="C99" s="107"/>
      <c r="D99" s="18"/>
      <c r="E99" s="18"/>
      <c r="F99" s="18"/>
      <c r="G99" s="18"/>
      <c r="H99" s="18"/>
      <c r="I99" s="107"/>
      <c r="J99" s="59"/>
      <c r="K99" s="51"/>
      <c r="L99" s="59"/>
      <c r="M99" s="51"/>
      <c r="N99" s="59"/>
      <c r="O99" s="59"/>
      <c r="P99" s="59"/>
      <c r="Q99" s="59"/>
      <c r="R99" s="59"/>
      <c r="S99" s="59"/>
      <c r="T99" s="59"/>
      <c r="U99" s="59"/>
      <c r="V99" s="59"/>
      <c r="W99" s="59"/>
      <c r="X99" s="59"/>
      <c r="Y99" s="59"/>
      <c r="Z99" s="59"/>
      <c r="AA99" s="59"/>
      <c r="AB99" s="59"/>
      <c r="AC99" s="59"/>
      <c r="AD99" s="60"/>
      <c r="AE99" s="60"/>
      <c r="AF99" s="60"/>
      <c r="AG99" s="60"/>
      <c r="AH99" s="60"/>
      <c r="AI99" s="60"/>
      <c r="AJ99" s="60"/>
      <c r="AK99" s="51"/>
      <c r="AL99" s="60"/>
      <c r="AM99" s="51"/>
      <c r="AN99" s="60"/>
      <c r="AO99" s="60"/>
      <c r="AP99" s="60"/>
      <c r="AQ99" s="60"/>
      <c r="AR99" s="131"/>
      <c r="AS99" s="131"/>
      <c r="AT99" s="131"/>
      <c r="AU99" s="133"/>
      <c r="AV99" s="133"/>
      <c r="AW99" s="133"/>
      <c r="AX99" s="133"/>
      <c r="AY99" s="133"/>
      <c r="AZ99" s="133"/>
      <c r="BA99" s="133"/>
      <c r="BB99" s="14"/>
      <c r="BC99" s="14"/>
      <c r="BD99" s="14"/>
      <c r="BE99" s="14"/>
      <c r="BF99" s="14"/>
      <c r="BG99" s="14"/>
      <c r="BH99" s="14"/>
      <c r="BI99" s="14"/>
      <c r="BJ99" s="14"/>
      <c r="BK99" s="87">
        <f t="shared" si="47"/>
        <v>0</v>
      </c>
      <c r="BL99" s="51"/>
      <c r="BM99" s="60"/>
      <c r="BN99" s="51"/>
      <c r="BO99" s="60"/>
      <c r="BP99" s="51"/>
      <c r="BQ99" s="60"/>
      <c r="BR99" s="60"/>
      <c r="BS99" s="60"/>
      <c r="BT99" s="59"/>
      <c r="BU99" s="59"/>
      <c r="BV99" s="51" t="e">
        <f t="shared" si="48"/>
        <v>#DIV/0!</v>
      </c>
      <c r="BW99" s="156"/>
      <c r="BX99" s="107"/>
      <c r="BY99" s="107"/>
      <c r="BZ99" s="107"/>
      <c r="CA99" s="107"/>
      <c r="CB99" s="107"/>
      <c r="CC99" s="107"/>
      <c r="CD99" s="156"/>
      <c r="CE99" s="156"/>
      <c r="CF99" s="115"/>
      <c r="CG99" s="14"/>
      <c r="CH99" s="14"/>
      <c r="CI99" s="14"/>
    </row>
    <row r="100" spans="1:87">
      <c r="A100" s="18"/>
      <c r="B100" s="18">
        <v>2013</v>
      </c>
      <c r="C100" s="107"/>
      <c r="D100" s="18"/>
      <c r="E100" s="18"/>
      <c r="F100" s="18"/>
      <c r="G100" s="18"/>
      <c r="H100" s="18"/>
      <c r="I100" s="107"/>
      <c r="J100" s="59"/>
      <c r="K100" s="51"/>
      <c r="L100" s="59"/>
      <c r="M100" s="51"/>
      <c r="N100" s="59"/>
      <c r="O100" s="59"/>
      <c r="P100" s="59"/>
      <c r="Q100" s="59"/>
      <c r="R100" s="59"/>
      <c r="S100" s="59"/>
      <c r="T100" s="59"/>
      <c r="U100" s="59"/>
      <c r="V100" s="59"/>
      <c r="W100" s="59"/>
      <c r="X100" s="59"/>
      <c r="Y100" s="59"/>
      <c r="Z100" s="59"/>
      <c r="AA100" s="59"/>
      <c r="AB100" s="59"/>
      <c r="AC100" s="59"/>
      <c r="AD100" s="60"/>
      <c r="AE100" s="60"/>
      <c r="AF100" s="60"/>
      <c r="AG100" s="60"/>
      <c r="AH100" s="60"/>
      <c r="AI100" s="60"/>
      <c r="AJ100" s="60"/>
      <c r="AK100" s="51"/>
      <c r="AL100" s="60"/>
      <c r="AM100" s="51"/>
      <c r="AN100" s="60"/>
      <c r="AO100" s="60"/>
      <c r="AP100" s="60"/>
      <c r="AQ100" s="60"/>
      <c r="AR100" s="131"/>
      <c r="AS100" s="131"/>
      <c r="AT100" s="131"/>
      <c r="AU100" s="133"/>
      <c r="AV100" s="133"/>
      <c r="AW100" s="133"/>
      <c r="AX100" s="133"/>
      <c r="AY100" s="133"/>
      <c r="AZ100" s="133"/>
      <c r="BA100" s="133"/>
      <c r="BB100" s="14"/>
      <c r="BC100" s="14"/>
      <c r="BD100" s="14"/>
      <c r="BE100" s="14"/>
      <c r="BF100" s="14"/>
      <c r="BG100" s="14"/>
      <c r="BH100" s="14"/>
      <c r="BI100" s="14"/>
      <c r="BJ100" s="14"/>
      <c r="BK100" s="87">
        <f t="shared" si="47"/>
        <v>0</v>
      </c>
      <c r="BL100" s="51"/>
      <c r="BM100" s="60"/>
      <c r="BN100" s="51"/>
      <c r="BO100" s="60"/>
      <c r="BP100" s="51"/>
      <c r="BQ100" s="60"/>
      <c r="BR100" s="60"/>
      <c r="BS100" s="60"/>
      <c r="BT100" s="59"/>
      <c r="BU100" s="59"/>
      <c r="BV100" s="51" t="e">
        <f t="shared" si="48"/>
        <v>#DIV/0!</v>
      </c>
      <c r="BW100" s="156"/>
      <c r="BX100" s="107"/>
      <c r="BY100" s="107"/>
      <c r="BZ100" s="107"/>
      <c r="CA100" s="107"/>
      <c r="CB100" s="107"/>
      <c r="CC100" s="107"/>
      <c r="CD100" s="156"/>
      <c r="CE100" s="156"/>
      <c r="CF100" s="115"/>
      <c r="CG100" s="14"/>
      <c r="CH100" s="14"/>
      <c r="CI100" s="14"/>
    </row>
    <row r="101" spans="1:87">
      <c r="A101" s="18"/>
      <c r="B101" s="18">
        <v>2012</v>
      </c>
      <c r="C101" s="107"/>
      <c r="D101" s="18"/>
      <c r="E101" s="18"/>
      <c r="F101" s="18"/>
      <c r="G101" s="18"/>
      <c r="H101" s="18"/>
      <c r="I101" s="107"/>
      <c r="J101" s="59"/>
      <c r="K101" s="51"/>
      <c r="L101" s="59"/>
      <c r="M101" s="51"/>
      <c r="N101" s="59"/>
      <c r="O101" s="59"/>
      <c r="P101" s="59"/>
      <c r="Q101" s="59"/>
      <c r="R101" s="59"/>
      <c r="S101" s="59"/>
      <c r="T101" s="59"/>
      <c r="U101" s="59"/>
      <c r="V101" s="59"/>
      <c r="W101" s="59"/>
      <c r="X101" s="59"/>
      <c r="Y101" s="59"/>
      <c r="Z101" s="59"/>
      <c r="AA101" s="59"/>
      <c r="AB101" s="59"/>
      <c r="AC101" s="59"/>
      <c r="AD101" s="60"/>
      <c r="AE101" s="60"/>
      <c r="AF101" s="60"/>
      <c r="AG101" s="60"/>
      <c r="AH101" s="60"/>
      <c r="AI101" s="60"/>
      <c r="AJ101" s="60"/>
      <c r="AK101" s="51"/>
      <c r="AL101" s="60"/>
      <c r="AM101" s="51"/>
      <c r="AN101" s="60"/>
      <c r="AO101" s="60"/>
      <c r="AP101" s="60"/>
      <c r="AQ101" s="60"/>
      <c r="AR101" s="131"/>
      <c r="AS101" s="131"/>
      <c r="AT101" s="131"/>
      <c r="AU101" s="133"/>
      <c r="AV101" s="133"/>
      <c r="AW101" s="133"/>
      <c r="AX101" s="133"/>
      <c r="AY101" s="133"/>
      <c r="AZ101" s="133"/>
      <c r="BA101" s="133"/>
      <c r="BB101" s="14"/>
      <c r="BC101" s="14"/>
      <c r="BD101" s="14"/>
      <c r="BE101" s="14"/>
      <c r="BF101" s="14"/>
      <c r="BG101" s="14"/>
      <c r="BH101" s="14"/>
      <c r="BI101" s="14"/>
      <c r="BJ101" s="14"/>
      <c r="BK101" s="87">
        <f t="shared" si="47"/>
        <v>0</v>
      </c>
      <c r="BL101" s="51"/>
      <c r="BM101" s="60"/>
      <c r="BN101" s="51"/>
      <c r="BO101" s="60"/>
      <c r="BP101" s="51"/>
      <c r="BQ101" s="60"/>
      <c r="BR101" s="60"/>
      <c r="BS101" s="60"/>
      <c r="BT101" s="59"/>
      <c r="BU101" s="59"/>
      <c r="BV101" s="51" t="e">
        <f t="shared" si="48"/>
        <v>#DIV/0!</v>
      </c>
      <c r="BW101" s="156"/>
      <c r="BX101" s="107"/>
      <c r="BY101" s="107"/>
      <c r="BZ101" s="107"/>
      <c r="CA101" s="107"/>
      <c r="CB101" s="107"/>
      <c r="CC101" s="107"/>
      <c r="CD101" s="156"/>
      <c r="CE101" s="156"/>
      <c r="CF101" s="115"/>
      <c r="CG101" s="14"/>
      <c r="CH101" s="14"/>
      <c r="CI101" s="14"/>
    </row>
    <row r="102" spans="1:87">
      <c r="A102" s="13" t="s">
        <v>105</v>
      </c>
      <c r="B102" s="18">
        <v>2022</v>
      </c>
      <c r="C102" s="107"/>
      <c r="D102" s="18"/>
      <c r="E102" s="18"/>
      <c r="F102" s="18"/>
      <c r="G102" s="18"/>
      <c r="H102" s="18"/>
      <c r="I102" s="107">
        <v>254364804995.25</v>
      </c>
      <c r="J102" s="59">
        <v>204964688254.08</v>
      </c>
      <c r="K102" s="51"/>
      <c r="L102" s="59">
        <v>197506672396</v>
      </c>
      <c r="M102" s="51"/>
      <c r="N102" s="59"/>
      <c r="O102" s="59"/>
      <c r="P102" s="59"/>
      <c r="Q102" s="59">
        <v>334447942.79</v>
      </c>
      <c r="R102" s="59"/>
      <c r="S102" s="59"/>
      <c r="T102" s="59"/>
      <c r="U102" s="59"/>
      <c r="V102" s="59"/>
      <c r="W102" s="59">
        <f t="shared" ref="W102:W107" si="49">SUM(N102:V102)</f>
        <v>334447942.79</v>
      </c>
      <c r="X102" s="59">
        <v>4134744407.92</v>
      </c>
      <c r="Y102" s="59">
        <v>380685319.09</v>
      </c>
      <c r="Z102" s="59"/>
      <c r="AA102" s="59"/>
      <c r="AB102" s="59"/>
      <c r="AC102" s="59"/>
      <c r="AD102" s="60"/>
      <c r="AE102" s="60">
        <v>5335046.99</v>
      </c>
      <c r="AF102" s="59">
        <v>58274318733.23</v>
      </c>
      <c r="AG102" s="60">
        <v>116172711554.59</v>
      </c>
      <c r="AH102" s="60"/>
      <c r="AI102" s="60">
        <f t="shared" ref="AI102:AI107" si="50">SUM(Z102:AH102)</f>
        <v>174452365334.81</v>
      </c>
      <c r="AJ102" s="60"/>
      <c r="AK102" s="51"/>
      <c r="AL102" s="60"/>
      <c r="AM102" s="51"/>
      <c r="AN102" s="60"/>
      <c r="AO102" s="60"/>
      <c r="AP102" s="60"/>
      <c r="AQ102" s="60"/>
      <c r="AR102" s="131"/>
      <c r="AS102" s="131"/>
      <c r="AT102" s="131"/>
      <c r="AU102" s="133"/>
      <c r="AV102" s="133"/>
      <c r="AW102" s="133"/>
      <c r="AX102" s="133"/>
      <c r="AY102" s="133"/>
      <c r="AZ102" s="133"/>
      <c r="BA102" s="133"/>
      <c r="BB102" s="14"/>
      <c r="BC102" s="14"/>
      <c r="BD102" s="14"/>
      <c r="BE102" s="14"/>
      <c r="BF102" s="14"/>
      <c r="BG102" s="14"/>
      <c r="BH102" s="14"/>
      <c r="BI102" s="14"/>
      <c r="BJ102" s="14"/>
      <c r="BK102" s="87">
        <f t="shared" si="47"/>
        <v>205299136196.87</v>
      </c>
      <c r="BL102" s="51"/>
      <c r="BM102" s="60">
        <f t="shared" ref="BM102:BM107" si="51">J102+W102-AI102</f>
        <v>30846770862.06</v>
      </c>
      <c r="BN102" s="51"/>
      <c r="BO102" s="60">
        <v>87879521782.39</v>
      </c>
      <c r="BP102" s="51"/>
      <c r="BQ102" s="60"/>
      <c r="BR102" s="60">
        <v>105584206.24</v>
      </c>
      <c r="BS102" s="60">
        <v>-1391805826.72</v>
      </c>
      <c r="BT102" s="59">
        <f t="shared" ref="BT102:BT107" si="52">BQ102+BR102+BS102</f>
        <v>-1286221620.48</v>
      </c>
      <c r="BU102" s="59">
        <f t="shared" ref="BU102:BU107" si="53">BO102+BR102+BS102</f>
        <v>86593300161.91</v>
      </c>
      <c r="BV102" s="51">
        <f t="shared" si="48"/>
        <v>0</v>
      </c>
      <c r="BW102" s="146">
        <f t="shared" ref="BW102:BW107" si="54">BU102/BM102</f>
        <v>2.80720794241758</v>
      </c>
      <c r="BX102" s="107"/>
      <c r="BY102" s="107"/>
      <c r="BZ102" s="107"/>
      <c r="CA102" s="107"/>
      <c r="CB102" s="107"/>
      <c r="CC102" s="107"/>
      <c r="CD102" s="156"/>
      <c r="CE102" s="156"/>
      <c r="CF102" s="115"/>
      <c r="CG102" s="14"/>
      <c r="CH102" s="14"/>
      <c r="CI102" s="14"/>
    </row>
    <row r="103" spans="1:87">
      <c r="A103" s="13"/>
      <c r="B103" s="18">
        <v>2021</v>
      </c>
      <c r="C103" s="107"/>
      <c r="D103" s="18"/>
      <c r="E103" s="18"/>
      <c r="F103" s="18"/>
      <c r="G103" s="18"/>
      <c r="H103" s="18"/>
      <c r="I103" s="107">
        <v>255168195159.9</v>
      </c>
      <c r="J103" s="59">
        <v>196957506705.34</v>
      </c>
      <c r="K103" s="51"/>
      <c r="L103" s="59">
        <v>189539368797.29</v>
      </c>
      <c r="M103" s="51"/>
      <c r="N103" s="59"/>
      <c r="O103" s="59"/>
      <c r="P103" s="59"/>
      <c r="Q103" s="59">
        <v>296466199.74</v>
      </c>
      <c r="R103" s="59"/>
      <c r="S103" s="59"/>
      <c r="T103" s="59"/>
      <c r="U103" s="59"/>
      <c r="V103" s="59"/>
      <c r="W103" s="59">
        <f t="shared" si="49"/>
        <v>296466199.74</v>
      </c>
      <c r="X103" s="59">
        <v>3425175000</v>
      </c>
      <c r="Y103" s="59">
        <v>170468623.71</v>
      </c>
      <c r="Z103" s="59"/>
      <c r="AA103" s="59"/>
      <c r="AB103" s="59"/>
      <c r="AC103" s="59"/>
      <c r="AD103" s="60"/>
      <c r="AE103" s="60">
        <v>5242431.75</v>
      </c>
      <c r="AF103" s="155">
        <v>51810243607.11</v>
      </c>
      <c r="AG103" s="60">
        <v>135067287778.03</v>
      </c>
      <c r="AH103" s="60"/>
      <c r="AI103" s="60">
        <f t="shared" si="50"/>
        <v>186882773816.89</v>
      </c>
      <c r="AJ103" s="60"/>
      <c r="AK103" s="51"/>
      <c r="AL103" s="60"/>
      <c r="AM103" s="51"/>
      <c r="AN103" s="60"/>
      <c r="AO103" s="60"/>
      <c r="AP103" s="60"/>
      <c r="AQ103" s="60"/>
      <c r="AR103" s="131"/>
      <c r="AS103" s="131"/>
      <c r="AT103" s="131"/>
      <c r="AU103" s="133"/>
      <c r="AV103" s="133"/>
      <c r="AW103" s="133"/>
      <c r="AX103" s="133"/>
      <c r="AY103" s="133"/>
      <c r="AZ103" s="133"/>
      <c r="BA103" s="133"/>
      <c r="BB103" s="14"/>
      <c r="BC103" s="14"/>
      <c r="BD103" s="14"/>
      <c r="BE103" s="14"/>
      <c r="BF103" s="14"/>
      <c r="BG103" s="14"/>
      <c r="BH103" s="14"/>
      <c r="BI103" s="14"/>
      <c r="BJ103" s="14"/>
      <c r="BK103" s="87">
        <f t="shared" si="47"/>
        <v>197253972905.08</v>
      </c>
      <c r="BL103" s="51"/>
      <c r="BM103" s="61">
        <f t="shared" si="51"/>
        <v>10371199088.19</v>
      </c>
      <c r="BN103" s="51"/>
      <c r="BO103" s="60">
        <v>74750880777.52</v>
      </c>
      <c r="BP103" s="51"/>
      <c r="BQ103" s="60"/>
      <c r="BR103" s="60">
        <v>173897197.98</v>
      </c>
      <c r="BS103" s="60">
        <v>-934523406.02</v>
      </c>
      <c r="BT103" s="59">
        <f t="shared" si="52"/>
        <v>-760626208.04</v>
      </c>
      <c r="BU103" s="59">
        <f t="shared" si="53"/>
        <v>73990254569.48</v>
      </c>
      <c r="BV103" s="51">
        <f t="shared" si="48"/>
        <v>0</v>
      </c>
      <c r="BW103" s="146">
        <f t="shared" si="54"/>
        <v>7.13420443868782</v>
      </c>
      <c r="BX103" s="59"/>
      <c r="BY103" s="59"/>
      <c r="BZ103" s="59"/>
      <c r="CA103" s="59"/>
      <c r="CB103" s="59"/>
      <c r="CC103" s="59"/>
      <c r="CD103" s="146"/>
      <c r="CE103" s="146"/>
      <c r="CF103" s="115"/>
      <c r="CG103" s="14"/>
      <c r="CH103" s="14"/>
      <c r="CI103" s="14"/>
    </row>
    <row r="104" spans="1:87">
      <c r="A104" s="13"/>
      <c r="B104" s="18">
        <v>2020</v>
      </c>
      <c r="C104" s="107"/>
      <c r="D104" s="18"/>
      <c r="E104" s="18"/>
      <c r="F104" s="18"/>
      <c r="G104" s="18"/>
      <c r="H104" s="18"/>
      <c r="I104" s="107">
        <v>213395810527.46</v>
      </c>
      <c r="J104" s="59">
        <v>167720683101.28</v>
      </c>
      <c r="K104" s="51"/>
      <c r="L104" s="59">
        <v>161322735087.56</v>
      </c>
      <c r="M104" s="51"/>
      <c r="N104" s="59"/>
      <c r="O104" s="59"/>
      <c r="P104" s="59"/>
      <c r="Q104" s="59"/>
      <c r="R104" s="59"/>
      <c r="S104" s="59"/>
      <c r="T104" s="59"/>
      <c r="U104" s="59"/>
      <c r="V104" s="59"/>
      <c r="W104" s="59">
        <f t="shared" si="49"/>
        <v>0</v>
      </c>
      <c r="X104" s="59">
        <v>2953036834.8</v>
      </c>
      <c r="Y104" s="59">
        <v>20143397.78</v>
      </c>
      <c r="Z104" s="59"/>
      <c r="AA104" s="59"/>
      <c r="AB104" s="59"/>
      <c r="AC104" s="59"/>
      <c r="AD104" s="60">
        <v>9830052.91</v>
      </c>
      <c r="AE104" s="60"/>
      <c r="AF104" s="155">
        <v>36091090060.9</v>
      </c>
      <c r="AG104" s="60">
        <v>118199586541.06</v>
      </c>
      <c r="AH104" s="60"/>
      <c r="AI104" s="60">
        <f t="shared" si="50"/>
        <v>154300506654.87</v>
      </c>
      <c r="AJ104" s="60"/>
      <c r="AK104" s="51"/>
      <c r="AL104" s="60"/>
      <c r="AM104" s="51"/>
      <c r="AN104" s="60"/>
      <c r="AO104" s="60"/>
      <c r="AP104" s="60"/>
      <c r="AQ104" s="60"/>
      <c r="AR104" s="131"/>
      <c r="AS104" s="131"/>
      <c r="AT104" s="131"/>
      <c r="AU104" s="133"/>
      <c r="AV104" s="133"/>
      <c r="AW104" s="133"/>
      <c r="AX104" s="133"/>
      <c r="AY104" s="133"/>
      <c r="AZ104" s="133"/>
      <c r="BA104" s="133"/>
      <c r="BB104" s="14"/>
      <c r="BC104" s="14"/>
      <c r="BD104" s="14"/>
      <c r="BE104" s="14"/>
      <c r="BF104" s="14"/>
      <c r="BG104" s="14"/>
      <c r="BH104" s="14"/>
      <c r="BI104" s="14"/>
      <c r="BJ104" s="14"/>
      <c r="BK104" s="87">
        <f t="shared" si="47"/>
        <v>167720683101.28</v>
      </c>
      <c r="BL104" s="51"/>
      <c r="BM104" s="61">
        <f t="shared" si="51"/>
        <v>13420176446.41</v>
      </c>
      <c r="BN104" s="51"/>
      <c r="BO104" s="60">
        <v>66635079882.38</v>
      </c>
      <c r="BP104" s="51"/>
      <c r="BQ104" s="60"/>
      <c r="BR104" s="60">
        <v>111128537.31</v>
      </c>
      <c r="BS104" s="60">
        <v>-234610582.44</v>
      </c>
      <c r="BT104" s="59">
        <f t="shared" si="52"/>
        <v>-123482045.13</v>
      </c>
      <c r="BU104" s="59">
        <f t="shared" si="53"/>
        <v>66511597837.25</v>
      </c>
      <c r="BV104" s="51">
        <f t="shared" si="48"/>
        <v>0</v>
      </c>
      <c r="BW104" s="146">
        <f t="shared" si="54"/>
        <v>4.95608966863043</v>
      </c>
      <c r="BX104" s="59"/>
      <c r="BY104" s="59"/>
      <c r="BZ104" s="59"/>
      <c r="CA104" s="59"/>
      <c r="CB104" s="59"/>
      <c r="CC104" s="59"/>
      <c r="CD104" s="146"/>
      <c r="CE104" s="146"/>
      <c r="CF104" s="115"/>
      <c r="CG104" s="14"/>
      <c r="CH104" s="14"/>
      <c r="CI104" s="14"/>
    </row>
    <row r="105" spans="1:87">
      <c r="A105" s="13"/>
      <c r="B105" s="18">
        <v>2019</v>
      </c>
      <c r="C105" s="107"/>
      <c r="D105" s="18"/>
      <c r="E105" s="18"/>
      <c r="F105" s="18"/>
      <c r="G105" s="18"/>
      <c r="H105" s="18"/>
      <c r="I105" s="107">
        <v>183042372042.5</v>
      </c>
      <c r="J105" s="59">
        <v>141876380228.65</v>
      </c>
      <c r="K105" s="51"/>
      <c r="L105" s="59">
        <v>136010349875.11</v>
      </c>
      <c r="M105" s="51"/>
      <c r="N105" s="59"/>
      <c r="O105" s="59"/>
      <c r="P105" s="59"/>
      <c r="Q105" s="59"/>
      <c r="R105" s="59"/>
      <c r="S105" s="59"/>
      <c r="T105" s="59"/>
      <c r="U105" s="59"/>
      <c r="V105" s="59"/>
      <c r="W105" s="59">
        <f t="shared" si="49"/>
        <v>0</v>
      </c>
      <c r="X105" s="59">
        <v>48750000</v>
      </c>
      <c r="Y105" s="59"/>
      <c r="Z105" s="59"/>
      <c r="AA105" s="59"/>
      <c r="AB105" s="59"/>
      <c r="AC105" s="59"/>
      <c r="AD105" s="60">
        <v>319770404.05</v>
      </c>
      <c r="AE105" s="60"/>
      <c r="AF105" s="55">
        <v>13251817237.85</v>
      </c>
      <c r="AG105" s="60">
        <v>117377810563.27</v>
      </c>
      <c r="AH105" s="60"/>
      <c r="AI105" s="60">
        <f t="shared" si="50"/>
        <v>130949398205.17</v>
      </c>
      <c r="AJ105" s="60"/>
      <c r="AK105" s="51"/>
      <c r="AL105" s="60"/>
      <c r="AM105" s="51"/>
      <c r="AN105" s="60"/>
      <c r="AO105" s="60"/>
      <c r="AP105" s="60"/>
      <c r="AQ105" s="60"/>
      <c r="AR105" s="131"/>
      <c r="AS105" s="131"/>
      <c r="AT105" s="131"/>
      <c r="AU105" s="133"/>
      <c r="AV105" s="133"/>
      <c r="AW105" s="133"/>
      <c r="AX105" s="133"/>
      <c r="AY105" s="133"/>
      <c r="AZ105" s="133"/>
      <c r="BA105" s="133"/>
      <c r="BB105" s="14"/>
      <c r="BC105" s="14"/>
      <c r="BD105" s="14"/>
      <c r="BE105" s="14"/>
      <c r="BF105" s="14"/>
      <c r="BG105" s="14"/>
      <c r="BH105" s="14"/>
      <c r="BI105" s="14"/>
      <c r="BJ105" s="14"/>
      <c r="BK105" s="87">
        <f t="shared" si="47"/>
        <v>141876380228.65</v>
      </c>
      <c r="BL105" s="51"/>
      <c r="BM105" s="61">
        <f t="shared" si="51"/>
        <v>10926982023.48</v>
      </c>
      <c r="BN105" s="51"/>
      <c r="BO105" s="60">
        <v>59041489276.14</v>
      </c>
      <c r="BP105" s="51"/>
      <c r="BQ105" s="60"/>
      <c r="BR105" s="60">
        <v>145752825.87</v>
      </c>
      <c r="BS105" s="60">
        <v>7458015.66</v>
      </c>
      <c r="BT105" s="59">
        <f t="shared" si="52"/>
        <v>153210841.53</v>
      </c>
      <c r="BU105" s="59">
        <f t="shared" si="53"/>
        <v>59194700117.67</v>
      </c>
      <c r="BV105" s="51">
        <f t="shared" si="48"/>
        <v>0</v>
      </c>
      <c r="BW105" s="146">
        <f t="shared" si="54"/>
        <v>5.41729637611482</v>
      </c>
      <c r="BX105" s="59"/>
      <c r="BY105" s="59"/>
      <c r="BZ105" s="59"/>
      <c r="CA105" s="59"/>
      <c r="CB105" s="59"/>
      <c r="CC105" s="59"/>
      <c r="CD105" s="146"/>
      <c r="CE105" s="146"/>
      <c r="CF105" s="115"/>
      <c r="CG105" s="14"/>
      <c r="CH105" s="14"/>
      <c r="CI105" s="14"/>
    </row>
    <row r="106" spans="1:87">
      <c r="A106" s="13"/>
      <c r="B106" s="18">
        <v>2018</v>
      </c>
      <c r="C106" s="107"/>
      <c r="D106" s="18"/>
      <c r="E106" s="18"/>
      <c r="F106" s="18"/>
      <c r="G106" s="18"/>
      <c r="H106" s="18"/>
      <c r="I106" s="107">
        <v>159846674736.01</v>
      </c>
      <c r="J106" s="59">
        <v>117408487922.53</v>
      </c>
      <c r="K106" s="51"/>
      <c r="L106" s="59">
        <v>112838564332.05</v>
      </c>
      <c r="M106" s="51"/>
      <c r="N106" s="59"/>
      <c r="O106" s="59"/>
      <c r="P106" s="59"/>
      <c r="Q106" s="59"/>
      <c r="R106" s="59"/>
      <c r="S106" s="59"/>
      <c r="T106" s="59">
        <v>11473011885.36</v>
      </c>
      <c r="U106" s="59"/>
      <c r="V106" s="59"/>
      <c r="W106" s="59">
        <f t="shared" si="49"/>
        <v>11473011885.36</v>
      </c>
      <c r="X106" s="59">
        <v>36075000</v>
      </c>
      <c r="Y106" s="59"/>
      <c r="Z106" s="59">
        <v>29000000</v>
      </c>
      <c r="AA106" s="59"/>
      <c r="AB106" s="59"/>
      <c r="AC106" s="59"/>
      <c r="AD106" s="60"/>
      <c r="AE106" s="60"/>
      <c r="AF106" s="59">
        <v>112074791420.06</v>
      </c>
      <c r="AG106" s="60"/>
      <c r="AH106" s="60"/>
      <c r="AI106" s="60">
        <f t="shared" si="50"/>
        <v>112103791420.06</v>
      </c>
      <c r="AJ106" s="60"/>
      <c r="AK106" s="51"/>
      <c r="AL106" s="60"/>
      <c r="AM106" s="51"/>
      <c r="AN106" s="60"/>
      <c r="AO106" s="60"/>
      <c r="AP106" s="60"/>
      <c r="AQ106" s="60"/>
      <c r="AR106" s="131"/>
      <c r="AS106" s="131"/>
      <c r="AT106" s="131"/>
      <c r="AU106" s="133"/>
      <c r="AV106" s="133"/>
      <c r="AW106" s="133"/>
      <c r="AX106" s="133"/>
      <c r="AY106" s="133"/>
      <c r="AZ106" s="133"/>
      <c r="BA106" s="133"/>
      <c r="BB106" s="14"/>
      <c r="BC106" s="14"/>
      <c r="BD106" s="14"/>
      <c r="BE106" s="14"/>
      <c r="BF106" s="14"/>
      <c r="BG106" s="14"/>
      <c r="BH106" s="14"/>
      <c r="BI106" s="14"/>
      <c r="BJ106" s="14"/>
      <c r="BK106" s="87">
        <f t="shared" si="47"/>
        <v>128881499807.89</v>
      </c>
      <c r="BL106" s="51"/>
      <c r="BM106" s="60">
        <f t="shared" si="51"/>
        <v>16777708387.83</v>
      </c>
      <c r="BN106" s="51"/>
      <c r="BO106" s="60">
        <v>51342987681.18</v>
      </c>
      <c r="BP106" s="51"/>
      <c r="BQ106" s="60"/>
      <c r="BR106" s="60">
        <v>136317779.84</v>
      </c>
      <c r="BS106" s="60">
        <v>-3521209.23</v>
      </c>
      <c r="BT106" s="59">
        <f t="shared" si="52"/>
        <v>132796570.61</v>
      </c>
      <c r="BU106" s="59">
        <f t="shared" si="53"/>
        <v>51475784251.79</v>
      </c>
      <c r="BV106" s="51">
        <f t="shared" si="48"/>
        <v>0</v>
      </c>
      <c r="BW106" s="146">
        <f t="shared" si="54"/>
        <v>3.06810579024778</v>
      </c>
      <c r="BX106" s="59"/>
      <c r="BY106" s="59"/>
      <c r="BZ106" s="59"/>
      <c r="CA106" s="59"/>
      <c r="CB106" s="59"/>
      <c r="CC106" s="59"/>
      <c r="CD106" s="146"/>
      <c r="CE106" s="146"/>
      <c r="CF106" s="115"/>
      <c r="CG106" s="14"/>
      <c r="CH106" s="14"/>
      <c r="CI106" s="14"/>
    </row>
    <row r="107" spans="1:87">
      <c r="A107" s="13"/>
      <c r="B107" s="18">
        <v>2017</v>
      </c>
      <c r="C107" s="107"/>
      <c r="D107" s="18"/>
      <c r="E107" s="18"/>
      <c r="F107" s="18"/>
      <c r="G107" s="18"/>
      <c r="H107" s="18"/>
      <c r="I107" s="107">
        <v>134610116875.08</v>
      </c>
      <c r="J107" s="59">
        <v>96019627475.08</v>
      </c>
      <c r="K107" s="51"/>
      <c r="L107" s="59">
        <v>91451522828.96</v>
      </c>
      <c r="M107" s="51"/>
      <c r="N107" s="59"/>
      <c r="O107" s="59"/>
      <c r="P107" s="59"/>
      <c r="Q107" s="59"/>
      <c r="R107" s="59">
        <v>15570000</v>
      </c>
      <c r="S107" s="59"/>
      <c r="T107" s="59">
        <v>10462613754.14</v>
      </c>
      <c r="U107" s="59"/>
      <c r="V107" s="59"/>
      <c r="W107" s="59">
        <f t="shared" si="49"/>
        <v>10478183754.14</v>
      </c>
      <c r="X107" s="59">
        <v>33150000</v>
      </c>
      <c r="Y107" s="59"/>
      <c r="Z107" s="59">
        <v>29000000</v>
      </c>
      <c r="AA107" s="59"/>
      <c r="AB107" s="59"/>
      <c r="AC107" s="59"/>
      <c r="AD107" s="60"/>
      <c r="AE107" s="60"/>
      <c r="AF107" s="59">
        <v>87868869913.34</v>
      </c>
      <c r="AG107" s="60"/>
      <c r="AH107" s="60"/>
      <c r="AI107" s="60">
        <f t="shared" si="50"/>
        <v>87897869913.34</v>
      </c>
      <c r="AJ107" s="60"/>
      <c r="AK107" s="51"/>
      <c r="AL107" s="60"/>
      <c r="AM107" s="51"/>
      <c r="AN107" s="60"/>
      <c r="AO107" s="60"/>
      <c r="AP107" s="60"/>
      <c r="AQ107" s="60"/>
      <c r="AR107" s="131"/>
      <c r="AS107" s="131"/>
      <c r="AT107" s="131"/>
      <c r="AU107" s="133"/>
      <c r="AV107" s="133"/>
      <c r="AW107" s="133"/>
      <c r="AX107" s="133"/>
      <c r="AY107" s="133"/>
      <c r="AZ107" s="133"/>
      <c r="BA107" s="133"/>
      <c r="BB107" s="14"/>
      <c r="BC107" s="14"/>
      <c r="BD107" s="14"/>
      <c r="BE107" s="14"/>
      <c r="BF107" s="14"/>
      <c r="BG107" s="14"/>
      <c r="BH107" s="14"/>
      <c r="BI107" s="14"/>
      <c r="BJ107" s="14"/>
      <c r="BK107" s="87">
        <f t="shared" si="47"/>
        <v>106497811229.22</v>
      </c>
      <c r="BL107" s="51"/>
      <c r="BM107" s="60">
        <f t="shared" si="51"/>
        <v>18599941315.88</v>
      </c>
      <c r="BN107" s="51"/>
      <c r="BO107" s="60">
        <v>38940007533.45</v>
      </c>
      <c r="BP107" s="51"/>
      <c r="BQ107" s="60"/>
      <c r="BR107" s="60">
        <v>135187797.06</v>
      </c>
      <c r="BS107" s="60">
        <v>-55722346.19</v>
      </c>
      <c r="BT107" s="59">
        <f t="shared" si="52"/>
        <v>79465450.87</v>
      </c>
      <c r="BU107" s="59">
        <f t="shared" si="53"/>
        <v>39019472984.32</v>
      </c>
      <c r="BV107" s="51">
        <f t="shared" si="48"/>
        <v>0</v>
      </c>
      <c r="BW107" s="146">
        <f t="shared" si="54"/>
        <v>2.09782774696211</v>
      </c>
      <c r="BX107" s="59"/>
      <c r="BY107" s="59"/>
      <c r="BZ107" s="59"/>
      <c r="CA107" s="59"/>
      <c r="CB107" s="59"/>
      <c r="CC107" s="59"/>
      <c r="CD107" s="146"/>
      <c r="CE107" s="146"/>
      <c r="CF107" s="115"/>
      <c r="CG107" s="14"/>
      <c r="CH107" s="14"/>
      <c r="CI107" s="14"/>
    </row>
    <row r="108" spans="1:87">
      <c r="A108" s="13"/>
      <c r="B108" s="18">
        <v>2016</v>
      </c>
      <c r="C108" s="107"/>
      <c r="D108" s="18"/>
      <c r="E108" s="18"/>
      <c r="F108" s="18"/>
      <c r="G108" s="18"/>
      <c r="H108" s="18"/>
      <c r="I108" s="107"/>
      <c r="J108" s="59"/>
      <c r="K108" s="51"/>
      <c r="L108" s="59"/>
      <c r="M108" s="51"/>
      <c r="N108" s="59"/>
      <c r="O108" s="59"/>
      <c r="P108" s="59"/>
      <c r="Q108" s="59"/>
      <c r="R108" s="59"/>
      <c r="S108" s="59"/>
      <c r="T108" s="59"/>
      <c r="U108" s="59"/>
      <c r="V108" s="59"/>
      <c r="W108" s="59"/>
      <c r="X108" s="59"/>
      <c r="Y108" s="59"/>
      <c r="Z108" s="59"/>
      <c r="AA108" s="59"/>
      <c r="AB108" s="59"/>
      <c r="AC108" s="59"/>
      <c r="AD108" s="60"/>
      <c r="AE108" s="60"/>
      <c r="AF108" s="60"/>
      <c r="AG108" s="60"/>
      <c r="AH108" s="60"/>
      <c r="AI108" s="60"/>
      <c r="AJ108" s="60"/>
      <c r="AK108" s="51"/>
      <c r="AL108" s="60"/>
      <c r="AM108" s="51"/>
      <c r="AN108" s="60"/>
      <c r="AO108" s="60"/>
      <c r="AP108" s="60"/>
      <c r="AQ108" s="60"/>
      <c r="AR108" s="131"/>
      <c r="AS108" s="131"/>
      <c r="AT108" s="131"/>
      <c r="AU108" s="133"/>
      <c r="AV108" s="133"/>
      <c r="AW108" s="133"/>
      <c r="AX108" s="133"/>
      <c r="AY108" s="133"/>
      <c r="AZ108" s="133"/>
      <c r="BA108" s="133"/>
      <c r="BB108" s="14"/>
      <c r="BC108" s="14"/>
      <c r="BD108" s="14"/>
      <c r="BE108" s="14"/>
      <c r="BF108" s="14"/>
      <c r="BG108" s="14"/>
      <c r="BH108" s="14"/>
      <c r="BI108" s="14"/>
      <c r="BJ108" s="14"/>
      <c r="BK108" s="14"/>
      <c r="BL108" s="51"/>
      <c r="BM108" s="60"/>
      <c r="BN108" s="51"/>
      <c r="BO108" s="60"/>
      <c r="BP108" s="51"/>
      <c r="BQ108" s="60"/>
      <c r="BR108" s="60"/>
      <c r="BS108" s="60"/>
      <c r="BT108" s="59"/>
      <c r="BU108" s="59"/>
      <c r="BV108" s="51"/>
      <c r="BW108" s="146"/>
      <c r="BX108" s="59"/>
      <c r="BY108" s="59"/>
      <c r="BZ108" s="59"/>
      <c r="CA108" s="59"/>
      <c r="CB108" s="59"/>
      <c r="CC108" s="59"/>
      <c r="CD108" s="146"/>
      <c r="CE108" s="146"/>
      <c r="CF108" s="115"/>
      <c r="CG108" s="14"/>
      <c r="CH108" s="14"/>
      <c r="CI108" s="14"/>
    </row>
    <row r="109" spans="1:87">
      <c r="A109" s="13"/>
      <c r="B109" s="18">
        <v>2015</v>
      </c>
      <c r="C109" s="107"/>
      <c r="D109" s="18"/>
      <c r="E109" s="18"/>
      <c r="F109" s="18"/>
      <c r="G109" s="18"/>
      <c r="H109" s="18"/>
      <c r="I109" s="107"/>
      <c r="J109" s="59"/>
      <c r="K109" s="51"/>
      <c r="L109" s="59"/>
      <c r="M109" s="51"/>
      <c r="N109" s="59"/>
      <c r="O109" s="59"/>
      <c r="P109" s="59"/>
      <c r="Q109" s="59"/>
      <c r="R109" s="59"/>
      <c r="S109" s="59"/>
      <c r="T109" s="59"/>
      <c r="U109" s="59"/>
      <c r="V109" s="59"/>
      <c r="W109" s="59"/>
      <c r="X109" s="59"/>
      <c r="Y109" s="59"/>
      <c r="Z109" s="59"/>
      <c r="AA109" s="59"/>
      <c r="AB109" s="59"/>
      <c r="AC109" s="59"/>
      <c r="AD109" s="60"/>
      <c r="AE109" s="60"/>
      <c r="AF109" s="60"/>
      <c r="AG109" s="60"/>
      <c r="AH109" s="60"/>
      <c r="AI109" s="60"/>
      <c r="AJ109" s="60"/>
      <c r="AK109" s="51"/>
      <c r="AL109" s="60"/>
      <c r="AM109" s="51"/>
      <c r="AN109" s="60"/>
      <c r="AO109" s="60"/>
      <c r="AP109" s="60"/>
      <c r="AQ109" s="60"/>
      <c r="AR109" s="131"/>
      <c r="AS109" s="131"/>
      <c r="AT109" s="131"/>
      <c r="AU109" s="133"/>
      <c r="AV109" s="133"/>
      <c r="AW109" s="133"/>
      <c r="AX109" s="133"/>
      <c r="AY109" s="133"/>
      <c r="AZ109" s="133"/>
      <c r="BA109" s="133"/>
      <c r="BB109" s="14"/>
      <c r="BC109" s="14"/>
      <c r="BD109" s="14"/>
      <c r="BE109" s="14"/>
      <c r="BF109" s="14"/>
      <c r="BG109" s="14"/>
      <c r="BH109" s="14"/>
      <c r="BI109" s="14"/>
      <c r="BJ109" s="14"/>
      <c r="BK109" s="14"/>
      <c r="BL109" s="51"/>
      <c r="BM109" s="60"/>
      <c r="BN109" s="51"/>
      <c r="BO109" s="60"/>
      <c r="BP109" s="51"/>
      <c r="BQ109" s="60"/>
      <c r="BR109" s="60"/>
      <c r="BS109" s="60"/>
      <c r="BT109" s="59"/>
      <c r="BU109" s="59"/>
      <c r="BV109" s="51"/>
      <c r="BW109" s="146"/>
      <c r="BX109" s="59"/>
      <c r="BY109" s="59"/>
      <c r="BZ109" s="59"/>
      <c r="CA109" s="59"/>
      <c r="CB109" s="59"/>
      <c r="CC109" s="59"/>
      <c r="CD109" s="146"/>
      <c r="CE109" s="146"/>
      <c r="CF109" s="115"/>
      <c r="CG109" s="14"/>
      <c r="CH109" s="14"/>
      <c r="CI109" s="14"/>
    </row>
    <row r="110" spans="1:87">
      <c r="A110" s="13"/>
      <c r="B110" s="18">
        <v>2014</v>
      </c>
      <c r="C110" s="107"/>
      <c r="D110" s="18"/>
      <c r="E110" s="18"/>
      <c r="F110" s="18"/>
      <c r="G110" s="18"/>
      <c r="H110" s="18"/>
      <c r="I110" s="107"/>
      <c r="J110" s="59"/>
      <c r="K110" s="51"/>
      <c r="L110" s="59"/>
      <c r="M110" s="51"/>
      <c r="N110" s="59"/>
      <c r="O110" s="59"/>
      <c r="P110" s="59"/>
      <c r="Q110" s="59"/>
      <c r="R110" s="59"/>
      <c r="S110" s="59"/>
      <c r="T110" s="59"/>
      <c r="U110" s="59"/>
      <c r="V110" s="59"/>
      <c r="W110" s="59"/>
      <c r="X110" s="59"/>
      <c r="Y110" s="59"/>
      <c r="Z110" s="59"/>
      <c r="AA110" s="59"/>
      <c r="AB110" s="59"/>
      <c r="AC110" s="59"/>
      <c r="AD110" s="60"/>
      <c r="AE110" s="60"/>
      <c r="AF110" s="60"/>
      <c r="AG110" s="60"/>
      <c r="AH110" s="60"/>
      <c r="AI110" s="60"/>
      <c r="AJ110" s="60"/>
      <c r="AK110" s="51"/>
      <c r="AL110" s="60"/>
      <c r="AM110" s="51"/>
      <c r="AN110" s="60"/>
      <c r="AO110" s="60"/>
      <c r="AP110" s="60"/>
      <c r="AQ110" s="60"/>
      <c r="AR110" s="131"/>
      <c r="AS110" s="131"/>
      <c r="AT110" s="131"/>
      <c r="AU110" s="133"/>
      <c r="AV110" s="133"/>
      <c r="AW110" s="133"/>
      <c r="AX110" s="133"/>
      <c r="AY110" s="133"/>
      <c r="AZ110" s="133"/>
      <c r="BA110" s="133"/>
      <c r="BB110" s="14"/>
      <c r="BC110" s="14"/>
      <c r="BD110" s="14"/>
      <c r="BE110" s="14"/>
      <c r="BF110" s="14"/>
      <c r="BG110" s="14"/>
      <c r="BH110" s="14"/>
      <c r="BI110" s="14"/>
      <c r="BJ110" s="14"/>
      <c r="BK110" s="14"/>
      <c r="BL110" s="51"/>
      <c r="BM110" s="60"/>
      <c r="BN110" s="51"/>
      <c r="BO110" s="60"/>
      <c r="BP110" s="51"/>
      <c r="BQ110" s="60"/>
      <c r="BR110" s="60"/>
      <c r="BS110" s="60"/>
      <c r="BT110" s="59"/>
      <c r="BU110" s="59"/>
      <c r="BV110" s="51"/>
      <c r="BW110" s="146"/>
      <c r="BX110" s="59"/>
      <c r="BY110" s="59"/>
      <c r="BZ110" s="59"/>
      <c r="CA110" s="59"/>
      <c r="CB110" s="59"/>
      <c r="CC110" s="59"/>
      <c r="CD110" s="146"/>
      <c r="CE110" s="146"/>
      <c r="CF110" s="115"/>
      <c r="CG110" s="14"/>
      <c r="CH110" s="14"/>
      <c r="CI110" s="14"/>
    </row>
    <row r="111" spans="1:87">
      <c r="A111" s="13"/>
      <c r="B111" s="18">
        <v>2013</v>
      </c>
      <c r="C111" s="107"/>
      <c r="D111" s="18"/>
      <c r="E111" s="18"/>
      <c r="F111" s="18"/>
      <c r="G111" s="18"/>
      <c r="H111" s="18"/>
      <c r="I111" s="107"/>
      <c r="J111" s="59"/>
      <c r="K111" s="51"/>
      <c r="L111" s="59"/>
      <c r="M111" s="51"/>
      <c r="N111" s="59"/>
      <c r="O111" s="59"/>
      <c r="P111" s="59"/>
      <c r="Q111" s="59"/>
      <c r="R111" s="59"/>
      <c r="S111" s="59"/>
      <c r="T111" s="59"/>
      <c r="U111" s="59"/>
      <c r="V111" s="59"/>
      <c r="W111" s="59"/>
      <c r="X111" s="59"/>
      <c r="Y111" s="59"/>
      <c r="Z111" s="59"/>
      <c r="AA111" s="59"/>
      <c r="AB111" s="59"/>
      <c r="AC111" s="59"/>
      <c r="AD111" s="60"/>
      <c r="AE111" s="60"/>
      <c r="AF111" s="60"/>
      <c r="AG111" s="60"/>
      <c r="AH111" s="60"/>
      <c r="AI111" s="60"/>
      <c r="AJ111" s="60"/>
      <c r="AK111" s="51"/>
      <c r="AL111" s="60"/>
      <c r="AM111" s="51"/>
      <c r="AN111" s="60"/>
      <c r="AO111" s="60"/>
      <c r="AP111" s="60"/>
      <c r="AQ111" s="60"/>
      <c r="AR111" s="131"/>
      <c r="AS111" s="131"/>
      <c r="AT111" s="131"/>
      <c r="AU111" s="133"/>
      <c r="AV111" s="133"/>
      <c r="AW111" s="133"/>
      <c r="AX111" s="133"/>
      <c r="AY111" s="133"/>
      <c r="AZ111" s="133"/>
      <c r="BA111" s="133"/>
      <c r="BB111" s="14"/>
      <c r="BC111" s="14"/>
      <c r="BD111" s="14"/>
      <c r="BE111" s="14"/>
      <c r="BF111" s="14"/>
      <c r="BG111" s="14"/>
      <c r="BH111" s="14"/>
      <c r="BI111" s="14"/>
      <c r="BJ111" s="14"/>
      <c r="BK111" s="14"/>
      <c r="BL111" s="51"/>
      <c r="BM111" s="60"/>
      <c r="BN111" s="51"/>
      <c r="BO111" s="60"/>
      <c r="BP111" s="51"/>
      <c r="BQ111" s="60"/>
      <c r="BR111" s="60"/>
      <c r="BS111" s="60"/>
      <c r="BT111" s="59"/>
      <c r="BU111" s="59"/>
      <c r="BV111" s="51"/>
      <c r="BW111" s="146"/>
      <c r="BX111" s="59"/>
      <c r="BY111" s="59"/>
      <c r="BZ111" s="59"/>
      <c r="CA111" s="59"/>
      <c r="CB111" s="59"/>
      <c r="CC111" s="59"/>
      <c r="CD111" s="146"/>
      <c r="CE111" s="146"/>
      <c r="CF111" s="115"/>
      <c r="CG111" s="14"/>
      <c r="CH111" s="14"/>
      <c r="CI111" s="14"/>
    </row>
    <row r="112" spans="1:87">
      <c r="A112" s="13"/>
      <c r="B112" s="18">
        <v>2012</v>
      </c>
      <c r="C112" s="107"/>
      <c r="D112" s="18"/>
      <c r="E112" s="18"/>
      <c r="F112" s="18"/>
      <c r="G112" s="18"/>
      <c r="H112" s="18"/>
      <c r="I112" s="107"/>
      <c r="J112" s="59"/>
      <c r="K112" s="51"/>
      <c r="L112" s="59"/>
      <c r="M112" s="51"/>
      <c r="N112" s="59"/>
      <c r="O112" s="59"/>
      <c r="P112" s="59"/>
      <c r="Q112" s="59"/>
      <c r="R112" s="59"/>
      <c r="S112" s="59"/>
      <c r="T112" s="59"/>
      <c r="U112" s="59"/>
      <c r="V112" s="59"/>
      <c r="W112" s="59"/>
      <c r="X112" s="59"/>
      <c r="Y112" s="59"/>
      <c r="Z112" s="59"/>
      <c r="AA112" s="59"/>
      <c r="AB112" s="59"/>
      <c r="AC112" s="59"/>
      <c r="AD112" s="60"/>
      <c r="AE112" s="60"/>
      <c r="AF112" s="60"/>
      <c r="AG112" s="60"/>
      <c r="AH112" s="60"/>
      <c r="AI112" s="60"/>
      <c r="AJ112" s="60"/>
      <c r="AK112" s="51"/>
      <c r="AL112" s="60"/>
      <c r="AM112" s="51"/>
      <c r="AN112" s="60"/>
      <c r="AO112" s="60"/>
      <c r="AP112" s="60"/>
      <c r="AQ112" s="60"/>
      <c r="AR112" s="131"/>
      <c r="AS112" s="131"/>
      <c r="AT112" s="131"/>
      <c r="AU112" s="133"/>
      <c r="AV112" s="133"/>
      <c r="AW112" s="133"/>
      <c r="AX112" s="133"/>
      <c r="AY112" s="133"/>
      <c r="AZ112" s="133"/>
      <c r="BA112" s="133"/>
      <c r="BB112" s="14"/>
      <c r="BC112" s="14"/>
      <c r="BD112" s="14"/>
      <c r="BE112" s="14"/>
      <c r="BF112" s="14"/>
      <c r="BG112" s="14"/>
      <c r="BH112" s="14"/>
      <c r="BI112" s="14"/>
      <c r="BJ112" s="14"/>
      <c r="BK112" s="14"/>
      <c r="BL112" s="51"/>
      <c r="BM112" s="60"/>
      <c r="BN112" s="51"/>
      <c r="BO112" s="60"/>
      <c r="BP112" s="51"/>
      <c r="BQ112" s="60"/>
      <c r="BR112" s="60"/>
      <c r="BS112" s="60"/>
      <c r="BT112" s="59"/>
      <c r="BU112" s="59"/>
      <c r="BV112" s="51"/>
      <c r="BW112" s="146"/>
      <c r="BX112" s="59"/>
      <c r="BY112" s="59"/>
      <c r="BZ112" s="59"/>
      <c r="CA112" s="59"/>
      <c r="CB112" s="59"/>
      <c r="CC112" s="59"/>
      <c r="CD112" s="146"/>
      <c r="CE112" s="146"/>
      <c r="CF112" s="115"/>
      <c r="CG112" s="14"/>
      <c r="CH112" s="14"/>
      <c r="CI112" s="14"/>
    </row>
    <row r="113" spans="1:87">
      <c r="A113" s="152" t="s">
        <v>106</v>
      </c>
      <c r="B113" s="18">
        <v>2022</v>
      </c>
      <c r="C113" s="107"/>
      <c r="D113" s="18"/>
      <c r="E113" s="18"/>
      <c r="F113" s="18"/>
      <c r="G113" s="18"/>
      <c r="H113" s="18"/>
      <c r="I113" s="107"/>
      <c r="J113" s="59"/>
      <c r="K113" s="51"/>
      <c r="L113" s="59"/>
      <c r="M113" s="51"/>
      <c r="N113" s="59"/>
      <c r="O113" s="59"/>
      <c r="P113" s="59"/>
      <c r="Q113" s="59"/>
      <c r="R113" s="59"/>
      <c r="S113" s="59"/>
      <c r="T113" s="59"/>
      <c r="U113" s="59"/>
      <c r="V113" s="59"/>
      <c r="W113" s="59"/>
      <c r="X113" s="59"/>
      <c r="Y113" s="59"/>
      <c r="Z113" s="59"/>
      <c r="AA113" s="59"/>
      <c r="AB113" s="59"/>
      <c r="AC113" s="59"/>
      <c r="AD113" s="60"/>
      <c r="AE113" s="60"/>
      <c r="AF113" s="60"/>
      <c r="AG113" s="60"/>
      <c r="AH113" s="60"/>
      <c r="AI113" s="60"/>
      <c r="AJ113" s="60"/>
      <c r="AK113" s="51"/>
      <c r="AL113" s="60"/>
      <c r="AM113" s="51"/>
      <c r="AN113" s="60"/>
      <c r="AO113" s="60"/>
      <c r="AP113" s="60"/>
      <c r="AQ113" s="60"/>
      <c r="AR113" s="131"/>
      <c r="AS113" s="131"/>
      <c r="AT113" s="131"/>
      <c r="AU113" s="133"/>
      <c r="AV113" s="133"/>
      <c r="AW113" s="133"/>
      <c r="AX113" s="133"/>
      <c r="AY113" s="133"/>
      <c r="AZ113" s="133"/>
      <c r="BA113" s="133"/>
      <c r="BB113" s="14"/>
      <c r="BC113" s="14"/>
      <c r="BD113" s="14"/>
      <c r="BE113" s="14"/>
      <c r="BF113" s="14"/>
      <c r="BG113" s="14"/>
      <c r="BH113" s="14"/>
      <c r="BI113" s="14"/>
      <c r="BJ113" s="14"/>
      <c r="BK113" s="14"/>
      <c r="BL113" s="51"/>
      <c r="BM113" s="60"/>
      <c r="BN113" s="51"/>
      <c r="BO113" s="60"/>
      <c r="BP113" s="51"/>
      <c r="BQ113" s="60"/>
      <c r="BR113" s="60"/>
      <c r="BS113" s="60"/>
      <c r="BT113" s="59"/>
      <c r="BU113" s="59"/>
      <c r="BV113" s="51"/>
      <c r="BW113" s="146"/>
      <c r="BX113" s="59"/>
      <c r="BY113" s="59"/>
      <c r="BZ113" s="59"/>
      <c r="CA113" s="59"/>
      <c r="CB113" s="59"/>
      <c r="CC113" s="59"/>
      <c r="CD113" s="146"/>
      <c r="CE113" s="146"/>
      <c r="CF113" s="115"/>
      <c r="CG113" s="14"/>
      <c r="CH113" s="14"/>
      <c r="CI113" s="14"/>
    </row>
    <row r="114" spans="1:87">
      <c r="A114" s="153"/>
      <c r="B114" s="18">
        <v>2021</v>
      </c>
      <c r="C114" s="107"/>
      <c r="D114" s="18"/>
      <c r="E114" s="18"/>
      <c r="F114" s="18"/>
      <c r="G114" s="18"/>
      <c r="H114" s="18"/>
      <c r="I114" s="107"/>
      <c r="J114" s="59"/>
      <c r="K114" s="51"/>
      <c r="L114" s="59"/>
      <c r="M114" s="51"/>
      <c r="N114" s="59"/>
      <c r="O114" s="59"/>
      <c r="P114" s="59"/>
      <c r="Q114" s="59"/>
      <c r="R114" s="59"/>
      <c r="S114" s="59"/>
      <c r="T114" s="59"/>
      <c r="U114" s="59"/>
      <c r="V114" s="59"/>
      <c r="W114" s="59"/>
      <c r="X114" s="59"/>
      <c r="Y114" s="59"/>
      <c r="Z114" s="59"/>
      <c r="AA114" s="59"/>
      <c r="AB114" s="59"/>
      <c r="AC114" s="59"/>
      <c r="AD114" s="60"/>
      <c r="AE114" s="60"/>
      <c r="AF114" s="60"/>
      <c r="AG114" s="60"/>
      <c r="AH114" s="60"/>
      <c r="AI114" s="60"/>
      <c r="AJ114" s="60"/>
      <c r="AK114" s="51"/>
      <c r="AL114" s="60"/>
      <c r="AM114" s="51"/>
      <c r="AN114" s="60"/>
      <c r="AO114" s="60"/>
      <c r="AP114" s="60"/>
      <c r="AQ114" s="60"/>
      <c r="AR114" s="131"/>
      <c r="AS114" s="131"/>
      <c r="AT114" s="131"/>
      <c r="AU114" s="133"/>
      <c r="AV114" s="133"/>
      <c r="AW114" s="133"/>
      <c r="AX114" s="133"/>
      <c r="AY114" s="133"/>
      <c r="AZ114" s="133"/>
      <c r="BA114" s="133"/>
      <c r="BB114" s="14"/>
      <c r="BC114" s="14"/>
      <c r="BD114" s="14"/>
      <c r="BE114" s="14"/>
      <c r="BF114" s="14"/>
      <c r="BG114" s="14"/>
      <c r="BH114" s="14"/>
      <c r="BI114" s="14"/>
      <c r="BJ114" s="14"/>
      <c r="BK114" s="14"/>
      <c r="BL114" s="51"/>
      <c r="BM114" s="60"/>
      <c r="BN114" s="51"/>
      <c r="BO114" s="60"/>
      <c r="BP114" s="51"/>
      <c r="BQ114" s="60"/>
      <c r="BR114" s="60"/>
      <c r="BS114" s="60"/>
      <c r="BT114" s="59"/>
      <c r="BU114" s="59"/>
      <c r="BV114" s="51"/>
      <c r="BW114" s="146"/>
      <c r="BX114" s="59"/>
      <c r="BY114" s="59"/>
      <c r="BZ114" s="59"/>
      <c r="CA114" s="59"/>
      <c r="CB114" s="59"/>
      <c r="CC114" s="59"/>
      <c r="CD114" s="146"/>
      <c r="CE114" s="146"/>
      <c r="CF114" s="115"/>
      <c r="CG114" s="14"/>
      <c r="CH114" s="14"/>
      <c r="CI114" s="14"/>
    </row>
    <row r="115" spans="1:87">
      <c r="A115" s="153"/>
      <c r="B115" s="18">
        <v>2020</v>
      </c>
      <c r="C115" s="107"/>
      <c r="D115" s="18"/>
      <c r="E115" s="18"/>
      <c r="F115" s="18"/>
      <c r="G115" s="18"/>
      <c r="H115" s="18"/>
      <c r="I115" s="107"/>
      <c r="J115" s="59"/>
      <c r="K115" s="51"/>
      <c r="L115" s="59"/>
      <c r="M115" s="51"/>
      <c r="N115" s="59"/>
      <c r="O115" s="59"/>
      <c r="P115" s="59"/>
      <c r="Q115" s="59"/>
      <c r="R115" s="59"/>
      <c r="S115" s="59"/>
      <c r="T115" s="59"/>
      <c r="U115" s="59"/>
      <c r="V115" s="59"/>
      <c r="W115" s="59"/>
      <c r="X115" s="59"/>
      <c r="Y115" s="59"/>
      <c r="Z115" s="59"/>
      <c r="AA115" s="59"/>
      <c r="AB115" s="59"/>
      <c r="AC115" s="59"/>
      <c r="AD115" s="60"/>
      <c r="AE115" s="60"/>
      <c r="AF115" s="60"/>
      <c r="AG115" s="60"/>
      <c r="AH115" s="60"/>
      <c r="AI115" s="60"/>
      <c r="AJ115" s="60"/>
      <c r="AK115" s="51"/>
      <c r="AL115" s="60"/>
      <c r="AM115" s="51"/>
      <c r="AN115" s="60"/>
      <c r="AO115" s="60"/>
      <c r="AP115" s="60"/>
      <c r="AQ115" s="60"/>
      <c r="AR115" s="131"/>
      <c r="AS115" s="131"/>
      <c r="AT115" s="131"/>
      <c r="AU115" s="133"/>
      <c r="AV115" s="133"/>
      <c r="AW115" s="133"/>
      <c r="AX115" s="133"/>
      <c r="AY115" s="133"/>
      <c r="AZ115" s="133"/>
      <c r="BA115" s="133"/>
      <c r="BB115" s="14"/>
      <c r="BC115" s="14"/>
      <c r="BD115" s="14"/>
      <c r="BE115" s="14"/>
      <c r="BF115" s="14"/>
      <c r="BG115" s="14"/>
      <c r="BH115" s="14"/>
      <c r="BI115" s="14"/>
      <c r="BJ115" s="14"/>
      <c r="BK115" s="14"/>
      <c r="BL115" s="51"/>
      <c r="BM115" s="60"/>
      <c r="BN115" s="51"/>
      <c r="BO115" s="60"/>
      <c r="BP115" s="51"/>
      <c r="BQ115" s="60"/>
      <c r="BR115" s="60"/>
      <c r="BS115" s="60"/>
      <c r="BT115" s="59"/>
      <c r="BU115" s="59"/>
      <c r="BV115" s="51"/>
      <c r="BW115" s="146"/>
      <c r="BX115" s="59"/>
      <c r="BY115" s="59"/>
      <c r="BZ115" s="59"/>
      <c r="CA115" s="59"/>
      <c r="CB115" s="59"/>
      <c r="CC115" s="59"/>
      <c r="CD115" s="146"/>
      <c r="CE115" s="146"/>
      <c r="CF115" s="115"/>
      <c r="CG115" s="14"/>
      <c r="CH115" s="14"/>
      <c r="CI115" s="14"/>
    </row>
    <row r="116" spans="1:87">
      <c r="A116" s="153"/>
      <c r="B116" s="18">
        <v>2019</v>
      </c>
      <c r="C116" s="107"/>
      <c r="D116" s="18"/>
      <c r="E116" s="18"/>
      <c r="F116" s="18"/>
      <c r="G116" s="18"/>
      <c r="H116" s="18"/>
      <c r="I116" s="107"/>
      <c r="J116" s="59"/>
      <c r="K116" s="51"/>
      <c r="L116" s="59"/>
      <c r="M116" s="51"/>
      <c r="N116" s="59"/>
      <c r="O116" s="59"/>
      <c r="P116" s="59"/>
      <c r="Q116" s="59"/>
      <c r="R116" s="59"/>
      <c r="S116" s="59"/>
      <c r="T116" s="59"/>
      <c r="U116" s="59"/>
      <c r="V116" s="59"/>
      <c r="W116" s="59"/>
      <c r="X116" s="59"/>
      <c r="Y116" s="59"/>
      <c r="Z116" s="59"/>
      <c r="AA116" s="59"/>
      <c r="AB116" s="59"/>
      <c r="AC116" s="59"/>
      <c r="AD116" s="60"/>
      <c r="AE116" s="60"/>
      <c r="AF116" s="60"/>
      <c r="AG116" s="60"/>
      <c r="AH116" s="60"/>
      <c r="AI116" s="60"/>
      <c r="AJ116" s="60"/>
      <c r="AK116" s="51"/>
      <c r="AL116" s="60"/>
      <c r="AM116" s="51"/>
      <c r="AN116" s="60"/>
      <c r="AO116" s="60"/>
      <c r="AP116" s="60"/>
      <c r="AQ116" s="60"/>
      <c r="AR116" s="131"/>
      <c r="AS116" s="131"/>
      <c r="AT116" s="131"/>
      <c r="AU116" s="133"/>
      <c r="AV116" s="133"/>
      <c r="AW116" s="133"/>
      <c r="AX116" s="133"/>
      <c r="AY116" s="133"/>
      <c r="AZ116" s="133"/>
      <c r="BA116" s="133"/>
      <c r="BB116" s="14"/>
      <c r="BC116" s="14"/>
      <c r="BD116" s="14"/>
      <c r="BE116" s="14"/>
      <c r="BF116" s="14"/>
      <c r="BG116" s="14"/>
      <c r="BH116" s="14"/>
      <c r="BI116" s="14"/>
      <c r="BJ116" s="14"/>
      <c r="BK116" s="14"/>
      <c r="BL116" s="51"/>
      <c r="BM116" s="60"/>
      <c r="BN116" s="51"/>
      <c r="BO116" s="60"/>
      <c r="BP116" s="51"/>
      <c r="BQ116" s="60"/>
      <c r="BR116" s="60"/>
      <c r="BS116" s="60"/>
      <c r="BT116" s="59"/>
      <c r="BU116" s="59"/>
      <c r="BV116" s="51"/>
      <c r="BW116" s="146"/>
      <c r="BX116" s="59"/>
      <c r="BY116" s="59"/>
      <c r="BZ116" s="59"/>
      <c r="CA116" s="59"/>
      <c r="CB116" s="59"/>
      <c r="CC116" s="59"/>
      <c r="CD116" s="146"/>
      <c r="CE116" s="146"/>
      <c r="CF116" s="115"/>
      <c r="CG116" s="14"/>
      <c r="CH116" s="14"/>
      <c r="CI116" s="14"/>
    </row>
    <row r="117" spans="1:87">
      <c r="A117" s="153"/>
      <c r="B117" s="18">
        <v>2018</v>
      </c>
      <c r="C117" s="107"/>
      <c r="D117" s="18"/>
      <c r="E117" s="18"/>
      <c r="F117" s="18"/>
      <c r="G117" s="18"/>
      <c r="H117" s="18"/>
      <c r="I117" s="107"/>
      <c r="J117" s="59"/>
      <c r="K117" s="51"/>
      <c r="L117" s="59"/>
      <c r="M117" s="51"/>
      <c r="N117" s="59"/>
      <c r="O117" s="59"/>
      <c r="P117" s="59"/>
      <c r="Q117" s="59"/>
      <c r="R117" s="59"/>
      <c r="S117" s="59"/>
      <c r="T117" s="59"/>
      <c r="U117" s="59"/>
      <c r="V117" s="59"/>
      <c r="W117" s="59"/>
      <c r="X117" s="59"/>
      <c r="Y117" s="59"/>
      <c r="Z117" s="59"/>
      <c r="AA117" s="59"/>
      <c r="AB117" s="59"/>
      <c r="AC117" s="59"/>
      <c r="AD117" s="60"/>
      <c r="AE117" s="60"/>
      <c r="AF117" s="60"/>
      <c r="AG117" s="60"/>
      <c r="AH117" s="60"/>
      <c r="AI117" s="60"/>
      <c r="AJ117" s="60"/>
      <c r="AK117" s="51"/>
      <c r="AL117" s="60"/>
      <c r="AM117" s="51"/>
      <c r="AN117" s="60"/>
      <c r="AO117" s="60"/>
      <c r="AP117" s="60"/>
      <c r="AQ117" s="60"/>
      <c r="AR117" s="131"/>
      <c r="AS117" s="131"/>
      <c r="AT117" s="131"/>
      <c r="AU117" s="133"/>
      <c r="AV117" s="133"/>
      <c r="AW117" s="133"/>
      <c r="AX117" s="133"/>
      <c r="AY117" s="133"/>
      <c r="AZ117" s="133"/>
      <c r="BA117" s="133"/>
      <c r="BB117" s="14"/>
      <c r="BC117" s="14"/>
      <c r="BD117" s="14"/>
      <c r="BE117" s="14"/>
      <c r="BF117" s="14"/>
      <c r="BG117" s="14"/>
      <c r="BH117" s="14"/>
      <c r="BI117" s="14"/>
      <c r="BJ117" s="14"/>
      <c r="BK117" s="14"/>
      <c r="BL117" s="51"/>
      <c r="BM117" s="60"/>
      <c r="BN117" s="51"/>
      <c r="BO117" s="60"/>
      <c r="BP117" s="51"/>
      <c r="BQ117" s="60"/>
      <c r="BR117" s="60"/>
      <c r="BS117" s="60"/>
      <c r="BT117" s="59"/>
      <c r="BU117" s="59"/>
      <c r="BV117" s="51"/>
      <c r="BW117" s="146"/>
      <c r="BX117" s="59"/>
      <c r="BY117" s="59"/>
      <c r="BZ117" s="59"/>
      <c r="CA117" s="59"/>
      <c r="CB117" s="59"/>
      <c r="CC117" s="59"/>
      <c r="CD117" s="146"/>
      <c r="CE117" s="146"/>
      <c r="CF117" s="115"/>
      <c r="CG117" s="14"/>
      <c r="CH117" s="14"/>
      <c r="CI117" s="14"/>
    </row>
    <row r="118" spans="1:87">
      <c r="A118" s="153"/>
      <c r="B118" s="18">
        <v>2017</v>
      </c>
      <c r="C118" s="107"/>
      <c r="D118" s="18"/>
      <c r="E118" s="18"/>
      <c r="F118" s="18"/>
      <c r="G118" s="18"/>
      <c r="H118" s="18"/>
      <c r="I118" s="107"/>
      <c r="J118" s="59"/>
      <c r="K118" s="51"/>
      <c r="L118" s="59"/>
      <c r="M118" s="51"/>
      <c r="N118" s="59"/>
      <c r="O118" s="59"/>
      <c r="P118" s="59"/>
      <c r="Q118" s="59"/>
      <c r="R118" s="59"/>
      <c r="S118" s="59"/>
      <c r="T118" s="59"/>
      <c r="U118" s="59"/>
      <c r="V118" s="59"/>
      <c r="W118" s="59"/>
      <c r="X118" s="59"/>
      <c r="Y118" s="59"/>
      <c r="Z118" s="59"/>
      <c r="AA118" s="59"/>
      <c r="AB118" s="59"/>
      <c r="AC118" s="59"/>
      <c r="AD118" s="60"/>
      <c r="AE118" s="60"/>
      <c r="AF118" s="60"/>
      <c r="AG118" s="60"/>
      <c r="AH118" s="60"/>
      <c r="AI118" s="60"/>
      <c r="AJ118" s="60"/>
      <c r="AK118" s="51"/>
      <c r="AL118" s="60"/>
      <c r="AM118" s="51"/>
      <c r="AN118" s="60"/>
      <c r="AO118" s="60"/>
      <c r="AP118" s="60"/>
      <c r="AQ118" s="60"/>
      <c r="AR118" s="131"/>
      <c r="AS118" s="131"/>
      <c r="AT118" s="131"/>
      <c r="AU118" s="133"/>
      <c r="AV118" s="133"/>
      <c r="AW118" s="133"/>
      <c r="AX118" s="133"/>
      <c r="AY118" s="133"/>
      <c r="AZ118" s="133"/>
      <c r="BA118" s="133"/>
      <c r="BB118" s="14"/>
      <c r="BC118" s="14"/>
      <c r="BD118" s="14"/>
      <c r="BE118" s="14"/>
      <c r="BF118" s="14"/>
      <c r="BG118" s="14"/>
      <c r="BH118" s="14"/>
      <c r="BI118" s="14"/>
      <c r="BJ118" s="14"/>
      <c r="BK118" s="14"/>
      <c r="BL118" s="51"/>
      <c r="BM118" s="60"/>
      <c r="BN118" s="51"/>
      <c r="BO118" s="60"/>
      <c r="BP118" s="51"/>
      <c r="BQ118" s="60"/>
      <c r="BR118" s="60"/>
      <c r="BS118" s="60"/>
      <c r="BT118" s="59"/>
      <c r="BU118" s="59"/>
      <c r="BV118" s="51"/>
      <c r="BW118" s="146"/>
      <c r="BX118" s="59"/>
      <c r="BY118" s="59"/>
      <c r="BZ118" s="59"/>
      <c r="CA118" s="59"/>
      <c r="CB118" s="59"/>
      <c r="CC118" s="59"/>
      <c r="CD118" s="146"/>
      <c r="CE118" s="146"/>
      <c r="CF118" s="115"/>
      <c r="CG118" s="14"/>
      <c r="CH118" s="14"/>
      <c r="CI118" s="14"/>
    </row>
    <row r="119" spans="1:87">
      <c r="A119" s="153"/>
      <c r="B119" s="18">
        <v>2016</v>
      </c>
      <c r="C119" s="107"/>
      <c r="D119" s="18"/>
      <c r="E119" s="18"/>
      <c r="F119" s="18"/>
      <c r="G119" s="18"/>
      <c r="H119" s="18"/>
      <c r="I119" s="107"/>
      <c r="J119" s="59"/>
      <c r="K119" s="51"/>
      <c r="L119" s="59"/>
      <c r="M119" s="51"/>
      <c r="N119" s="59"/>
      <c r="O119" s="59"/>
      <c r="P119" s="59"/>
      <c r="Q119" s="59"/>
      <c r="R119" s="59"/>
      <c r="S119" s="59"/>
      <c r="T119" s="59"/>
      <c r="U119" s="59"/>
      <c r="V119" s="59"/>
      <c r="W119" s="59"/>
      <c r="X119" s="59"/>
      <c r="Y119" s="59"/>
      <c r="Z119" s="59"/>
      <c r="AA119" s="59"/>
      <c r="AB119" s="59"/>
      <c r="AC119" s="59"/>
      <c r="AD119" s="60"/>
      <c r="AE119" s="60"/>
      <c r="AF119" s="60"/>
      <c r="AG119" s="60"/>
      <c r="AH119" s="60"/>
      <c r="AI119" s="60"/>
      <c r="AJ119" s="60"/>
      <c r="AK119" s="51"/>
      <c r="AL119" s="60"/>
      <c r="AM119" s="51"/>
      <c r="AN119" s="60"/>
      <c r="AO119" s="60"/>
      <c r="AP119" s="60"/>
      <c r="AQ119" s="60"/>
      <c r="AR119" s="131"/>
      <c r="AS119" s="131"/>
      <c r="AT119" s="131"/>
      <c r="AU119" s="133"/>
      <c r="AV119" s="133"/>
      <c r="AW119" s="133"/>
      <c r="AX119" s="133"/>
      <c r="AY119" s="133"/>
      <c r="AZ119" s="133"/>
      <c r="BA119" s="133"/>
      <c r="BB119" s="14"/>
      <c r="BC119" s="14"/>
      <c r="BD119" s="14"/>
      <c r="BE119" s="14"/>
      <c r="BF119" s="14"/>
      <c r="BG119" s="14"/>
      <c r="BH119" s="14"/>
      <c r="BI119" s="14"/>
      <c r="BJ119" s="14"/>
      <c r="BK119" s="14"/>
      <c r="BL119" s="51"/>
      <c r="BM119" s="60"/>
      <c r="BN119" s="51"/>
      <c r="BO119" s="60"/>
      <c r="BP119" s="51"/>
      <c r="BQ119" s="60"/>
      <c r="BR119" s="60"/>
      <c r="BS119" s="60"/>
      <c r="BT119" s="59"/>
      <c r="BU119" s="59"/>
      <c r="BV119" s="51"/>
      <c r="BW119" s="146"/>
      <c r="BX119" s="59"/>
      <c r="BY119" s="59"/>
      <c r="BZ119" s="59"/>
      <c r="CA119" s="59"/>
      <c r="CB119" s="59"/>
      <c r="CC119" s="59"/>
      <c r="CD119" s="146"/>
      <c r="CE119" s="146"/>
      <c r="CF119" s="115"/>
      <c r="CG119" s="14"/>
      <c r="CH119" s="14"/>
      <c r="CI119" s="14"/>
    </row>
    <row r="120" spans="1:87">
      <c r="A120" s="153"/>
      <c r="B120" s="18">
        <v>2015</v>
      </c>
      <c r="C120" s="107"/>
      <c r="D120" s="18"/>
      <c r="E120" s="18"/>
      <c r="F120" s="18"/>
      <c r="G120" s="18"/>
      <c r="H120" s="18"/>
      <c r="I120" s="107"/>
      <c r="J120" s="59"/>
      <c r="K120" s="51"/>
      <c r="L120" s="59"/>
      <c r="M120" s="51"/>
      <c r="N120" s="59"/>
      <c r="O120" s="59"/>
      <c r="P120" s="59"/>
      <c r="Q120" s="59"/>
      <c r="R120" s="59"/>
      <c r="S120" s="59"/>
      <c r="T120" s="59"/>
      <c r="U120" s="59"/>
      <c r="V120" s="59"/>
      <c r="W120" s="59"/>
      <c r="X120" s="59"/>
      <c r="Y120" s="59"/>
      <c r="Z120" s="59"/>
      <c r="AA120" s="59"/>
      <c r="AB120" s="59"/>
      <c r="AC120" s="59"/>
      <c r="AD120" s="60"/>
      <c r="AE120" s="60"/>
      <c r="AF120" s="60"/>
      <c r="AG120" s="60"/>
      <c r="AH120" s="60"/>
      <c r="AI120" s="60"/>
      <c r="AJ120" s="60"/>
      <c r="AK120" s="51"/>
      <c r="AL120" s="60"/>
      <c r="AM120" s="51"/>
      <c r="AN120" s="60"/>
      <c r="AO120" s="60"/>
      <c r="AP120" s="60"/>
      <c r="AQ120" s="60"/>
      <c r="AR120" s="131"/>
      <c r="AS120" s="131"/>
      <c r="AT120" s="131"/>
      <c r="AU120" s="133"/>
      <c r="AV120" s="133"/>
      <c r="AW120" s="133"/>
      <c r="AX120" s="133"/>
      <c r="AY120" s="133"/>
      <c r="AZ120" s="133"/>
      <c r="BA120" s="133"/>
      <c r="BB120" s="14"/>
      <c r="BC120" s="14"/>
      <c r="BD120" s="14"/>
      <c r="BE120" s="14"/>
      <c r="BF120" s="14"/>
      <c r="BG120" s="14"/>
      <c r="BH120" s="14"/>
      <c r="BI120" s="14"/>
      <c r="BJ120" s="14"/>
      <c r="BK120" s="14"/>
      <c r="BL120" s="51"/>
      <c r="BM120" s="60"/>
      <c r="BN120" s="51"/>
      <c r="BO120" s="60"/>
      <c r="BP120" s="51"/>
      <c r="BQ120" s="60"/>
      <c r="BR120" s="60"/>
      <c r="BS120" s="60"/>
      <c r="BT120" s="59"/>
      <c r="BU120" s="59"/>
      <c r="BV120" s="51"/>
      <c r="BW120" s="146"/>
      <c r="BX120" s="59"/>
      <c r="BY120" s="59"/>
      <c r="BZ120" s="59"/>
      <c r="CA120" s="59"/>
      <c r="CB120" s="59"/>
      <c r="CC120" s="59"/>
      <c r="CD120" s="146"/>
      <c r="CE120" s="146"/>
      <c r="CF120" s="115"/>
      <c r="CG120" s="14"/>
      <c r="CH120" s="14"/>
      <c r="CI120" s="14"/>
    </row>
    <row r="121" spans="1:87">
      <c r="A121" s="153"/>
      <c r="B121" s="18">
        <v>2014</v>
      </c>
      <c r="C121" s="107"/>
      <c r="D121" s="18"/>
      <c r="E121" s="18"/>
      <c r="F121" s="18"/>
      <c r="G121" s="18"/>
      <c r="H121" s="18"/>
      <c r="I121" s="107"/>
      <c r="J121" s="59"/>
      <c r="K121" s="51"/>
      <c r="L121" s="59"/>
      <c r="M121" s="51"/>
      <c r="N121" s="59"/>
      <c r="O121" s="59"/>
      <c r="P121" s="59"/>
      <c r="Q121" s="59"/>
      <c r="R121" s="59"/>
      <c r="S121" s="59"/>
      <c r="T121" s="59"/>
      <c r="U121" s="59"/>
      <c r="V121" s="59"/>
      <c r="W121" s="59"/>
      <c r="X121" s="59"/>
      <c r="Y121" s="59"/>
      <c r="Z121" s="59"/>
      <c r="AA121" s="59"/>
      <c r="AB121" s="59"/>
      <c r="AC121" s="59"/>
      <c r="AD121" s="60"/>
      <c r="AE121" s="60"/>
      <c r="AF121" s="60"/>
      <c r="AG121" s="60"/>
      <c r="AH121" s="60"/>
      <c r="AI121" s="60"/>
      <c r="AJ121" s="60"/>
      <c r="AK121" s="51"/>
      <c r="AL121" s="60"/>
      <c r="AM121" s="51"/>
      <c r="AN121" s="60"/>
      <c r="AO121" s="60"/>
      <c r="AP121" s="60"/>
      <c r="AQ121" s="60"/>
      <c r="AR121" s="131"/>
      <c r="AS121" s="131"/>
      <c r="AT121" s="131"/>
      <c r="AU121" s="133"/>
      <c r="AV121" s="133"/>
      <c r="AW121" s="133"/>
      <c r="AX121" s="133"/>
      <c r="AY121" s="133"/>
      <c r="AZ121" s="133"/>
      <c r="BA121" s="133"/>
      <c r="BB121" s="14"/>
      <c r="BC121" s="14"/>
      <c r="BD121" s="14"/>
      <c r="BE121" s="14"/>
      <c r="BF121" s="14"/>
      <c r="BG121" s="14"/>
      <c r="BH121" s="14"/>
      <c r="BI121" s="14"/>
      <c r="BJ121" s="14"/>
      <c r="BK121" s="14"/>
      <c r="BL121" s="51"/>
      <c r="BM121" s="60"/>
      <c r="BN121" s="51"/>
      <c r="BO121" s="60"/>
      <c r="BP121" s="51"/>
      <c r="BQ121" s="60"/>
      <c r="BR121" s="60"/>
      <c r="BS121" s="60"/>
      <c r="BT121" s="59"/>
      <c r="BU121" s="59"/>
      <c r="BV121" s="51"/>
      <c r="BW121" s="146"/>
      <c r="BX121" s="59"/>
      <c r="BY121" s="59"/>
      <c r="BZ121" s="59"/>
      <c r="CA121" s="59"/>
      <c r="CB121" s="59"/>
      <c r="CC121" s="59"/>
      <c r="CD121" s="146"/>
      <c r="CE121" s="146"/>
      <c r="CF121" s="115"/>
      <c r="CG121" s="14"/>
      <c r="CH121" s="14"/>
      <c r="CI121" s="14"/>
    </row>
    <row r="122" spans="1:87">
      <c r="A122" s="153"/>
      <c r="B122" s="18">
        <v>2013</v>
      </c>
      <c r="C122" s="107"/>
      <c r="D122" s="18"/>
      <c r="E122" s="18"/>
      <c r="F122" s="18"/>
      <c r="G122" s="18"/>
      <c r="H122" s="18"/>
      <c r="I122" s="107"/>
      <c r="J122" s="59"/>
      <c r="K122" s="51"/>
      <c r="L122" s="59"/>
      <c r="M122" s="51"/>
      <c r="N122" s="59"/>
      <c r="O122" s="59"/>
      <c r="P122" s="59"/>
      <c r="Q122" s="59"/>
      <c r="R122" s="59"/>
      <c r="S122" s="59"/>
      <c r="T122" s="59"/>
      <c r="U122" s="59"/>
      <c r="V122" s="59"/>
      <c r="W122" s="59"/>
      <c r="X122" s="59"/>
      <c r="Y122" s="59"/>
      <c r="Z122" s="59"/>
      <c r="AA122" s="59"/>
      <c r="AB122" s="59"/>
      <c r="AC122" s="59"/>
      <c r="AD122" s="60"/>
      <c r="AE122" s="60"/>
      <c r="AF122" s="60"/>
      <c r="AG122" s="60"/>
      <c r="AH122" s="60"/>
      <c r="AI122" s="60"/>
      <c r="AJ122" s="60"/>
      <c r="AK122" s="51"/>
      <c r="AL122" s="60"/>
      <c r="AM122" s="51"/>
      <c r="AN122" s="60"/>
      <c r="AO122" s="60"/>
      <c r="AP122" s="60"/>
      <c r="AQ122" s="60"/>
      <c r="AR122" s="131"/>
      <c r="AS122" s="131"/>
      <c r="AT122" s="131"/>
      <c r="AU122" s="133"/>
      <c r="AV122" s="133"/>
      <c r="AW122" s="133"/>
      <c r="AX122" s="133"/>
      <c r="AY122" s="133"/>
      <c r="AZ122" s="133"/>
      <c r="BA122" s="133"/>
      <c r="BB122" s="14"/>
      <c r="BC122" s="14"/>
      <c r="BD122" s="14"/>
      <c r="BE122" s="14"/>
      <c r="BF122" s="14"/>
      <c r="BG122" s="14"/>
      <c r="BH122" s="14"/>
      <c r="BI122" s="14"/>
      <c r="BJ122" s="14"/>
      <c r="BK122" s="14"/>
      <c r="BL122" s="51"/>
      <c r="BM122" s="60"/>
      <c r="BN122" s="51"/>
      <c r="BO122" s="60"/>
      <c r="BP122" s="51"/>
      <c r="BQ122" s="60"/>
      <c r="BR122" s="60"/>
      <c r="BS122" s="60"/>
      <c r="BT122" s="59"/>
      <c r="BU122" s="59"/>
      <c r="BV122" s="51"/>
      <c r="BW122" s="146"/>
      <c r="BX122" s="59"/>
      <c r="BY122" s="59"/>
      <c r="BZ122" s="59"/>
      <c r="CA122" s="59"/>
      <c r="CB122" s="59"/>
      <c r="CC122" s="59"/>
      <c r="CD122" s="146"/>
      <c r="CE122" s="146"/>
      <c r="CF122" s="115"/>
      <c r="CG122" s="14"/>
      <c r="CH122" s="14"/>
      <c r="CI122" s="14"/>
    </row>
    <row r="123" spans="1:87">
      <c r="A123" s="154"/>
      <c r="B123" s="18">
        <v>2012</v>
      </c>
      <c r="C123" s="107"/>
      <c r="D123" s="18"/>
      <c r="E123" s="18"/>
      <c r="F123" s="18"/>
      <c r="G123" s="18"/>
      <c r="H123" s="18"/>
      <c r="I123" s="107"/>
      <c r="J123" s="59"/>
      <c r="K123" s="51"/>
      <c r="L123" s="59"/>
      <c r="M123" s="51"/>
      <c r="N123" s="59"/>
      <c r="O123" s="59"/>
      <c r="P123" s="59"/>
      <c r="Q123" s="59"/>
      <c r="R123" s="59"/>
      <c r="S123" s="59"/>
      <c r="T123" s="59"/>
      <c r="U123" s="59"/>
      <c r="V123" s="59"/>
      <c r="W123" s="59"/>
      <c r="X123" s="59"/>
      <c r="Y123" s="59"/>
      <c r="Z123" s="59"/>
      <c r="AA123" s="59"/>
      <c r="AB123" s="59"/>
      <c r="AC123" s="59"/>
      <c r="AD123" s="60"/>
      <c r="AE123" s="60"/>
      <c r="AF123" s="60"/>
      <c r="AG123" s="60"/>
      <c r="AH123" s="60"/>
      <c r="AI123" s="60"/>
      <c r="AJ123" s="60"/>
      <c r="AK123" s="51"/>
      <c r="AL123" s="60"/>
      <c r="AM123" s="51"/>
      <c r="AN123" s="60"/>
      <c r="AO123" s="60"/>
      <c r="AP123" s="60"/>
      <c r="AQ123" s="60"/>
      <c r="AR123" s="131"/>
      <c r="AS123" s="131"/>
      <c r="AT123" s="131"/>
      <c r="AU123" s="133"/>
      <c r="AV123" s="133"/>
      <c r="AW123" s="133"/>
      <c r="AX123" s="133"/>
      <c r="AY123" s="133"/>
      <c r="AZ123" s="133"/>
      <c r="BA123" s="133"/>
      <c r="BB123" s="14"/>
      <c r="BC123" s="14"/>
      <c r="BD123" s="14"/>
      <c r="BE123" s="14"/>
      <c r="BF123" s="14"/>
      <c r="BG123" s="14"/>
      <c r="BH123" s="14"/>
      <c r="BI123" s="14"/>
      <c r="BJ123" s="14"/>
      <c r="BK123" s="14"/>
      <c r="BL123" s="51"/>
      <c r="BM123" s="60"/>
      <c r="BN123" s="51"/>
      <c r="BO123" s="60"/>
      <c r="BP123" s="51"/>
      <c r="BQ123" s="60"/>
      <c r="BR123" s="60"/>
      <c r="BS123" s="60"/>
      <c r="BT123" s="59"/>
      <c r="BU123" s="59"/>
      <c r="BV123" s="51"/>
      <c r="BW123" s="146"/>
      <c r="BX123" s="59"/>
      <c r="BY123" s="59"/>
      <c r="BZ123" s="59"/>
      <c r="CA123" s="59"/>
      <c r="CB123" s="59"/>
      <c r="CC123" s="59"/>
      <c r="CD123" s="146"/>
      <c r="CE123" s="146"/>
      <c r="CF123" s="115"/>
      <c r="CG123" s="14"/>
      <c r="CH123" s="14"/>
      <c r="CI123" s="14"/>
    </row>
  </sheetData>
  <mergeCells count="83">
    <mergeCell ref="N1:V1"/>
    <mergeCell ref="Z1:AH1"/>
    <mergeCell ref="A1:A2"/>
    <mergeCell ref="A3:A13"/>
    <mergeCell ref="A14:A24"/>
    <mergeCell ref="A25:A35"/>
    <mergeCell ref="A36:A46"/>
    <mergeCell ref="A47:A57"/>
    <mergeCell ref="A58:A68"/>
    <mergeCell ref="A69:A79"/>
    <mergeCell ref="A80:A90"/>
    <mergeCell ref="A91:A101"/>
    <mergeCell ref="A102:A112"/>
    <mergeCell ref="A113:A123"/>
    <mergeCell ref="B1:B2"/>
    <mergeCell ref="C1:C2"/>
    <mergeCell ref="D1:D2"/>
    <mergeCell ref="E1:E2"/>
    <mergeCell ref="F1:F2"/>
    <mergeCell ref="G1:G2"/>
    <mergeCell ref="H1:H2"/>
    <mergeCell ref="I1:I2"/>
    <mergeCell ref="J1:J2"/>
    <mergeCell ref="K1:K2"/>
    <mergeCell ref="L1:L2"/>
    <mergeCell ref="M1:M2"/>
    <mergeCell ref="W1:W2"/>
    <mergeCell ref="AI1:AI2"/>
    <mergeCell ref="AJ1:AJ2"/>
    <mergeCell ref="AL1:AL2"/>
    <mergeCell ref="AN1:AN2"/>
    <mergeCell ref="AO1:AO2"/>
    <mergeCell ref="AP1:AP2"/>
    <mergeCell ref="AQ1:AQ2"/>
    <mergeCell ref="AR1:AR2"/>
    <mergeCell ref="AS1:AS2"/>
    <mergeCell ref="AT1:AT2"/>
    <mergeCell ref="AU1:AU2"/>
    <mergeCell ref="AV1:AV2"/>
    <mergeCell ref="AW1:AW2"/>
    <mergeCell ref="AX1:AX2"/>
    <mergeCell ref="AY1:AY2"/>
    <mergeCell ref="AZ1:AZ2"/>
    <mergeCell ref="BA1:BA2"/>
    <mergeCell ref="BB1:BB2"/>
    <mergeCell ref="BC1:BC2"/>
    <mergeCell ref="BD1:BD2"/>
    <mergeCell ref="BE1:BE2"/>
    <mergeCell ref="BF1:BF2"/>
    <mergeCell ref="BG1:BG2"/>
    <mergeCell ref="BH1:BH2"/>
    <mergeCell ref="BI1:BI2"/>
    <mergeCell ref="BJ1:BJ2"/>
    <mergeCell ref="BK1:BK2"/>
    <mergeCell ref="BL1:BL2"/>
    <mergeCell ref="BM1:BM2"/>
    <mergeCell ref="BN1:BN2"/>
    <mergeCell ref="BO1:BO2"/>
    <mergeCell ref="BQ1:BQ2"/>
    <mergeCell ref="BR1:BR2"/>
    <mergeCell ref="BS1:BS2"/>
    <mergeCell ref="BT1:BT2"/>
    <mergeCell ref="BU1:BU2"/>
    <mergeCell ref="BV1:BV2"/>
    <mergeCell ref="BW1:BW2"/>
    <mergeCell ref="BX1:BX2"/>
    <mergeCell ref="BY1:BY2"/>
    <mergeCell ref="BZ1:BZ2"/>
    <mergeCell ref="CA1:CA2"/>
    <mergeCell ref="CB1:CB2"/>
    <mergeCell ref="CC1:CC2"/>
    <mergeCell ref="CD1:CD2"/>
    <mergeCell ref="CE1:CE2"/>
    <mergeCell ref="CF1:CF2"/>
    <mergeCell ref="CG1:CG2"/>
    <mergeCell ref="CG3:CG13"/>
    <mergeCell ref="CG14:CG24"/>
    <mergeCell ref="CG25:CG35"/>
    <mergeCell ref="CG36:CG46"/>
    <mergeCell ref="CG47:CG57"/>
    <mergeCell ref="CH1:CH2"/>
    <mergeCell ref="CI1:CI2"/>
    <mergeCell ref="CJ1:CJ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O47"/>
  <sheetViews>
    <sheetView workbookViewId="0">
      <pane xSplit="2" ySplit="2" topLeftCell="I3" activePane="bottomRight" state="frozen"/>
      <selection/>
      <selection pane="topRight"/>
      <selection pane="bottomLeft"/>
      <selection pane="bottomRight" activeCell="G8" sqref="G8"/>
    </sheetView>
  </sheetViews>
  <sheetFormatPr defaultColWidth="9.23076923076923" defaultRowHeight="16.8"/>
  <cols>
    <col min="1" max="1" width="5.375" style="11" customWidth="1"/>
    <col min="2" max="2" width="8.875" style="11" customWidth="1"/>
    <col min="3" max="3" width="23.625" style="54" customWidth="1"/>
    <col min="4" max="4" width="23.625" style="42" customWidth="1"/>
    <col min="5" max="6" width="23.625" style="54" customWidth="1"/>
    <col min="7" max="7" width="20.9230769230769" style="54" customWidth="1"/>
    <col min="8" max="8" width="23.625" style="54" customWidth="1"/>
    <col min="9" max="9" width="18.25" style="11"/>
    <col min="10" max="16" width="23.625" style="54" customWidth="1"/>
    <col min="17" max="17" width="23.625" style="42" customWidth="1"/>
    <col min="18" max="18" width="28.4615384615385" style="55" customWidth="1"/>
    <col min="19" max="26" width="28.4615384615385" style="54" customWidth="1"/>
    <col min="27" max="27" width="23.625" style="42" customWidth="1"/>
    <col min="28" max="28" width="23.625" style="56" customWidth="1"/>
    <col min="29" max="29" width="28.4615384615385" style="54" customWidth="1"/>
    <col min="30" max="30" width="23.625" style="56" customWidth="1"/>
    <col min="31" max="34" width="23.625" style="42" customWidth="1"/>
    <col min="35" max="38" width="23.625" style="55" customWidth="1"/>
    <col min="39" max="41" width="23.625" style="42" customWidth="1"/>
    <col min="42" max="50" width="23.625" style="55" customWidth="1"/>
    <col min="51" max="51" width="23.625" style="56" customWidth="1"/>
    <col min="52" max="56" width="23.625" style="42" customWidth="1"/>
    <col min="57" max="66" width="23.625" style="55" customWidth="1"/>
    <col min="67" max="71" width="23.625" style="42" customWidth="1"/>
    <col min="72" max="81" width="23.625" style="55" customWidth="1"/>
    <col min="82" max="86" width="23.625" style="42" customWidth="1"/>
    <col min="87" max="89" width="23.625" style="55" customWidth="1"/>
    <col min="90" max="90" width="35.4134615384615" style="55" customWidth="1"/>
    <col min="91" max="115" width="23.625" style="55" customWidth="1"/>
    <col min="116" max="121" width="27.3076923076923" style="56" customWidth="1"/>
    <col min="122" max="127" width="27.3076923076923" style="42" customWidth="1"/>
    <col min="128" max="128" width="29.6923076923077" style="42" customWidth="1"/>
    <col min="129" max="129" width="20.9230769230769" style="55" customWidth="1"/>
    <col min="130" max="130" width="22.4615384615385" style="42" customWidth="1"/>
    <col min="131" max="131" width="19.8461538461538" style="42" customWidth="1"/>
    <col min="132" max="132" width="22.4615384615385" style="42" customWidth="1"/>
    <col min="133" max="137" width="27.3076923076923" style="42" customWidth="1"/>
    <col min="138" max="139" width="12.9230769230769" style="57" customWidth="1"/>
    <col min="140" max="140" width="10.3076923076923" style="11" customWidth="1"/>
    <col min="141" max="142" width="15.1538461538462" style="11" customWidth="1"/>
    <col min="143" max="143" width="10.6923076923077" style="11" customWidth="1"/>
    <col min="144" max="144" width="20" style="42" customWidth="1"/>
    <col min="145" max="145" width="19.8461538461538" style="55" customWidth="1"/>
    <col min="146" max="146" width="22.4615384615385" style="42" customWidth="1"/>
    <col min="147" max="147" width="19.8461538461538" style="42" customWidth="1"/>
    <col min="148" max="148" width="22.4615384615385" style="42" customWidth="1"/>
    <col min="149" max="153" width="27.3076923076923" style="42" customWidth="1"/>
    <col min="154" max="154" width="11.2307692307692" style="57" customWidth="1"/>
    <col min="155" max="155" width="11.6923076923077" style="57" customWidth="1"/>
    <col min="156" max="156" width="10.3076923076923" style="11" customWidth="1"/>
    <col min="157" max="158" width="15.1538461538462" style="42" customWidth="1"/>
    <col min="159" max="159" width="7.07692307692308" style="55" customWidth="1"/>
    <col min="160" max="160" width="19.8461538461538" style="55" customWidth="1"/>
    <col min="161" max="161" width="22.4615384615385" style="42" customWidth="1"/>
    <col min="162" max="162" width="19.8461538461538" style="58" customWidth="1"/>
    <col min="163" max="163" width="22.4615384615385" style="42" customWidth="1"/>
    <col min="164" max="164" width="27.3076923076923" style="42" customWidth="1"/>
    <col min="165" max="165" width="11.2307692307692" style="58" customWidth="1"/>
    <col min="166" max="166" width="11.6923076923077" style="58" customWidth="1"/>
    <col min="167" max="167" width="12.0769230769231" style="54" customWidth="1"/>
    <col min="168" max="168" width="15.1538461538462" style="42" customWidth="1"/>
    <col min="169" max="169" width="10.3076923076923" style="42" customWidth="1"/>
    <col min="170" max="170" width="6" customWidth="1"/>
    <col min="171" max="171" width="20.9230769230769" style="54" customWidth="1"/>
  </cols>
  <sheetData>
    <row r="1" spans="1:170">
      <c r="A1" s="13" t="s">
        <v>1</v>
      </c>
      <c r="B1" s="13" t="s">
        <v>0</v>
      </c>
      <c r="C1" s="59" t="s">
        <v>107</v>
      </c>
      <c r="D1" s="51"/>
      <c r="E1" s="59" t="s">
        <v>108</v>
      </c>
      <c r="F1" s="59"/>
      <c r="G1" s="59" t="s">
        <v>109</v>
      </c>
      <c r="H1" s="59" t="s">
        <v>110</v>
      </c>
      <c r="I1" s="13" t="s">
        <v>111</v>
      </c>
      <c r="J1" s="59" t="s">
        <v>112</v>
      </c>
      <c r="K1" s="59" t="s">
        <v>113</v>
      </c>
      <c r="L1" s="59" t="s">
        <v>49</v>
      </c>
      <c r="M1" s="59" t="s">
        <v>46</v>
      </c>
      <c r="N1" s="59" t="s">
        <v>47</v>
      </c>
      <c r="O1" s="59" t="s">
        <v>114</v>
      </c>
      <c r="P1" s="59" t="s">
        <v>115</v>
      </c>
      <c r="Q1" s="51"/>
      <c r="R1" s="59" t="s">
        <v>116</v>
      </c>
      <c r="S1" s="59"/>
      <c r="T1" s="59"/>
      <c r="U1" s="59"/>
      <c r="V1" s="59"/>
      <c r="W1" s="59"/>
      <c r="X1" s="59" t="s">
        <v>117</v>
      </c>
      <c r="Y1" s="59"/>
      <c r="Z1" s="59"/>
      <c r="AA1" s="59"/>
      <c r="AB1" s="59"/>
      <c r="AC1" s="59" t="s">
        <v>118</v>
      </c>
      <c r="AD1" s="59" t="s">
        <v>119</v>
      </c>
      <c r="AE1" s="51" t="s">
        <v>119</v>
      </c>
      <c r="AF1" s="76" t="s">
        <v>120</v>
      </c>
      <c r="AG1" s="76" t="s">
        <v>121</v>
      </c>
      <c r="AH1" s="51"/>
      <c r="AI1" s="51"/>
      <c r="AJ1" s="51"/>
      <c r="AK1" s="51"/>
      <c r="AL1" s="51"/>
      <c r="AM1" s="51"/>
      <c r="AN1" s="51"/>
      <c r="AO1" s="51"/>
      <c r="AP1" s="73" t="s">
        <v>122</v>
      </c>
      <c r="AQ1" s="73"/>
      <c r="AR1" s="73"/>
      <c r="AS1" s="73"/>
      <c r="AT1" s="73"/>
      <c r="AU1" s="73" t="s">
        <v>123</v>
      </c>
      <c r="AV1" s="73"/>
      <c r="AW1" s="73"/>
      <c r="AX1" s="73"/>
      <c r="AY1" s="73"/>
      <c r="AZ1" s="73" t="s">
        <v>124</v>
      </c>
      <c r="BA1" s="73"/>
      <c r="BB1" s="73"/>
      <c r="BC1" s="73"/>
      <c r="BD1" s="51"/>
      <c r="BE1" s="73" t="s">
        <v>125</v>
      </c>
      <c r="BF1" s="73"/>
      <c r="BG1" s="73"/>
      <c r="BH1" s="73"/>
      <c r="BI1" s="73"/>
      <c r="BJ1" s="73" t="s">
        <v>126</v>
      </c>
      <c r="BK1" s="73"/>
      <c r="BL1" s="73"/>
      <c r="BM1" s="73"/>
      <c r="BN1" s="73"/>
      <c r="BO1" s="51" t="s">
        <v>127</v>
      </c>
      <c r="BP1" s="51"/>
      <c r="BQ1" s="51"/>
      <c r="BR1" s="51"/>
      <c r="BS1" s="51"/>
      <c r="BT1" s="73" t="s">
        <v>128</v>
      </c>
      <c r="BU1" s="73"/>
      <c r="BV1" s="73"/>
      <c r="BW1" s="73"/>
      <c r="BX1" s="73"/>
      <c r="BY1" s="73" t="s">
        <v>129</v>
      </c>
      <c r="BZ1" s="73"/>
      <c r="CA1" s="73"/>
      <c r="CB1" s="73"/>
      <c r="CC1" s="73"/>
      <c r="CD1" s="51" t="s">
        <v>130</v>
      </c>
      <c r="CE1" s="51"/>
      <c r="CF1" s="51"/>
      <c r="CG1" s="51"/>
      <c r="CH1" s="51"/>
      <c r="CI1" s="73"/>
      <c r="CJ1" s="73"/>
      <c r="CK1" s="73" t="s">
        <v>131</v>
      </c>
      <c r="CL1" s="73"/>
      <c r="CM1" s="73"/>
      <c r="CN1" s="73"/>
      <c r="CO1" s="73"/>
      <c r="CP1" s="73"/>
      <c r="CQ1" s="73"/>
      <c r="CR1" s="73"/>
      <c r="CS1" s="73"/>
      <c r="CT1" s="73"/>
      <c r="CU1" s="73"/>
      <c r="CV1" s="73"/>
      <c r="CW1" s="73"/>
      <c r="CX1" s="73"/>
      <c r="CY1" s="73"/>
      <c r="CZ1" s="73"/>
      <c r="DA1" s="73"/>
      <c r="DB1" s="73"/>
      <c r="DC1" s="73"/>
      <c r="DD1" s="73"/>
      <c r="DE1" s="73"/>
      <c r="DF1" s="73"/>
      <c r="DG1" s="73"/>
      <c r="DH1" s="73" t="s">
        <v>132</v>
      </c>
      <c r="DI1" s="73"/>
      <c r="DJ1" s="73"/>
      <c r="DK1" s="73"/>
      <c r="DL1" s="73"/>
      <c r="DM1" s="73" t="s">
        <v>133</v>
      </c>
      <c r="DN1" s="73"/>
      <c r="DO1" s="73"/>
      <c r="DP1" s="73"/>
      <c r="DQ1" s="73"/>
      <c r="DR1" s="51" t="s">
        <v>134</v>
      </c>
      <c r="DS1" s="51"/>
      <c r="DT1" s="51"/>
      <c r="DU1" s="51"/>
      <c r="DV1" s="51"/>
      <c r="DW1" s="51" t="s">
        <v>135</v>
      </c>
      <c r="DX1" s="51" t="s">
        <v>136</v>
      </c>
      <c r="DY1" s="59" t="s">
        <v>137</v>
      </c>
      <c r="DZ1" s="59"/>
      <c r="EA1" s="59"/>
      <c r="EB1" s="59"/>
      <c r="EC1" s="59"/>
      <c r="ED1" s="59"/>
      <c r="EE1" s="59"/>
      <c r="EF1" s="59"/>
      <c r="EG1" s="59"/>
      <c r="EH1" s="59"/>
      <c r="EI1" s="59"/>
      <c r="EJ1" s="59"/>
      <c r="EK1" s="59"/>
      <c r="EL1" s="59"/>
      <c r="EM1" s="59"/>
      <c r="EN1" s="59"/>
      <c r="EO1" s="59" t="s">
        <v>138</v>
      </c>
      <c r="EP1" s="51"/>
      <c r="EQ1" s="51"/>
      <c r="ER1" s="51"/>
      <c r="ES1" s="51"/>
      <c r="ET1" s="51"/>
      <c r="EU1" s="51"/>
      <c r="EV1" s="51"/>
      <c r="EW1" s="51"/>
      <c r="EX1" s="90"/>
      <c r="EY1" s="90"/>
      <c r="EZ1" s="59"/>
      <c r="FA1" s="51"/>
      <c r="FB1" s="51"/>
      <c r="FC1" s="59"/>
      <c r="FD1" s="59" t="s">
        <v>139</v>
      </c>
      <c r="FE1" s="51"/>
      <c r="FF1" s="59"/>
      <c r="FG1" s="51"/>
      <c r="FH1" s="51"/>
      <c r="FI1" s="90"/>
      <c r="FJ1" s="90"/>
      <c r="FK1" s="59"/>
      <c r="FL1" s="51"/>
      <c r="FM1" s="51"/>
      <c r="FN1" s="59"/>
    </row>
    <row r="2" ht="51" spans="1:170">
      <c r="A2" s="13"/>
      <c r="B2" s="13"/>
      <c r="C2" s="59"/>
      <c r="D2" s="51"/>
      <c r="E2" s="59"/>
      <c r="F2" s="59"/>
      <c r="G2" s="59"/>
      <c r="H2" s="59"/>
      <c r="I2" s="13"/>
      <c r="J2" s="59"/>
      <c r="K2" s="59"/>
      <c r="L2" s="59"/>
      <c r="M2" s="59"/>
      <c r="N2" s="59"/>
      <c r="O2" s="59"/>
      <c r="P2" s="59"/>
      <c r="Q2" s="51" t="s">
        <v>140</v>
      </c>
      <c r="R2" s="68" t="s">
        <v>141</v>
      </c>
      <c r="S2" s="68" t="s">
        <v>142</v>
      </c>
      <c r="T2" s="68" t="s">
        <v>143</v>
      </c>
      <c r="U2" s="68" t="s">
        <v>144</v>
      </c>
      <c r="V2" s="68" t="s">
        <v>145</v>
      </c>
      <c r="W2" s="68" t="s">
        <v>146</v>
      </c>
      <c r="X2" s="68" t="s">
        <v>147</v>
      </c>
      <c r="Y2" s="68" t="s">
        <v>148</v>
      </c>
      <c r="Z2" s="68" t="s">
        <v>149</v>
      </c>
      <c r="AA2" s="50" t="s">
        <v>150</v>
      </c>
      <c r="AB2" s="70" t="s">
        <v>146</v>
      </c>
      <c r="AC2" s="59"/>
      <c r="AD2" s="59"/>
      <c r="AE2" s="51"/>
      <c r="AF2" s="76"/>
      <c r="AG2" s="76" t="s">
        <v>151</v>
      </c>
      <c r="AH2" s="51" t="s">
        <v>109</v>
      </c>
      <c r="AI2" s="59" t="s">
        <v>110</v>
      </c>
      <c r="AJ2" s="59" t="s">
        <v>111</v>
      </c>
      <c r="AK2" s="59" t="s">
        <v>112</v>
      </c>
      <c r="AL2" s="59" t="s">
        <v>113</v>
      </c>
      <c r="AM2" s="51" t="s">
        <v>46</v>
      </c>
      <c r="AN2" s="51" t="s">
        <v>47</v>
      </c>
      <c r="AO2" s="51" t="s">
        <v>115</v>
      </c>
      <c r="AP2" s="59" t="s">
        <v>152</v>
      </c>
      <c r="AQ2" s="59" t="s">
        <v>153</v>
      </c>
      <c r="AR2" s="68" t="s">
        <v>154</v>
      </c>
      <c r="AS2" s="59" t="s">
        <v>155</v>
      </c>
      <c r="AT2" s="59" t="s">
        <v>146</v>
      </c>
      <c r="AU2" s="59" t="s">
        <v>152</v>
      </c>
      <c r="AV2" s="59" t="s">
        <v>153</v>
      </c>
      <c r="AW2" s="68" t="s">
        <v>154</v>
      </c>
      <c r="AX2" s="59" t="s">
        <v>155</v>
      </c>
      <c r="AY2" s="59" t="s">
        <v>146</v>
      </c>
      <c r="AZ2" s="51" t="s">
        <v>152</v>
      </c>
      <c r="BA2" s="51" t="s">
        <v>153</v>
      </c>
      <c r="BB2" s="50" t="s">
        <v>154</v>
      </c>
      <c r="BC2" s="51" t="s">
        <v>155</v>
      </c>
      <c r="BD2" s="51" t="s">
        <v>146</v>
      </c>
      <c r="BE2" s="59" t="s">
        <v>152</v>
      </c>
      <c r="BF2" s="59" t="s">
        <v>153</v>
      </c>
      <c r="BG2" s="68" t="s">
        <v>156</v>
      </c>
      <c r="BH2" s="59" t="s">
        <v>155</v>
      </c>
      <c r="BI2" s="59" t="s">
        <v>146</v>
      </c>
      <c r="BJ2" s="59" t="s">
        <v>152</v>
      </c>
      <c r="BK2" s="59" t="s">
        <v>153</v>
      </c>
      <c r="BL2" s="68" t="s">
        <v>156</v>
      </c>
      <c r="BM2" s="59" t="s">
        <v>155</v>
      </c>
      <c r="BN2" s="59" t="s">
        <v>146</v>
      </c>
      <c r="BO2" s="51" t="s">
        <v>152</v>
      </c>
      <c r="BP2" s="51" t="s">
        <v>153</v>
      </c>
      <c r="BQ2" s="50" t="s">
        <v>156</v>
      </c>
      <c r="BR2" s="51" t="s">
        <v>155</v>
      </c>
      <c r="BS2" s="51" t="s">
        <v>146</v>
      </c>
      <c r="BT2" s="59" t="s">
        <v>152</v>
      </c>
      <c r="BU2" s="59" t="s">
        <v>153</v>
      </c>
      <c r="BV2" s="68" t="s">
        <v>156</v>
      </c>
      <c r="BW2" s="59" t="s">
        <v>155</v>
      </c>
      <c r="BX2" s="59" t="s">
        <v>146</v>
      </c>
      <c r="BY2" s="59" t="s">
        <v>152</v>
      </c>
      <c r="BZ2" s="59" t="s">
        <v>153</v>
      </c>
      <c r="CA2" s="68" t="s">
        <v>156</v>
      </c>
      <c r="CB2" s="59" t="s">
        <v>155</v>
      </c>
      <c r="CC2" s="59" t="s">
        <v>146</v>
      </c>
      <c r="CD2" s="51" t="s">
        <v>152</v>
      </c>
      <c r="CE2" s="51" t="s">
        <v>153</v>
      </c>
      <c r="CF2" s="50" t="s">
        <v>156</v>
      </c>
      <c r="CG2" s="51" t="s">
        <v>155</v>
      </c>
      <c r="CH2" s="51" t="s">
        <v>146</v>
      </c>
      <c r="CI2" s="59" t="s">
        <v>157</v>
      </c>
      <c r="CJ2" s="59" t="s">
        <v>158</v>
      </c>
      <c r="CK2" s="81" t="s">
        <v>159</v>
      </c>
      <c r="CL2" s="82" t="s">
        <v>160</v>
      </c>
      <c r="CM2" s="83" t="s">
        <v>161</v>
      </c>
      <c r="CN2" s="83" t="s">
        <v>162</v>
      </c>
      <c r="CO2" s="83" t="s">
        <v>163</v>
      </c>
      <c r="CP2" s="83" t="s">
        <v>164</v>
      </c>
      <c r="CQ2" s="84" t="s">
        <v>165</v>
      </c>
      <c r="CR2" s="84" t="s">
        <v>166</v>
      </c>
      <c r="CS2" s="84" t="s">
        <v>167</v>
      </c>
      <c r="CT2" s="68" t="s">
        <v>168</v>
      </c>
      <c r="CU2" s="68" t="s">
        <v>169</v>
      </c>
      <c r="CV2" s="68" t="s">
        <v>170</v>
      </c>
      <c r="CW2" s="68" t="s">
        <v>171</v>
      </c>
      <c r="CX2" s="68" t="s">
        <v>172</v>
      </c>
      <c r="CY2" s="68" t="s">
        <v>173</v>
      </c>
      <c r="CZ2" s="68" t="s">
        <v>174</v>
      </c>
      <c r="DA2" s="68" t="s">
        <v>175</v>
      </c>
      <c r="DB2" s="68" t="s">
        <v>176</v>
      </c>
      <c r="DC2" s="68" t="s">
        <v>177</v>
      </c>
      <c r="DD2" s="68" t="s">
        <v>178</v>
      </c>
      <c r="DE2" s="68" t="s">
        <v>179</v>
      </c>
      <c r="DF2" s="59" t="s">
        <v>180</v>
      </c>
      <c r="DG2" s="59" t="s">
        <v>146</v>
      </c>
      <c r="DH2" s="59" t="s">
        <v>181</v>
      </c>
      <c r="DI2" s="59" t="s">
        <v>182</v>
      </c>
      <c r="DJ2" s="59" t="s">
        <v>183</v>
      </c>
      <c r="DK2" s="59" t="s">
        <v>184</v>
      </c>
      <c r="DL2" s="73" t="s">
        <v>146</v>
      </c>
      <c r="DM2" s="59" t="s">
        <v>181</v>
      </c>
      <c r="DN2" s="59" t="s">
        <v>182</v>
      </c>
      <c r="DO2" s="59" t="s">
        <v>183</v>
      </c>
      <c r="DP2" s="59" t="s">
        <v>184</v>
      </c>
      <c r="DQ2" s="73" t="s">
        <v>146</v>
      </c>
      <c r="DR2" s="59" t="s">
        <v>181</v>
      </c>
      <c r="DS2" s="59" t="s">
        <v>182</v>
      </c>
      <c r="DT2" s="59" t="s">
        <v>183</v>
      </c>
      <c r="DU2" s="59" t="s">
        <v>184</v>
      </c>
      <c r="DV2" s="73" t="s">
        <v>146</v>
      </c>
      <c r="DW2" s="51"/>
      <c r="DX2" s="51"/>
      <c r="DY2" s="59" t="s">
        <v>107</v>
      </c>
      <c r="DZ2" s="85" t="s">
        <v>185</v>
      </c>
      <c r="EA2" s="86" t="s">
        <v>109</v>
      </c>
      <c r="EB2" s="85" t="s">
        <v>186</v>
      </c>
      <c r="EC2" s="85" t="s">
        <v>187</v>
      </c>
      <c r="ED2" s="51" t="s">
        <v>181</v>
      </c>
      <c r="EE2" s="51" t="s">
        <v>182</v>
      </c>
      <c r="EF2" s="51" t="s">
        <v>183</v>
      </c>
      <c r="EG2" s="51" t="s">
        <v>184</v>
      </c>
      <c r="EH2" s="88" t="s">
        <v>188</v>
      </c>
      <c r="EI2" s="88" t="s">
        <v>189</v>
      </c>
      <c r="EJ2" s="89" t="s">
        <v>190</v>
      </c>
      <c r="EK2" s="89" t="s">
        <v>191</v>
      </c>
      <c r="EL2" s="89" t="s">
        <v>192</v>
      </c>
      <c r="EM2" s="89" t="s">
        <v>193</v>
      </c>
      <c r="EN2" s="51" t="s">
        <v>194</v>
      </c>
      <c r="EO2" s="59" t="s">
        <v>107</v>
      </c>
      <c r="EP2" s="51" t="s">
        <v>185</v>
      </c>
      <c r="EQ2" s="59" t="s">
        <v>109</v>
      </c>
      <c r="ER2" s="51" t="s">
        <v>186</v>
      </c>
      <c r="ES2" s="51" t="s">
        <v>187</v>
      </c>
      <c r="ET2" s="51" t="s">
        <v>181</v>
      </c>
      <c r="EU2" s="51" t="s">
        <v>182</v>
      </c>
      <c r="EV2" s="51" t="s">
        <v>183</v>
      </c>
      <c r="EW2" s="51" t="s">
        <v>184</v>
      </c>
      <c r="EX2" s="90" t="s">
        <v>195</v>
      </c>
      <c r="EY2" s="90" t="s">
        <v>189</v>
      </c>
      <c r="EZ2" s="13" t="s">
        <v>190</v>
      </c>
      <c r="FA2" s="51" t="s">
        <v>191</v>
      </c>
      <c r="FB2" s="51" t="s">
        <v>192</v>
      </c>
      <c r="FC2" s="59" t="s">
        <v>193</v>
      </c>
      <c r="FD2" s="59" t="s">
        <v>107</v>
      </c>
      <c r="FE2" s="51" t="s">
        <v>185</v>
      </c>
      <c r="FF2" s="59" t="s">
        <v>109</v>
      </c>
      <c r="FG2" s="51" t="s">
        <v>186</v>
      </c>
      <c r="FH2" s="51" t="s">
        <v>187</v>
      </c>
      <c r="FI2" s="90" t="s">
        <v>195</v>
      </c>
      <c r="FJ2" s="90" t="s">
        <v>189</v>
      </c>
      <c r="FK2" s="59" t="s">
        <v>190</v>
      </c>
      <c r="FL2" s="51" t="s">
        <v>191</v>
      </c>
      <c r="FM2" s="51" t="s">
        <v>196</v>
      </c>
      <c r="FN2" s="13" t="s">
        <v>193</v>
      </c>
    </row>
    <row r="3" spans="1:170">
      <c r="A3" s="13">
        <v>2022</v>
      </c>
      <c r="B3" s="13" t="s">
        <v>85</v>
      </c>
      <c r="C3" s="60">
        <v>25609651543.29</v>
      </c>
      <c r="D3" s="51">
        <f>(C3-C4)/C4</f>
        <v>0.0242209145696001</v>
      </c>
      <c r="E3" s="60">
        <v>18517973318.04</v>
      </c>
      <c r="F3" s="51">
        <f t="shared" ref="F3:F12" si="0">(E3-E4)/E4</f>
        <v>0.0585464131346941</v>
      </c>
      <c r="G3" s="59">
        <v>16471824416.06</v>
      </c>
      <c r="H3" s="59">
        <v>207194179.94</v>
      </c>
      <c r="I3" s="49">
        <v>1378053856.94</v>
      </c>
      <c r="J3" s="59">
        <v>441740962.78</v>
      </c>
      <c r="K3" s="59">
        <v>751338973.38</v>
      </c>
      <c r="L3" s="59">
        <v>-732179071.06</v>
      </c>
      <c r="M3" s="59">
        <v>7352280924.22</v>
      </c>
      <c r="N3" s="59">
        <v>7364206015.29</v>
      </c>
      <c r="O3" s="59">
        <v>1161039435.23</v>
      </c>
      <c r="P3" s="59">
        <v>6203166580.06</v>
      </c>
      <c r="Q3" s="51"/>
      <c r="R3" s="59">
        <v>793275718.83</v>
      </c>
      <c r="S3" s="59">
        <v>365379.75</v>
      </c>
      <c r="T3" s="59">
        <v>18190143.29</v>
      </c>
      <c r="U3" s="59">
        <v>20124772.21</v>
      </c>
      <c r="V3" s="59">
        <v>5235505.32</v>
      </c>
      <c r="W3" s="59">
        <f>SUM(R3:V3)</f>
        <v>837191519.4</v>
      </c>
      <c r="X3" s="59">
        <v>1517900662.63</v>
      </c>
      <c r="Y3" s="59">
        <v>15690050000</v>
      </c>
      <c r="Z3" s="59">
        <v>94500062.04</v>
      </c>
      <c r="AA3" s="51"/>
      <c r="AB3" s="71">
        <f>X3+Z3</f>
        <v>1612400724.67</v>
      </c>
      <c r="AC3" s="59">
        <f>P3+W3</f>
        <v>7040358099.46</v>
      </c>
      <c r="AD3" s="73">
        <f>AC3-AB14</f>
        <v>6253994132.97455</v>
      </c>
      <c r="AE3" s="51">
        <f t="shared" ref="AE3:AE12" si="1">(AD3-AD4)/AD4</f>
        <v>-0.156787927647609</v>
      </c>
      <c r="AF3" s="77">
        <f>AD3*1.15</f>
        <v>7192093252.92073</v>
      </c>
      <c r="AG3" s="76">
        <f>E3/C3</f>
        <v>0.723085719723192</v>
      </c>
      <c r="AH3" s="51">
        <f>G3/$C3</f>
        <v>0.64318815069453</v>
      </c>
      <c r="AI3" s="51">
        <f>H3/$C3</f>
        <v>0.00809047243730605</v>
      </c>
      <c r="AJ3" s="51">
        <f>I3/$C3</f>
        <v>0.0538099417171127</v>
      </c>
      <c r="AK3" s="51">
        <f>J3/$C3</f>
        <v>0.0172490032530623</v>
      </c>
      <c r="AL3" s="51">
        <f>K3/$C3</f>
        <v>0.0293381177838345</v>
      </c>
      <c r="AM3" s="51">
        <f>M3/C3</f>
        <v>0.287090236733282</v>
      </c>
      <c r="AN3" s="51">
        <f>N3/C3</f>
        <v>0.287555885047546</v>
      </c>
      <c r="AO3" s="51">
        <f>P3/C3</f>
        <v>0.242219874392836</v>
      </c>
      <c r="AP3" s="73">
        <v>5980660603.16</v>
      </c>
      <c r="AQ3" s="73">
        <v>2751064360.38</v>
      </c>
      <c r="AR3" s="73">
        <v>22602015.28</v>
      </c>
      <c r="AS3" s="73">
        <v>8947935.22</v>
      </c>
      <c r="AT3" s="73">
        <f>SUM(AP3:AS3)</f>
        <v>8763274914.04</v>
      </c>
      <c r="AU3" s="73">
        <f>AP3-AP4</f>
        <v>754076704.52</v>
      </c>
      <c r="AV3" s="73">
        <f>AQ3-AQ4</f>
        <v>605287820.91</v>
      </c>
      <c r="AW3" s="73">
        <f>AR3-AR4</f>
        <v>12218887.13</v>
      </c>
      <c r="AX3" s="73">
        <f>AS3-AS4</f>
        <v>3361928.29</v>
      </c>
      <c r="AY3" s="73">
        <f>AT3-AT4</f>
        <v>1374945340.85</v>
      </c>
      <c r="AZ3" s="74">
        <f>(AP3-AP4)/AP4</f>
        <v>0.144277164424016</v>
      </c>
      <c r="BA3" s="74">
        <f>(AQ3-AQ4)/AQ4</f>
        <v>0.282083343617646</v>
      </c>
      <c r="BB3" s="74">
        <f>(AR3-AR4)/AR4</f>
        <v>1.17680211141379</v>
      </c>
      <c r="BC3" s="74">
        <f>(AS3-AS4)/AS4</f>
        <v>0.601848213245951</v>
      </c>
      <c r="BD3" s="74">
        <f>(AT3-AT4)/AT4</f>
        <v>0.186096915037366</v>
      </c>
      <c r="BE3" s="73">
        <v>3603555649.27</v>
      </c>
      <c r="BF3" s="73">
        <v>935467464.43</v>
      </c>
      <c r="BG3" s="73">
        <v>12077489.04</v>
      </c>
      <c r="BH3" s="73">
        <v>5393591.43</v>
      </c>
      <c r="BI3" s="73">
        <f t="shared" ref="BI3:BI12" si="2">SUM(BE3:BH3)</f>
        <v>4556494194.17</v>
      </c>
      <c r="BJ3" s="73">
        <f>BE3-BE4</f>
        <v>641576739.78</v>
      </c>
      <c r="BK3" s="73">
        <f>BF3-BF4</f>
        <v>133110051.17</v>
      </c>
      <c r="BL3" s="73">
        <f>BG3-BG4</f>
        <v>6588672.59</v>
      </c>
      <c r="BM3" s="73">
        <f>BH3-BH4</f>
        <v>1111801.73</v>
      </c>
      <c r="BN3" s="73">
        <f>BI3-BI4</f>
        <v>782387265.27</v>
      </c>
      <c r="BO3" s="74">
        <f>(BE3-BE4)/BE4</f>
        <v>0.21660408780239</v>
      </c>
      <c r="BP3" s="51">
        <f>(BF3-BF4)/BF4</f>
        <v>0.1658986992208</v>
      </c>
      <c r="BQ3" s="74">
        <f>(BG3-BG4)/BG4</f>
        <v>1.20038129349361</v>
      </c>
      <c r="BR3" s="74">
        <f>(BH3-BH4)/BH4</f>
        <v>0.259658182184893</v>
      </c>
      <c r="BS3" s="74">
        <f>(BI3-BI4)/BI4</f>
        <v>0.207303947664788</v>
      </c>
      <c r="BT3" s="73">
        <f t="shared" ref="BT3:BT12" si="3">AP3-BE3</f>
        <v>2377104953.89</v>
      </c>
      <c r="BU3" s="73">
        <f t="shared" ref="BU3:BU12" si="4">AQ3-BF3</f>
        <v>1815596895.95</v>
      </c>
      <c r="BV3" s="73">
        <f t="shared" ref="BV3:BV12" si="5">AR3-BG3</f>
        <v>10524526.24</v>
      </c>
      <c r="BW3" s="73">
        <f t="shared" ref="BW3:BW12" si="6">AS3-BH3</f>
        <v>3554343.79</v>
      </c>
      <c r="BX3" s="73">
        <f>SUM(BT3:BW3)</f>
        <v>4206780719.87</v>
      </c>
      <c r="BY3" s="73">
        <f>BT3-BT4</f>
        <v>112499964.74</v>
      </c>
      <c r="BZ3" s="73">
        <f>BU3-BU4</f>
        <v>472177769.74</v>
      </c>
      <c r="CA3" s="73">
        <f>BV3-BV4</f>
        <v>5630214.54</v>
      </c>
      <c r="CB3" s="73">
        <f>BW3-BW4</f>
        <v>2250126.56</v>
      </c>
      <c r="CC3" s="73">
        <f>BX3-BX4</f>
        <v>592558075.58</v>
      </c>
      <c r="CD3" s="51">
        <f>(BT3-BT4)/BT4</f>
        <v>0.0496775222517838</v>
      </c>
      <c r="CE3" s="51">
        <f>(BU3-BU4)/BU4</f>
        <v>0.351474651899656</v>
      </c>
      <c r="CF3" s="51">
        <f>(BV3-BV4)/BV4</f>
        <v>1.15035880121816</v>
      </c>
      <c r="CG3" s="51">
        <f>(BW3-BW4)/BW4</f>
        <v>1.72526976966866</v>
      </c>
      <c r="CH3" s="74">
        <f>(BX3-BX4)/BX4</f>
        <v>0.163951735656397</v>
      </c>
      <c r="CI3" s="73"/>
      <c r="CJ3" s="73"/>
      <c r="CK3" s="73">
        <v>76225251.89</v>
      </c>
      <c r="CL3" s="73">
        <v>49299031.05</v>
      </c>
      <c r="CM3" s="73">
        <v>10972060.55</v>
      </c>
      <c r="CN3" s="73">
        <v>2117724.44</v>
      </c>
      <c r="CO3" s="73">
        <v>4420632.02</v>
      </c>
      <c r="CP3" s="73">
        <v>76142210.44</v>
      </c>
      <c r="CQ3" s="73"/>
      <c r="CR3" s="73"/>
      <c r="CS3" s="73"/>
      <c r="CT3" s="73">
        <v>55359446.87</v>
      </c>
      <c r="CU3" s="73">
        <v>50432359.04</v>
      </c>
      <c r="CV3" s="73"/>
      <c r="CW3" s="73"/>
      <c r="CX3" s="73"/>
      <c r="CY3" s="73"/>
      <c r="CZ3" s="73"/>
      <c r="DA3" s="73"/>
      <c r="DB3" s="73"/>
      <c r="DC3" s="73"/>
      <c r="DD3" s="73">
        <v>620992602.63</v>
      </c>
      <c r="DE3" s="73"/>
      <c r="DF3" s="73">
        <v>233916949.84</v>
      </c>
      <c r="DG3" s="73">
        <f t="shared" ref="DG3:DG12" si="7">SUM(CI3:DF3)</f>
        <v>1179878268.77</v>
      </c>
      <c r="DH3" s="73">
        <v>12554845406.05</v>
      </c>
      <c r="DI3" s="73">
        <v>1234018760.73</v>
      </c>
      <c r="DJ3" s="73">
        <v>416943079.69</v>
      </c>
      <c r="DK3" s="73">
        <v>757336449.14</v>
      </c>
      <c r="DL3" s="73">
        <f t="shared" ref="DL3:DL12" si="8">SUM(DH3:DK3)</f>
        <v>14963143695.61</v>
      </c>
      <c r="DM3" s="73">
        <f>DH3-DH4</f>
        <v>513031635.33</v>
      </c>
      <c r="DN3" s="73">
        <f>DI3-DI4</f>
        <v>129990958.2</v>
      </c>
      <c r="DO3" s="73">
        <f>DJ3-DJ4</f>
        <v>78325092.23</v>
      </c>
      <c r="DP3" s="73">
        <f>DK3-DK4</f>
        <v>32703274.89</v>
      </c>
      <c r="DQ3" s="73">
        <f>DL3-DL4</f>
        <v>754050960.650002</v>
      </c>
      <c r="DR3" s="51">
        <f>(DH3-DH4)/DH4</f>
        <v>0.0426041828164998</v>
      </c>
      <c r="DS3" s="51">
        <f>(DI3-DI4)/DI4</f>
        <v>0.11774246799049</v>
      </c>
      <c r="DT3" s="74">
        <f>(DJ3-DJ4)/DJ4</f>
        <v>0.231308126356555</v>
      </c>
      <c r="DU3" s="51">
        <f>(DK3-DK4)/DK4</f>
        <v>0.0451308000407904</v>
      </c>
      <c r="DV3" s="51">
        <f>(DL3-DL4)/DL4</f>
        <v>0.0530681989846359</v>
      </c>
      <c r="DW3" s="51">
        <f>O3/N3</f>
        <v>0.157659825488231</v>
      </c>
      <c r="DX3" s="51">
        <f t="shared" ref="DX3:DX13" si="9">O3/M3</f>
        <v>0.157915543107893</v>
      </c>
      <c r="DY3" s="59">
        <v>13861182323.73</v>
      </c>
      <c r="DZ3" s="51">
        <f t="shared" ref="DZ3:DZ13" si="10">DY3/C3</f>
        <v>0.541248376624702</v>
      </c>
      <c r="EA3" s="59">
        <v>8277124315.29</v>
      </c>
      <c r="EB3" s="51">
        <f>EA3/G3</f>
        <v>0.502501975872194</v>
      </c>
      <c r="EC3" s="51">
        <f>EA3/DY3</f>
        <v>0.597144177313054</v>
      </c>
      <c r="ED3" s="51"/>
      <c r="EE3" s="51"/>
      <c r="EF3" s="51"/>
      <c r="EG3" s="51"/>
      <c r="EH3" s="90">
        <v>2502658</v>
      </c>
      <c r="EI3" s="90">
        <v>2468667</v>
      </c>
      <c r="EJ3" s="49">
        <f t="shared" ref="EJ3:EJ9" si="11">DY3/EH3</f>
        <v>5538.58430665716</v>
      </c>
      <c r="EK3" s="51">
        <f t="shared" ref="EK3:EK8" si="12">(EJ3-EJ4)/EJ4</f>
        <v>0.0384893415159133</v>
      </c>
      <c r="EL3" s="51">
        <f t="shared" ref="EL3:EL8" si="13">(EH3-EH4)/EH4</f>
        <v>-0.0592508613748467</v>
      </c>
      <c r="EM3" s="49">
        <v>55865</v>
      </c>
      <c r="EN3" s="51">
        <f t="shared" ref="EN3:EN9" si="14">EM3/EH3</f>
        <v>0.022322266965762</v>
      </c>
      <c r="EO3" s="59">
        <v>4416534600.86</v>
      </c>
      <c r="EP3" s="51">
        <f t="shared" ref="EP3:EP13" si="15">EO3/C3</f>
        <v>0.172455864672519</v>
      </c>
      <c r="EQ3" s="60">
        <v>2930274011.71</v>
      </c>
      <c r="ER3" s="51">
        <f>EQ3/G3</f>
        <v>0.17789614178093</v>
      </c>
      <c r="ES3" s="51">
        <f>EQ3/EO3</f>
        <v>0.663478105920286</v>
      </c>
      <c r="ET3" s="51"/>
      <c r="EU3" s="51"/>
      <c r="EV3" s="51"/>
      <c r="EW3" s="51"/>
      <c r="EX3" s="90">
        <v>877936</v>
      </c>
      <c r="EY3" s="93">
        <v>867822</v>
      </c>
      <c r="EZ3" s="49">
        <f t="shared" ref="EZ3:EZ9" si="16">EO3/EX3</f>
        <v>5030.58833543675</v>
      </c>
      <c r="FA3" s="51">
        <f t="shared" ref="FA3:FA8" si="17">(EZ3-EZ4)/EZ4</f>
        <v>0.0672531942862395</v>
      </c>
      <c r="FB3" s="51">
        <f t="shared" ref="FB3:FB8" si="18">(EX3-EX4)/EX4</f>
        <v>-0.0867894147224854</v>
      </c>
      <c r="FC3" s="59"/>
      <c r="FD3" s="59">
        <v>2584008717.63</v>
      </c>
      <c r="FE3" s="51">
        <f t="shared" ref="FE3:FE13" si="19">FD3/C3</f>
        <v>0.100899799954796</v>
      </c>
      <c r="FF3" s="60">
        <v>1620613207.54</v>
      </c>
      <c r="FG3" s="51">
        <f>FF3/G3</f>
        <v>0.0983869889943645</v>
      </c>
      <c r="FH3" s="51">
        <f>FF3/FD3</f>
        <v>0.62717017805822</v>
      </c>
      <c r="FI3" s="93">
        <v>284712</v>
      </c>
      <c r="FJ3" s="93"/>
      <c r="FK3" s="60">
        <f t="shared" ref="FK3:FK9" si="20">FD3/FI3</f>
        <v>9075.86865896063</v>
      </c>
      <c r="FL3" s="51">
        <f t="shared" ref="FL3:FL8" si="21">(FK3-FK4)/FK4</f>
        <v>0.0538722069517929</v>
      </c>
      <c r="FM3" s="51">
        <f t="shared" ref="FM3:FM8" si="22">(FI3-FI4)/FI4</f>
        <v>-0.0802479704606319</v>
      </c>
      <c r="FN3" s="14"/>
    </row>
    <row r="4" spans="1:170">
      <c r="A4" s="13">
        <v>2021</v>
      </c>
      <c r="B4" s="13"/>
      <c r="C4" s="60">
        <v>25004031043.49</v>
      </c>
      <c r="D4" s="51">
        <f t="shared" ref="D4:D12" si="23">(C4-C5)/C5</f>
        <v>0.0970590269656729</v>
      </c>
      <c r="E4" s="60">
        <v>17493775509.76</v>
      </c>
      <c r="F4" s="51">
        <f t="shared" si="0"/>
        <v>0.133122225560201</v>
      </c>
      <c r="G4" s="59">
        <v>15336858254.4</v>
      </c>
      <c r="H4" s="59">
        <v>218259965.29</v>
      </c>
      <c r="I4" s="49">
        <v>1356919480.01</v>
      </c>
      <c r="J4" s="59">
        <v>394035474.57</v>
      </c>
      <c r="K4" s="59">
        <v>771919701.92</v>
      </c>
      <c r="L4" s="59">
        <v>-584217366.43</v>
      </c>
      <c r="M4" s="59">
        <v>7820419296.51</v>
      </c>
      <c r="N4" s="59">
        <v>7820740015.8</v>
      </c>
      <c r="O4" s="59">
        <v>1149269490.14</v>
      </c>
      <c r="P4" s="59">
        <v>6671470525.66</v>
      </c>
      <c r="Q4" s="51">
        <f t="shared" ref="Q4:Q12" si="24">(P4-P5)/P5</f>
        <v>0.0409485540539824</v>
      </c>
      <c r="R4" s="59">
        <v>710047422.15</v>
      </c>
      <c r="S4" s="59">
        <v>415900.29</v>
      </c>
      <c r="T4" s="59">
        <v>21310112.64</v>
      </c>
      <c r="U4" s="59">
        <v>12223515.71</v>
      </c>
      <c r="V4" s="59">
        <v>1402298.11</v>
      </c>
      <c r="W4" s="59">
        <f t="shared" ref="W4:W13" si="25">SUM(R4:V4)</f>
        <v>745399248.9</v>
      </c>
      <c r="X4" s="59">
        <v>1030736119.27</v>
      </c>
      <c r="Y4" s="59">
        <v>10804900000</v>
      </c>
      <c r="Z4" s="59"/>
      <c r="AA4" s="51"/>
      <c r="AB4" s="71">
        <f t="shared" ref="AB4:AB14" si="26">X4+Z4</f>
        <v>1030736119.27</v>
      </c>
      <c r="AC4" s="59">
        <f t="shared" ref="AC4:AC13" si="27">P4+W4</f>
        <v>7416869774.56</v>
      </c>
      <c r="AD4" s="73">
        <f t="shared" ref="AD4:AD13" si="28">AC4-AB15</f>
        <v>7416869774.56</v>
      </c>
      <c r="AE4" s="51">
        <f t="shared" si="1"/>
        <v>0.0619923987235423</v>
      </c>
      <c r="AF4" s="76"/>
      <c r="AG4" s="76">
        <f t="shared" ref="AG4:AG13" si="29">E4/C4</f>
        <v>0.699638209508408</v>
      </c>
      <c r="AH4" s="51">
        <f t="shared" ref="AH4:AH13" si="30">G4/$C4</f>
        <v>0.613375428454888</v>
      </c>
      <c r="AI4" s="51">
        <f t="shared" ref="AI4:AI13" si="31">H4/$C4</f>
        <v>0.00872899113388462</v>
      </c>
      <c r="AJ4" s="51">
        <f t="shared" ref="AJ4:AJ13" si="32">I4/$C4</f>
        <v>0.0542680289290108</v>
      </c>
      <c r="AK4" s="51">
        <f t="shared" ref="AK4:AK13" si="33">J4/$C4</f>
        <v>0.0157588779938981</v>
      </c>
      <c r="AL4" s="51">
        <f t="shared" ref="AL4:AL13" si="34">K4/$C4</f>
        <v>0.0308718102524103</v>
      </c>
      <c r="AM4" s="51">
        <f t="shared" ref="AM4:AM13" si="35">M4/C4</f>
        <v>0.31276634087151</v>
      </c>
      <c r="AN4" s="51">
        <f t="shared" ref="AN4:AN13" si="36">N4/C4</f>
        <v>0.31277916757491</v>
      </c>
      <c r="AO4" s="51">
        <f t="shared" ref="AO4:AO13" si="37">P4/C4</f>
        <v>0.266815799182787</v>
      </c>
      <c r="AP4" s="73">
        <v>5226583898.64</v>
      </c>
      <c r="AQ4" s="73">
        <v>2145776539.47</v>
      </c>
      <c r="AR4" s="73">
        <v>10383128.15</v>
      </c>
      <c r="AS4" s="73">
        <v>5586006.93</v>
      </c>
      <c r="AT4" s="73">
        <f t="shared" ref="AT4:AT12" si="38">SUM(AP4:AS4)</f>
        <v>7388329573.19</v>
      </c>
      <c r="AU4" s="73">
        <f t="shared" ref="AU4:AU12" si="39">AP4-AP5</f>
        <v>382624120.39</v>
      </c>
      <c r="AV4" s="73">
        <f t="shared" ref="AV4:AV12" si="40">AQ4-AQ5</f>
        <v>17856624.0799999</v>
      </c>
      <c r="AW4" s="73">
        <f t="shared" ref="AW4:AW12" si="41">AR4-AR5</f>
        <v>1592418.44</v>
      </c>
      <c r="AX4" s="73">
        <f t="shared" ref="AX4:AX12" si="42">AS4-AS5</f>
        <v>-949464.930000001</v>
      </c>
      <c r="AY4" s="73">
        <f t="shared" ref="AY4:AY12" si="43">AT4-AT5</f>
        <v>401123697.98</v>
      </c>
      <c r="AZ4" s="51">
        <f t="shared" ref="AZ4:AZ12" si="44">(AP4-AP5)/AP5</f>
        <v>0.078989945810044</v>
      </c>
      <c r="BA4" s="51">
        <f t="shared" ref="BA4:BA12" si="45">(AQ4-AQ5)/AQ5</f>
        <v>0.00839158652111548</v>
      </c>
      <c r="BB4" s="51">
        <f t="shared" ref="BB4:BB12" si="46">(AR4-AR5)/AR5</f>
        <v>0.181147881403537</v>
      </c>
      <c r="BC4" s="51">
        <f t="shared" ref="BC4:BC12" si="47">(AS4-AS5)/AS5</f>
        <v>-0.145278711367598</v>
      </c>
      <c r="BD4" s="51">
        <f t="shared" ref="BD4:BD12" si="48">(AT4-AT5)/AT5</f>
        <v>0.0574083124419094</v>
      </c>
      <c r="BE4" s="73">
        <v>2961978909.49</v>
      </c>
      <c r="BF4" s="73">
        <v>802357413.26</v>
      </c>
      <c r="BG4" s="73">
        <v>5488816.45</v>
      </c>
      <c r="BH4" s="73">
        <v>4281789.7</v>
      </c>
      <c r="BI4" s="73">
        <f t="shared" si="2"/>
        <v>3774106928.9</v>
      </c>
      <c r="BJ4" s="73">
        <f t="shared" ref="BJ4:BJ12" si="49">BE4-BE5</f>
        <v>593102589.32</v>
      </c>
      <c r="BK4" s="73">
        <f t="shared" ref="BK4:BK12" si="50">BF4-BF5</f>
        <v>107240625.58</v>
      </c>
      <c r="BL4" s="73">
        <f t="shared" ref="BL4:BL12" si="51">BG4-BG5</f>
        <v>986168.08</v>
      </c>
      <c r="BM4" s="73">
        <f t="shared" ref="BM4:BM12" si="52">BH4-BH5</f>
        <v>-514086.85</v>
      </c>
      <c r="BN4" s="73">
        <f t="shared" ref="BN4:BN12" si="53">BI4-BI5</f>
        <v>700815296.13</v>
      </c>
      <c r="BO4" s="74">
        <f t="shared" ref="BO4:BO12" si="54">(BE4-BE5)/BE5</f>
        <v>0.250372965557542</v>
      </c>
      <c r="BP4" s="51">
        <f t="shared" ref="BP4:BP12" si="55">(BF4-BF5)/BF5</f>
        <v>0.154277133685583</v>
      </c>
      <c r="BQ4" s="74">
        <f t="shared" ref="BQ4:BQ12" si="56">(BG4-BG5)/BG5</f>
        <v>0.219019563368658</v>
      </c>
      <c r="BR4" s="51">
        <f t="shared" ref="BR4:BR12" si="57">(BH4-BH5)/BH5</f>
        <v>-0.107193511893045</v>
      </c>
      <c r="BS4" s="74">
        <f t="shared" ref="BS4:BS12" si="58">(BI4-BI5)/BI5</f>
        <v>0.228034101501245</v>
      </c>
      <c r="BT4" s="73">
        <f t="shared" si="3"/>
        <v>2264604989.15</v>
      </c>
      <c r="BU4" s="73">
        <f t="shared" si="4"/>
        <v>1343419126.21</v>
      </c>
      <c r="BV4" s="73">
        <f t="shared" si="5"/>
        <v>4894311.7</v>
      </c>
      <c r="BW4" s="73">
        <f t="shared" si="6"/>
        <v>1304217.23</v>
      </c>
      <c r="BX4" s="73">
        <f t="shared" ref="BX4:BX12" si="59">SUM(BT4:BW4)</f>
        <v>3614222644.29</v>
      </c>
      <c r="BY4" s="73">
        <f t="shared" ref="BY4:BY12" si="60">BT4-BT5</f>
        <v>-210478468.93</v>
      </c>
      <c r="BZ4" s="73">
        <f t="shared" ref="BZ4:BZ12" si="61">BU4-BU5</f>
        <v>-89384001.5</v>
      </c>
      <c r="CA4" s="73">
        <f t="shared" ref="CA4:CA12" si="62">BV4-BV5</f>
        <v>606250.36</v>
      </c>
      <c r="CB4" s="73">
        <f t="shared" ref="CB4:CB12" si="63">BW4-BW5</f>
        <v>-435378.08</v>
      </c>
      <c r="CC4" s="73">
        <f t="shared" ref="CC4:CC12" si="64">BX4-BX5</f>
        <v>-299691598.15</v>
      </c>
      <c r="CD4" s="51">
        <f t="shared" ref="CD4:CD12" si="65">(BT4-BT5)/BT5</f>
        <v>-0.0850389380781829</v>
      </c>
      <c r="CE4" s="51">
        <f t="shared" ref="CE4:CE12" si="66">(BU4-BU5)/BU5</f>
        <v>-0.062384007803542</v>
      </c>
      <c r="CF4" s="51">
        <f t="shared" ref="CF4:CF12" si="67">(BV4-BV5)/BV5</f>
        <v>0.141380990599356</v>
      </c>
      <c r="CG4" s="51">
        <f t="shared" ref="CG4:CG12" si="68">(BW4-BW5)/BW5</f>
        <v>-0.250275496546378</v>
      </c>
      <c r="CH4" s="51">
        <f t="shared" ref="CH4:CH12" si="69">(BX4-BX5)/BX5</f>
        <v>-0.0765708136627867</v>
      </c>
      <c r="CI4" s="73"/>
      <c r="CJ4" s="73"/>
      <c r="CK4" s="73">
        <v>1784291.03</v>
      </c>
      <c r="CL4" s="73">
        <v>84022340.2</v>
      </c>
      <c r="CM4" s="73">
        <v>39109610.51</v>
      </c>
      <c r="CN4" s="73">
        <v>133264290.39</v>
      </c>
      <c r="CO4" s="73">
        <v>37606280.58</v>
      </c>
      <c r="CP4" s="73">
        <v>89626027.74</v>
      </c>
      <c r="CQ4" s="73"/>
      <c r="CR4" s="73"/>
      <c r="CS4" s="73"/>
      <c r="CT4" s="73"/>
      <c r="CU4" s="73">
        <v>136855743.73</v>
      </c>
      <c r="CV4" s="73"/>
      <c r="CW4" s="73">
        <v>8315868.18</v>
      </c>
      <c r="CX4" s="73"/>
      <c r="CY4" s="73"/>
      <c r="CZ4" s="73"/>
      <c r="DA4" s="73">
        <v>6021039.81</v>
      </c>
      <c r="DB4" s="73"/>
      <c r="DC4" s="73"/>
      <c r="DD4" s="73">
        <v>230415365.53</v>
      </c>
      <c r="DE4" s="73"/>
      <c r="DF4" s="73">
        <v>156143121.31</v>
      </c>
      <c r="DG4" s="73">
        <f t="shared" si="7"/>
        <v>923163979.01</v>
      </c>
      <c r="DH4" s="73">
        <v>12041813770.72</v>
      </c>
      <c r="DI4" s="73">
        <v>1104027802.53</v>
      </c>
      <c r="DJ4" s="73">
        <v>338617987.46</v>
      </c>
      <c r="DK4" s="73">
        <v>724633174.25</v>
      </c>
      <c r="DL4" s="73">
        <f t="shared" si="8"/>
        <v>14209092734.96</v>
      </c>
      <c r="DM4" s="73">
        <f t="shared" ref="DM4:DM12" si="70">DH4-DH5</f>
        <v>1851452756.33</v>
      </c>
      <c r="DN4" s="73">
        <f t="shared" ref="DN4:DN12" si="71">DI4-DI5</f>
        <v>128834757.2</v>
      </c>
      <c r="DO4" s="73">
        <f t="shared" ref="DO4:DO12" si="72">DJ4-DJ5</f>
        <v>30051008.77</v>
      </c>
      <c r="DP4" s="73">
        <f t="shared" ref="DP4:DP12" si="73">DK4-DK5</f>
        <v>-19117155.13</v>
      </c>
      <c r="DQ4" s="73">
        <f t="shared" ref="DQ4:DQ12" si="74">DL4-DL5</f>
        <v>1991221367.17</v>
      </c>
      <c r="DR4" s="74">
        <f t="shared" ref="DR4:DR12" si="75">(DH4-DH5)/DH5</f>
        <v>0.181686669757384</v>
      </c>
      <c r="DS4" s="74">
        <f t="shared" ref="DS4:DS12" si="76">(DI4-DI5)/DI5</f>
        <v>0.132112054958721</v>
      </c>
      <c r="DT4" s="51">
        <f t="shared" ref="DT4:DT12" si="77">(DJ4-DJ5)/DJ5</f>
        <v>0.0973889328585304</v>
      </c>
      <c r="DU4" s="51">
        <f t="shared" ref="DU4:DU12" si="78">(DK4-DK5)/DK5</f>
        <v>-0.0257037266066642</v>
      </c>
      <c r="DV4" s="74">
        <f t="shared" ref="DV4:DV12" si="79">(DL4-DL5)/DL5</f>
        <v>0.162976127938248</v>
      </c>
      <c r="DW4" s="51">
        <f t="shared" ref="DW4:DW13" si="80">O4/N4</f>
        <v>0.146951501752797</v>
      </c>
      <c r="DX4" s="51">
        <f t="shared" si="9"/>
        <v>0.146957528307067</v>
      </c>
      <c r="DY4" s="59">
        <v>14188105305.9</v>
      </c>
      <c r="DZ4" s="51">
        <f t="shared" si="10"/>
        <v>0.56743271839738</v>
      </c>
      <c r="EA4" s="59">
        <v>8099787316.69</v>
      </c>
      <c r="EB4" s="51">
        <f>EA4/G4</f>
        <v>0.528125590152484</v>
      </c>
      <c r="EC4" s="51">
        <f t="shared" ref="EC4:EC13" si="81">EA4/DY4</f>
        <v>0.570885762549406</v>
      </c>
      <c r="ED4" s="51"/>
      <c r="EE4" s="51"/>
      <c r="EF4" s="51"/>
      <c r="EG4" s="51"/>
      <c r="EH4" s="90">
        <v>2660282</v>
      </c>
      <c r="EI4" s="90">
        <v>2647215</v>
      </c>
      <c r="EJ4" s="49">
        <f t="shared" si="11"/>
        <v>5333.30876422124</v>
      </c>
      <c r="EK4" s="51">
        <f t="shared" si="12"/>
        <v>0.00311286715276948</v>
      </c>
      <c r="EL4" s="51">
        <f t="shared" si="13"/>
        <v>0.0843860477951592</v>
      </c>
      <c r="EM4" s="49">
        <v>89856</v>
      </c>
      <c r="EN4" s="51">
        <f t="shared" si="14"/>
        <v>0.0337768702716479</v>
      </c>
      <c r="EO4" s="59">
        <v>4531513070.84</v>
      </c>
      <c r="EP4" s="51">
        <f t="shared" si="15"/>
        <v>0.181231300783392</v>
      </c>
      <c r="EQ4" s="60">
        <v>2963142018.97</v>
      </c>
      <c r="ER4" s="51">
        <f>EQ4/G4</f>
        <v>0.193203977621682</v>
      </c>
      <c r="ES4" s="51">
        <f t="shared" ref="ES4:ES9" si="82">EQ4/EO4</f>
        <v>0.65389682709681</v>
      </c>
      <c r="ET4" s="51"/>
      <c r="EU4" s="51"/>
      <c r="EV4" s="51"/>
      <c r="EW4" s="51"/>
      <c r="EX4" s="90">
        <v>961373</v>
      </c>
      <c r="EY4" s="93">
        <v>955618</v>
      </c>
      <c r="EZ4" s="49">
        <f t="shared" si="16"/>
        <v>4713.58470733004</v>
      </c>
      <c r="FA4" s="51">
        <f t="shared" si="17"/>
        <v>-0.0115123547648422</v>
      </c>
      <c r="FB4" s="51">
        <f t="shared" si="18"/>
        <v>0.114603054983914</v>
      </c>
      <c r="FC4" s="59"/>
      <c r="FD4" s="59">
        <v>2665847293.87</v>
      </c>
      <c r="FE4" s="51">
        <f t="shared" si="19"/>
        <v>0.10661670069251</v>
      </c>
      <c r="FF4" s="60">
        <v>1612313007.28</v>
      </c>
      <c r="FG4" s="51">
        <f>FF4/G4</f>
        <v>0.105126681132196</v>
      </c>
      <c r="FH4" s="51">
        <f t="shared" ref="FH4:FH9" si="83">FF4/FD4</f>
        <v>0.604803212467362</v>
      </c>
      <c r="FI4" s="93">
        <v>309553</v>
      </c>
      <c r="FJ4" s="93"/>
      <c r="FK4" s="60">
        <f t="shared" si="20"/>
        <v>8611.92524016889</v>
      </c>
      <c r="FL4" s="51">
        <f t="shared" si="21"/>
        <v>0.00402042140971097</v>
      </c>
      <c r="FM4" s="51">
        <f t="shared" si="22"/>
        <v>0.0519067004669054</v>
      </c>
      <c r="FN4" s="14"/>
    </row>
    <row r="5" spans="1:170">
      <c r="A5" s="13">
        <v>2020</v>
      </c>
      <c r="B5" s="13"/>
      <c r="C5" s="60">
        <v>22791873936.49</v>
      </c>
      <c r="D5" s="51">
        <f t="shared" si="23"/>
        <v>0.151285589133775</v>
      </c>
      <c r="E5" s="60">
        <v>15438560038.05</v>
      </c>
      <c r="F5" s="51">
        <f t="shared" si="0"/>
        <v>0.122683686900195</v>
      </c>
      <c r="G5" s="59">
        <v>13180788066.91</v>
      </c>
      <c r="H5" s="59">
        <v>211339161.22</v>
      </c>
      <c r="I5" s="49">
        <v>1365533071.16</v>
      </c>
      <c r="J5" s="59">
        <v>361389131.13</v>
      </c>
      <c r="K5" s="59">
        <v>711748662.76</v>
      </c>
      <c r="L5" s="59">
        <v>-392238055.13</v>
      </c>
      <c r="M5" s="59">
        <v>7643869224.91</v>
      </c>
      <c r="N5" s="59">
        <v>7642422274.71</v>
      </c>
      <c r="O5" s="59">
        <v>1233392261</v>
      </c>
      <c r="P5" s="59">
        <v>6409030013.71</v>
      </c>
      <c r="Q5" s="51">
        <f t="shared" si="24"/>
        <v>0.196553348847028</v>
      </c>
      <c r="R5" s="59">
        <v>565215760.69</v>
      </c>
      <c r="S5" s="59">
        <v>511925.53</v>
      </c>
      <c r="T5" s="59"/>
      <c r="U5" s="59">
        <v>8699435.14</v>
      </c>
      <c r="V5" s="59">
        <v>462696.63</v>
      </c>
      <c r="W5" s="59">
        <f t="shared" si="25"/>
        <v>574889817.99</v>
      </c>
      <c r="X5" s="59">
        <v>906995127.4</v>
      </c>
      <c r="Y5" s="59">
        <v>8579500000</v>
      </c>
      <c r="Z5" s="59">
        <v>57787351.7</v>
      </c>
      <c r="AA5" s="72">
        <v>70550695.66</v>
      </c>
      <c r="AB5" s="71">
        <f t="shared" si="26"/>
        <v>964782479.1</v>
      </c>
      <c r="AC5" s="59">
        <f t="shared" si="27"/>
        <v>6983919831.7</v>
      </c>
      <c r="AD5" s="73">
        <f t="shared" si="28"/>
        <v>6983919831.7</v>
      </c>
      <c r="AE5" s="51">
        <f t="shared" si="1"/>
        <v>0.196932553643746</v>
      </c>
      <c r="AF5" s="76"/>
      <c r="AG5" s="76">
        <f t="shared" si="29"/>
        <v>0.677371245605774</v>
      </c>
      <c r="AH5" s="51">
        <f t="shared" si="30"/>
        <v>0.578310853404969</v>
      </c>
      <c r="AI5" s="51">
        <f t="shared" si="31"/>
        <v>0.00927256625799619</v>
      </c>
      <c r="AJ5" s="51">
        <f t="shared" si="32"/>
        <v>0.0599131547921459</v>
      </c>
      <c r="AK5" s="51">
        <f t="shared" si="33"/>
        <v>0.0158560516847811</v>
      </c>
      <c r="AL5" s="51">
        <f t="shared" si="34"/>
        <v>0.0312281765309558</v>
      </c>
      <c r="AM5" s="51">
        <f t="shared" si="35"/>
        <v>0.335376952602045</v>
      </c>
      <c r="AN5" s="51">
        <f t="shared" si="36"/>
        <v>0.335313467247395</v>
      </c>
      <c r="AO5" s="51">
        <f t="shared" si="37"/>
        <v>0.281198028366114</v>
      </c>
      <c r="AP5" s="73">
        <v>4843959778.25</v>
      </c>
      <c r="AQ5" s="73">
        <v>2127919915.39</v>
      </c>
      <c r="AR5" s="73">
        <v>8790709.71</v>
      </c>
      <c r="AS5" s="77">
        <v>6535471.86</v>
      </c>
      <c r="AT5" s="73">
        <f t="shared" si="38"/>
        <v>6987205875.21</v>
      </c>
      <c r="AU5" s="73">
        <f t="shared" si="39"/>
        <v>773881509.03</v>
      </c>
      <c r="AV5" s="73">
        <f t="shared" si="40"/>
        <v>208864702.44</v>
      </c>
      <c r="AW5" s="73">
        <f t="shared" si="41"/>
        <v>-17857241.2</v>
      </c>
      <c r="AX5" s="73">
        <f t="shared" si="42"/>
        <v>1384140.27</v>
      </c>
      <c r="AY5" s="73">
        <f t="shared" si="43"/>
        <v>966273110.54</v>
      </c>
      <c r="AZ5" s="74">
        <f t="shared" si="44"/>
        <v>0.190139220388582</v>
      </c>
      <c r="BA5" s="74">
        <f t="shared" si="45"/>
        <v>0.10883725545287</v>
      </c>
      <c r="BB5" s="51">
        <f t="shared" si="46"/>
        <v>-0.670116860403658</v>
      </c>
      <c r="BC5" s="74">
        <f t="shared" si="47"/>
        <v>0.268695626716587</v>
      </c>
      <c r="BD5" s="74">
        <f t="shared" si="48"/>
        <v>0.160485617147223</v>
      </c>
      <c r="BE5" s="73">
        <v>2368876320.17</v>
      </c>
      <c r="BF5" s="73">
        <v>695116787.68</v>
      </c>
      <c r="BG5" s="73">
        <v>4502648.37</v>
      </c>
      <c r="BH5" s="73">
        <v>4795876.55</v>
      </c>
      <c r="BI5" s="73">
        <f t="shared" si="2"/>
        <v>3073291632.77</v>
      </c>
      <c r="BJ5" s="73">
        <f t="shared" si="49"/>
        <v>417361947.81</v>
      </c>
      <c r="BK5" s="73">
        <f t="shared" si="50"/>
        <v>99809173.13</v>
      </c>
      <c r="BL5" s="73">
        <f t="shared" si="51"/>
        <v>-17573160.58</v>
      </c>
      <c r="BM5" s="73">
        <f t="shared" si="52"/>
        <v>1017427.61</v>
      </c>
      <c r="BN5" s="73">
        <f t="shared" si="53"/>
        <v>500615387.97</v>
      </c>
      <c r="BO5" s="74">
        <f t="shared" si="54"/>
        <v>0.213865679761957</v>
      </c>
      <c r="BP5" s="51">
        <f t="shared" si="55"/>
        <v>0.167659829457157</v>
      </c>
      <c r="BQ5" s="51">
        <f t="shared" si="56"/>
        <v>-0.79603699324459</v>
      </c>
      <c r="BR5" s="74">
        <f t="shared" si="57"/>
        <v>0.269271234349405</v>
      </c>
      <c r="BS5" s="74">
        <f t="shared" si="58"/>
        <v>0.194589346009574</v>
      </c>
      <c r="BT5" s="73">
        <f t="shared" si="3"/>
        <v>2475083458.08</v>
      </c>
      <c r="BU5" s="73">
        <f t="shared" si="4"/>
        <v>1432803127.71</v>
      </c>
      <c r="BV5" s="73">
        <f t="shared" si="5"/>
        <v>4288061.34</v>
      </c>
      <c r="BW5" s="73">
        <f t="shared" si="6"/>
        <v>1739595.31</v>
      </c>
      <c r="BX5" s="73">
        <f t="shared" si="59"/>
        <v>3913914242.44</v>
      </c>
      <c r="BY5" s="73">
        <f t="shared" si="60"/>
        <v>356519561.22</v>
      </c>
      <c r="BZ5" s="73">
        <f t="shared" si="61"/>
        <v>109055529.31</v>
      </c>
      <c r="CA5" s="73">
        <f t="shared" si="62"/>
        <v>-284080.62</v>
      </c>
      <c r="CB5" s="73">
        <f t="shared" si="63"/>
        <v>366712.66</v>
      </c>
      <c r="CC5" s="73">
        <f t="shared" si="64"/>
        <v>465657722.57</v>
      </c>
      <c r="CD5" s="74">
        <f t="shared" si="65"/>
        <v>0.16828360086208</v>
      </c>
      <c r="CE5" s="51">
        <f t="shared" si="66"/>
        <v>0.0823839298683633</v>
      </c>
      <c r="CF5" s="51">
        <f t="shared" si="67"/>
        <v>-0.0621329395467852</v>
      </c>
      <c r="CG5" s="51">
        <f t="shared" si="68"/>
        <v>0.26711143884002</v>
      </c>
      <c r="CH5" s="74">
        <f t="shared" si="69"/>
        <v>0.135041497025156</v>
      </c>
      <c r="CI5" s="73"/>
      <c r="CJ5" s="73"/>
      <c r="CK5" s="73"/>
      <c r="CL5" s="73"/>
      <c r="CM5" s="73">
        <v>93497086.3</v>
      </c>
      <c r="CN5" s="73">
        <v>132677788.41</v>
      </c>
      <c r="CO5" s="73"/>
      <c r="CP5" s="73"/>
      <c r="CQ5" s="73"/>
      <c r="CR5" s="73">
        <v>137289.1</v>
      </c>
      <c r="CS5" s="73"/>
      <c r="CT5" s="73"/>
      <c r="CU5" s="73"/>
      <c r="CV5" s="73">
        <v>1067240.78</v>
      </c>
      <c r="CW5" s="73"/>
      <c r="CX5" s="73">
        <v>17598989.86</v>
      </c>
      <c r="CY5" s="73"/>
      <c r="CZ5" s="73"/>
      <c r="DA5" s="73"/>
      <c r="DB5" s="73">
        <v>25080889.63</v>
      </c>
      <c r="DC5" s="73"/>
      <c r="DD5" s="73"/>
      <c r="DE5" s="73"/>
      <c r="DF5" s="73">
        <v>98744545.9</v>
      </c>
      <c r="DG5" s="73">
        <f t="shared" si="7"/>
        <v>368803829.98</v>
      </c>
      <c r="DH5" s="73">
        <v>10190361014.39</v>
      </c>
      <c r="DI5" s="73">
        <v>975193045.33</v>
      </c>
      <c r="DJ5" s="73">
        <v>308566978.69</v>
      </c>
      <c r="DK5" s="73">
        <v>743750329.38</v>
      </c>
      <c r="DL5" s="73">
        <f t="shared" si="8"/>
        <v>12217871367.79</v>
      </c>
      <c r="DM5" s="73">
        <f t="shared" si="70"/>
        <v>1400543903.64</v>
      </c>
      <c r="DN5" s="73">
        <f t="shared" si="71"/>
        <v>111314576.66</v>
      </c>
      <c r="DO5" s="73">
        <f t="shared" si="72"/>
        <v>61474373.23</v>
      </c>
      <c r="DP5" s="73">
        <f t="shared" si="73"/>
        <v>238101138.98</v>
      </c>
      <c r="DQ5" s="73">
        <f t="shared" si="74"/>
        <v>1811433992.51</v>
      </c>
      <c r="DR5" s="74">
        <f t="shared" si="75"/>
        <v>0.159337092682751</v>
      </c>
      <c r="DS5" s="51">
        <f t="shared" si="76"/>
        <v>0.128854440406851</v>
      </c>
      <c r="DT5" s="74">
        <f t="shared" si="77"/>
        <v>0.248790825267944</v>
      </c>
      <c r="DU5" s="74">
        <f t="shared" si="78"/>
        <v>0.470882072987494</v>
      </c>
      <c r="DV5" s="74">
        <f t="shared" si="79"/>
        <v>0.174068600731022</v>
      </c>
      <c r="DW5" s="51">
        <f t="shared" si="80"/>
        <v>0.161387609407752</v>
      </c>
      <c r="DX5" s="51">
        <f t="shared" si="9"/>
        <v>0.161357059456302</v>
      </c>
      <c r="DY5" s="59">
        <v>13043396033.15</v>
      </c>
      <c r="DZ5" s="51">
        <f t="shared" si="10"/>
        <v>0.572282738553911</v>
      </c>
      <c r="EA5" s="59">
        <v>6863724532.39</v>
      </c>
      <c r="EB5" s="51">
        <f>EA5/G5</f>
        <v>0.520737037690575</v>
      </c>
      <c r="EC5" s="51">
        <f t="shared" si="81"/>
        <v>0.52622219818717</v>
      </c>
      <c r="ED5" s="51"/>
      <c r="EE5" s="51"/>
      <c r="EF5" s="51"/>
      <c r="EG5" s="51"/>
      <c r="EH5" s="90">
        <v>2453261</v>
      </c>
      <c r="EI5" s="90">
        <v>2379225</v>
      </c>
      <c r="EJ5" s="49">
        <f t="shared" si="11"/>
        <v>5316.75840163358</v>
      </c>
      <c r="EK5" s="51">
        <f t="shared" si="12"/>
        <v>-0.00724148884819736</v>
      </c>
      <c r="EL5" s="51">
        <f t="shared" si="13"/>
        <v>0.129855547700576</v>
      </c>
      <c r="EM5" s="49">
        <v>102923</v>
      </c>
      <c r="EN5" s="51">
        <f t="shared" si="14"/>
        <v>0.041953546728212</v>
      </c>
      <c r="EO5" s="59">
        <v>4112934207.41</v>
      </c>
      <c r="EP5" s="51">
        <f t="shared" si="15"/>
        <v>0.180456166915927</v>
      </c>
      <c r="EQ5" s="60">
        <v>2658576139.02</v>
      </c>
      <c r="ER5" s="51">
        <f>EQ5/G5</f>
        <v>0.201700848653677</v>
      </c>
      <c r="ES5" s="51">
        <f t="shared" si="82"/>
        <v>0.646394035243798</v>
      </c>
      <c r="ET5" s="51"/>
      <c r="EU5" s="51"/>
      <c r="EV5" s="51"/>
      <c r="EW5" s="51"/>
      <c r="EX5" s="90">
        <v>862525</v>
      </c>
      <c r="EY5" s="93">
        <v>842561</v>
      </c>
      <c r="EZ5" s="49">
        <f t="shared" si="16"/>
        <v>4768.4811540651</v>
      </c>
      <c r="FA5" s="51">
        <f t="shared" si="17"/>
        <v>0.0271498205943616</v>
      </c>
      <c r="FB5" s="51">
        <f t="shared" si="18"/>
        <v>0.147398905446428</v>
      </c>
      <c r="FC5" s="59"/>
      <c r="FD5" s="59">
        <v>2524151981.16</v>
      </c>
      <c r="FE5" s="51">
        <f t="shared" si="19"/>
        <v>0.110747891471917</v>
      </c>
      <c r="FF5" s="60">
        <v>1408593828.13</v>
      </c>
      <c r="FG5" s="51">
        <f>FF5/G5</f>
        <v>0.106867193446971</v>
      </c>
      <c r="FH5" s="51">
        <f t="shared" si="83"/>
        <v>0.558046361171432</v>
      </c>
      <c r="FI5" s="93">
        <v>294278</v>
      </c>
      <c r="FJ5" s="93"/>
      <c r="FK5" s="60">
        <f t="shared" si="20"/>
        <v>8577.440315484</v>
      </c>
      <c r="FL5" s="51">
        <f t="shared" si="21"/>
        <v>0.00216407295861967</v>
      </c>
      <c r="FM5" s="51">
        <f t="shared" si="22"/>
        <v>0.0991760232476487</v>
      </c>
      <c r="FN5" s="14"/>
    </row>
    <row r="6" spans="1:170">
      <c r="A6" s="13">
        <v>2019</v>
      </c>
      <c r="B6" s="13"/>
      <c r="C6" s="60">
        <v>19796889800.07</v>
      </c>
      <c r="D6" s="51">
        <f t="shared" si="23"/>
        <v>0.162166116197159</v>
      </c>
      <c r="E6" s="60">
        <v>13751478014.86</v>
      </c>
      <c r="F6" s="51">
        <f t="shared" si="0"/>
        <v>0.133581076724858</v>
      </c>
      <c r="G6" s="59">
        <v>10800720678.76</v>
      </c>
      <c r="H6" s="59">
        <v>203349591.81</v>
      </c>
      <c r="I6" s="49">
        <v>2162819226.68</v>
      </c>
      <c r="J6" s="59">
        <v>289903386.14</v>
      </c>
      <c r="K6" s="59">
        <v>587425290.51</v>
      </c>
      <c r="L6" s="59">
        <v>-292740159.04</v>
      </c>
      <c r="M6" s="59">
        <v>6379439840.25</v>
      </c>
      <c r="N6" s="59">
        <v>6377198678.77</v>
      </c>
      <c r="O6" s="59">
        <v>1020956084.25</v>
      </c>
      <c r="P6" s="59">
        <v>5356242594.52</v>
      </c>
      <c r="Q6" s="51">
        <f t="shared" si="24"/>
        <v>0.226618472154364</v>
      </c>
      <c r="R6" s="59">
        <v>472599948.68</v>
      </c>
      <c r="S6" s="59">
        <v>703976.81</v>
      </c>
      <c r="T6" s="59"/>
      <c r="U6" s="59">
        <v>5272757.31</v>
      </c>
      <c r="V6" s="59">
        <v>28985.8</v>
      </c>
      <c r="W6" s="59">
        <f t="shared" si="25"/>
        <v>478605668.6</v>
      </c>
      <c r="X6" s="59">
        <v>582632086.23</v>
      </c>
      <c r="Y6" s="59">
        <v>10900107500</v>
      </c>
      <c r="Z6" s="59"/>
      <c r="AA6" s="51"/>
      <c r="AB6" s="73">
        <f t="shared" si="26"/>
        <v>582632086.23</v>
      </c>
      <c r="AC6" s="59">
        <f t="shared" si="27"/>
        <v>5834848263.12</v>
      </c>
      <c r="AD6" s="73">
        <f t="shared" si="28"/>
        <v>5834848263.12</v>
      </c>
      <c r="AE6" s="51">
        <f t="shared" si="1"/>
        <v>0.213157170001774</v>
      </c>
      <c r="AF6" s="76"/>
      <c r="AG6" s="76">
        <f t="shared" si="29"/>
        <v>0.694628204416806</v>
      </c>
      <c r="AH6" s="51">
        <f t="shared" si="30"/>
        <v>0.545576642989739</v>
      </c>
      <c r="AI6" s="51">
        <f t="shared" si="31"/>
        <v>0.0102717949063535</v>
      </c>
      <c r="AJ6" s="51">
        <f t="shared" si="32"/>
        <v>0.109250455426203</v>
      </c>
      <c r="AK6" s="51">
        <f t="shared" si="33"/>
        <v>0.0146438854318912</v>
      </c>
      <c r="AL6" s="51">
        <f t="shared" si="34"/>
        <v>0.0296726049618119</v>
      </c>
      <c r="AM6" s="51">
        <f t="shared" si="35"/>
        <v>0.322244549758894</v>
      </c>
      <c r="AN6" s="51">
        <f t="shared" si="36"/>
        <v>0.322131342002391</v>
      </c>
      <c r="AO6" s="51">
        <f t="shared" si="37"/>
        <v>0.270559802504991</v>
      </c>
      <c r="AP6" s="73">
        <v>4070078269.22</v>
      </c>
      <c r="AQ6" s="73">
        <v>1919055212.95</v>
      </c>
      <c r="AR6" s="73">
        <v>26647950.91</v>
      </c>
      <c r="AS6" s="77">
        <v>5151331.59</v>
      </c>
      <c r="AT6" s="73">
        <f t="shared" si="38"/>
        <v>6020932764.67</v>
      </c>
      <c r="AU6" s="73">
        <f t="shared" si="39"/>
        <v>-93769728.2400002</v>
      </c>
      <c r="AV6" s="73">
        <f t="shared" si="40"/>
        <v>6353162.42000008</v>
      </c>
      <c r="AW6" s="73">
        <f t="shared" si="41"/>
        <v>-7987987.87</v>
      </c>
      <c r="AX6" s="73">
        <f t="shared" si="42"/>
        <v>499418.3</v>
      </c>
      <c r="AY6" s="73">
        <f t="shared" si="43"/>
        <v>-94905135.3899994</v>
      </c>
      <c r="AZ6" s="51">
        <f t="shared" si="44"/>
        <v>-0.022519969100025</v>
      </c>
      <c r="BA6" s="51">
        <f t="shared" si="45"/>
        <v>0.00332156407645386</v>
      </c>
      <c r="BB6" s="51">
        <f t="shared" si="46"/>
        <v>-0.23062715062346</v>
      </c>
      <c r="BC6" s="51">
        <f t="shared" si="47"/>
        <v>0.107357611560296</v>
      </c>
      <c r="BD6" s="51">
        <f t="shared" si="48"/>
        <v>-0.0155179285227734</v>
      </c>
      <c r="BE6" s="73">
        <v>1951514372.36</v>
      </c>
      <c r="BF6" s="73">
        <v>595307614.55</v>
      </c>
      <c r="BG6" s="73">
        <v>22075808.95</v>
      </c>
      <c r="BH6" s="73">
        <v>3778448.94</v>
      </c>
      <c r="BI6" s="73">
        <f t="shared" si="2"/>
        <v>2572676244.8</v>
      </c>
      <c r="BJ6" s="73">
        <f t="shared" si="49"/>
        <v>116956544.48</v>
      </c>
      <c r="BK6" s="73">
        <f t="shared" si="50"/>
        <v>90471621.8799999</v>
      </c>
      <c r="BL6" s="73">
        <f t="shared" si="51"/>
        <v>-5487526.68</v>
      </c>
      <c r="BM6" s="73">
        <f t="shared" si="52"/>
        <v>401958.87</v>
      </c>
      <c r="BN6" s="73">
        <f t="shared" si="53"/>
        <v>202342598.55</v>
      </c>
      <c r="BO6" s="51">
        <f t="shared" si="54"/>
        <v>0.0637518985243184</v>
      </c>
      <c r="BP6" s="51">
        <f t="shared" si="55"/>
        <v>0.17920992796395</v>
      </c>
      <c r="BQ6" s="51">
        <f t="shared" si="56"/>
        <v>-0.199087902627698</v>
      </c>
      <c r="BR6" s="51">
        <f t="shared" si="57"/>
        <v>0.119046365209657</v>
      </c>
      <c r="BS6" s="51">
        <f t="shared" si="58"/>
        <v>0.0853646063161266</v>
      </c>
      <c r="BT6" s="73">
        <f t="shared" si="3"/>
        <v>2118563896.86</v>
      </c>
      <c r="BU6" s="73">
        <f t="shared" si="4"/>
        <v>1323747598.4</v>
      </c>
      <c r="BV6" s="73">
        <f t="shared" si="5"/>
        <v>4572141.96</v>
      </c>
      <c r="BW6" s="73">
        <f t="shared" si="6"/>
        <v>1372882.65</v>
      </c>
      <c r="BX6" s="73">
        <f t="shared" si="59"/>
        <v>3448256519.87</v>
      </c>
      <c r="BY6" s="73">
        <f t="shared" si="60"/>
        <v>-210726272.72</v>
      </c>
      <c r="BZ6" s="73">
        <f t="shared" si="61"/>
        <v>-84118459.4599998</v>
      </c>
      <c r="CA6" s="73">
        <f t="shared" si="62"/>
        <v>-2500461.19</v>
      </c>
      <c r="CB6" s="73">
        <f t="shared" si="63"/>
        <v>97459.4299999999</v>
      </c>
      <c r="CC6" s="73">
        <f t="shared" si="64"/>
        <v>-297247733.939999</v>
      </c>
      <c r="CD6" s="51">
        <f t="shared" si="65"/>
        <v>-0.0904680213191286</v>
      </c>
      <c r="CE6" s="51">
        <f t="shared" si="66"/>
        <v>-0.0597489079237143</v>
      </c>
      <c r="CF6" s="51">
        <f t="shared" si="67"/>
        <v>-0.353541848308002</v>
      </c>
      <c r="CG6" s="51">
        <f t="shared" si="68"/>
        <v>0.0764134041718324</v>
      </c>
      <c r="CH6" s="51">
        <f t="shared" si="69"/>
        <v>-0.079361205807638</v>
      </c>
      <c r="CI6" s="73"/>
      <c r="CJ6" s="73"/>
      <c r="CK6" s="73">
        <v>32102540.35</v>
      </c>
      <c r="CL6" s="73"/>
      <c r="CM6" s="73">
        <v>172059841.54</v>
      </c>
      <c r="CN6" s="73"/>
      <c r="CO6" s="73"/>
      <c r="CP6" s="73"/>
      <c r="CQ6" s="73">
        <v>3686073.84</v>
      </c>
      <c r="CR6" s="73">
        <v>101755208.49</v>
      </c>
      <c r="CS6" s="73">
        <v>5335559.06</v>
      </c>
      <c r="CT6" s="73"/>
      <c r="CU6" s="73"/>
      <c r="CV6" s="73">
        <v>79949056.74</v>
      </c>
      <c r="CW6" s="73"/>
      <c r="CX6" s="73">
        <v>11978404.25</v>
      </c>
      <c r="CY6" s="73"/>
      <c r="CZ6" s="73"/>
      <c r="DA6" s="73">
        <v>12463686.57</v>
      </c>
      <c r="DB6" s="73"/>
      <c r="DC6" s="73"/>
      <c r="DD6" s="73"/>
      <c r="DE6" s="73"/>
      <c r="DF6" s="73">
        <v>74185058.69</v>
      </c>
      <c r="DG6" s="73">
        <f t="shared" si="7"/>
        <v>493515429.53</v>
      </c>
      <c r="DH6" s="73">
        <v>8789817110.75</v>
      </c>
      <c r="DI6" s="73">
        <v>863878468.67</v>
      </c>
      <c r="DJ6" s="73">
        <v>247092605.46</v>
      </c>
      <c r="DK6" s="73">
        <v>505649190.4</v>
      </c>
      <c r="DL6" s="73">
        <f t="shared" si="8"/>
        <v>10406437375.28</v>
      </c>
      <c r="DM6" s="73">
        <f t="shared" si="70"/>
        <v>1385897135.74</v>
      </c>
      <c r="DN6" s="73">
        <f t="shared" si="71"/>
        <v>24900460.15</v>
      </c>
      <c r="DO6" s="73">
        <f t="shared" si="72"/>
        <v>20284221.28</v>
      </c>
      <c r="DP6" s="73">
        <f t="shared" si="73"/>
        <v>505649190.4</v>
      </c>
      <c r="DQ6" s="73">
        <f t="shared" si="74"/>
        <v>1936731007.57</v>
      </c>
      <c r="DR6" s="74">
        <f t="shared" si="75"/>
        <v>0.187184240296726</v>
      </c>
      <c r="DS6" s="51">
        <f t="shared" si="76"/>
        <v>0.0296795147156785</v>
      </c>
      <c r="DT6" s="51">
        <f t="shared" si="77"/>
        <v>0.0894332956576332</v>
      </c>
      <c r="DU6" s="51" t="e">
        <f t="shared" si="78"/>
        <v>#DIV/0!</v>
      </c>
      <c r="DV6" s="74">
        <f t="shared" si="79"/>
        <v>0.22866566129773</v>
      </c>
      <c r="DW6" s="51">
        <f t="shared" si="80"/>
        <v>0.160094758792573</v>
      </c>
      <c r="DX6" s="51">
        <f t="shared" si="9"/>
        <v>0.160038515891074</v>
      </c>
      <c r="DY6" s="59">
        <v>11628511840.07</v>
      </c>
      <c r="DZ6" s="51">
        <f t="shared" si="10"/>
        <v>0.587390845607924</v>
      </c>
      <c r="EA6" s="59">
        <v>5770628180.96</v>
      </c>
      <c r="EB6" s="51">
        <f>EA6/G6</f>
        <v>0.534281771799556</v>
      </c>
      <c r="EC6" s="51">
        <f t="shared" si="81"/>
        <v>0.496248209601106</v>
      </c>
      <c r="ED6" s="51"/>
      <c r="EE6" s="51"/>
      <c r="EF6" s="51"/>
      <c r="EG6" s="51"/>
      <c r="EH6" s="90">
        <v>2171305</v>
      </c>
      <c r="EI6" s="90">
        <v>2241720</v>
      </c>
      <c r="EJ6" s="49">
        <f t="shared" si="11"/>
        <v>5355.54048835608</v>
      </c>
      <c r="EK6" s="51">
        <f t="shared" si="12"/>
        <v>-0.0174695064205632</v>
      </c>
      <c r="EL6" s="51">
        <f t="shared" si="13"/>
        <v>0.156205919517859</v>
      </c>
      <c r="EM6" s="49">
        <v>176959</v>
      </c>
      <c r="EN6" s="51">
        <f t="shared" si="14"/>
        <v>0.0814989142474226</v>
      </c>
      <c r="EO6" s="59">
        <v>3489824092.09</v>
      </c>
      <c r="EP6" s="51">
        <f t="shared" si="15"/>
        <v>0.176281432453984</v>
      </c>
      <c r="EQ6" s="60">
        <v>2165083033.79</v>
      </c>
      <c r="ER6" s="51">
        <f>EQ6/G6</f>
        <v>0.200457274860159</v>
      </c>
      <c r="ES6" s="51">
        <f t="shared" si="82"/>
        <v>0.620398901680275</v>
      </c>
      <c r="ET6" s="51"/>
      <c r="EU6" s="51"/>
      <c r="EV6" s="51"/>
      <c r="EW6" s="51"/>
      <c r="EX6" s="90">
        <v>751722</v>
      </c>
      <c r="EY6" s="93">
        <v>762515</v>
      </c>
      <c r="EZ6" s="49">
        <f t="shared" si="16"/>
        <v>4642.4397477924</v>
      </c>
      <c r="FA6" s="51">
        <f t="shared" si="17"/>
        <v>-0.0175430802695542</v>
      </c>
      <c r="FB6" s="51">
        <f t="shared" si="18"/>
        <v>0.243913820492454</v>
      </c>
      <c r="FC6" s="59"/>
      <c r="FD6" s="59">
        <v>2291444931.89</v>
      </c>
      <c r="FE6" s="51">
        <f t="shared" si="19"/>
        <v>0.115747723760219</v>
      </c>
      <c r="FF6" s="60">
        <v>1201739958.17</v>
      </c>
      <c r="FG6" s="51">
        <f>FF6/G6</f>
        <v>0.111264793703374</v>
      </c>
      <c r="FH6" s="51">
        <f t="shared" si="83"/>
        <v>0.524446361963757</v>
      </c>
      <c r="FI6" s="93">
        <v>267726</v>
      </c>
      <c r="FJ6" s="93"/>
      <c r="FK6" s="60">
        <f t="shared" si="20"/>
        <v>8558.9181920695</v>
      </c>
      <c r="FL6" s="51">
        <f t="shared" si="21"/>
        <v>-0.0250839145992827</v>
      </c>
      <c r="FM6" s="51">
        <f t="shared" si="22"/>
        <v>0.123351012050619</v>
      </c>
      <c r="FN6" s="14"/>
    </row>
    <row r="7" spans="1:170">
      <c r="A7" s="13">
        <v>2018</v>
      </c>
      <c r="B7" s="13"/>
      <c r="C7" s="60">
        <v>17034475127.23</v>
      </c>
      <c r="D7" s="51">
        <f t="shared" si="23"/>
        <v>0.168000000000082</v>
      </c>
      <c r="E7" s="60">
        <v>12131005269.24</v>
      </c>
      <c r="F7" s="51">
        <f t="shared" si="0"/>
        <v>0.148649743587351</v>
      </c>
      <c r="G7" s="59">
        <v>9119051026.25</v>
      </c>
      <c r="H7" s="59">
        <v>189988335.01</v>
      </c>
      <c r="I7" s="49">
        <v>2236019583.2</v>
      </c>
      <c r="J7" s="59">
        <v>245553857.78</v>
      </c>
      <c r="K7" s="59">
        <v>493014354.7</v>
      </c>
      <c r="L7" s="59">
        <v>-152621887.7</v>
      </c>
      <c r="M7" s="59">
        <v>5241005851.75</v>
      </c>
      <c r="N7" s="59">
        <v>5222806355.86</v>
      </c>
      <c r="O7" s="59">
        <v>856132678.5</v>
      </c>
      <c r="P7" s="59">
        <v>4366673677.36</v>
      </c>
      <c r="Q7" s="51">
        <f t="shared" si="24"/>
        <v>0.236500047209247</v>
      </c>
      <c r="R7" s="59">
        <v>436284025.86</v>
      </c>
      <c r="S7" s="59">
        <v>680310.3</v>
      </c>
      <c r="T7" s="59"/>
      <c r="U7" s="59">
        <v>6001172.07</v>
      </c>
      <c r="V7" s="59"/>
      <c r="W7" s="59">
        <f t="shared" si="25"/>
        <v>442965508.23</v>
      </c>
      <c r="X7" s="59">
        <v>223924954.49</v>
      </c>
      <c r="Y7" s="59">
        <v>16155500000</v>
      </c>
      <c r="Z7" s="59">
        <v>13271000</v>
      </c>
      <c r="AA7" s="51"/>
      <c r="AB7" s="73">
        <f t="shared" si="26"/>
        <v>237195954.49</v>
      </c>
      <c r="AC7" s="59">
        <f t="shared" si="27"/>
        <v>4809639185.59</v>
      </c>
      <c r="AD7" s="73">
        <f t="shared" si="28"/>
        <v>4809639185.59</v>
      </c>
      <c r="AE7" s="51">
        <f t="shared" si="1"/>
        <v>0.210451134701109</v>
      </c>
      <c r="AF7" s="76"/>
      <c r="AG7" s="76">
        <f t="shared" si="29"/>
        <v>0.712144353062473</v>
      </c>
      <c r="AH7" s="51">
        <f t="shared" si="30"/>
        <v>0.535329146224939</v>
      </c>
      <c r="AI7" s="51">
        <f t="shared" si="31"/>
        <v>0.0111531663635646</v>
      </c>
      <c r="AJ7" s="51">
        <f t="shared" si="32"/>
        <v>0.131264366321782</v>
      </c>
      <c r="AK7" s="51">
        <f t="shared" si="33"/>
        <v>0.0144151114692977</v>
      </c>
      <c r="AL7" s="51">
        <f t="shared" si="34"/>
        <v>0.0289421511973624</v>
      </c>
      <c r="AM7" s="51">
        <f t="shared" si="35"/>
        <v>0.307670521844969</v>
      </c>
      <c r="AN7" s="51">
        <f t="shared" si="36"/>
        <v>0.306602129907204</v>
      </c>
      <c r="AO7" s="51">
        <f t="shared" si="37"/>
        <v>0.256343306426846</v>
      </c>
      <c r="AP7" s="59">
        <v>4163847997.46</v>
      </c>
      <c r="AQ7" s="59">
        <v>1912702050.53</v>
      </c>
      <c r="AR7" s="59">
        <v>34635938.78</v>
      </c>
      <c r="AS7" s="55">
        <v>4651913.29</v>
      </c>
      <c r="AT7" s="73">
        <f t="shared" si="38"/>
        <v>6115837900.06</v>
      </c>
      <c r="AU7" s="73">
        <f t="shared" si="39"/>
        <v>-42847560.2399998</v>
      </c>
      <c r="AV7" s="73">
        <f t="shared" si="40"/>
        <v>276758905.79</v>
      </c>
      <c r="AW7" s="73">
        <f t="shared" si="41"/>
        <v>-34229171.38</v>
      </c>
      <c r="AX7" s="73">
        <f t="shared" si="42"/>
        <v>-2747458.42</v>
      </c>
      <c r="AY7" s="73">
        <f t="shared" si="43"/>
        <v>196934715.75</v>
      </c>
      <c r="AZ7" s="51">
        <f t="shared" si="44"/>
        <v>-0.0101855624331005</v>
      </c>
      <c r="BA7" s="74">
        <f t="shared" si="45"/>
        <v>0.169173914558006</v>
      </c>
      <c r="BB7" s="51">
        <f t="shared" si="46"/>
        <v>-0.497046636540224</v>
      </c>
      <c r="BC7" s="51">
        <f t="shared" si="47"/>
        <v>-0.371309690562903</v>
      </c>
      <c r="BD7" s="51">
        <f t="shared" si="48"/>
        <v>0.0332721637130407</v>
      </c>
      <c r="BE7" s="73">
        <v>1834557827.88</v>
      </c>
      <c r="BF7" s="73">
        <v>504835992.67</v>
      </c>
      <c r="BG7" s="73">
        <v>27563335.63</v>
      </c>
      <c r="BH7" s="73">
        <v>3376490.07</v>
      </c>
      <c r="BI7" s="73">
        <f t="shared" si="2"/>
        <v>2370333646.25</v>
      </c>
      <c r="BJ7" s="73">
        <f t="shared" si="49"/>
        <v>50851976.4100001</v>
      </c>
      <c r="BK7" s="73">
        <f t="shared" si="50"/>
        <v>81265008.6</v>
      </c>
      <c r="BL7" s="73">
        <f t="shared" si="51"/>
        <v>-28162860.57</v>
      </c>
      <c r="BM7" s="73">
        <f t="shared" si="52"/>
        <v>-2876882.27</v>
      </c>
      <c r="BN7" s="73">
        <f t="shared" si="53"/>
        <v>101077242.17</v>
      </c>
      <c r="BO7" s="51">
        <f t="shared" si="54"/>
        <v>0.0285091717157802</v>
      </c>
      <c r="BP7" s="74">
        <f t="shared" si="55"/>
        <v>0.191856882686209</v>
      </c>
      <c r="BQ7" s="51">
        <f t="shared" si="56"/>
        <v>-0.505379202070857</v>
      </c>
      <c r="BR7" s="51">
        <f t="shared" si="57"/>
        <v>-0.460052930416103</v>
      </c>
      <c r="BS7" s="51">
        <f t="shared" si="58"/>
        <v>0.0445420103203273</v>
      </c>
      <c r="BT7" s="73">
        <f t="shared" si="3"/>
        <v>2329290169.58</v>
      </c>
      <c r="BU7" s="73">
        <f t="shared" si="4"/>
        <v>1407866057.86</v>
      </c>
      <c r="BV7" s="73">
        <f t="shared" si="5"/>
        <v>7072603.15</v>
      </c>
      <c r="BW7" s="73">
        <f t="shared" si="6"/>
        <v>1275423.22</v>
      </c>
      <c r="BX7" s="73">
        <f t="shared" si="59"/>
        <v>3745504253.81</v>
      </c>
      <c r="BY7" s="73">
        <f t="shared" si="60"/>
        <v>-93699536.6500001</v>
      </c>
      <c r="BZ7" s="73">
        <f t="shared" si="61"/>
        <v>195493897.19</v>
      </c>
      <c r="CA7" s="73">
        <f t="shared" si="62"/>
        <v>-6066310.81</v>
      </c>
      <c r="CB7" s="73">
        <f t="shared" si="63"/>
        <v>129423.85</v>
      </c>
      <c r="CC7" s="73">
        <f t="shared" si="64"/>
        <v>95857473.5799994</v>
      </c>
      <c r="CD7" s="51">
        <f t="shared" si="65"/>
        <v>-0.0386710419813504</v>
      </c>
      <c r="CE7" s="51">
        <f t="shared" si="66"/>
        <v>0.161249081372805</v>
      </c>
      <c r="CF7" s="51">
        <f t="shared" si="67"/>
        <v>-0.461705649985092</v>
      </c>
      <c r="CG7" s="51">
        <f t="shared" si="68"/>
        <v>0.112935358769002</v>
      </c>
      <c r="CH7" s="51">
        <f t="shared" si="69"/>
        <v>0.0262648632462889</v>
      </c>
      <c r="CI7" s="73">
        <v>13386836.86</v>
      </c>
      <c r="CJ7" s="73">
        <v>47606356.63</v>
      </c>
      <c r="CK7" s="73">
        <v>30582461.87</v>
      </c>
      <c r="CL7" s="73"/>
      <c r="CM7" s="73"/>
      <c r="CN7" s="73"/>
      <c r="CO7" s="73"/>
      <c r="CP7" s="73"/>
      <c r="CQ7" s="73">
        <v>17272.73</v>
      </c>
      <c r="CR7" s="73">
        <v>72401570.28</v>
      </c>
      <c r="CS7" s="73">
        <v>1855810.61</v>
      </c>
      <c r="CT7" s="73"/>
      <c r="CU7" s="73"/>
      <c r="CV7" s="73"/>
      <c r="CW7" s="73"/>
      <c r="CX7" s="73"/>
      <c r="CY7" s="73"/>
      <c r="CZ7" s="73"/>
      <c r="DA7" s="73"/>
      <c r="DB7" s="73"/>
      <c r="DC7" s="73">
        <v>18354302.31</v>
      </c>
      <c r="DD7" s="73"/>
      <c r="DE7" s="73"/>
      <c r="DF7" s="73">
        <v>68098015.22</v>
      </c>
      <c r="DG7" s="73">
        <f t="shared" si="7"/>
        <v>252302626.51</v>
      </c>
      <c r="DH7" s="73">
        <v>7403919975.01</v>
      </c>
      <c r="DI7" s="73">
        <v>838978008.52</v>
      </c>
      <c r="DJ7" s="73">
        <v>226808384.18</v>
      </c>
      <c r="DK7" s="73"/>
      <c r="DL7" s="73">
        <f t="shared" si="8"/>
        <v>8469706367.71</v>
      </c>
      <c r="DM7" s="73">
        <f t="shared" si="70"/>
        <v>825505348.38</v>
      </c>
      <c r="DN7" s="73">
        <f t="shared" si="71"/>
        <v>101392070.3</v>
      </c>
      <c r="DO7" s="73">
        <f t="shared" si="72"/>
        <v>47379851.95</v>
      </c>
      <c r="DP7" s="73">
        <f t="shared" si="73"/>
        <v>0</v>
      </c>
      <c r="DQ7" s="73">
        <f t="shared" si="74"/>
        <v>974277270.63</v>
      </c>
      <c r="DR7" s="51">
        <f t="shared" si="75"/>
        <v>0.125486974481402</v>
      </c>
      <c r="DS7" s="51">
        <f t="shared" si="76"/>
        <v>0.137464755015107</v>
      </c>
      <c r="DT7" s="74">
        <f t="shared" si="77"/>
        <v>0.264059742122096</v>
      </c>
      <c r="DU7" s="51" t="e">
        <f t="shared" si="78"/>
        <v>#DIV/0!</v>
      </c>
      <c r="DV7" s="51">
        <f t="shared" si="79"/>
        <v>0.12998285461863</v>
      </c>
      <c r="DW7" s="51">
        <f t="shared" si="80"/>
        <v>0.163921964585077</v>
      </c>
      <c r="DX7" s="51">
        <f t="shared" si="9"/>
        <v>0.163352742339361</v>
      </c>
      <c r="DY7" s="59">
        <v>10236297819.37</v>
      </c>
      <c r="DZ7" s="51">
        <f t="shared" si="10"/>
        <v>0.600916537957019</v>
      </c>
      <c r="EA7" s="59">
        <v>5062172624.6</v>
      </c>
      <c r="EB7" s="51">
        <f>EA7/G7</f>
        <v>0.55512055037614</v>
      </c>
      <c r="EC7" s="51">
        <f t="shared" si="81"/>
        <v>0.494531588854412</v>
      </c>
      <c r="ED7" s="51"/>
      <c r="EE7" s="51"/>
      <c r="EF7" s="51"/>
      <c r="EG7" s="51"/>
      <c r="EH7" s="90">
        <v>1877957</v>
      </c>
      <c r="EI7" s="90">
        <v>1915722</v>
      </c>
      <c r="EJ7" s="49">
        <f t="shared" si="11"/>
        <v>5450.76262095991</v>
      </c>
      <c r="EK7" s="51">
        <f t="shared" si="12"/>
        <v>0.00935729187302478</v>
      </c>
      <c r="EL7" s="51">
        <f t="shared" si="13"/>
        <v>0.147755164405329</v>
      </c>
      <c r="EM7" s="49">
        <v>106544</v>
      </c>
      <c r="EN7" s="51">
        <f t="shared" si="14"/>
        <v>0.0567339933768452</v>
      </c>
      <c r="EO7" s="59">
        <v>2855615479.97</v>
      </c>
      <c r="EP7" s="51">
        <f t="shared" si="15"/>
        <v>0.16763742109114</v>
      </c>
      <c r="EQ7" s="60">
        <v>1687085668.33</v>
      </c>
      <c r="ER7" s="51">
        <f>EQ7/G7</f>
        <v>0.185006714347093</v>
      </c>
      <c r="ES7" s="51">
        <f t="shared" si="82"/>
        <v>0.590795812728864</v>
      </c>
      <c r="ET7" s="51"/>
      <c r="EU7" s="51"/>
      <c r="EV7" s="51"/>
      <c r="EW7" s="51"/>
      <c r="EX7" s="90">
        <v>604320</v>
      </c>
      <c r="EY7" s="93">
        <v>617006</v>
      </c>
      <c r="EZ7" s="49">
        <f t="shared" si="16"/>
        <v>4725.33670897869</v>
      </c>
      <c r="FA7" s="51">
        <f t="shared" si="17"/>
        <v>0.0109431857447727</v>
      </c>
      <c r="FB7" s="51">
        <f t="shared" si="18"/>
        <v>0.246534653465347</v>
      </c>
      <c r="FC7" s="59"/>
      <c r="FD7" s="59">
        <v>2092313262.06</v>
      </c>
      <c r="FE7" s="51">
        <f t="shared" si="19"/>
        <v>0.122828161503808</v>
      </c>
      <c r="FF7" s="60">
        <v>1093337468.44</v>
      </c>
      <c r="FG7" s="51">
        <f>FF7/G7</f>
        <v>0.119895970018452</v>
      </c>
      <c r="FH7" s="51">
        <f t="shared" si="83"/>
        <v>0.52254960491124</v>
      </c>
      <c r="FI7" s="93">
        <v>238328</v>
      </c>
      <c r="FJ7" s="93"/>
      <c r="FK7" s="60">
        <f t="shared" si="20"/>
        <v>8779.13322001611</v>
      </c>
      <c r="FL7" s="51">
        <f t="shared" si="21"/>
        <v>-0.00430830674962497</v>
      </c>
      <c r="FM7" s="51">
        <f t="shared" si="22"/>
        <v>0.0299394987035436</v>
      </c>
      <c r="FN7" s="14"/>
    </row>
    <row r="8" s="52" customFormat="1" spans="1:171">
      <c r="A8" s="45">
        <v>2017</v>
      </c>
      <c r="B8" s="45"/>
      <c r="C8" s="61">
        <v>14584310896.6</v>
      </c>
      <c r="D8" s="51">
        <f t="shared" si="23"/>
        <v>0.170625829671742</v>
      </c>
      <c r="E8" s="65">
        <v>10561100402.42</v>
      </c>
      <c r="F8" s="51">
        <f t="shared" si="0"/>
        <v>0.155017702481526</v>
      </c>
      <c r="G8" s="61">
        <v>7920728043.51</v>
      </c>
      <c r="H8" s="65">
        <v>159108075.4</v>
      </c>
      <c r="I8" s="66">
        <v>1956552214.37</v>
      </c>
      <c r="J8" s="65">
        <v>606716187.95</v>
      </c>
      <c r="K8" s="65"/>
      <c r="L8" s="65">
        <v>-82004118.81</v>
      </c>
      <c r="M8" s="65">
        <v>4210824221.85</v>
      </c>
      <c r="N8" s="65">
        <v>4215288941.15</v>
      </c>
      <c r="O8" s="65">
        <v>683810161.82</v>
      </c>
      <c r="P8" s="65">
        <v>3531478779.33</v>
      </c>
      <c r="Q8" s="51">
        <f t="shared" si="24"/>
        <v>0.242107765186688</v>
      </c>
      <c r="R8" s="65">
        <v>434994090.11</v>
      </c>
      <c r="S8" s="65">
        <v>609310.85</v>
      </c>
      <c r="T8" s="65"/>
      <c r="U8" s="65">
        <v>6344790.62</v>
      </c>
      <c r="V8" s="65"/>
      <c r="W8" s="59">
        <f t="shared" si="25"/>
        <v>441948191.58</v>
      </c>
      <c r="X8" s="65">
        <v>262027920.76</v>
      </c>
      <c r="Y8" s="65">
        <v>7409000000</v>
      </c>
      <c r="Z8" s="65">
        <v>26660593.27</v>
      </c>
      <c r="AA8" s="74"/>
      <c r="AB8" s="73">
        <f t="shared" si="26"/>
        <v>288688514.03</v>
      </c>
      <c r="AC8" s="59">
        <f t="shared" si="27"/>
        <v>3973426970.91</v>
      </c>
      <c r="AD8" s="73">
        <f t="shared" si="28"/>
        <v>3973426970.91</v>
      </c>
      <c r="AE8" s="51">
        <f t="shared" si="1"/>
        <v>0.232315481315171</v>
      </c>
      <c r="AF8" s="76"/>
      <c r="AG8" s="79">
        <f t="shared" si="29"/>
        <v>0.724141200588509</v>
      </c>
      <c r="AH8" s="74">
        <f t="shared" si="30"/>
        <v>0.54309923174749</v>
      </c>
      <c r="AI8" s="74">
        <f t="shared" si="31"/>
        <v>0.010909536729438</v>
      </c>
      <c r="AJ8" s="74">
        <f t="shared" si="32"/>
        <v>0.134154587641582</v>
      </c>
      <c r="AK8" s="74">
        <f t="shared" si="33"/>
        <v>0.0416006071354007</v>
      </c>
      <c r="AL8" s="74">
        <f t="shared" si="34"/>
        <v>0</v>
      </c>
      <c r="AM8" s="51">
        <f t="shared" si="35"/>
        <v>0.288722878420787</v>
      </c>
      <c r="AN8" s="51">
        <f t="shared" si="36"/>
        <v>0.289029010080462</v>
      </c>
      <c r="AO8" s="51">
        <f t="shared" si="37"/>
        <v>0.242142313364513</v>
      </c>
      <c r="AP8" s="73">
        <v>4206695557.7</v>
      </c>
      <c r="AQ8" s="73">
        <v>1635943144.74</v>
      </c>
      <c r="AR8" s="73">
        <v>68865110.16</v>
      </c>
      <c r="AS8" s="73">
        <v>7399371.71</v>
      </c>
      <c r="AT8" s="73">
        <f t="shared" si="38"/>
        <v>5918903184.31</v>
      </c>
      <c r="AU8" s="73">
        <f t="shared" si="39"/>
        <v>105954629.89</v>
      </c>
      <c r="AV8" s="73">
        <f t="shared" si="40"/>
        <v>142113015.98</v>
      </c>
      <c r="AW8" s="73">
        <f t="shared" si="41"/>
        <v>2110646</v>
      </c>
      <c r="AX8" s="73">
        <f t="shared" si="42"/>
        <v>50548.1799999997</v>
      </c>
      <c r="AY8" s="73">
        <f t="shared" si="43"/>
        <v>250228840.05</v>
      </c>
      <c r="AZ8" s="51">
        <f t="shared" si="44"/>
        <v>0.0258379233790282</v>
      </c>
      <c r="BA8" s="51">
        <f t="shared" si="45"/>
        <v>0.0951333175332093</v>
      </c>
      <c r="BB8" s="51">
        <f t="shared" si="46"/>
        <v>0.0316180502167033</v>
      </c>
      <c r="BC8" s="51">
        <f t="shared" si="47"/>
        <v>0.00687840438590579</v>
      </c>
      <c r="BD8" s="51">
        <f t="shared" si="48"/>
        <v>0.0441423911224284</v>
      </c>
      <c r="BE8" s="80">
        <v>1783705851.47</v>
      </c>
      <c r="BF8" s="80">
        <v>423570984.07</v>
      </c>
      <c r="BG8" s="80">
        <v>55726196.2</v>
      </c>
      <c r="BH8" s="80">
        <v>6253372.34</v>
      </c>
      <c r="BI8" s="73">
        <f t="shared" si="2"/>
        <v>2269256404.08</v>
      </c>
      <c r="BJ8" s="73">
        <f t="shared" si="49"/>
        <v>351655322.19</v>
      </c>
      <c r="BK8" s="73">
        <f t="shared" si="50"/>
        <v>75130875.64</v>
      </c>
      <c r="BL8" s="73">
        <f t="shared" si="51"/>
        <v>3880738.96</v>
      </c>
      <c r="BM8" s="73">
        <f t="shared" si="52"/>
        <v>200443.97</v>
      </c>
      <c r="BN8" s="73">
        <f t="shared" si="53"/>
        <v>430867380.76</v>
      </c>
      <c r="BO8" s="74">
        <f t="shared" si="54"/>
        <v>0.245560694263214</v>
      </c>
      <c r="BP8" s="74">
        <f t="shared" si="55"/>
        <v>0.215620629836572</v>
      </c>
      <c r="BQ8" s="51">
        <f t="shared" si="56"/>
        <v>0.0748520539038841</v>
      </c>
      <c r="BR8" s="51">
        <f t="shared" si="57"/>
        <v>0.0331152060205199</v>
      </c>
      <c r="BS8" s="74">
        <f t="shared" si="58"/>
        <v>0.23437225488971</v>
      </c>
      <c r="BT8" s="73">
        <f t="shared" si="3"/>
        <v>2422989706.23</v>
      </c>
      <c r="BU8" s="73">
        <f t="shared" si="4"/>
        <v>1212372160.67</v>
      </c>
      <c r="BV8" s="73">
        <f t="shared" si="5"/>
        <v>13138913.96</v>
      </c>
      <c r="BW8" s="73">
        <f t="shared" si="6"/>
        <v>1145999.37</v>
      </c>
      <c r="BX8" s="73">
        <f t="shared" si="59"/>
        <v>3649646780.23</v>
      </c>
      <c r="BY8" s="73">
        <f t="shared" si="60"/>
        <v>-245700692.3</v>
      </c>
      <c r="BZ8" s="73">
        <f t="shared" si="61"/>
        <v>66982140.3400002</v>
      </c>
      <c r="CA8" s="73">
        <f t="shared" si="62"/>
        <v>-1770092.96</v>
      </c>
      <c r="CB8" s="73">
        <f t="shared" si="63"/>
        <v>-149895.79</v>
      </c>
      <c r="CC8" s="73">
        <f t="shared" si="64"/>
        <v>-180638540.71</v>
      </c>
      <c r="CD8" s="51">
        <f t="shared" si="65"/>
        <v>-0.0920678893420308</v>
      </c>
      <c r="CE8" s="51">
        <f t="shared" si="66"/>
        <v>0.0584797659758742</v>
      </c>
      <c r="CF8" s="51">
        <f t="shared" si="67"/>
        <v>-0.118726416152203</v>
      </c>
      <c r="CG8" s="51">
        <f t="shared" si="68"/>
        <v>-0.115669688896747</v>
      </c>
      <c r="CH8" s="51">
        <f t="shared" si="69"/>
        <v>-0.0471605965546371</v>
      </c>
      <c r="CI8" s="73">
        <v>36958853.54</v>
      </c>
      <c r="CJ8" s="73">
        <v>43835235.54</v>
      </c>
      <c r="CK8" s="80">
        <v>63123598.78</v>
      </c>
      <c r="CL8" s="80"/>
      <c r="CM8" s="80"/>
      <c r="CN8" s="80"/>
      <c r="CO8" s="80"/>
      <c r="CP8" s="80"/>
      <c r="CQ8" s="80">
        <v>204411380.53</v>
      </c>
      <c r="CR8" s="80">
        <v>127675213.36</v>
      </c>
      <c r="CS8" s="80">
        <v>86900392.66</v>
      </c>
      <c r="CT8" s="80"/>
      <c r="CU8" s="80"/>
      <c r="CV8" s="80"/>
      <c r="CW8" s="80"/>
      <c r="CX8" s="80"/>
      <c r="CY8" s="80">
        <v>3653367.82</v>
      </c>
      <c r="CZ8" s="80">
        <v>1321634.97</v>
      </c>
      <c r="DA8" s="80"/>
      <c r="DB8" s="80"/>
      <c r="DC8" s="80">
        <v>10345182.51</v>
      </c>
      <c r="DD8" s="80"/>
      <c r="DE8" s="80"/>
      <c r="DF8" s="80">
        <v>36910719.1</v>
      </c>
      <c r="DG8" s="73">
        <f t="shared" si="7"/>
        <v>615135578.81</v>
      </c>
      <c r="DH8" s="80">
        <v>6578414626.63</v>
      </c>
      <c r="DI8" s="80">
        <v>737585938.22</v>
      </c>
      <c r="DJ8" s="80">
        <v>179428532.23</v>
      </c>
      <c r="DK8" s="80"/>
      <c r="DL8" s="73">
        <f t="shared" si="8"/>
        <v>7495429097.08</v>
      </c>
      <c r="DM8" s="73">
        <f t="shared" si="70"/>
        <v>785467218.32</v>
      </c>
      <c r="DN8" s="73">
        <f t="shared" si="71"/>
        <v>79627964.37</v>
      </c>
      <c r="DO8" s="73">
        <f t="shared" si="72"/>
        <v>7684094.75999999</v>
      </c>
      <c r="DP8" s="73">
        <f t="shared" si="73"/>
        <v>0</v>
      </c>
      <c r="DQ8" s="73">
        <f t="shared" si="74"/>
        <v>872779277.449999</v>
      </c>
      <c r="DR8" s="51">
        <f t="shared" si="75"/>
        <v>0.135590255349677</v>
      </c>
      <c r="DS8" s="51">
        <f t="shared" si="76"/>
        <v>0.121022873093341</v>
      </c>
      <c r="DT8" s="51">
        <f t="shared" si="77"/>
        <v>0.044741447660232</v>
      </c>
      <c r="DU8" s="51" t="e">
        <f t="shared" si="78"/>
        <v>#DIV/0!</v>
      </c>
      <c r="DV8" s="51">
        <f t="shared" si="79"/>
        <v>0.131787018975852</v>
      </c>
      <c r="DW8" s="74">
        <f t="shared" si="80"/>
        <v>0.162221420967039</v>
      </c>
      <c r="DX8" s="74">
        <f t="shared" si="9"/>
        <v>0.162393423660789</v>
      </c>
      <c r="DY8" s="65">
        <v>8835858097.25</v>
      </c>
      <c r="DZ8" s="74">
        <f t="shared" si="10"/>
        <v>0.605846800708964</v>
      </c>
      <c r="EA8" s="65">
        <v>4459713077.13</v>
      </c>
      <c r="EB8" s="74">
        <f t="shared" ref="EB8:EB13" si="84">EA8/E8</f>
        <v>0.422277310810158</v>
      </c>
      <c r="EC8" s="74">
        <f t="shared" si="81"/>
        <v>0.504728915748206</v>
      </c>
      <c r="ED8" s="74"/>
      <c r="EE8" s="74"/>
      <c r="EF8" s="74"/>
      <c r="EG8" s="74"/>
      <c r="EH8" s="91">
        <v>1636200</v>
      </c>
      <c r="EI8" s="91">
        <v>1660500</v>
      </c>
      <c r="EJ8" s="66">
        <f t="shared" si="11"/>
        <v>5400.23108253881</v>
      </c>
      <c r="EK8" s="74">
        <f t="shared" si="12"/>
        <v>0.0547974863103068</v>
      </c>
      <c r="EL8" s="74">
        <f t="shared" si="13"/>
        <v>0.105316489900696</v>
      </c>
      <c r="EM8" s="66">
        <v>68800</v>
      </c>
      <c r="EN8" s="74">
        <f t="shared" si="14"/>
        <v>0.0420486493093754</v>
      </c>
      <c r="EO8" s="65">
        <v>2266045479.92</v>
      </c>
      <c r="EP8" s="74">
        <f t="shared" si="15"/>
        <v>0.155375560490025</v>
      </c>
      <c r="EQ8" s="61">
        <v>1114489382.95</v>
      </c>
      <c r="ER8" s="74">
        <f>EQ8/E8</f>
        <v>0.105527770827235</v>
      </c>
      <c r="ES8" s="74">
        <f t="shared" si="82"/>
        <v>0.491821277562949</v>
      </c>
      <c r="ET8" s="74"/>
      <c r="EU8" s="74"/>
      <c r="EV8" s="74"/>
      <c r="EW8" s="74"/>
      <c r="EX8" s="91">
        <v>484800</v>
      </c>
      <c r="EY8" s="94">
        <v>504600</v>
      </c>
      <c r="EZ8" s="66">
        <f t="shared" si="16"/>
        <v>4674.1862209571</v>
      </c>
      <c r="FA8" s="74">
        <f t="shared" si="17"/>
        <v>0.0712420686424475</v>
      </c>
      <c r="FB8" s="74">
        <f t="shared" si="18"/>
        <v>0.135628952916374</v>
      </c>
      <c r="FC8" s="65"/>
      <c r="FD8" s="65">
        <v>2040281586.04</v>
      </c>
      <c r="FE8" s="74">
        <f t="shared" si="19"/>
        <v>0.139895645430573</v>
      </c>
      <c r="FF8" s="61">
        <v>1379128476.37</v>
      </c>
      <c r="FG8" s="74">
        <f>FF8/E8</f>
        <v>0.130585679883697</v>
      </c>
      <c r="FH8" s="74">
        <f t="shared" si="83"/>
        <v>0.675950067778028</v>
      </c>
      <c r="FI8" s="94">
        <v>231400</v>
      </c>
      <c r="FJ8" s="94"/>
      <c r="FK8" s="61">
        <f t="shared" si="20"/>
        <v>8817.12007796024</v>
      </c>
      <c r="FL8" s="74">
        <f t="shared" si="21"/>
        <v>0.0588667531164487</v>
      </c>
      <c r="FM8" s="74">
        <f t="shared" si="22"/>
        <v>0.0619550252409362</v>
      </c>
      <c r="FN8" s="96"/>
      <c r="FO8" s="97"/>
    </row>
    <row r="9" spans="1:170">
      <c r="A9" s="13">
        <v>2016</v>
      </c>
      <c r="B9" s="13"/>
      <c r="C9" s="60">
        <v>12458558940.81</v>
      </c>
      <c r="D9" s="51">
        <f t="shared" si="23"/>
        <v>0.103075946410378</v>
      </c>
      <c r="E9" s="59">
        <v>9143669728.81</v>
      </c>
      <c r="F9" s="51">
        <f t="shared" si="0"/>
        <v>0.100951926420299</v>
      </c>
      <c r="G9" s="60">
        <v>6983199621.89</v>
      </c>
      <c r="H9" s="59">
        <v>126562559.12</v>
      </c>
      <c r="I9" s="49">
        <v>1559903903.37</v>
      </c>
      <c r="J9" s="59">
        <v>519685281.65</v>
      </c>
      <c r="K9" s="59"/>
      <c r="L9" s="59">
        <v>-45681637.22</v>
      </c>
      <c r="M9" s="59">
        <v>3401602925.03</v>
      </c>
      <c r="N9" s="59">
        <v>3413378743.95</v>
      </c>
      <c r="O9" s="59">
        <v>570244775.78</v>
      </c>
      <c r="P9" s="59">
        <v>2843133968.17</v>
      </c>
      <c r="Q9" s="51">
        <f t="shared" si="24"/>
        <v>0.132888627506352</v>
      </c>
      <c r="R9" s="59">
        <v>374633731.41</v>
      </c>
      <c r="S9" s="59">
        <v>609310.75</v>
      </c>
      <c r="T9" s="59"/>
      <c r="U9" s="59">
        <v>5981549.76</v>
      </c>
      <c r="V9" s="59"/>
      <c r="W9" s="59">
        <f t="shared" si="25"/>
        <v>381224591.92</v>
      </c>
      <c r="X9" s="59">
        <v>788066840.33</v>
      </c>
      <c r="Y9" s="59">
        <v>5170828212.48</v>
      </c>
      <c r="Z9" s="59"/>
      <c r="AA9" s="51"/>
      <c r="AB9" s="71">
        <f t="shared" si="26"/>
        <v>788066840.33</v>
      </c>
      <c r="AC9" s="59">
        <f t="shared" si="27"/>
        <v>3224358560.09</v>
      </c>
      <c r="AD9" s="73">
        <f t="shared" si="28"/>
        <v>3224358560.09</v>
      </c>
      <c r="AE9" s="51">
        <f t="shared" si="1"/>
        <v>0.126111836798827</v>
      </c>
      <c r="AF9" s="76"/>
      <c r="AG9" s="76">
        <f t="shared" si="29"/>
        <v>0.733926754470651</v>
      </c>
      <c r="AH9" s="51">
        <f t="shared" si="30"/>
        <v>0.560514234035159</v>
      </c>
      <c r="AI9" s="51">
        <f t="shared" si="31"/>
        <v>0.0101586836584626</v>
      </c>
      <c r="AJ9" s="51">
        <f t="shared" si="32"/>
        <v>0.125207410486319</v>
      </c>
      <c r="AK9" s="51">
        <f t="shared" si="33"/>
        <v>0.0417131133800465</v>
      </c>
      <c r="AL9" s="51">
        <f t="shared" si="34"/>
        <v>0</v>
      </c>
      <c r="AM9" s="51">
        <f t="shared" si="35"/>
        <v>0.273033417523716</v>
      </c>
      <c r="AN9" s="51">
        <f t="shared" si="36"/>
        <v>0.273978616641523</v>
      </c>
      <c r="AO9" s="51">
        <f t="shared" si="37"/>
        <v>0.228207289597263</v>
      </c>
      <c r="AP9" s="73">
        <v>4100740927.81</v>
      </c>
      <c r="AQ9" s="73">
        <v>1493830128.76</v>
      </c>
      <c r="AR9" s="73">
        <v>66754464.16</v>
      </c>
      <c r="AS9" s="73">
        <v>7348823.53</v>
      </c>
      <c r="AT9" s="73">
        <f t="shared" si="38"/>
        <v>5668674344.26</v>
      </c>
      <c r="AU9" s="73">
        <f t="shared" si="39"/>
        <v>606297205.55</v>
      </c>
      <c r="AV9" s="73">
        <f t="shared" si="40"/>
        <v>329237159.06</v>
      </c>
      <c r="AW9" s="73">
        <f t="shared" si="41"/>
        <v>3619758.27999999</v>
      </c>
      <c r="AX9" s="73">
        <f t="shared" si="42"/>
        <v>63076.9100000001</v>
      </c>
      <c r="AY9" s="73">
        <f t="shared" si="43"/>
        <v>939217199.799999</v>
      </c>
      <c r="AZ9" s="74">
        <f t="shared" si="44"/>
        <v>0.173503210736467</v>
      </c>
      <c r="BA9" s="74">
        <f t="shared" si="45"/>
        <v>0.28270577585988</v>
      </c>
      <c r="BB9" s="51">
        <f t="shared" si="46"/>
        <v>0.0573338899666383</v>
      </c>
      <c r="BC9" s="51">
        <f t="shared" si="47"/>
        <v>0.00865757667537444</v>
      </c>
      <c r="BD9" s="74">
        <f t="shared" si="48"/>
        <v>0.198588795946736</v>
      </c>
      <c r="BE9" s="73">
        <v>1432050529.28</v>
      </c>
      <c r="BF9" s="73">
        <v>348440108.43</v>
      </c>
      <c r="BG9" s="73">
        <v>51845457.24</v>
      </c>
      <c r="BH9" s="73">
        <v>6052928.37</v>
      </c>
      <c r="BI9" s="73">
        <f t="shared" si="2"/>
        <v>1838389023.32</v>
      </c>
      <c r="BJ9" s="73">
        <f t="shared" si="49"/>
        <v>309585089.49</v>
      </c>
      <c r="BK9" s="73">
        <f t="shared" si="50"/>
        <v>57780201.5</v>
      </c>
      <c r="BL9" s="73">
        <f t="shared" si="51"/>
        <v>4487979.37</v>
      </c>
      <c r="BM9" s="73">
        <f t="shared" si="52"/>
        <v>723201.38</v>
      </c>
      <c r="BN9" s="73">
        <f t="shared" si="53"/>
        <v>372576471.74</v>
      </c>
      <c r="BO9" s="74">
        <f t="shared" si="54"/>
        <v>0.275808126037199</v>
      </c>
      <c r="BP9" s="74">
        <f t="shared" si="55"/>
        <v>0.198789719952382</v>
      </c>
      <c r="BQ9" s="51">
        <f t="shared" si="56"/>
        <v>0.0947681247367071</v>
      </c>
      <c r="BR9" s="51">
        <f t="shared" si="57"/>
        <v>0.135692012246954</v>
      </c>
      <c r="BS9" s="74">
        <f t="shared" si="58"/>
        <v>0.254177433082013</v>
      </c>
      <c r="BT9" s="73">
        <f t="shared" si="3"/>
        <v>2668690398.53</v>
      </c>
      <c r="BU9" s="73">
        <f t="shared" si="4"/>
        <v>1145390020.33</v>
      </c>
      <c r="BV9" s="73">
        <f t="shared" si="5"/>
        <v>14909006.92</v>
      </c>
      <c r="BW9" s="73">
        <f t="shared" si="6"/>
        <v>1295895.16</v>
      </c>
      <c r="BX9" s="73">
        <f t="shared" si="59"/>
        <v>3830285320.94</v>
      </c>
      <c r="BY9" s="73">
        <f t="shared" si="60"/>
        <v>296712116.06</v>
      </c>
      <c r="BZ9" s="73">
        <f t="shared" si="61"/>
        <v>271456957.56</v>
      </c>
      <c r="CA9" s="73">
        <f t="shared" si="62"/>
        <v>-868221.09</v>
      </c>
      <c r="CB9" s="73">
        <f t="shared" si="63"/>
        <v>-660124.47</v>
      </c>
      <c r="CC9" s="73">
        <f t="shared" si="64"/>
        <v>566640728.06</v>
      </c>
      <c r="CD9" s="74">
        <f t="shared" si="65"/>
        <v>0.125090570285925</v>
      </c>
      <c r="CE9" s="51">
        <f t="shared" si="66"/>
        <v>0.310615273782635</v>
      </c>
      <c r="CF9" s="51">
        <f t="shared" si="67"/>
        <v>-0.055030014743382</v>
      </c>
      <c r="CG9" s="51">
        <f t="shared" si="68"/>
        <v>-0.337483560939519</v>
      </c>
      <c r="CH9" s="74">
        <f t="shared" si="69"/>
        <v>0.173622069417788</v>
      </c>
      <c r="CI9" s="73">
        <v>61641409.51</v>
      </c>
      <c r="CJ9" s="73">
        <v>51799327.55</v>
      </c>
      <c r="CK9" s="73">
        <v>154504508.43</v>
      </c>
      <c r="CL9" s="73"/>
      <c r="CM9" s="73"/>
      <c r="CN9" s="73"/>
      <c r="CO9" s="73"/>
      <c r="CP9" s="73"/>
      <c r="CQ9" s="73">
        <v>110390619.83</v>
      </c>
      <c r="CR9" s="73">
        <v>74009972.85</v>
      </c>
      <c r="CS9" s="73">
        <v>61741032.82</v>
      </c>
      <c r="CT9" s="73"/>
      <c r="CU9" s="73"/>
      <c r="CV9" s="73"/>
      <c r="CW9" s="73"/>
      <c r="CX9" s="73"/>
      <c r="CY9" s="73">
        <v>19044041.26</v>
      </c>
      <c r="CZ9" s="73">
        <v>19714957.38</v>
      </c>
      <c r="DA9" s="73"/>
      <c r="DB9" s="73"/>
      <c r="DC9" s="73"/>
      <c r="DD9" s="73"/>
      <c r="DE9" s="73">
        <v>95554.21</v>
      </c>
      <c r="DF9" s="73">
        <v>29474038.01</v>
      </c>
      <c r="DG9" s="73">
        <f t="shared" si="7"/>
        <v>582415461.85</v>
      </c>
      <c r="DH9" s="73">
        <v>5792947408.31</v>
      </c>
      <c r="DI9" s="73">
        <v>657957973.85</v>
      </c>
      <c r="DJ9" s="73">
        <v>171744437.47</v>
      </c>
      <c r="DK9" s="73"/>
      <c r="DL9" s="73">
        <f t="shared" si="8"/>
        <v>6622649819.63</v>
      </c>
      <c r="DM9" s="73">
        <f t="shared" si="70"/>
        <v>184482538.46</v>
      </c>
      <c r="DN9" s="73">
        <f t="shared" si="71"/>
        <v>-16082766.5699999</v>
      </c>
      <c r="DO9" s="73">
        <f t="shared" si="72"/>
        <v>69890.1399999857</v>
      </c>
      <c r="DP9" s="73">
        <f t="shared" si="73"/>
        <v>0</v>
      </c>
      <c r="DQ9" s="73">
        <f t="shared" si="74"/>
        <v>168469662.030001</v>
      </c>
      <c r="DR9" s="51">
        <f t="shared" si="75"/>
        <v>0.0328935890196517</v>
      </c>
      <c r="DS9" s="51">
        <f t="shared" si="76"/>
        <v>-0.023860229219941</v>
      </c>
      <c r="DT9" s="51">
        <f t="shared" si="77"/>
        <v>0.000407108340094469</v>
      </c>
      <c r="DU9" s="51" t="e">
        <f t="shared" si="78"/>
        <v>#DIV/0!</v>
      </c>
      <c r="DV9" s="51">
        <f t="shared" si="79"/>
        <v>0.0261024108277521</v>
      </c>
      <c r="DW9" s="51">
        <f t="shared" si="80"/>
        <v>0.167061676583861</v>
      </c>
      <c r="DX9" s="51">
        <f t="shared" si="9"/>
        <v>0.167640018058537</v>
      </c>
      <c r="DY9" s="59">
        <v>7578670005.6</v>
      </c>
      <c r="DZ9" s="51">
        <f t="shared" si="10"/>
        <v>0.608310322374031</v>
      </c>
      <c r="EA9" s="59">
        <v>3976070337.88</v>
      </c>
      <c r="EB9" s="51">
        <f t="shared" si="84"/>
        <v>0.434844045750268</v>
      </c>
      <c r="EC9" s="51">
        <f t="shared" si="81"/>
        <v>0.524639591767687</v>
      </c>
      <c r="ED9" s="51"/>
      <c r="EE9" s="51"/>
      <c r="EF9" s="51"/>
      <c r="EG9" s="51"/>
      <c r="EH9" s="90">
        <v>1480300</v>
      </c>
      <c r="EI9" s="90">
        <v>1473700</v>
      </c>
      <c r="EJ9" s="49">
        <f t="shared" si="11"/>
        <v>5119.68520272918</v>
      </c>
      <c r="EK9" s="49"/>
      <c r="EL9" s="49"/>
      <c r="EM9" s="49">
        <v>44500</v>
      </c>
      <c r="EN9" s="51">
        <f t="shared" si="14"/>
        <v>0.0300614740255354</v>
      </c>
      <c r="EO9" s="59">
        <v>1862706997.92</v>
      </c>
      <c r="EP9" s="51">
        <f t="shared" si="15"/>
        <v>0.149512235465565</v>
      </c>
      <c r="EQ9" s="60">
        <v>1150500558.83</v>
      </c>
      <c r="ER9" s="51">
        <f>EQ9/E9</f>
        <v>0.125824815741648</v>
      </c>
      <c r="ES9" s="51">
        <f t="shared" si="82"/>
        <v>0.617649775361724</v>
      </c>
      <c r="ET9" s="51"/>
      <c r="EU9" s="51"/>
      <c r="EV9" s="51"/>
      <c r="EW9" s="51"/>
      <c r="EX9" s="90">
        <v>426900</v>
      </c>
      <c r="EY9" s="93">
        <v>434900</v>
      </c>
      <c r="EZ9" s="49">
        <f t="shared" si="16"/>
        <v>4363.333328461</v>
      </c>
      <c r="FA9" s="51"/>
      <c r="FB9" s="51"/>
      <c r="FC9" s="59"/>
      <c r="FD9" s="59">
        <v>1814440258.26</v>
      </c>
      <c r="FE9" s="51">
        <f t="shared" si="19"/>
        <v>0.145638052272363</v>
      </c>
      <c r="FF9" s="60">
        <v>1003370413.95</v>
      </c>
      <c r="FG9" s="51">
        <f>FF9/E9</f>
        <v>0.109733886252318</v>
      </c>
      <c r="FH9" s="51">
        <f t="shared" si="83"/>
        <v>0.55299170605496</v>
      </c>
      <c r="FI9" s="93">
        <v>217900</v>
      </c>
      <c r="FJ9" s="93"/>
      <c r="FK9" s="60">
        <f t="shared" si="20"/>
        <v>8326.94014804956</v>
      </c>
      <c r="FL9" s="51"/>
      <c r="FM9" s="51"/>
      <c r="FN9" s="14"/>
    </row>
    <row r="10" spans="1:170">
      <c r="A10" s="13">
        <v>2015</v>
      </c>
      <c r="B10" s="13"/>
      <c r="C10" s="60">
        <v>11294380030.09</v>
      </c>
      <c r="D10" s="51">
        <f t="shared" si="23"/>
        <v>0.150469779869341</v>
      </c>
      <c r="E10" s="60">
        <f>C10-M10</f>
        <v>8305239774.22</v>
      </c>
      <c r="F10" s="51">
        <f t="shared" si="0"/>
        <v>0.120501608062002</v>
      </c>
      <c r="G10" s="60">
        <v>6557244862.44</v>
      </c>
      <c r="H10" s="60">
        <v>105227681.17</v>
      </c>
      <c r="I10" s="49">
        <v>1227220684.17</v>
      </c>
      <c r="J10" s="60">
        <v>534901347.04</v>
      </c>
      <c r="K10" s="60"/>
      <c r="L10" s="60">
        <v>-48786754.34</v>
      </c>
      <c r="M10" s="60">
        <v>2989140255.87</v>
      </c>
      <c r="N10" s="60">
        <v>3011302913.95</v>
      </c>
      <c r="O10" s="60">
        <v>501670546.62</v>
      </c>
      <c r="P10" s="60">
        <v>2509632367.33</v>
      </c>
      <c r="Q10" s="51">
        <f t="shared" si="24"/>
        <v>0.200835017389606</v>
      </c>
      <c r="R10" s="59">
        <v>347206678.53</v>
      </c>
      <c r="S10" s="60">
        <v>609310.88</v>
      </c>
      <c r="T10" s="60"/>
      <c r="U10" s="60">
        <v>5818376.39</v>
      </c>
      <c r="V10" s="60"/>
      <c r="W10" s="59">
        <f t="shared" si="25"/>
        <v>353634365.8</v>
      </c>
      <c r="X10" s="60">
        <v>744281217.14</v>
      </c>
      <c r="Y10" s="60">
        <v>2400000000</v>
      </c>
      <c r="Z10" s="60">
        <v>1500000</v>
      </c>
      <c r="AA10" s="51"/>
      <c r="AB10" s="73">
        <f t="shared" si="26"/>
        <v>745781217.14</v>
      </c>
      <c r="AC10" s="59">
        <f t="shared" si="27"/>
        <v>2863266733.13</v>
      </c>
      <c r="AD10" s="73">
        <f t="shared" si="28"/>
        <v>2863266733.13</v>
      </c>
      <c r="AE10" s="51">
        <f t="shared" si="1"/>
        <v>0.206755524535603</v>
      </c>
      <c r="AF10" s="76"/>
      <c r="AG10" s="76">
        <f t="shared" si="29"/>
        <v>0.735342688318751</v>
      </c>
      <c r="AH10" s="51">
        <f t="shared" si="30"/>
        <v>0.580575901020726</v>
      </c>
      <c r="AI10" s="51">
        <f t="shared" si="31"/>
        <v>0.00931681782352435</v>
      </c>
      <c r="AJ10" s="51">
        <f t="shared" si="32"/>
        <v>0.108657640428292</v>
      </c>
      <c r="AK10" s="51">
        <f t="shared" si="33"/>
        <v>0.0473599565106663</v>
      </c>
      <c r="AL10" s="51">
        <f t="shared" si="34"/>
        <v>0</v>
      </c>
      <c r="AM10" s="51">
        <f t="shared" si="35"/>
        <v>0.264657311681249</v>
      </c>
      <c r="AN10" s="51">
        <f t="shared" si="36"/>
        <v>0.266619584778219</v>
      </c>
      <c r="AO10" s="51">
        <f t="shared" si="37"/>
        <v>0.222201870367736</v>
      </c>
      <c r="AP10" s="73">
        <v>3494443722.26</v>
      </c>
      <c r="AQ10" s="73">
        <v>1164592969.7</v>
      </c>
      <c r="AR10" s="73">
        <v>63134705.88</v>
      </c>
      <c r="AS10" s="73">
        <v>7285746.62</v>
      </c>
      <c r="AT10" s="73">
        <f t="shared" si="38"/>
        <v>4729457144.46</v>
      </c>
      <c r="AU10" s="73">
        <f t="shared" si="39"/>
        <v>258164973.17</v>
      </c>
      <c r="AV10" s="73">
        <f t="shared" si="40"/>
        <v>147650203.01</v>
      </c>
      <c r="AW10" s="73">
        <f t="shared" si="41"/>
        <v>2995681.53</v>
      </c>
      <c r="AX10" s="73">
        <f t="shared" si="42"/>
        <v>0</v>
      </c>
      <c r="AY10" s="73">
        <f t="shared" si="43"/>
        <v>408810857.71</v>
      </c>
      <c r="AZ10" s="51">
        <f t="shared" si="44"/>
        <v>0.0797721683407502</v>
      </c>
      <c r="BA10" s="74">
        <f t="shared" si="45"/>
        <v>0.14519027800412</v>
      </c>
      <c r="BB10" s="51">
        <f t="shared" si="46"/>
        <v>0.049812606080298</v>
      </c>
      <c r="BC10" s="51">
        <f t="shared" si="47"/>
        <v>0</v>
      </c>
      <c r="BD10" s="51">
        <f t="shared" si="48"/>
        <v>0.0946179878143898</v>
      </c>
      <c r="BE10" s="73">
        <v>1122465439.79</v>
      </c>
      <c r="BF10" s="73">
        <v>290659906.93</v>
      </c>
      <c r="BG10" s="73">
        <v>47357477.87</v>
      </c>
      <c r="BH10" s="73">
        <v>5329726.99</v>
      </c>
      <c r="BI10" s="73">
        <f t="shared" si="2"/>
        <v>1465812551.58</v>
      </c>
      <c r="BJ10" s="73">
        <f t="shared" si="49"/>
        <v>288790160.63</v>
      </c>
      <c r="BK10" s="73">
        <f t="shared" si="50"/>
        <v>48561655.76</v>
      </c>
      <c r="BL10" s="73">
        <f t="shared" si="51"/>
        <v>5536791.08</v>
      </c>
      <c r="BM10" s="73">
        <f t="shared" si="52"/>
        <v>953094.4</v>
      </c>
      <c r="BN10" s="73">
        <f t="shared" si="53"/>
        <v>343841701.87</v>
      </c>
      <c r="BO10" s="74">
        <f t="shared" si="54"/>
        <v>0.346406050232149</v>
      </c>
      <c r="BP10" s="74">
        <f t="shared" si="55"/>
        <v>0.200586561552237</v>
      </c>
      <c r="BQ10" s="74">
        <f t="shared" si="56"/>
        <v>0.132393595251141</v>
      </c>
      <c r="BR10" s="74">
        <f t="shared" si="57"/>
        <v>0.217768885187596</v>
      </c>
      <c r="BS10" s="74">
        <f t="shared" si="58"/>
        <v>0.306462241829967</v>
      </c>
      <c r="BT10" s="73">
        <f t="shared" si="3"/>
        <v>2371978282.47</v>
      </c>
      <c r="BU10" s="73">
        <f t="shared" si="4"/>
        <v>873933062.77</v>
      </c>
      <c r="BV10" s="73">
        <f t="shared" si="5"/>
        <v>15777228.01</v>
      </c>
      <c r="BW10" s="73">
        <f t="shared" si="6"/>
        <v>1956019.63</v>
      </c>
      <c r="BX10" s="73">
        <f t="shared" si="59"/>
        <v>3263644592.88</v>
      </c>
      <c r="BY10" s="73">
        <f t="shared" si="60"/>
        <v>-30625187.46</v>
      </c>
      <c r="BZ10" s="73">
        <f t="shared" si="61"/>
        <v>99088547.25</v>
      </c>
      <c r="CA10" s="73">
        <f t="shared" si="62"/>
        <v>-2541109.55</v>
      </c>
      <c r="CB10" s="73">
        <f t="shared" si="63"/>
        <v>-953094.4</v>
      </c>
      <c r="CC10" s="73">
        <f t="shared" si="64"/>
        <v>64969155.8400002</v>
      </c>
      <c r="CD10" s="51">
        <f t="shared" si="65"/>
        <v>-0.012746667456071</v>
      </c>
      <c r="CE10" s="51">
        <f t="shared" si="66"/>
        <v>0.127881846312742</v>
      </c>
      <c r="CF10" s="51">
        <f t="shared" si="67"/>
        <v>-0.138719441198025</v>
      </c>
      <c r="CG10" s="51">
        <f t="shared" si="68"/>
        <v>-0.327623596109088</v>
      </c>
      <c r="CH10" s="51">
        <f t="shared" si="69"/>
        <v>0.0203112685606269</v>
      </c>
      <c r="CI10" s="73">
        <v>49990123.4</v>
      </c>
      <c r="CJ10" s="73">
        <v>86960191.83</v>
      </c>
      <c r="CK10" s="73">
        <v>230336031.05</v>
      </c>
      <c r="CL10" s="73"/>
      <c r="CM10" s="73"/>
      <c r="CN10" s="73"/>
      <c r="CO10" s="73"/>
      <c r="CP10" s="73"/>
      <c r="CQ10" s="73">
        <v>89437648.94</v>
      </c>
      <c r="CR10" s="73">
        <v>52362211.88</v>
      </c>
      <c r="CS10" s="73">
        <v>21465502.61</v>
      </c>
      <c r="CT10" s="73"/>
      <c r="CU10" s="73"/>
      <c r="CV10" s="73"/>
      <c r="CW10" s="73"/>
      <c r="CX10" s="73"/>
      <c r="CY10" s="73">
        <v>90485456.9</v>
      </c>
      <c r="CZ10" s="73">
        <v>44203354.53</v>
      </c>
      <c r="DA10" s="73"/>
      <c r="DB10" s="73"/>
      <c r="DC10" s="73"/>
      <c r="DD10" s="73"/>
      <c r="DE10" s="73">
        <v>65459894.12</v>
      </c>
      <c r="DF10" s="73">
        <v>55940232.9</v>
      </c>
      <c r="DG10" s="73">
        <f t="shared" si="7"/>
        <v>786640648.16</v>
      </c>
      <c r="DH10" s="73">
        <v>5608464869.85</v>
      </c>
      <c r="DI10" s="73">
        <v>674040740.42</v>
      </c>
      <c r="DJ10" s="73">
        <v>171674547.33</v>
      </c>
      <c r="DK10" s="73"/>
      <c r="DL10" s="73">
        <f t="shared" si="8"/>
        <v>6454180157.6</v>
      </c>
      <c r="DM10" s="73">
        <f t="shared" si="70"/>
        <v>575734230.75</v>
      </c>
      <c r="DN10" s="73">
        <f t="shared" si="71"/>
        <v>63229099.9299999</v>
      </c>
      <c r="DO10" s="73">
        <f t="shared" si="72"/>
        <v>20804115.07</v>
      </c>
      <c r="DP10" s="73">
        <f t="shared" si="73"/>
        <v>0</v>
      </c>
      <c r="DQ10" s="73">
        <f t="shared" si="74"/>
        <v>659767445.75</v>
      </c>
      <c r="DR10" s="51">
        <f t="shared" si="75"/>
        <v>0.114397982335283</v>
      </c>
      <c r="DS10" s="51">
        <f t="shared" si="76"/>
        <v>0.103516527417973</v>
      </c>
      <c r="DT10" s="51">
        <f t="shared" si="77"/>
        <v>0.137893918366639</v>
      </c>
      <c r="DU10" s="51" t="e">
        <f t="shared" si="78"/>
        <v>#DIV/0!</v>
      </c>
      <c r="DV10" s="51">
        <f t="shared" si="79"/>
        <v>0.113862694730171</v>
      </c>
      <c r="DW10" s="51">
        <f t="shared" si="80"/>
        <v>0.166595842715121</v>
      </c>
      <c r="DX10" s="51">
        <f t="shared" si="9"/>
        <v>0.167831049625333</v>
      </c>
      <c r="DY10" s="59"/>
      <c r="DZ10" s="51">
        <f t="shared" si="10"/>
        <v>0</v>
      </c>
      <c r="EA10" s="51"/>
      <c r="EB10" s="51">
        <f t="shared" si="84"/>
        <v>0</v>
      </c>
      <c r="EC10" s="51" t="e">
        <f t="shared" si="81"/>
        <v>#DIV/0!</v>
      </c>
      <c r="ED10" s="51"/>
      <c r="EE10" s="51"/>
      <c r="EF10" s="51"/>
      <c r="EG10" s="51"/>
      <c r="EH10" s="90"/>
      <c r="EI10" s="90"/>
      <c r="EJ10" s="13"/>
      <c r="EK10" s="13"/>
      <c r="EL10" s="13"/>
      <c r="EM10" s="13"/>
      <c r="EN10" s="51"/>
      <c r="EO10" s="59"/>
      <c r="EP10" s="51">
        <f t="shared" si="15"/>
        <v>0</v>
      </c>
      <c r="EQ10" s="51"/>
      <c r="ER10" s="51"/>
      <c r="ES10" s="51"/>
      <c r="ET10" s="51"/>
      <c r="EU10" s="51"/>
      <c r="EV10" s="51"/>
      <c r="EW10" s="51"/>
      <c r="EX10" s="90"/>
      <c r="EY10" s="90"/>
      <c r="EZ10" s="13"/>
      <c r="FA10" s="51"/>
      <c r="FB10" s="51"/>
      <c r="FC10" s="59"/>
      <c r="FD10" s="59"/>
      <c r="FE10" s="51">
        <f t="shared" si="19"/>
        <v>0</v>
      </c>
      <c r="FF10" s="93"/>
      <c r="FG10" s="51"/>
      <c r="FH10" s="51"/>
      <c r="FI10" s="93"/>
      <c r="FJ10" s="93"/>
      <c r="FK10" s="60"/>
      <c r="FL10" s="51"/>
      <c r="FM10" s="51"/>
      <c r="FN10" s="14"/>
    </row>
    <row r="11" spans="1:170">
      <c r="A11" s="13">
        <v>2014</v>
      </c>
      <c r="B11" s="13"/>
      <c r="C11" s="60">
        <v>9817189662.62</v>
      </c>
      <c r="D11" s="51">
        <f t="shared" si="23"/>
        <v>0.168491970709073</v>
      </c>
      <c r="E11" s="60">
        <f>C11-M11</f>
        <v>7412073052.34</v>
      </c>
      <c r="F11" s="51">
        <f t="shared" si="0"/>
        <v>0.139365932964677</v>
      </c>
      <c r="G11" s="60">
        <v>5850369613.46</v>
      </c>
      <c r="H11" s="60">
        <v>73331546.33</v>
      </c>
      <c r="I11" s="49">
        <v>1050482287.92</v>
      </c>
      <c r="J11" s="60">
        <v>486522922.46</v>
      </c>
      <c r="K11" s="60"/>
      <c r="L11" s="60">
        <v>-48633317.83</v>
      </c>
      <c r="M11" s="60">
        <v>2405116610.28</v>
      </c>
      <c r="N11" s="60">
        <v>2492226431.36</v>
      </c>
      <c r="O11" s="60">
        <v>402320381.83</v>
      </c>
      <c r="P11" s="60">
        <v>2089906049.53</v>
      </c>
      <c r="Q11" s="51">
        <f t="shared" si="24"/>
        <v>0.300972112855687</v>
      </c>
      <c r="R11" s="59">
        <v>278241476.55</v>
      </c>
      <c r="S11" s="60">
        <v>609310.83</v>
      </c>
      <c r="T11" s="60"/>
      <c r="U11" s="60">
        <v>3941422.94</v>
      </c>
      <c r="V11" s="60"/>
      <c r="W11" s="59">
        <f t="shared" si="25"/>
        <v>282792210.32</v>
      </c>
      <c r="X11" s="60">
        <v>881597421.73</v>
      </c>
      <c r="Y11" s="60">
        <v>1800000000</v>
      </c>
      <c r="Z11" s="60">
        <v>33009447.38</v>
      </c>
      <c r="AA11" s="72">
        <v>1000000</v>
      </c>
      <c r="AB11" s="73">
        <f t="shared" si="26"/>
        <v>914606869.11</v>
      </c>
      <c r="AC11" s="59">
        <f t="shared" si="27"/>
        <v>2372698259.85</v>
      </c>
      <c r="AD11" s="73">
        <f t="shared" si="28"/>
        <v>2372698259.85</v>
      </c>
      <c r="AE11" s="51">
        <f t="shared" si="1"/>
        <v>0.295578393685404</v>
      </c>
      <c r="AF11" s="76"/>
      <c r="AG11" s="76">
        <f t="shared" si="29"/>
        <v>0.755009662343823</v>
      </c>
      <c r="AH11" s="51">
        <f t="shared" si="30"/>
        <v>0.595931199713489</v>
      </c>
      <c r="AI11" s="51">
        <f t="shared" si="31"/>
        <v>0.00746970862844972</v>
      </c>
      <c r="AJ11" s="51">
        <f t="shared" si="32"/>
        <v>0.107004379463078</v>
      </c>
      <c r="AK11" s="51">
        <f t="shared" si="33"/>
        <v>0.0495582686267627</v>
      </c>
      <c r="AL11" s="51">
        <f t="shared" si="34"/>
        <v>0</v>
      </c>
      <c r="AM11" s="51">
        <f t="shared" si="35"/>
        <v>0.244990337656177</v>
      </c>
      <c r="AN11" s="51">
        <f t="shared" si="36"/>
        <v>0.253863530909403</v>
      </c>
      <c r="AO11" s="51">
        <f t="shared" si="37"/>
        <v>0.212882313712196</v>
      </c>
      <c r="AP11" s="73">
        <v>3236278749.09</v>
      </c>
      <c r="AQ11" s="73">
        <v>1016942766.69</v>
      </c>
      <c r="AR11" s="73">
        <v>60139024.35</v>
      </c>
      <c r="AS11" s="73">
        <v>7285746.62</v>
      </c>
      <c r="AT11" s="73">
        <f t="shared" si="38"/>
        <v>4320646286.75</v>
      </c>
      <c r="AU11" s="73">
        <f t="shared" si="39"/>
        <v>978165381.1</v>
      </c>
      <c r="AV11" s="73">
        <f t="shared" si="40"/>
        <v>116283693.01</v>
      </c>
      <c r="AW11" s="73">
        <f t="shared" si="41"/>
        <v>4487926.7</v>
      </c>
      <c r="AX11" s="73">
        <f t="shared" si="42"/>
        <v>-217012.899999999</v>
      </c>
      <c r="AY11" s="73">
        <f t="shared" si="43"/>
        <v>1098719987.91</v>
      </c>
      <c r="AZ11" s="74">
        <f t="shared" si="44"/>
        <v>0.43317815436817</v>
      </c>
      <c r="BA11" s="74">
        <f t="shared" si="45"/>
        <v>0.129109555888753</v>
      </c>
      <c r="BB11" s="51">
        <f t="shared" si="46"/>
        <v>0.0806439924729859</v>
      </c>
      <c r="BC11" s="51">
        <f t="shared" si="47"/>
        <v>-0.0289244110012471</v>
      </c>
      <c r="BD11" s="74">
        <f t="shared" si="48"/>
        <v>0.341013383299791</v>
      </c>
      <c r="BE11" s="73">
        <v>833675279.16</v>
      </c>
      <c r="BF11" s="73">
        <v>242098251.17</v>
      </c>
      <c r="BG11" s="73">
        <v>41820686.79</v>
      </c>
      <c r="BH11" s="73">
        <v>4376632.59</v>
      </c>
      <c r="BI11" s="73">
        <f t="shared" si="2"/>
        <v>1121970849.71</v>
      </c>
      <c r="BJ11" s="73">
        <f t="shared" si="49"/>
        <v>214639403.94</v>
      </c>
      <c r="BK11" s="73">
        <f t="shared" si="50"/>
        <v>40119856.82</v>
      </c>
      <c r="BL11" s="73">
        <f t="shared" si="51"/>
        <v>4976640.15</v>
      </c>
      <c r="BM11" s="73">
        <f t="shared" si="52"/>
        <v>978516.8</v>
      </c>
      <c r="BN11" s="73">
        <f t="shared" si="53"/>
        <v>260714417.71</v>
      </c>
      <c r="BO11" s="74">
        <f t="shared" si="54"/>
        <v>0.346731768758505</v>
      </c>
      <c r="BP11" s="74">
        <f t="shared" si="55"/>
        <v>0.198634398243992</v>
      </c>
      <c r="BQ11" s="74">
        <f t="shared" si="56"/>
        <v>0.135073115030667</v>
      </c>
      <c r="BR11" s="74">
        <f t="shared" si="57"/>
        <v>0.28795863957302</v>
      </c>
      <c r="BS11" s="74">
        <f t="shared" si="58"/>
        <v>0.302714044299875</v>
      </c>
      <c r="BT11" s="73">
        <f t="shared" si="3"/>
        <v>2402603469.93</v>
      </c>
      <c r="BU11" s="73">
        <f t="shared" si="4"/>
        <v>774844515.52</v>
      </c>
      <c r="BV11" s="73">
        <f t="shared" si="5"/>
        <v>18318337.56</v>
      </c>
      <c r="BW11" s="73">
        <f t="shared" si="6"/>
        <v>2909114.03</v>
      </c>
      <c r="BX11" s="73">
        <f t="shared" si="59"/>
        <v>3198675437.04</v>
      </c>
      <c r="BY11" s="73">
        <f t="shared" si="60"/>
        <v>763525977.16</v>
      </c>
      <c r="BZ11" s="73">
        <f t="shared" si="61"/>
        <v>76163836.1899999</v>
      </c>
      <c r="CA11" s="73">
        <f t="shared" si="62"/>
        <v>-488713.450000003</v>
      </c>
      <c r="CB11" s="73">
        <f t="shared" si="63"/>
        <v>-1195529.7</v>
      </c>
      <c r="CC11" s="73">
        <f t="shared" si="64"/>
        <v>838005570.2</v>
      </c>
      <c r="CD11" s="74">
        <f t="shared" si="65"/>
        <v>0.465826649763618</v>
      </c>
      <c r="CE11" s="51">
        <f t="shared" si="66"/>
        <v>0.109010937962443</v>
      </c>
      <c r="CF11" s="51">
        <f t="shared" si="67"/>
        <v>-0.0259856502617102</v>
      </c>
      <c r="CG11" s="51">
        <f t="shared" si="68"/>
        <v>-0.291262720625938</v>
      </c>
      <c r="CH11" s="74">
        <f t="shared" si="69"/>
        <v>0.354986346024638</v>
      </c>
      <c r="CI11" s="73">
        <v>40593526.4</v>
      </c>
      <c r="CJ11" s="73">
        <v>30564249.2</v>
      </c>
      <c r="CK11" s="73">
        <v>193194823.93</v>
      </c>
      <c r="CL11" s="73"/>
      <c r="CM11" s="73"/>
      <c r="CN11" s="73"/>
      <c r="CO11" s="73"/>
      <c r="CP11" s="73"/>
      <c r="CQ11" s="73">
        <v>68948146.29</v>
      </c>
      <c r="CR11" s="73">
        <v>148687513.67</v>
      </c>
      <c r="CS11" s="73"/>
      <c r="CT11" s="73"/>
      <c r="CU11" s="73"/>
      <c r="CV11" s="73"/>
      <c r="CW11" s="73"/>
      <c r="CX11" s="73"/>
      <c r="CY11" s="73"/>
      <c r="CZ11" s="73"/>
      <c r="DA11" s="73"/>
      <c r="DB11" s="73"/>
      <c r="DC11" s="73"/>
      <c r="DD11" s="73"/>
      <c r="DE11" s="73"/>
      <c r="DF11" s="73">
        <v>22664790.95</v>
      </c>
      <c r="DG11" s="73">
        <f t="shared" si="7"/>
        <v>504653050.44</v>
      </c>
      <c r="DH11" s="73">
        <v>5032730639.1</v>
      </c>
      <c r="DI11" s="73">
        <v>610811640.49</v>
      </c>
      <c r="DJ11" s="73">
        <v>150870432.26</v>
      </c>
      <c r="DK11" s="73"/>
      <c r="DL11" s="73">
        <f t="shared" si="8"/>
        <v>5794412711.85</v>
      </c>
      <c r="DM11" s="73">
        <f t="shared" si="70"/>
        <v>612757542.51</v>
      </c>
      <c r="DN11" s="73">
        <f t="shared" si="71"/>
        <v>88130692.4</v>
      </c>
      <c r="DO11" s="73">
        <f t="shared" si="72"/>
        <v>28932293.93</v>
      </c>
      <c r="DP11" s="73">
        <f t="shared" si="73"/>
        <v>0</v>
      </c>
      <c r="DQ11" s="73">
        <f t="shared" si="74"/>
        <v>729820528.84</v>
      </c>
      <c r="DR11" s="51">
        <f t="shared" si="75"/>
        <v>0.138633771998011</v>
      </c>
      <c r="DS11" s="74">
        <f t="shared" si="76"/>
        <v>0.168612788972031</v>
      </c>
      <c r="DT11" s="74">
        <f t="shared" si="77"/>
        <v>0.237270261185232</v>
      </c>
      <c r="DU11" s="51" t="e">
        <f t="shared" si="78"/>
        <v>#DIV/0!</v>
      </c>
      <c r="DV11" s="74">
        <f t="shared" si="79"/>
        <v>0.144102526416303</v>
      </c>
      <c r="DW11" s="51">
        <f t="shared" si="80"/>
        <v>0.161430107941859</v>
      </c>
      <c r="DX11" s="51">
        <f t="shared" si="9"/>
        <v>0.167276871362658</v>
      </c>
      <c r="DY11" s="59"/>
      <c r="DZ11" s="51">
        <f t="shared" si="10"/>
        <v>0</v>
      </c>
      <c r="EA11" s="51"/>
      <c r="EB11" s="51">
        <f t="shared" si="84"/>
        <v>0</v>
      </c>
      <c r="EC11" s="51" t="e">
        <f t="shared" si="81"/>
        <v>#DIV/0!</v>
      </c>
      <c r="ED11" s="51"/>
      <c r="EE11" s="51"/>
      <c r="EF11" s="51"/>
      <c r="EG11" s="51"/>
      <c r="EH11" s="90"/>
      <c r="EI11" s="90"/>
      <c r="EJ11" s="13"/>
      <c r="EK11" s="13"/>
      <c r="EL11" s="13"/>
      <c r="EM11" s="13"/>
      <c r="EN11" s="51"/>
      <c r="EO11" s="59"/>
      <c r="EP11" s="51">
        <f t="shared" si="15"/>
        <v>0</v>
      </c>
      <c r="EQ11" s="51"/>
      <c r="ER11" s="51"/>
      <c r="ES11" s="51"/>
      <c r="ET11" s="51"/>
      <c r="EU11" s="51"/>
      <c r="EV11" s="51"/>
      <c r="EW11" s="51"/>
      <c r="EX11" s="90"/>
      <c r="EY11" s="90"/>
      <c r="EZ11" s="13"/>
      <c r="FA11" s="51"/>
      <c r="FB11" s="51"/>
      <c r="FC11" s="59"/>
      <c r="FD11" s="59"/>
      <c r="FE11" s="51">
        <f t="shared" si="19"/>
        <v>0</v>
      </c>
      <c r="FF11" s="93"/>
      <c r="FG11" s="51"/>
      <c r="FH11" s="51"/>
      <c r="FI11" s="93"/>
      <c r="FJ11" s="93"/>
      <c r="FK11" s="60"/>
      <c r="FL11" s="51"/>
      <c r="FM11" s="51"/>
      <c r="FN11" s="14"/>
    </row>
    <row r="12" spans="1:170">
      <c r="A12" s="13">
        <v>2013</v>
      </c>
      <c r="B12" s="13"/>
      <c r="C12" s="60">
        <v>8401589320.86</v>
      </c>
      <c r="D12" s="51">
        <f t="shared" si="23"/>
        <v>0.188412255311032</v>
      </c>
      <c r="E12" s="60">
        <f>C12-M12</f>
        <v>6505436785.4</v>
      </c>
      <c r="F12" s="51">
        <f t="shared" si="0"/>
        <v>0.164487351910751</v>
      </c>
      <c r="G12" s="60">
        <v>5105514283.36</v>
      </c>
      <c r="H12" s="60">
        <v>61824129.87</v>
      </c>
      <c r="I12" s="49">
        <v>898988137.5</v>
      </c>
      <c r="J12" s="60">
        <v>454094215.19</v>
      </c>
      <c r="K12" s="60"/>
      <c r="L12" s="60">
        <v>-14983980.52</v>
      </c>
      <c r="M12" s="60">
        <v>1896152535.46</v>
      </c>
      <c r="N12" s="60">
        <v>1975619151.91</v>
      </c>
      <c r="O12" s="60">
        <v>369200360.24</v>
      </c>
      <c r="P12" s="60">
        <v>1606418791.67</v>
      </c>
      <c r="Q12" s="51">
        <f t="shared" si="24"/>
        <v>0.330293877918502</v>
      </c>
      <c r="R12" s="59">
        <v>219694983.14</v>
      </c>
      <c r="S12" s="60">
        <v>607223.1</v>
      </c>
      <c r="T12" s="60"/>
      <c r="U12" s="60">
        <v>4660469.56</v>
      </c>
      <c r="V12" s="60"/>
      <c r="W12" s="59">
        <f t="shared" si="25"/>
        <v>224962675.8</v>
      </c>
      <c r="X12" s="60">
        <v>1013655627.57</v>
      </c>
      <c r="Y12" s="60"/>
      <c r="Z12" s="60"/>
      <c r="AA12" s="51"/>
      <c r="AB12" s="71">
        <f t="shared" si="26"/>
        <v>1013655627.57</v>
      </c>
      <c r="AC12" s="59">
        <f t="shared" si="27"/>
        <v>1831381467.47</v>
      </c>
      <c r="AD12" s="73">
        <f t="shared" si="28"/>
        <v>1831381467.47</v>
      </c>
      <c r="AE12" s="51">
        <f t="shared" si="1"/>
        <v>0.301439491013457</v>
      </c>
      <c r="AF12" s="76"/>
      <c r="AG12" s="76">
        <f t="shared" si="29"/>
        <v>0.774310256899595</v>
      </c>
      <c r="AH12" s="51">
        <f t="shared" si="30"/>
        <v>0.607684342614046</v>
      </c>
      <c r="AI12" s="51">
        <f t="shared" si="31"/>
        <v>0.00735862317341543</v>
      </c>
      <c r="AJ12" s="51">
        <f t="shared" si="32"/>
        <v>0.107002151993782</v>
      </c>
      <c r="AK12" s="51">
        <f t="shared" si="33"/>
        <v>0.0540486088819583</v>
      </c>
      <c r="AL12" s="51">
        <f t="shared" si="34"/>
        <v>0</v>
      </c>
      <c r="AM12" s="51">
        <f t="shared" si="35"/>
        <v>0.225689743100405</v>
      </c>
      <c r="AN12" s="51">
        <f t="shared" si="36"/>
        <v>0.235148264984199</v>
      </c>
      <c r="AO12" s="51">
        <f t="shared" si="37"/>
        <v>0.191204155585358</v>
      </c>
      <c r="AP12" s="73">
        <v>2258113367.99</v>
      </c>
      <c r="AQ12" s="73">
        <v>900659073.68</v>
      </c>
      <c r="AR12" s="73">
        <v>55651097.65</v>
      </c>
      <c r="AS12" s="73">
        <v>7502759.52</v>
      </c>
      <c r="AT12" s="73">
        <f t="shared" si="38"/>
        <v>3221926298.84</v>
      </c>
      <c r="AU12" s="73">
        <f t="shared" si="39"/>
        <v>2258113367.99</v>
      </c>
      <c r="AV12" s="73">
        <f t="shared" si="40"/>
        <v>900659073.68</v>
      </c>
      <c r="AW12" s="73">
        <f t="shared" si="41"/>
        <v>55651097.65</v>
      </c>
      <c r="AX12" s="73">
        <f t="shared" si="42"/>
        <v>7502759.52</v>
      </c>
      <c r="AY12" s="73">
        <f t="shared" si="43"/>
        <v>3221926298.84</v>
      </c>
      <c r="AZ12" s="51" t="e">
        <f t="shared" si="44"/>
        <v>#DIV/0!</v>
      </c>
      <c r="BA12" s="51" t="e">
        <f t="shared" si="45"/>
        <v>#DIV/0!</v>
      </c>
      <c r="BB12" s="51" t="e">
        <f t="shared" si="46"/>
        <v>#DIV/0!</v>
      </c>
      <c r="BC12" s="51" t="e">
        <f t="shared" si="47"/>
        <v>#DIV/0!</v>
      </c>
      <c r="BD12" s="51" t="e">
        <f t="shared" si="48"/>
        <v>#DIV/0!</v>
      </c>
      <c r="BE12" s="73">
        <v>619035875.22</v>
      </c>
      <c r="BF12" s="73">
        <v>201978394.35</v>
      </c>
      <c r="BG12" s="73">
        <v>36844046.64</v>
      </c>
      <c r="BH12" s="73">
        <v>3398115.79</v>
      </c>
      <c r="BI12" s="73">
        <f t="shared" si="2"/>
        <v>861256432</v>
      </c>
      <c r="BJ12" s="73">
        <f t="shared" si="49"/>
        <v>619035875.22</v>
      </c>
      <c r="BK12" s="73">
        <f t="shared" si="50"/>
        <v>201978394.35</v>
      </c>
      <c r="BL12" s="73">
        <f t="shared" si="51"/>
        <v>36844046.64</v>
      </c>
      <c r="BM12" s="73">
        <f t="shared" si="52"/>
        <v>3398115.79</v>
      </c>
      <c r="BN12" s="73">
        <f t="shared" si="53"/>
        <v>861256432</v>
      </c>
      <c r="BO12" s="51" t="e">
        <f t="shared" si="54"/>
        <v>#DIV/0!</v>
      </c>
      <c r="BP12" s="51" t="e">
        <f t="shared" si="55"/>
        <v>#DIV/0!</v>
      </c>
      <c r="BQ12" s="51" t="e">
        <f t="shared" si="56"/>
        <v>#DIV/0!</v>
      </c>
      <c r="BR12" s="51" t="e">
        <f t="shared" si="57"/>
        <v>#DIV/0!</v>
      </c>
      <c r="BS12" s="51" t="e">
        <f t="shared" si="58"/>
        <v>#DIV/0!</v>
      </c>
      <c r="BT12" s="73">
        <f t="shared" si="3"/>
        <v>1639077492.77</v>
      </c>
      <c r="BU12" s="73">
        <f t="shared" si="4"/>
        <v>698680679.33</v>
      </c>
      <c r="BV12" s="73">
        <f t="shared" si="5"/>
        <v>18807051.01</v>
      </c>
      <c r="BW12" s="73">
        <f t="shared" si="6"/>
        <v>4104643.73</v>
      </c>
      <c r="BX12" s="73">
        <f t="shared" si="59"/>
        <v>2360669866.84</v>
      </c>
      <c r="BY12" s="73">
        <f t="shared" si="60"/>
        <v>1639077492.77</v>
      </c>
      <c r="BZ12" s="73">
        <f t="shared" si="61"/>
        <v>698680679.33</v>
      </c>
      <c r="CA12" s="73">
        <f t="shared" si="62"/>
        <v>18807051.01</v>
      </c>
      <c r="CB12" s="73">
        <f t="shared" si="63"/>
        <v>4104643.73</v>
      </c>
      <c r="CC12" s="73">
        <f t="shared" si="64"/>
        <v>2360669866.84</v>
      </c>
      <c r="CD12" s="51" t="e">
        <f t="shared" si="65"/>
        <v>#DIV/0!</v>
      </c>
      <c r="CE12" s="51" t="e">
        <f t="shared" si="66"/>
        <v>#DIV/0!</v>
      </c>
      <c r="CF12" s="51" t="e">
        <f t="shared" si="67"/>
        <v>#DIV/0!</v>
      </c>
      <c r="CG12" s="51" t="e">
        <f t="shared" si="68"/>
        <v>#DIV/0!</v>
      </c>
      <c r="CH12" s="51" t="e">
        <f t="shared" si="69"/>
        <v>#DIV/0!</v>
      </c>
      <c r="CI12" s="73">
        <v>375987217.96</v>
      </c>
      <c r="CJ12" s="73">
        <v>175413435.06</v>
      </c>
      <c r="CK12" s="73">
        <v>156702624.68</v>
      </c>
      <c r="CL12" s="73"/>
      <c r="CM12" s="73"/>
      <c r="CN12" s="73"/>
      <c r="CO12" s="73"/>
      <c r="CP12" s="73"/>
      <c r="CQ12" s="73">
        <v>23940481.05</v>
      </c>
      <c r="CR12" s="73">
        <v>10935865.95</v>
      </c>
      <c r="CS12" s="73"/>
      <c r="CT12" s="73"/>
      <c r="CU12" s="73"/>
      <c r="CV12" s="73"/>
      <c r="CW12" s="73"/>
      <c r="CX12" s="73"/>
      <c r="CY12" s="73"/>
      <c r="CZ12" s="73"/>
      <c r="DA12" s="73"/>
      <c r="DB12" s="73"/>
      <c r="DC12" s="73"/>
      <c r="DD12" s="73"/>
      <c r="DE12" s="73"/>
      <c r="DF12" s="73">
        <v>198238.72</v>
      </c>
      <c r="DG12" s="73">
        <f t="shared" si="7"/>
        <v>743177863.42</v>
      </c>
      <c r="DH12" s="73">
        <v>4419973096.59</v>
      </c>
      <c r="DI12" s="73">
        <v>522680948.09</v>
      </c>
      <c r="DJ12" s="73">
        <v>121938138.33</v>
      </c>
      <c r="DK12" s="73"/>
      <c r="DL12" s="73">
        <f t="shared" si="8"/>
        <v>5064592183.01</v>
      </c>
      <c r="DM12" s="73">
        <f t="shared" si="70"/>
        <v>4419973096.59</v>
      </c>
      <c r="DN12" s="73">
        <f t="shared" si="71"/>
        <v>522680948.09</v>
      </c>
      <c r="DO12" s="73">
        <f t="shared" si="72"/>
        <v>121938138.33</v>
      </c>
      <c r="DP12" s="73">
        <f t="shared" si="73"/>
        <v>0</v>
      </c>
      <c r="DQ12" s="73">
        <f t="shared" si="74"/>
        <v>5064592183.01</v>
      </c>
      <c r="DR12" s="51" t="e">
        <f t="shared" si="75"/>
        <v>#DIV/0!</v>
      </c>
      <c r="DS12" s="51" t="e">
        <f t="shared" si="76"/>
        <v>#DIV/0!</v>
      </c>
      <c r="DT12" s="51" t="e">
        <f t="shared" si="77"/>
        <v>#DIV/0!</v>
      </c>
      <c r="DU12" s="51" t="e">
        <f t="shared" si="78"/>
        <v>#DIV/0!</v>
      </c>
      <c r="DV12" s="51" t="e">
        <f t="shared" si="79"/>
        <v>#DIV/0!</v>
      </c>
      <c r="DW12" s="51">
        <f t="shared" si="80"/>
        <v>0.186878305913902</v>
      </c>
      <c r="DX12" s="51">
        <f t="shared" si="9"/>
        <v>0.194710263723817</v>
      </c>
      <c r="DY12" s="59"/>
      <c r="DZ12" s="51">
        <f t="shared" si="10"/>
        <v>0</v>
      </c>
      <c r="EA12" s="51"/>
      <c r="EB12" s="51">
        <f t="shared" si="84"/>
        <v>0</v>
      </c>
      <c r="EC12" s="51" t="e">
        <f t="shared" si="81"/>
        <v>#DIV/0!</v>
      </c>
      <c r="ED12" s="51"/>
      <c r="EE12" s="51"/>
      <c r="EF12" s="51"/>
      <c r="EG12" s="51"/>
      <c r="EH12" s="90"/>
      <c r="EI12" s="90"/>
      <c r="EJ12" s="13"/>
      <c r="EK12" s="13"/>
      <c r="EL12" s="13"/>
      <c r="EM12" s="13"/>
      <c r="EN12" s="51"/>
      <c r="EO12" s="59"/>
      <c r="EP12" s="51">
        <f t="shared" si="15"/>
        <v>0</v>
      </c>
      <c r="EQ12" s="51"/>
      <c r="ER12" s="51"/>
      <c r="ES12" s="51"/>
      <c r="ET12" s="51"/>
      <c r="EU12" s="51"/>
      <c r="EV12" s="51"/>
      <c r="EW12" s="51"/>
      <c r="EX12" s="90"/>
      <c r="EY12" s="90"/>
      <c r="EZ12" s="13"/>
      <c r="FA12" s="51"/>
      <c r="FB12" s="51"/>
      <c r="FC12" s="59"/>
      <c r="FD12" s="59"/>
      <c r="FE12" s="51">
        <f t="shared" si="19"/>
        <v>0</v>
      </c>
      <c r="FF12" s="93"/>
      <c r="FG12" s="51"/>
      <c r="FH12" s="51"/>
      <c r="FI12" s="93"/>
      <c r="FJ12" s="93"/>
      <c r="FK12" s="60"/>
      <c r="FL12" s="51"/>
      <c r="FM12" s="51"/>
      <c r="FN12" s="14"/>
    </row>
    <row r="13" spans="1:170">
      <c r="A13" s="13">
        <v>2012</v>
      </c>
      <c r="B13" s="13"/>
      <c r="C13" s="60">
        <v>7069591619.67</v>
      </c>
      <c r="D13" s="51"/>
      <c r="E13" s="60">
        <f>C13-M13</f>
        <v>5586524211.47</v>
      </c>
      <c r="F13" s="60"/>
      <c r="G13" s="60">
        <v>4434275940.28</v>
      </c>
      <c r="H13" s="60">
        <v>49086538.5</v>
      </c>
      <c r="I13" s="49">
        <v>722932356.82</v>
      </c>
      <c r="J13" s="60">
        <v>392235132.26</v>
      </c>
      <c r="K13" s="60"/>
      <c r="L13" s="60">
        <v>-12005756.39</v>
      </c>
      <c r="M13" s="60">
        <v>1483067408.2</v>
      </c>
      <c r="N13" s="60">
        <v>1489635747.01</v>
      </c>
      <c r="O13" s="60">
        <v>282068894.05</v>
      </c>
      <c r="P13" s="60">
        <v>1207566852.96</v>
      </c>
      <c r="Q13" s="51"/>
      <c r="R13" s="59">
        <v>193219276.65</v>
      </c>
      <c r="S13" s="60">
        <v>525965.22</v>
      </c>
      <c r="T13" s="60"/>
      <c r="U13" s="60">
        <v>5884690.05</v>
      </c>
      <c r="V13" s="60"/>
      <c r="W13" s="59">
        <f t="shared" si="25"/>
        <v>199629931.92</v>
      </c>
      <c r="X13" s="60">
        <v>471457199.4</v>
      </c>
      <c r="Y13" s="60">
        <v>157569660</v>
      </c>
      <c r="Z13" s="60"/>
      <c r="AA13" s="51"/>
      <c r="AB13" s="73">
        <f t="shared" si="26"/>
        <v>471457199.4</v>
      </c>
      <c r="AC13" s="59">
        <f t="shared" si="27"/>
        <v>1407196784.88</v>
      </c>
      <c r="AD13" s="73">
        <f t="shared" si="28"/>
        <v>1407196784.88</v>
      </c>
      <c r="AE13" s="51"/>
      <c r="AF13" s="76"/>
      <c r="AG13" s="76">
        <f t="shared" si="29"/>
        <v>0.790218800747471</v>
      </c>
      <c r="AH13" s="51">
        <f t="shared" si="30"/>
        <v>0.627232261612162</v>
      </c>
      <c r="AI13" s="51">
        <f t="shared" si="31"/>
        <v>0.00694333437357606</v>
      </c>
      <c r="AJ13" s="51">
        <f t="shared" si="32"/>
        <v>0.102259422568138</v>
      </c>
      <c r="AK13" s="51">
        <f t="shared" si="33"/>
        <v>0.0554820070750153</v>
      </c>
      <c r="AL13" s="51">
        <f t="shared" si="34"/>
        <v>0</v>
      </c>
      <c r="AM13" s="51">
        <f t="shared" si="35"/>
        <v>0.209781199252529</v>
      </c>
      <c r="AN13" s="51">
        <f t="shared" si="36"/>
        <v>0.210710296598368</v>
      </c>
      <c r="AO13" s="51">
        <f t="shared" si="37"/>
        <v>0.170811401552551</v>
      </c>
      <c r="AP13" s="73"/>
      <c r="AQ13" s="73"/>
      <c r="AR13" s="73"/>
      <c r="AS13" s="73"/>
      <c r="AT13" s="73"/>
      <c r="AU13" s="73"/>
      <c r="AV13" s="73"/>
      <c r="AW13" s="73"/>
      <c r="AX13" s="73"/>
      <c r="AY13" s="73"/>
      <c r="AZ13" s="51"/>
      <c r="BA13" s="51"/>
      <c r="BB13" s="51"/>
      <c r="BC13" s="51"/>
      <c r="BD13" s="51"/>
      <c r="BE13" s="73"/>
      <c r="BF13" s="73"/>
      <c r="BG13" s="73"/>
      <c r="BH13" s="73"/>
      <c r="BI13" s="73"/>
      <c r="BJ13" s="73"/>
      <c r="BK13" s="73"/>
      <c r="BL13" s="73"/>
      <c r="BM13" s="73"/>
      <c r="BN13" s="73"/>
      <c r="BO13" s="51"/>
      <c r="BP13" s="51"/>
      <c r="BQ13" s="51"/>
      <c r="BR13" s="51"/>
      <c r="BS13" s="51"/>
      <c r="BT13" s="73"/>
      <c r="BU13" s="73"/>
      <c r="BV13" s="73"/>
      <c r="BW13" s="73"/>
      <c r="BX13" s="73"/>
      <c r="BY13" s="73"/>
      <c r="BZ13" s="73"/>
      <c r="CA13" s="73"/>
      <c r="CB13" s="73"/>
      <c r="CC13" s="73"/>
      <c r="CD13" s="51"/>
      <c r="CE13" s="51"/>
      <c r="CF13" s="51"/>
      <c r="CG13" s="51"/>
      <c r="CH13" s="51"/>
      <c r="CI13" s="73"/>
      <c r="CJ13" s="73"/>
      <c r="CK13" s="73"/>
      <c r="CL13" s="73"/>
      <c r="CM13" s="73"/>
      <c r="CN13" s="73"/>
      <c r="CO13" s="73"/>
      <c r="CP13" s="73"/>
      <c r="CQ13" s="73"/>
      <c r="CR13" s="73"/>
      <c r="CS13" s="73"/>
      <c r="CT13" s="73"/>
      <c r="CU13" s="73"/>
      <c r="CV13" s="73"/>
      <c r="CW13" s="73"/>
      <c r="CX13" s="73"/>
      <c r="CY13" s="73"/>
      <c r="CZ13" s="73"/>
      <c r="DA13" s="73"/>
      <c r="DB13" s="73"/>
      <c r="DC13" s="73"/>
      <c r="DD13" s="73"/>
      <c r="DE13" s="73"/>
      <c r="DF13" s="73"/>
      <c r="DG13" s="73"/>
      <c r="DH13" s="73"/>
      <c r="DI13" s="73"/>
      <c r="DJ13" s="73"/>
      <c r="DK13" s="73"/>
      <c r="DL13" s="73"/>
      <c r="DM13" s="73"/>
      <c r="DN13" s="73"/>
      <c r="DO13" s="73"/>
      <c r="DP13" s="73"/>
      <c r="DQ13" s="73"/>
      <c r="DR13" s="51"/>
      <c r="DS13" s="51"/>
      <c r="DT13" s="51"/>
      <c r="DU13" s="51"/>
      <c r="DV13" s="51"/>
      <c r="DW13" s="51">
        <f t="shared" si="80"/>
        <v>0.189354273094056</v>
      </c>
      <c r="DX13" s="51">
        <f t="shared" si="9"/>
        <v>0.190192901880534</v>
      </c>
      <c r="DY13" s="59"/>
      <c r="DZ13" s="51">
        <f t="shared" si="10"/>
        <v>0</v>
      </c>
      <c r="EA13" s="51"/>
      <c r="EB13" s="51">
        <f t="shared" si="84"/>
        <v>0</v>
      </c>
      <c r="EC13" s="51" t="e">
        <f t="shared" si="81"/>
        <v>#DIV/0!</v>
      </c>
      <c r="ED13" s="51"/>
      <c r="EE13" s="51"/>
      <c r="EF13" s="51"/>
      <c r="EG13" s="51"/>
      <c r="EH13" s="90"/>
      <c r="EI13" s="90"/>
      <c r="EJ13" s="13"/>
      <c r="EK13" s="13"/>
      <c r="EL13" s="51">
        <f>AVERAGE(EL3:EL8)</f>
        <v>0.0940447179907955</v>
      </c>
      <c r="EM13" s="13"/>
      <c r="EN13" s="51"/>
      <c r="EO13" s="59"/>
      <c r="EP13" s="51">
        <f t="shared" si="15"/>
        <v>0</v>
      </c>
      <c r="EQ13" s="51"/>
      <c r="ER13" s="51"/>
      <c r="ES13" s="51"/>
      <c r="ET13" s="51"/>
      <c r="EU13" s="51"/>
      <c r="EV13" s="51"/>
      <c r="EW13" s="51"/>
      <c r="EX13" s="90"/>
      <c r="EY13" s="90"/>
      <c r="EZ13" s="13"/>
      <c r="FA13" s="51"/>
      <c r="FB13" s="51">
        <f>AVERAGE(FB3:FB8)</f>
        <v>0.133548328763672</v>
      </c>
      <c r="FC13" s="59"/>
      <c r="FD13" s="59"/>
      <c r="FE13" s="51">
        <f t="shared" si="19"/>
        <v>0</v>
      </c>
      <c r="FF13" s="93"/>
      <c r="FG13" s="51"/>
      <c r="FH13" s="51"/>
      <c r="FI13" s="93"/>
      <c r="FJ13" s="93"/>
      <c r="FK13" s="60"/>
      <c r="FL13" s="51"/>
      <c r="FM13" s="51">
        <f>AVERAGE(FM3:FM8)</f>
        <v>0.0476800482081702</v>
      </c>
      <c r="FN13" s="14"/>
    </row>
    <row r="14" s="53" customFormat="1" spans="1:171">
      <c r="A14" s="62"/>
      <c r="B14" s="62"/>
      <c r="C14" s="63"/>
      <c r="D14" s="64"/>
      <c r="E14" s="63"/>
      <c r="F14" s="63"/>
      <c r="G14" s="63"/>
      <c r="H14" s="63"/>
      <c r="I14" s="67"/>
      <c r="J14" s="63"/>
      <c r="K14" s="63"/>
      <c r="L14" s="63"/>
      <c r="M14" s="63"/>
      <c r="N14" s="63"/>
      <c r="O14" s="63"/>
      <c r="P14" s="63"/>
      <c r="Q14" s="64"/>
      <c r="R14" s="69"/>
      <c r="S14" s="63"/>
      <c r="T14" s="63"/>
      <c r="U14" s="63"/>
      <c r="V14" s="63"/>
      <c r="W14" s="63"/>
      <c r="X14" s="63"/>
      <c r="Y14" s="63"/>
      <c r="Z14" s="63"/>
      <c r="AA14" s="64"/>
      <c r="AB14" s="75">
        <f>AVERAGE(AB3:AB13)</f>
        <v>786363966.485455</v>
      </c>
      <c r="AC14" s="69"/>
      <c r="AD14" s="75">
        <f>AVERAGE(AD3:AD7)</f>
        <v>6259854237.58891</v>
      </c>
      <c r="AE14" s="64">
        <f>AVERAGE(AE3:AE7)</f>
        <v>0.105149065884513</v>
      </c>
      <c r="AF14" s="78"/>
      <c r="AG14" s="78"/>
      <c r="AH14" s="64"/>
      <c r="AI14" s="64"/>
      <c r="AJ14" s="64"/>
      <c r="AK14" s="64"/>
      <c r="AL14" s="64"/>
      <c r="AM14" s="64"/>
      <c r="AN14" s="64"/>
      <c r="AO14" s="64"/>
      <c r="AP14" s="75"/>
      <c r="AQ14" s="75"/>
      <c r="AR14" s="75"/>
      <c r="AS14" s="75"/>
      <c r="AT14" s="75"/>
      <c r="AU14" s="75"/>
      <c r="AV14" s="75"/>
      <c r="AW14" s="75"/>
      <c r="AX14" s="75"/>
      <c r="AY14" s="75"/>
      <c r="AZ14" s="64"/>
      <c r="BA14" s="64"/>
      <c r="BB14" s="64"/>
      <c r="BC14" s="64"/>
      <c r="BD14" s="64"/>
      <c r="BE14" s="75"/>
      <c r="BF14" s="75"/>
      <c r="BG14" s="75"/>
      <c r="BH14" s="75"/>
      <c r="BI14" s="75"/>
      <c r="BJ14" s="75"/>
      <c r="BK14" s="75"/>
      <c r="BL14" s="75"/>
      <c r="BM14" s="75"/>
      <c r="BN14" s="75"/>
      <c r="BO14" s="64"/>
      <c r="BP14" s="64"/>
      <c r="BQ14" s="64"/>
      <c r="BR14" s="64"/>
      <c r="BS14" s="64"/>
      <c r="BT14" s="75"/>
      <c r="BU14" s="75"/>
      <c r="BV14" s="75"/>
      <c r="BW14" s="75"/>
      <c r="BX14" s="75"/>
      <c r="BY14" s="75"/>
      <c r="BZ14" s="75"/>
      <c r="CA14" s="75"/>
      <c r="CB14" s="75"/>
      <c r="CC14" s="75"/>
      <c r="CD14" s="64"/>
      <c r="CE14" s="64"/>
      <c r="CF14" s="64"/>
      <c r="CG14" s="64"/>
      <c r="CH14" s="64"/>
      <c r="CI14" s="75"/>
      <c r="CJ14" s="75"/>
      <c r="CK14" s="75"/>
      <c r="CL14" s="75"/>
      <c r="CM14" s="75"/>
      <c r="CN14" s="75"/>
      <c r="CO14" s="75"/>
      <c r="CP14" s="75"/>
      <c r="CQ14" s="75"/>
      <c r="CR14" s="75"/>
      <c r="CS14" s="75"/>
      <c r="CT14" s="75"/>
      <c r="CU14" s="75"/>
      <c r="CV14" s="75"/>
      <c r="CW14" s="75"/>
      <c r="CX14" s="75"/>
      <c r="CY14" s="75"/>
      <c r="CZ14" s="75"/>
      <c r="DA14" s="75"/>
      <c r="DB14" s="75"/>
      <c r="DC14" s="75"/>
      <c r="DD14" s="75"/>
      <c r="DE14" s="75"/>
      <c r="DF14" s="75"/>
      <c r="DG14" s="75"/>
      <c r="DH14" s="75"/>
      <c r="DI14" s="75"/>
      <c r="DJ14" s="75"/>
      <c r="DK14" s="75"/>
      <c r="DL14" s="75"/>
      <c r="DM14" s="75"/>
      <c r="DN14" s="75"/>
      <c r="DO14" s="75"/>
      <c r="DP14" s="75"/>
      <c r="DQ14" s="75"/>
      <c r="DR14" s="64"/>
      <c r="DS14" s="64"/>
      <c r="DT14" s="64"/>
      <c r="DU14" s="64"/>
      <c r="DV14" s="64"/>
      <c r="DW14" s="64"/>
      <c r="DX14" s="64"/>
      <c r="DY14" s="69"/>
      <c r="DZ14" s="64"/>
      <c r="EA14" s="64"/>
      <c r="EB14" s="64"/>
      <c r="EC14" s="64"/>
      <c r="ED14" s="64"/>
      <c r="EE14" s="64"/>
      <c r="EF14" s="64"/>
      <c r="EG14" s="64"/>
      <c r="EH14" s="92"/>
      <c r="EI14" s="92"/>
      <c r="EJ14" s="62"/>
      <c r="EK14" s="62"/>
      <c r="EL14" s="64"/>
      <c r="EM14" s="62"/>
      <c r="EN14" s="64"/>
      <c r="EO14" s="69"/>
      <c r="EP14" s="64"/>
      <c r="EQ14" s="64"/>
      <c r="ER14" s="64"/>
      <c r="ES14" s="64"/>
      <c r="ET14" s="64"/>
      <c r="EU14" s="64"/>
      <c r="EV14" s="64"/>
      <c r="EW14" s="64"/>
      <c r="EX14" s="92"/>
      <c r="EY14" s="92"/>
      <c r="EZ14" s="62"/>
      <c r="FA14" s="64"/>
      <c r="FB14" s="64"/>
      <c r="FC14" s="69"/>
      <c r="FD14" s="69"/>
      <c r="FE14" s="64"/>
      <c r="FF14" s="95"/>
      <c r="FG14" s="64"/>
      <c r="FH14" s="64"/>
      <c r="FI14" s="95"/>
      <c r="FJ14" s="95"/>
      <c r="FK14" s="63"/>
      <c r="FL14" s="64"/>
      <c r="FM14" s="64"/>
      <c r="FN14" s="98"/>
      <c r="FO14" s="99"/>
    </row>
    <row r="15" spans="1:170">
      <c r="A15" s="13">
        <v>2022</v>
      </c>
      <c r="B15" s="13" t="s">
        <v>96</v>
      </c>
      <c r="C15" s="60">
        <v>5341040998.68</v>
      </c>
      <c r="D15" s="51">
        <f>(C15-C16)/C16</f>
        <v>0.044059172814461</v>
      </c>
      <c r="E15" s="60">
        <v>4707096929.93</v>
      </c>
      <c r="F15" s="60"/>
      <c r="G15" s="60">
        <v>3647876549.07</v>
      </c>
      <c r="H15" s="60">
        <v>88370313.75</v>
      </c>
      <c r="I15" s="49">
        <v>472899300.13</v>
      </c>
      <c r="J15" s="60">
        <v>323539701.93</v>
      </c>
      <c r="K15" s="60">
        <v>178601844.82</v>
      </c>
      <c r="L15" s="60">
        <v>-4190779.77</v>
      </c>
      <c r="M15" s="60">
        <v>705693335.16</v>
      </c>
      <c r="N15" s="60">
        <v>-474409780.91</v>
      </c>
      <c r="O15" s="60">
        <v>80152748.71</v>
      </c>
      <c r="P15" s="60">
        <v>-554562529.62</v>
      </c>
      <c r="Q15" s="51"/>
      <c r="R15" s="59"/>
      <c r="S15" s="60"/>
      <c r="T15" s="60"/>
      <c r="U15" s="60"/>
      <c r="V15" s="60"/>
      <c r="W15" s="60"/>
      <c r="X15" s="60"/>
      <c r="Y15" s="60"/>
      <c r="Z15" s="60"/>
      <c r="AA15" s="51"/>
      <c r="AB15" s="73"/>
      <c r="AC15" s="60"/>
      <c r="AD15" s="73">
        <f>AVERAGE(AD3:AD13)</f>
        <v>4270145451.29769</v>
      </c>
      <c r="AE15" s="51">
        <f>AVERAGE(AE3:AE12)</f>
        <v>0.168794605677102</v>
      </c>
      <c r="AF15" s="76"/>
      <c r="AG15" s="76">
        <f t="shared" ref="AG15:AG31" si="85">E15/C15</f>
        <v>0.881307020690035</v>
      </c>
      <c r="AH15" s="51">
        <f t="shared" ref="AH15:AH25" si="86">G15/$C15</f>
        <v>0.682989804791153</v>
      </c>
      <c r="AI15" s="51">
        <f t="shared" ref="AI15:AI25" si="87">H15/$C15</f>
        <v>0.0165455224499943</v>
      </c>
      <c r="AJ15" s="51">
        <f t="shared" ref="AJ15:AJ25" si="88">I15/$C15</f>
        <v>0.0885406609398568</v>
      </c>
      <c r="AK15" s="51">
        <f t="shared" ref="AK15:AK25" si="89">J15/$C15</f>
        <v>0.0605761502317545</v>
      </c>
      <c r="AL15" s="51">
        <f t="shared" ref="AL15:AL25" si="90">K15/$C15</f>
        <v>0.0334395195363863</v>
      </c>
      <c r="AM15" s="51">
        <f t="shared" ref="AM14:AM47" si="91">M15/C15</f>
        <v>0.132126552732774</v>
      </c>
      <c r="AN15" s="51">
        <f t="shared" ref="AN14:AN47" si="92">N15/C15</f>
        <v>-0.0888234673778477</v>
      </c>
      <c r="AO15" s="51">
        <f t="shared" ref="AO14:AO47" si="93">P15/C15</f>
        <v>-0.103830419904482</v>
      </c>
      <c r="AP15" s="73"/>
      <c r="AQ15" s="73"/>
      <c r="AR15" s="73"/>
      <c r="AS15" s="73"/>
      <c r="AT15" s="73"/>
      <c r="AU15" s="73"/>
      <c r="AV15" s="73"/>
      <c r="AW15" s="73"/>
      <c r="AX15" s="73"/>
      <c r="AY15" s="73"/>
      <c r="AZ15" s="51"/>
      <c r="BA15" s="51"/>
      <c r="BB15" s="51"/>
      <c r="BC15" s="51"/>
      <c r="BD15" s="51"/>
      <c r="BE15" s="73"/>
      <c r="BF15" s="73"/>
      <c r="BG15" s="73"/>
      <c r="BH15" s="73"/>
      <c r="BI15" s="73"/>
      <c r="BJ15" s="73"/>
      <c r="BK15" s="73"/>
      <c r="BL15" s="73"/>
      <c r="BM15" s="73"/>
      <c r="BN15" s="73"/>
      <c r="BO15" s="51"/>
      <c r="BP15" s="51"/>
      <c r="BQ15" s="51"/>
      <c r="BR15" s="51"/>
      <c r="BS15" s="51"/>
      <c r="BT15" s="73"/>
      <c r="BU15" s="73"/>
      <c r="BV15" s="73"/>
      <c r="BW15" s="73"/>
      <c r="BX15" s="73"/>
      <c r="BY15" s="73"/>
      <c r="BZ15" s="73"/>
      <c r="CA15" s="73"/>
      <c r="CB15" s="73"/>
      <c r="CC15" s="73"/>
      <c r="CD15" s="51"/>
      <c r="CE15" s="51"/>
      <c r="CF15" s="51"/>
      <c r="CG15" s="51"/>
      <c r="CH15" s="51"/>
      <c r="CI15" s="73"/>
      <c r="CJ15" s="73"/>
      <c r="CK15" s="73"/>
      <c r="CL15" s="73"/>
      <c r="CM15" s="73"/>
      <c r="CN15" s="73"/>
      <c r="CO15" s="73"/>
      <c r="CP15" s="73"/>
      <c r="CQ15" s="73"/>
      <c r="CR15" s="73"/>
      <c r="CS15" s="73"/>
      <c r="CT15" s="73"/>
      <c r="CU15" s="73"/>
      <c r="CV15" s="73"/>
      <c r="CW15" s="73"/>
      <c r="CX15" s="73"/>
      <c r="CY15" s="73"/>
      <c r="CZ15" s="73"/>
      <c r="DA15" s="73"/>
      <c r="DB15" s="73"/>
      <c r="DC15" s="73"/>
      <c r="DD15" s="73"/>
      <c r="DE15" s="73"/>
      <c r="DF15" s="73"/>
      <c r="DG15" s="73"/>
      <c r="DH15" s="73"/>
      <c r="DI15" s="73"/>
      <c r="DJ15" s="73"/>
      <c r="DK15" s="73"/>
      <c r="DL15" s="73"/>
      <c r="DM15" s="73"/>
      <c r="DN15" s="73"/>
      <c r="DO15" s="73"/>
      <c r="DP15" s="73"/>
      <c r="DQ15" s="73"/>
      <c r="DR15" s="51"/>
      <c r="DS15" s="51"/>
      <c r="DT15" s="51"/>
      <c r="DU15" s="51"/>
      <c r="DV15" s="51"/>
      <c r="DW15" s="51">
        <f t="shared" ref="DW15:DW25" si="94">O15/N15</f>
        <v>-0.16895256365974</v>
      </c>
      <c r="DX15" s="51">
        <f t="shared" ref="DX15:DX25" si="95">O15/M15</f>
        <v>0.113580141283079</v>
      </c>
      <c r="DY15" s="59"/>
      <c r="DZ15" s="51">
        <f t="shared" ref="DZ15:DZ47" si="96">DY15/C15</f>
        <v>0</v>
      </c>
      <c r="EA15" s="51"/>
      <c r="EB15" s="51">
        <f t="shared" ref="EB15:EB31" si="97">EA15/E15</f>
        <v>0</v>
      </c>
      <c r="EC15" s="51" t="e">
        <f t="shared" ref="EC15:EC31" si="98">EA15/DY15</f>
        <v>#DIV/0!</v>
      </c>
      <c r="ED15" s="51"/>
      <c r="EE15" s="51"/>
      <c r="EF15" s="51"/>
      <c r="EG15" s="51"/>
      <c r="EH15" s="90"/>
      <c r="EI15" s="90"/>
      <c r="EJ15" s="13"/>
      <c r="EK15" s="13"/>
      <c r="EL15" s="51"/>
      <c r="EM15" s="13"/>
      <c r="EN15" s="51"/>
      <c r="EO15" s="59"/>
      <c r="EP15" s="51">
        <f t="shared" ref="EP15:EP47" si="99">EO15/C15</f>
        <v>0</v>
      </c>
      <c r="EQ15" s="51"/>
      <c r="ER15" s="51"/>
      <c r="ES15" s="51"/>
      <c r="ET15" s="51"/>
      <c r="EU15" s="51"/>
      <c r="EV15" s="51"/>
      <c r="EW15" s="51"/>
      <c r="EX15" s="90"/>
      <c r="EY15" s="90"/>
      <c r="EZ15" s="13"/>
      <c r="FA15" s="51"/>
      <c r="FB15" s="51"/>
      <c r="FC15" s="59"/>
      <c r="FD15" s="59"/>
      <c r="FE15" s="51">
        <f t="shared" ref="FE15:FE31" si="100">FD15/C15</f>
        <v>0</v>
      </c>
      <c r="FF15" s="93"/>
      <c r="FG15" s="51"/>
      <c r="FH15" s="51"/>
      <c r="FI15" s="93"/>
      <c r="FJ15" s="93"/>
      <c r="FK15" s="60"/>
      <c r="FL15" s="51"/>
      <c r="FM15" s="51"/>
      <c r="FN15" s="14"/>
    </row>
    <row r="16" spans="1:170">
      <c r="A16" s="13">
        <v>2021</v>
      </c>
      <c r="B16" s="13"/>
      <c r="C16" s="60">
        <v>5115649704.3</v>
      </c>
      <c r="D16" s="51">
        <f t="shared" ref="D16:D24" si="101">(C16-C17)/C17</f>
        <v>-0.00150781658783711</v>
      </c>
      <c r="E16" s="60">
        <v>4301356992.97</v>
      </c>
      <c r="F16" s="60"/>
      <c r="G16" s="60">
        <v>3331842758.91</v>
      </c>
      <c r="H16" s="60">
        <v>112595334.52</v>
      </c>
      <c r="I16" s="49">
        <v>412424113.48</v>
      </c>
      <c r="J16" s="60">
        <v>254493095.03</v>
      </c>
      <c r="K16" s="60">
        <v>170105530.96</v>
      </c>
      <c r="L16" s="60">
        <v>19896160.07</v>
      </c>
      <c r="M16" s="60">
        <v>877495460.11</v>
      </c>
      <c r="N16" s="60">
        <v>876523604.02</v>
      </c>
      <c r="O16" s="60">
        <v>92303153.39</v>
      </c>
      <c r="P16" s="60">
        <v>784220450.63</v>
      </c>
      <c r="Q16" s="51"/>
      <c r="R16" s="59"/>
      <c r="S16" s="60"/>
      <c r="T16" s="60"/>
      <c r="U16" s="60"/>
      <c r="V16" s="60"/>
      <c r="W16" s="60"/>
      <c r="X16" s="60"/>
      <c r="Y16" s="60"/>
      <c r="Z16" s="60"/>
      <c r="AA16" s="51"/>
      <c r="AB16" s="73"/>
      <c r="AC16" s="60"/>
      <c r="AD16" s="73"/>
      <c r="AE16" s="51"/>
      <c r="AF16" s="76"/>
      <c r="AG16" s="76">
        <f t="shared" si="85"/>
        <v>0.840823207530113</v>
      </c>
      <c r="AH16" s="51">
        <f t="shared" si="86"/>
        <v>0.651303930390189</v>
      </c>
      <c r="AI16" s="51">
        <f t="shared" si="87"/>
        <v>0.0220099774277658</v>
      </c>
      <c r="AJ16" s="51">
        <f t="shared" si="88"/>
        <v>0.0806200849001318</v>
      </c>
      <c r="AK16" s="51">
        <f t="shared" si="89"/>
        <v>0.0497479518224408</v>
      </c>
      <c r="AL16" s="51">
        <f t="shared" si="90"/>
        <v>0.0332519896381913</v>
      </c>
      <c r="AM16" s="51">
        <f t="shared" si="91"/>
        <v>0.171531576795107</v>
      </c>
      <c r="AN16" s="51">
        <f t="shared" si="92"/>
        <v>0.171341599735265</v>
      </c>
      <c r="AO16" s="51">
        <f t="shared" si="93"/>
        <v>0.153298309297999</v>
      </c>
      <c r="AP16" s="73"/>
      <c r="AQ16" s="73"/>
      <c r="AR16" s="73"/>
      <c r="AS16" s="73"/>
      <c r="AT16" s="73"/>
      <c r="AU16" s="73"/>
      <c r="AV16" s="73"/>
      <c r="AW16" s="73"/>
      <c r="AX16" s="73"/>
      <c r="AY16" s="73"/>
      <c r="AZ16" s="51"/>
      <c r="BA16" s="51"/>
      <c r="BB16" s="51"/>
      <c r="BC16" s="51"/>
      <c r="BD16" s="51"/>
      <c r="BE16" s="73"/>
      <c r="BF16" s="73"/>
      <c r="BG16" s="73"/>
      <c r="BH16" s="73"/>
      <c r="BI16" s="73"/>
      <c r="BJ16" s="73"/>
      <c r="BK16" s="73"/>
      <c r="BL16" s="73"/>
      <c r="BM16" s="73"/>
      <c r="BN16" s="73"/>
      <c r="BO16" s="51"/>
      <c r="BP16" s="51"/>
      <c r="BQ16" s="51"/>
      <c r="BR16" s="51"/>
      <c r="BS16" s="51"/>
      <c r="BT16" s="73"/>
      <c r="BU16" s="73"/>
      <c r="BV16" s="73"/>
      <c r="BW16" s="73"/>
      <c r="BX16" s="73"/>
      <c r="BY16" s="73"/>
      <c r="BZ16" s="73"/>
      <c r="CA16" s="73"/>
      <c r="CB16" s="73"/>
      <c r="CC16" s="73"/>
      <c r="CD16" s="51"/>
      <c r="CE16" s="51"/>
      <c r="CF16" s="51"/>
      <c r="CG16" s="51"/>
      <c r="CH16" s="51"/>
      <c r="CI16" s="73"/>
      <c r="CJ16" s="73"/>
      <c r="CK16" s="73"/>
      <c r="CL16" s="73"/>
      <c r="CM16" s="73"/>
      <c r="CN16" s="73"/>
      <c r="CO16" s="73"/>
      <c r="CP16" s="73"/>
      <c r="CQ16" s="73"/>
      <c r="CR16" s="73"/>
      <c r="CS16" s="73"/>
      <c r="CT16" s="73"/>
      <c r="CU16" s="73"/>
      <c r="CV16" s="73"/>
      <c r="CW16" s="73"/>
      <c r="CX16" s="73"/>
      <c r="CY16" s="73"/>
      <c r="CZ16" s="73"/>
      <c r="DA16" s="73"/>
      <c r="DB16" s="73"/>
      <c r="DC16" s="73"/>
      <c r="DD16" s="73"/>
      <c r="DE16" s="73"/>
      <c r="DF16" s="73"/>
      <c r="DG16" s="73"/>
      <c r="DH16" s="73"/>
      <c r="DI16" s="73"/>
      <c r="DJ16" s="73"/>
      <c r="DK16" s="73"/>
      <c r="DL16" s="73"/>
      <c r="DM16" s="73"/>
      <c r="DN16" s="73"/>
      <c r="DO16" s="73"/>
      <c r="DP16" s="73"/>
      <c r="DQ16" s="73"/>
      <c r="DR16" s="51"/>
      <c r="DS16" s="51"/>
      <c r="DT16" s="51"/>
      <c r="DU16" s="51"/>
      <c r="DV16" s="51"/>
      <c r="DW16" s="51">
        <f t="shared" si="94"/>
        <v>0.105305952933464</v>
      </c>
      <c r="DX16" s="51">
        <f t="shared" si="95"/>
        <v>0.105189323006217</v>
      </c>
      <c r="DY16" s="59"/>
      <c r="DZ16" s="51">
        <f t="shared" si="96"/>
        <v>0</v>
      </c>
      <c r="EA16" s="51"/>
      <c r="EB16" s="51">
        <f t="shared" si="97"/>
        <v>0</v>
      </c>
      <c r="EC16" s="51" t="e">
        <f t="shared" si="98"/>
        <v>#DIV/0!</v>
      </c>
      <c r="ED16" s="51"/>
      <c r="EE16" s="51"/>
      <c r="EF16" s="51"/>
      <c r="EG16" s="51"/>
      <c r="EH16" s="90"/>
      <c r="EI16" s="90"/>
      <c r="EJ16" s="13"/>
      <c r="EK16" s="13"/>
      <c r="EL16" s="51"/>
      <c r="EM16" s="13"/>
      <c r="EN16" s="51"/>
      <c r="EO16" s="59"/>
      <c r="EP16" s="51">
        <f t="shared" si="99"/>
        <v>0</v>
      </c>
      <c r="EQ16" s="51"/>
      <c r="ER16" s="51"/>
      <c r="ES16" s="51"/>
      <c r="ET16" s="51"/>
      <c r="EU16" s="51"/>
      <c r="EV16" s="51"/>
      <c r="EW16" s="51"/>
      <c r="EX16" s="90"/>
      <c r="EY16" s="90"/>
      <c r="EZ16" s="13"/>
      <c r="FA16" s="51"/>
      <c r="FB16" s="51"/>
      <c r="FC16" s="59"/>
      <c r="FD16" s="59"/>
      <c r="FE16" s="51">
        <f t="shared" si="100"/>
        <v>0</v>
      </c>
      <c r="FF16" s="93"/>
      <c r="FG16" s="51"/>
      <c r="FH16" s="51"/>
      <c r="FI16" s="93"/>
      <c r="FJ16" s="93"/>
      <c r="FK16" s="60"/>
      <c r="FL16" s="51"/>
      <c r="FM16" s="51"/>
      <c r="FN16" s="14"/>
    </row>
    <row r="17" spans="1:170">
      <c r="A17" s="13">
        <v>2020</v>
      </c>
      <c r="B17" s="13"/>
      <c r="C17" s="60">
        <v>5123374813.83</v>
      </c>
      <c r="D17" s="51">
        <f t="shared" si="101"/>
        <v>0.0959455191484949</v>
      </c>
      <c r="E17" s="60">
        <v>4066474772.09</v>
      </c>
      <c r="F17" s="60"/>
      <c r="G17" s="60">
        <v>3163314751.7</v>
      </c>
      <c r="H17" s="60">
        <v>58071354.48</v>
      </c>
      <c r="I17" s="49">
        <v>396987588.96</v>
      </c>
      <c r="J17" s="60">
        <v>280653551.38</v>
      </c>
      <c r="K17" s="60">
        <v>154130171.85</v>
      </c>
      <c r="L17" s="60">
        <v>13317353.72</v>
      </c>
      <c r="M17" s="60">
        <v>1168764469.56</v>
      </c>
      <c r="N17" s="60">
        <v>1130076526.92</v>
      </c>
      <c r="O17" s="60">
        <v>158704875.24</v>
      </c>
      <c r="P17" s="60">
        <v>971371651.68</v>
      </c>
      <c r="Q17" s="51"/>
      <c r="R17" s="59"/>
      <c r="S17" s="60"/>
      <c r="T17" s="60"/>
      <c r="U17" s="60"/>
      <c r="V17" s="60"/>
      <c r="W17" s="60"/>
      <c r="X17" s="60"/>
      <c r="Y17" s="60"/>
      <c r="Z17" s="60"/>
      <c r="AA17" s="51"/>
      <c r="AB17" s="73"/>
      <c r="AC17" s="60"/>
      <c r="AD17" s="73"/>
      <c r="AE17" s="51"/>
      <c r="AF17" s="76"/>
      <c r="AG17" s="76">
        <f t="shared" si="85"/>
        <v>0.79371018515237</v>
      </c>
      <c r="AH17" s="51">
        <f t="shared" si="86"/>
        <v>0.617427938936065</v>
      </c>
      <c r="AI17" s="51">
        <f t="shared" si="87"/>
        <v>0.0113345903023223</v>
      </c>
      <c r="AJ17" s="51">
        <f t="shared" si="88"/>
        <v>0.0774855643761168</v>
      </c>
      <c r="AK17" s="51">
        <f t="shared" si="89"/>
        <v>0.0547790395155954</v>
      </c>
      <c r="AL17" s="51">
        <f t="shared" si="90"/>
        <v>0.0300837197063822</v>
      </c>
      <c r="AM17" s="51">
        <f t="shared" si="91"/>
        <v>0.228123944085653</v>
      </c>
      <c r="AN17" s="51">
        <f t="shared" si="92"/>
        <v>0.220572682652356</v>
      </c>
      <c r="AO17" s="51">
        <f t="shared" si="93"/>
        <v>0.189596054744597</v>
      </c>
      <c r="AP17" s="73"/>
      <c r="AQ17" s="73"/>
      <c r="AR17" s="73"/>
      <c r="AS17" s="73"/>
      <c r="AT17" s="73"/>
      <c r="AU17" s="73"/>
      <c r="AV17" s="73"/>
      <c r="AW17" s="73"/>
      <c r="AX17" s="73"/>
      <c r="AY17" s="73"/>
      <c r="AZ17" s="51"/>
      <c r="BA17" s="51"/>
      <c r="BB17" s="51"/>
      <c r="BC17" s="51"/>
      <c r="BD17" s="51"/>
      <c r="BE17" s="73"/>
      <c r="BF17" s="73"/>
      <c r="BG17" s="73"/>
      <c r="BH17" s="73"/>
      <c r="BI17" s="73"/>
      <c r="BJ17" s="73"/>
      <c r="BK17" s="73"/>
      <c r="BL17" s="73"/>
      <c r="BM17" s="73"/>
      <c r="BN17" s="73"/>
      <c r="BO17" s="51"/>
      <c r="BP17" s="51"/>
      <c r="BQ17" s="51"/>
      <c r="BR17" s="51"/>
      <c r="BS17" s="51"/>
      <c r="BT17" s="73"/>
      <c r="BU17" s="73"/>
      <c r="BV17" s="73"/>
      <c r="BW17" s="73"/>
      <c r="BX17" s="73"/>
      <c r="BY17" s="73"/>
      <c r="BZ17" s="73"/>
      <c r="CA17" s="73"/>
      <c r="CB17" s="73"/>
      <c r="CC17" s="73"/>
      <c r="CD17" s="51"/>
      <c r="CE17" s="51"/>
      <c r="CF17" s="51"/>
      <c r="CG17" s="51"/>
      <c r="CH17" s="51"/>
      <c r="CI17" s="73"/>
      <c r="CJ17" s="73"/>
      <c r="CK17" s="73"/>
      <c r="CL17" s="73"/>
      <c r="CM17" s="73"/>
      <c r="CN17" s="73"/>
      <c r="CO17" s="73"/>
      <c r="CP17" s="73"/>
      <c r="CQ17" s="73"/>
      <c r="CR17" s="73"/>
      <c r="CS17" s="73"/>
      <c r="CT17" s="73"/>
      <c r="CU17" s="73"/>
      <c r="CV17" s="73"/>
      <c r="CW17" s="73"/>
      <c r="CX17" s="73"/>
      <c r="CY17" s="73"/>
      <c r="CZ17" s="73"/>
      <c r="DA17" s="73"/>
      <c r="DB17" s="73"/>
      <c r="DC17" s="73"/>
      <c r="DD17" s="73"/>
      <c r="DE17" s="73"/>
      <c r="DF17" s="73"/>
      <c r="DG17" s="73"/>
      <c r="DH17" s="73"/>
      <c r="DI17" s="73"/>
      <c r="DJ17" s="73"/>
      <c r="DK17" s="73"/>
      <c r="DL17" s="73"/>
      <c r="DM17" s="73"/>
      <c r="DN17" s="73"/>
      <c r="DO17" s="73"/>
      <c r="DP17" s="73"/>
      <c r="DQ17" s="73"/>
      <c r="DR17" s="51"/>
      <c r="DS17" s="51"/>
      <c r="DT17" s="51"/>
      <c r="DU17" s="51"/>
      <c r="DV17" s="51"/>
      <c r="DW17" s="51">
        <f t="shared" si="94"/>
        <v>0.140437281422477</v>
      </c>
      <c r="DX17" s="51">
        <f t="shared" si="95"/>
        <v>0.135788586471787</v>
      </c>
      <c r="DY17" s="59"/>
      <c r="DZ17" s="51">
        <f t="shared" si="96"/>
        <v>0</v>
      </c>
      <c r="EA17" s="51"/>
      <c r="EB17" s="51">
        <f t="shared" si="97"/>
        <v>0</v>
      </c>
      <c r="EC17" s="51" t="e">
        <f t="shared" si="98"/>
        <v>#DIV/0!</v>
      </c>
      <c r="ED17" s="51"/>
      <c r="EE17" s="51"/>
      <c r="EF17" s="51"/>
      <c r="EG17" s="51"/>
      <c r="EH17" s="90"/>
      <c r="EI17" s="90"/>
      <c r="EJ17" s="13"/>
      <c r="EK17" s="13"/>
      <c r="EL17" s="51"/>
      <c r="EM17" s="13"/>
      <c r="EN17" s="51"/>
      <c r="EO17" s="59"/>
      <c r="EP17" s="51">
        <f t="shared" si="99"/>
        <v>0</v>
      </c>
      <c r="EQ17" s="51"/>
      <c r="ER17" s="51"/>
      <c r="ES17" s="51"/>
      <c r="ET17" s="51"/>
      <c r="EU17" s="51"/>
      <c r="EV17" s="51"/>
      <c r="EW17" s="51"/>
      <c r="EX17" s="90"/>
      <c r="EY17" s="90"/>
      <c r="EZ17" s="13"/>
      <c r="FA17" s="51"/>
      <c r="FB17" s="51"/>
      <c r="FC17" s="59"/>
      <c r="FD17" s="59"/>
      <c r="FE17" s="51">
        <f t="shared" si="100"/>
        <v>0</v>
      </c>
      <c r="FF17" s="93"/>
      <c r="FG17" s="51"/>
      <c r="FH17" s="51"/>
      <c r="FI17" s="93"/>
      <c r="FJ17" s="93"/>
      <c r="FK17" s="60"/>
      <c r="FL17" s="51"/>
      <c r="FM17" s="51"/>
      <c r="FN17" s="14"/>
    </row>
    <row r="18" spans="1:170">
      <c r="A18" s="13">
        <v>2019</v>
      </c>
      <c r="B18" s="13"/>
      <c r="C18" s="60">
        <v>4674844437.35</v>
      </c>
      <c r="D18" s="51">
        <f t="shared" si="101"/>
        <v>0.12201698396675</v>
      </c>
      <c r="E18" s="60">
        <v>3834499268.75</v>
      </c>
      <c r="F18" s="60"/>
      <c r="G18" s="60">
        <v>2826059472.05</v>
      </c>
      <c r="H18" s="60">
        <v>60986903.06</v>
      </c>
      <c r="I18" s="49">
        <v>456289303.83</v>
      </c>
      <c r="J18" s="60">
        <v>295102319.26</v>
      </c>
      <c r="K18" s="60">
        <v>147189722.34</v>
      </c>
      <c r="L18" s="60">
        <v>48871548.21</v>
      </c>
      <c r="M18" s="60">
        <v>930945243.71</v>
      </c>
      <c r="N18" s="60">
        <v>928021905.68</v>
      </c>
      <c r="O18" s="60">
        <v>136691992.21</v>
      </c>
      <c r="P18" s="60">
        <v>791329913.47</v>
      </c>
      <c r="Q18" s="51"/>
      <c r="R18" s="59"/>
      <c r="S18" s="60"/>
      <c r="T18" s="60"/>
      <c r="U18" s="60"/>
      <c r="V18" s="60"/>
      <c r="W18" s="60"/>
      <c r="X18" s="60"/>
      <c r="Y18" s="60"/>
      <c r="Z18" s="60"/>
      <c r="AA18" s="51"/>
      <c r="AB18" s="73"/>
      <c r="AC18" s="60"/>
      <c r="AD18" s="73"/>
      <c r="AE18" s="51"/>
      <c r="AF18" s="76"/>
      <c r="AG18" s="76">
        <f t="shared" si="85"/>
        <v>0.820241041202141</v>
      </c>
      <c r="AH18" s="51">
        <f t="shared" si="86"/>
        <v>0.60452481572884</v>
      </c>
      <c r="AI18" s="51">
        <f t="shared" si="87"/>
        <v>0.0130457609611008</v>
      </c>
      <c r="AJ18" s="51">
        <f t="shared" si="88"/>
        <v>0.0976052379806362</v>
      </c>
      <c r="AK18" s="51">
        <f t="shared" si="89"/>
        <v>0.0631255912821952</v>
      </c>
      <c r="AL18" s="51">
        <f t="shared" si="90"/>
        <v>0.0314854802790906</v>
      </c>
      <c r="AM18" s="51">
        <f t="shared" si="91"/>
        <v>0.199139298897766</v>
      </c>
      <c r="AN18" s="51">
        <f t="shared" si="92"/>
        <v>0.198513965141921</v>
      </c>
      <c r="AO18" s="51">
        <f t="shared" si="93"/>
        <v>0.16927406335655</v>
      </c>
      <c r="AP18" s="73"/>
      <c r="AQ18" s="73"/>
      <c r="AR18" s="73"/>
      <c r="AS18" s="73"/>
      <c r="AT18" s="73"/>
      <c r="AU18" s="73"/>
      <c r="AV18" s="73"/>
      <c r="AW18" s="73"/>
      <c r="AX18" s="73"/>
      <c r="AY18" s="73"/>
      <c r="AZ18" s="51"/>
      <c r="BA18" s="51"/>
      <c r="BB18" s="51"/>
      <c r="BC18" s="51"/>
      <c r="BD18" s="51"/>
      <c r="BE18" s="73"/>
      <c r="BF18" s="73"/>
      <c r="BG18" s="73"/>
      <c r="BH18" s="73"/>
      <c r="BI18" s="73"/>
      <c r="BJ18" s="73"/>
      <c r="BK18" s="73"/>
      <c r="BL18" s="73"/>
      <c r="BM18" s="73"/>
      <c r="BN18" s="73"/>
      <c r="BO18" s="51"/>
      <c r="BP18" s="51"/>
      <c r="BQ18" s="51"/>
      <c r="BR18" s="51"/>
      <c r="BS18" s="51"/>
      <c r="BT18" s="73"/>
      <c r="BU18" s="73"/>
      <c r="BV18" s="73"/>
      <c r="BW18" s="73"/>
      <c r="BX18" s="73"/>
      <c r="BY18" s="73"/>
      <c r="BZ18" s="73"/>
      <c r="CA18" s="73"/>
      <c r="CB18" s="73"/>
      <c r="CC18" s="73"/>
      <c r="CD18" s="51"/>
      <c r="CE18" s="51"/>
      <c r="CF18" s="51"/>
      <c r="CG18" s="51"/>
      <c r="CH18" s="51"/>
      <c r="CI18" s="73"/>
      <c r="CJ18" s="73"/>
      <c r="CK18" s="73"/>
      <c r="CL18" s="73"/>
      <c r="CM18" s="73"/>
      <c r="CN18" s="73"/>
      <c r="CO18" s="73"/>
      <c r="CP18" s="73"/>
      <c r="CQ18" s="73"/>
      <c r="CR18" s="73"/>
      <c r="CS18" s="73"/>
      <c r="CT18" s="73"/>
      <c r="CU18" s="73"/>
      <c r="CV18" s="73"/>
      <c r="CW18" s="73"/>
      <c r="CX18" s="73"/>
      <c r="CY18" s="73"/>
      <c r="CZ18" s="73"/>
      <c r="DA18" s="73"/>
      <c r="DB18" s="73"/>
      <c r="DC18" s="73"/>
      <c r="DD18" s="73"/>
      <c r="DE18" s="73"/>
      <c r="DF18" s="73"/>
      <c r="DG18" s="73"/>
      <c r="DH18" s="73"/>
      <c r="DI18" s="73"/>
      <c r="DJ18" s="73"/>
      <c r="DK18" s="73"/>
      <c r="DL18" s="73"/>
      <c r="DM18" s="73"/>
      <c r="DN18" s="73"/>
      <c r="DO18" s="73"/>
      <c r="DP18" s="73"/>
      <c r="DQ18" s="73"/>
      <c r="DR18" s="51"/>
      <c r="DS18" s="51"/>
      <c r="DT18" s="51"/>
      <c r="DU18" s="51"/>
      <c r="DV18" s="51"/>
      <c r="DW18" s="51">
        <f t="shared" si="94"/>
        <v>0.147293928487432</v>
      </c>
      <c r="DX18" s="51">
        <f t="shared" si="95"/>
        <v>0.1468313986602</v>
      </c>
      <c r="DY18" s="59"/>
      <c r="DZ18" s="51">
        <f t="shared" si="96"/>
        <v>0</v>
      </c>
      <c r="EA18" s="51"/>
      <c r="EB18" s="51">
        <f t="shared" si="97"/>
        <v>0</v>
      </c>
      <c r="EC18" s="51" t="e">
        <f t="shared" si="98"/>
        <v>#DIV/0!</v>
      </c>
      <c r="ED18" s="51"/>
      <c r="EE18" s="51"/>
      <c r="EF18" s="51"/>
      <c r="EG18" s="51"/>
      <c r="EH18" s="90"/>
      <c r="EI18" s="90"/>
      <c r="EJ18" s="13"/>
      <c r="EK18" s="13"/>
      <c r="EL18" s="51"/>
      <c r="EM18" s="13"/>
      <c r="EN18" s="51"/>
      <c r="EO18" s="59"/>
      <c r="EP18" s="51">
        <f t="shared" si="99"/>
        <v>0</v>
      </c>
      <c r="EQ18" s="51"/>
      <c r="ER18" s="51"/>
      <c r="ES18" s="51"/>
      <c r="ET18" s="51"/>
      <c r="EU18" s="51"/>
      <c r="EV18" s="51"/>
      <c r="EW18" s="51"/>
      <c r="EX18" s="90"/>
      <c r="EY18" s="90"/>
      <c r="EZ18" s="13"/>
      <c r="FA18" s="51"/>
      <c r="FB18" s="51"/>
      <c r="FC18" s="59"/>
      <c r="FD18" s="59"/>
      <c r="FE18" s="51">
        <f t="shared" si="100"/>
        <v>0</v>
      </c>
      <c r="FF18" s="93"/>
      <c r="FG18" s="51"/>
      <c r="FH18" s="51"/>
      <c r="FI18" s="93"/>
      <c r="FJ18" s="93"/>
      <c r="FK18" s="60"/>
      <c r="FL18" s="51"/>
      <c r="FM18" s="51"/>
      <c r="FN18" s="14"/>
    </row>
    <row r="19" spans="1:170">
      <c r="A19" s="13">
        <v>2018</v>
      </c>
      <c r="B19" s="13"/>
      <c r="C19" s="60">
        <v>4166464950.31</v>
      </c>
      <c r="D19" s="51">
        <f t="shared" si="101"/>
        <v>0.154346322704087</v>
      </c>
      <c r="E19" s="60">
        <v>3489399802.6</v>
      </c>
      <c r="F19" s="60"/>
      <c r="G19" s="60">
        <v>2536752982.51</v>
      </c>
      <c r="H19" s="60">
        <v>69471930.17</v>
      </c>
      <c r="I19" s="49">
        <v>431287622.3</v>
      </c>
      <c r="J19" s="60">
        <v>275838076.26</v>
      </c>
      <c r="K19" s="60">
        <v>121868260.76</v>
      </c>
      <c r="L19" s="60">
        <v>54180930.6</v>
      </c>
      <c r="M19" s="60">
        <v>798545569.45</v>
      </c>
      <c r="N19" s="60">
        <v>792565637.37</v>
      </c>
      <c r="O19" s="60">
        <v>111327569.02</v>
      </c>
      <c r="P19" s="60">
        <v>681238068.35</v>
      </c>
      <c r="Q19" s="51"/>
      <c r="R19" s="59"/>
      <c r="S19" s="60"/>
      <c r="T19" s="60"/>
      <c r="U19" s="60"/>
      <c r="V19" s="60"/>
      <c r="W19" s="60"/>
      <c r="X19" s="60"/>
      <c r="Y19" s="60"/>
      <c r="Z19" s="60"/>
      <c r="AA19" s="51"/>
      <c r="AB19" s="73"/>
      <c r="AC19" s="60"/>
      <c r="AD19" s="73"/>
      <c r="AE19" s="51"/>
      <c r="AF19" s="76"/>
      <c r="AG19" s="76">
        <f t="shared" si="85"/>
        <v>0.837496497442124</v>
      </c>
      <c r="AH19" s="51">
        <f t="shared" si="86"/>
        <v>0.608850191412568</v>
      </c>
      <c r="AI19" s="51">
        <f t="shared" si="87"/>
        <v>0.0166740704646588</v>
      </c>
      <c r="AJ19" s="51">
        <f t="shared" si="88"/>
        <v>0.103514040666035</v>
      </c>
      <c r="AK19" s="51">
        <f t="shared" si="89"/>
        <v>0.0662043433821462</v>
      </c>
      <c r="AL19" s="51">
        <f t="shared" si="90"/>
        <v>0.0292497986214747</v>
      </c>
      <c r="AM19" s="51">
        <f t="shared" si="91"/>
        <v>0.191660215308084</v>
      </c>
      <c r="AN19" s="51">
        <f t="shared" si="92"/>
        <v>0.190224962125514</v>
      </c>
      <c r="AO19" s="51">
        <f t="shared" si="93"/>
        <v>0.163505051998413</v>
      </c>
      <c r="AP19" s="73"/>
      <c r="AQ19" s="73"/>
      <c r="AR19" s="73"/>
      <c r="AS19" s="73"/>
      <c r="AT19" s="73"/>
      <c r="AU19" s="73"/>
      <c r="AV19" s="73"/>
      <c r="AW19" s="73"/>
      <c r="AX19" s="73"/>
      <c r="AY19" s="73"/>
      <c r="AZ19" s="51"/>
      <c r="BA19" s="51"/>
      <c r="BB19" s="51"/>
      <c r="BC19" s="51"/>
      <c r="BD19" s="51"/>
      <c r="BE19" s="73"/>
      <c r="BF19" s="73"/>
      <c r="BG19" s="73"/>
      <c r="BH19" s="73"/>
      <c r="BI19" s="73"/>
      <c r="BJ19" s="73"/>
      <c r="BK19" s="73"/>
      <c r="BL19" s="73"/>
      <c r="BM19" s="73"/>
      <c r="BN19" s="73"/>
      <c r="BO19" s="51"/>
      <c r="BP19" s="51"/>
      <c r="BQ19" s="51"/>
      <c r="BR19" s="51"/>
      <c r="BS19" s="51"/>
      <c r="BT19" s="73"/>
      <c r="BU19" s="73"/>
      <c r="BV19" s="73"/>
      <c r="BW19" s="73"/>
      <c r="BX19" s="73"/>
      <c r="BY19" s="73"/>
      <c r="BZ19" s="73"/>
      <c r="CA19" s="73"/>
      <c r="CB19" s="73"/>
      <c r="CC19" s="73"/>
      <c r="CD19" s="51"/>
      <c r="CE19" s="51"/>
      <c r="CF19" s="51"/>
      <c r="CG19" s="51"/>
      <c r="CH19" s="51"/>
      <c r="CI19" s="73"/>
      <c r="CJ19" s="73"/>
      <c r="CK19" s="73"/>
      <c r="CL19" s="73"/>
      <c r="CM19" s="73"/>
      <c r="CN19" s="73"/>
      <c r="CO19" s="73"/>
      <c r="CP19" s="73"/>
      <c r="CQ19" s="73"/>
      <c r="CR19" s="73"/>
      <c r="CS19" s="73"/>
      <c r="CT19" s="73"/>
      <c r="CU19" s="73"/>
      <c r="CV19" s="73"/>
      <c r="CW19" s="73"/>
      <c r="CX19" s="73"/>
      <c r="CY19" s="73"/>
      <c r="CZ19" s="73"/>
      <c r="DA19" s="73"/>
      <c r="DB19" s="73"/>
      <c r="DC19" s="73"/>
      <c r="DD19" s="73"/>
      <c r="DE19" s="73"/>
      <c r="DF19" s="73"/>
      <c r="DG19" s="73"/>
      <c r="DH19" s="73"/>
      <c r="DI19" s="73"/>
      <c r="DJ19" s="73"/>
      <c r="DK19" s="73"/>
      <c r="DL19" s="73"/>
      <c r="DM19" s="73"/>
      <c r="DN19" s="73"/>
      <c r="DO19" s="73"/>
      <c r="DP19" s="73"/>
      <c r="DQ19" s="73"/>
      <c r="DR19" s="51"/>
      <c r="DS19" s="51"/>
      <c r="DT19" s="51"/>
      <c r="DU19" s="51"/>
      <c r="DV19" s="51"/>
      <c r="DW19" s="51">
        <f t="shared" si="94"/>
        <v>0.140464794044595</v>
      </c>
      <c r="DX19" s="51">
        <f t="shared" si="95"/>
        <v>0.139412919286093</v>
      </c>
      <c r="DY19" s="59"/>
      <c r="DZ19" s="51">
        <f t="shared" si="96"/>
        <v>0</v>
      </c>
      <c r="EA19" s="51"/>
      <c r="EB19" s="51">
        <f t="shared" si="97"/>
        <v>0</v>
      </c>
      <c r="EC19" s="51" t="e">
        <f t="shared" si="98"/>
        <v>#DIV/0!</v>
      </c>
      <c r="ED19" s="51"/>
      <c r="EE19" s="51"/>
      <c r="EF19" s="51"/>
      <c r="EG19" s="51"/>
      <c r="EH19" s="90"/>
      <c r="EI19" s="90"/>
      <c r="EJ19" s="13"/>
      <c r="EK19" s="13"/>
      <c r="EL19" s="51"/>
      <c r="EM19" s="13"/>
      <c r="EN19" s="51"/>
      <c r="EO19" s="59"/>
      <c r="EP19" s="51">
        <f t="shared" si="99"/>
        <v>0</v>
      </c>
      <c r="EQ19" s="51"/>
      <c r="ER19" s="51"/>
      <c r="ES19" s="51"/>
      <c r="ET19" s="51"/>
      <c r="EU19" s="51"/>
      <c r="EV19" s="51"/>
      <c r="EW19" s="51"/>
      <c r="EX19" s="90"/>
      <c r="EY19" s="90"/>
      <c r="EZ19" s="13"/>
      <c r="FA19" s="51"/>
      <c r="FB19" s="51"/>
      <c r="FC19" s="59"/>
      <c r="FD19" s="59"/>
      <c r="FE19" s="51">
        <f t="shared" si="100"/>
        <v>0</v>
      </c>
      <c r="FF19" s="93"/>
      <c r="FG19" s="51"/>
      <c r="FH19" s="51"/>
      <c r="FI19" s="93"/>
      <c r="FJ19" s="93"/>
      <c r="FK19" s="60"/>
      <c r="FL19" s="51"/>
      <c r="FM19" s="51"/>
      <c r="FN19" s="14"/>
    </row>
    <row r="20" spans="1:170">
      <c r="A20" s="13">
        <v>2017</v>
      </c>
      <c r="B20" s="13"/>
      <c r="C20" s="60">
        <v>3609371700.99</v>
      </c>
      <c r="D20" s="51">
        <f t="shared" si="101"/>
        <v>0.142933638506007</v>
      </c>
      <c r="E20" s="60">
        <v>3097741167.65</v>
      </c>
      <c r="F20" s="60"/>
      <c r="G20" s="60">
        <v>2191888497.77</v>
      </c>
      <c r="H20" s="60">
        <v>48204939.73</v>
      </c>
      <c r="I20" s="49">
        <v>426343808.79</v>
      </c>
      <c r="J20" s="60">
        <v>348081031.29</v>
      </c>
      <c r="K20" s="60"/>
      <c r="L20" s="60">
        <v>60447141.58</v>
      </c>
      <c r="M20" s="60">
        <v>611029991.65</v>
      </c>
      <c r="N20" s="60">
        <v>609177803.64</v>
      </c>
      <c r="O20" s="60">
        <v>97773235.58</v>
      </c>
      <c r="P20" s="60">
        <v>511404568.06</v>
      </c>
      <c r="Q20" s="51"/>
      <c r="R20" s="59"/>
      <c r="S20" s="60"/>
      <c r="T20" s="60"/>
      <c r="U20" s="60"/>
      <c r="V20" s="60"/>
      <c r="W20" s="60"/>
      <c r="X20" s="60"/>
      <c r="Y20" s="60"/>
      <c r="Z20" s="60"/>
      <c r="AA20" s="51"/>
      <c r="AB20" s="73"/>
      <c r="AC20" s="60"/>
      <c r="AD20" s="73"/>
      <c r="AE20" s="51"/>
      <c r="AF20" s="76"/>
      <c r="AG20" s="76">
        <f t="shared" si="85"/>
        <v>0.858249419642852</v>
      </c>
      <c r="AH20" s="51">
        <f t="shared" si="86"/>
        <v>0.60727702197277</v>
      </c>
      <c r="AI20" s="51">
        <f t="shared" si="87"/>
        <v>0.0133554933443896</v>
      </c>
      <c r="AJ20" s="51">
        <f t="shared" si="88"/>
        <v>0.118121336373602</v>
      </c>
      <c r="AK20" s="51">
        <f t="shared" si="89"/>
        <v>0.0964381227886633</v>
      </c>
      <c r="AL20" s="51">
        <f t="shared" si="90"/>
        <v>0</v>
      </c>
      <c r="AM20" s="51">
        <f t="shared" si="91"/>
        <v>0.169289849389134</v>
      </c>
      <c r="AN20" s="51">
        <f t="shared" si="92"/>
        <v>0.16877668860564</v>
      </c>
      <c r="AO20" s="51">
        <f t="shared" si="93"/>
        <v>0.141687975200706</v>
      </c>
      <c r="AP20" s="73"/>
      <c r="AQ20" s="73"/>
      <c r="AR20" s="73"/>
      <c r="AS20" s="73"/>
      <c r="AT20" s="73"/>
      <c r="AU20" s="73"/>
      <c r="AV20" s="73"/>
      <c r="AW20" s="73"/>
      <c r="AX20" s="73"/>
      <c r="AY20" s="73"/>
      <c r="AZ20" s="51"/>
      <c r="BA20" s="51"/>
      <c r="BB20" s="51"/>
      <c r="BC20" s="51"/>
      <c r="BD20" s="51"/>
      <c r="BE20" s="73"/>
      <c r="BF20" s="73"/>
      <c r="BG20" s="73"/>
      <c r="BH20" s="73"/>
      <c r="BI20" s="73"/>
      <c r="BJ20" s="73"/>
      <c r="BK20" s="73"/>
      <c r="BL20" s="73"/>
      <c r="BM20" s="73"/>
      <c r="BN20" s="73"/>
      <c r="BO20" s="51"/>
      <c r="BP20" s="51"/>
      <c r="BQ20" s="51"/>
      <c r="BR20" s="51"/>
      <c r="BS20" s="51"/>
      <c r="BT20" s="73"/>
      <c r="BU20" s="73"/>
      <c r="BV20" s="73"/>
      <c r="BW20" s="73"/>
      <c r="BX20" s="73"/>
      <c r="BY20" s="73"/>
      <c r="BZ20" s="73"/>
      <c r="CA20" s="73"/>
      <c r="CB20" s="73"/>
      <c r="CC20" s="73"/>
      <c r="CD20" s="51"/>
      <c r="CE20" s="51"/>
      <c r="CF20" s="51"/>
      <c r="CG20" s="51"/>
      <c r="CH20" s="51"/>
      <c r="CI20" s="73"/>
      <c r="CJ20" s="73"/>
      <c r="CK20" s="73"/>
      <c r="CL20" s="73"/>
      <c r="CM20" s="73"/>
      <c r="CN20" s="73"/>
      <c r="CO20" s="73"/>
      <c r="CP20" s="73"/>
      <c r="CQ20" s="73"/>
      <c r="CR20" s="73"/>
      <c r="CS20" s="73"/>
      <c r="CT20" s="73"/>
      <c r="CU20" s="73"/>
      <c r="CV20" s="73"/>
      <c r="CW20" s="73"/>
      <c r="CX20" s="73"/>
      <c r="CY20" s="73"/>
      <c r="CZ20" s="73"/>
      <c r="DA20" s="73"/>
      <c r="DB20" s="73"/>
      <c r="DC20" s="73"/>
      <c r="DD20" s="73"/>
      <c r="DE20" s="73"/>
      <c r="DF20" s="73"/>
      <c r="DG20" s="73"/>
      <c r="DH20" s="73"/>
      <c r="DI20" s="73"/>
      <c r="DJ20" s="73"/>
      <c r="DK20" s="73"/>
      <c r="DL20" s="73"/>
      <c r="DM20" s="73"/>
      <c r="DN20" s="73"/>
      <c r="DO20" s="73"/>
      <c r="DP20" s="73"/>
      <c r="DQ20" s="73"/>
      <c r="DR20" s="51"/>
      <c r="DS20" s="51"/>
      <c r="DT20" s="51"/>
      <c r="DU20" s="51"/>
      <c r="DV20" s="51"/>
      <c r="DW20" s="51">
        <f t="shared" si="94"/>
        <v>0.160500325185486</v>
      </c>
      <c r="DX20" s="51">
        <f t="shared" si="95"/>
        <v>0.160013807695392</v>
      </c>
      <c r="DY20" s="59"/>
      <c r="DZ20" s="51">
        <f t="shared" si="96"/>
        <v>0</v>
      </c>
      <c r="EA20" s="51"/>
      <c r="EB20" s="51">
        <f t="shared" si="97"/>
        <v>0</v>
      </c>
      <c r="EC20" s="51" t="e">
        <f t="shared" si="98"/>
        <v>#DIV/0!</v>
      </c>
      <c r="ED20" s="51"/>
      <c r="EE20" s="51"/>
      <c r="EF20" s="51"/>
      <c r="EG20" s="51"/>
      <c r="EH20" s="90"/>
      <c r="EI20" s="90"/>
      <c r="EJ20" s="13"/>
      <c r="EK20" s="13"/>
      <c r="EL20" s="51"/>
      <c r="EM20" s="13"/>
      <c r="EN20" s="51"/>
      <c r="EO20" s="59"/>
      <c r="EP20" s="51">
        <f t="shared" si="99"/>
        <v>0</v>
      </c>
      <c r="EQ20" s="51"/>
      <c r="ER20" s="51"/>
      <c r="ES20" s="51"/>
      <c r="ET20" s="51"/>
      <c r="EU20" s="51"/>
      <c r="EV20" s="51"/>
      <c r="EW20" s="51"/>
      <c r="EX20" s="90"/>
      <c r="EY20" s="90"/>
      <c r="EZ20" s="13"/>
      <c r="FA20" s="51"/>
      <c r="FB20" s="51"/>
      <c r="FC20" s="59"/>
      <c r="FD20" s="59"/>
      <c r="FE20" s="51">
        <f t="shared" si="100"/>
        <v>0</v>
      </c>
      <c r="FF20" s="93"/>
      <c r="FG20" s="51"/>
      <c r="FH20" s="51"/>
      <c r="FI20" s="93"/>
      <c r="FJ20" s="93"/>
      <c r="FK20" s="60"/>
      <c r="FL20" s="51"/>
      <c r="FM20" s="51"/>
      <c r="FN20" s="14"/>
    </row>
    <row r="21" spans="1:170">
      <c r="A21" s="13">
        <v>2016</v>
      </c>
      <c r="B21" s="13"/>
      <c r="C21" s="60">
        <v>3157988862.51</v>
      </c>
      <c r="D21" s="51">
        <f t="shared" si="101"/>
        <v>0.144785649301856</v>
      </c>
      <c r="E21" s="60">
        <v>2735988306.5</v>
      </c>
      <c r="F21" s="60"/>
      <c r="G21" s="60">
        <v>1999375701.46</v>
      </c>
      <c r="H21" s="60">
        <v>41681585.92</v>
      </c>
      <c r="I21" s="49">
        <v>275356128.36</v>
      </c>
      <c r="J21" s="60">
        <v>348943660.53</v>
      </c>
      <c r="K21" s="60"/>
      <c r="L21" s="60">
        <v>63247203.54</v>
      </c>
      <c r="M21" s="60">
        <v>467390978.29</v>
      </c>
      <c r="N21" s="60">
        <v>486262492.39</v>
      </c>
      <c r="O21" s="60">
        <v>75998454.21</v>
      </c>
      <c r="P21" s="60">
        <v>410264038.18</v>
      </c>
      <c r="Q21" s="51"/>
      <c r="R21" s="59"/>
      <c r="S21" s="60"/>
      <c r="T21" s="60"/>
      <c r="U21" s="60"/>
      <c r="V21" s="60"/>
      <c r="W21" s="60"/>
      <c r="X21" s="60"/>
      <c r="Y21" s="60"/>
      <c r="Z21" s="60"/>
      <c r="AA21" s="51"/>
      <c r="AB21" s="73"/>
      <c r="AC21" s="60"/>
      <c r="AD21" s="73"/>
      <c r="AE21" s="51"/>
      <c r="AF21" s="76"/>
      <c r="AG21" s="76">
        <f t="shared" si="85"/>
        <v>0.866370473620167</v>
      </c>
      <c r="AH21" s="51">
        <f t="shared" si="86"/>
        <v>0.633116767825101</v>
      </c>
      <c r="AI21" s="51">
        <f t="shared" si="87"/>
        <v>0.0131987754658739</v>
      </c>
      <c r="AJ21" s="51">
        <f t="shared" si="88"/>
        <v>0.0871935083840493</v>
      </c>
      <c r="AK21" s="51">
        <f t="shared" si="89"/>
        <v>0.110495532353669</v>
      </c>
      <c r="AL21" s="51">
        <f t="shared" si="90"/>
        <v>0</v>
      </c>
      <c r="AM21" s="51">
        <f t="shared" si="91"/>
        <v>0.148002731687443</v>
      </c>
      <c r="AN21" s="51">
        <f t="shared" si="92"/>
        <v>0.15397853303495</v>
      </c>
      <c r="AO21" s="51">
        <f t="shared" si="93"/>
        <v>0.129913073174653</v>
      </c>
      <c r="AP21" s="73"/>
      <c r="AQ21" s="73"/>
      <c r="AR21" s="73"/>
      <c r="AS21" s="73"/>
      <c r="AT21" s="73"/>
      <c r="AU21" s="73"/>
      <c r="AV21" s="73"/>
      <c r="AW21" s="73"/>
      <c r="AX21" s="73"/>
      <c r="AY21" s="73"/>
      <c r="AZ21" s="51"/>
      <c r="BA21" s="51"/>
      <c r="BB21" s="51"/>
      <c r="BC21" s="51"/>
      <c r="BD21" s="51"/>
      <c r="BE21" s="73"/>
      <c r="BF21" s="73"/>
      <c r="BG21" s="73"/>
      <c r="BH21" s="73"/>
      <c r="BI21" s="73"/>
      <c r="BJ21" s="73"/>
      <c r="BK21" s="73"/>
      <c r="BL21" s="73"/>
      <c r="BM21" s="73"/>
      <c r="BN21" s="73"/>
      <c r="BO21" s="51"/>
      <c r="BP21" s="51"/>
      <c r="BQ21" s="51"/>
      <c r="BR21" s="51"/>
      <c r="BS21" s="51"/>
      <c r="BT21" s="73"/>
      <c r="BU21" s="73"/>
      <c r="BV21" s="73"/>
      <c r="BW21" s="73"/>
      <c r="BX21" s="73"/>
      <c r="BY21" s="73"/>
      <c r="BZ21" s="73"/>
      <c r="CA21" s="73"/>
      <c r="CB21" s="73"/>
      <c r="CC21" s="73"/>
      <c r="CD21" s="51"/>
      <c r="CE21" s="51"/>
      <c r="CF21" s="51"/>
      <c r="CG21" s="51"/>
      <c r="CH21" s="51"/>
      <c r="CI21" s="73"/>
      <c r="CJ21" s="73"/>
      <c r="CK21" s="73"/>
      <c r="CL21" s="73"/>
      <c r="CM21" s="73"/>
      <c r="CN21" s="73"/>
      <c r="CO21" s="73"/>
      <c r="CP21" s="73"/>
      <c r="CQ21" s="73"/>
      <c r="CR21" s="73"/>
      <c r="CS21" s="73"/>
      <c r="CT21" s="73"/>
      <c r="CU21" s="73"/>
      <c r="CV21" s="73"/>
      <c r="CW21" s="73"/>
      <c r="CX21" s="73"/>
      <c r="CY21" s="73"/>
      <c r="CZ21" s="73"/>
      <c r="DA21" s="73"/>
      <c r="DB21" s="73"/>
      <c r="DC21" s="73"/>
      <c r="DD21" s="73"/>
      <c r="DE21" s="73"/>
      <c r="DF21" s="73"/>
      <c r="DG21" s="73"/>
      <c r="DH21" s="73"/>
      <c r="DI21" s="73"/>
      <c r="DJ21" s="73"/>
      <c r="DK21" s="73"/>
      <c r="DL21" s="73"/>
      <c r="DM21" s="73"/>
      <c r="DN21" s="73"/>
      <c r="DO21" s="73"/>
      <c r="DP21" s="73"/>
      <c r="DQ21" s="73"/>
      <c r="DR21" s="51"/>
      <c r="DS21" s="51"/>
      <c r="DT21" s="51"/>
      <c r="DU21" s="51"/>
      <c r="DV21" s="51"/>
      <c r="DW21" s="51">
        <f t="shared" si="94"/>
        <v>0.156291006193927</v>
      </c>
      <c r="DX21" s="51">
        <f t="shared" si="95"/>
        <v>0.162601457323906</v>
      </c>
      <c r="DY21" s="59"/>
      <c r="DZ21" s="51">
        <f t="shared" si="96"/>
        <v>0</v>
      </c>
      <c r="EA21" s="51"/>
      <c r="EB21" s="51">
        <f t="shared" si="97"/>
        <v>0</v>
      </c>
      <c r="EC21" s="51" t="e">
        <f t="shared" si="98"/>
        <v>#DIV/0!</v>
      </c>
      <c r="ED21" s="51"/>
      <c r="EE21" s="51"/>
      <c r="EF21" s="51"/>
      <c r="EG21" s="51"/>
      <c r="EH21" s="90"/>
      <c r="EI21" s="90"/>
      <c r="EJ21" s="13"/>
      <c r="EK21" s="13"/>
      <c r="EL21" s="51"/>
      <c r="EM21" s="13"/>
      <c r="EN21" s="51"/>
      <c r="EO21" s="59"/>
      <c r="EP21" s="51">
        <f t="shared" si="99"/>
        <v>0</v>
      </c>
      <c r="EQ21" s="51"/>
      <c r="ER21" s="51"/>
      <c r="ES21" s="51"/>
      <c r="ET21" s="51"/>
      <c r="EU21" s="51"/>
      <c r="EV21" s="51"/>
      <c r="EW21" s="51"/>
      <c r="EX21" s="90"/>
      <c r="EY21" s="90"/>
      <c r="EZ21" s="13"/>
      <c r="FA21" s="51"/>
      <c r="FB21" s="51"/>
      <c r="FC21" s="59"/>
      <c r="FD21" s="59"/>
      <c r="FE21" s="51">
        <f t="shared" si="100"/>
        <v>0</v>
      </c>
      <c r="FF21" s="93"/>
      <c r="FG21" s="51"/>
      <c r="FH21" s="51"/>
      <c r="FI21" s="93"/>
      <c r="FJ21" s="93"/>
      <c r="FK21" s="60"/>
      <c r="FL21" s="51"/>
      <c r="FM21" s="51"/>
      <c r="FN21" s="14"/>
    </row>
    <row r="22" spans="1:170">
      <c r="A22" s="13">
        <v>2015</v>
      </c>
      <c r="B22" s="13"/>
      <c r="C22" s="60">
        <v>2758585298.86</v>
      </c>
      <c r="D22" s="51">
        <f t="shared" si="101"/>
        <v>0.0441684194682816</v>
      </c>
      <c r="E22" s="60">
        <v>2486714457.66</v>
      </c>
      <c r="F22" s="60"/>
      <c r="G22" s="60">
        <v>1791235863.03</v>
      </c>
      <c r="H22" s="60">
        <v>29457220.43</v>
      </c>
      <c r="I22" s="49">
        <v>270375444.3</v>
      </c>
      <c r="J22" s="60">
        <v>331331465.35</v>
      </c>
      <c r="K22" s="60"/>
      <c r="L22" s="60">
        <v>61164838.68</v>
      </c>
      <c r="M22" s="60">
        <v>300808951.67</v>
      </c>
      <c r="N22" s="60">
        <v>339119271.56</v>
      </c>
      <c r="O22" s="60">
        <v>65056564.18</v>
      </c>
      <c r="P22" s="60">
        <v>274062707.38</v>
      </c>
      <c r="Q22" s="51"/>
      <c r="R22" s="59"/>
      <c r="S22" s="60"/>
      <c r="T22" s="60"/>
      <c r="U22" s="60"/>
      <c r="V22" s="60"/>
      <c r="W22" s="60"/>
      <c r="X22" s="60"/>
      <c r="Y22" s="60"/>
      <c r="Z22" s="60"/>
      <c r="AA22" s="51"/>
      <c r="AB22" s="73"/>
      <c r="AC22" s="60"/>
      <c r="AD22" s="73"/>
      <c r="AE22" s="51"/>
      <c r="AF22" s="76"/>
      <c r="AG22" s="76">
        <f t="shared" si="85"/>
        <v>0.901445555693945</v>
      </c>
      <c r="AH22" s="51">
        <f t="shared" si="86"/>
        <v>0.64933133072602</v>
      </c>
      <c r="AI22" s="51">
        <f t="shared" si="87"/>
        <v>0.0106783794005476</v>
      </c>
      <c r="AJ22" s="51">
        <f t="shared" si="88"/>
        <v>0.0980123559752653</v>
      </c>
      <c r="AK22" s="51">
        <f t="shared" si="89"/>
        <v>0.120109197089872</v>
      </c>
      <c r="AL22" s="51">
        <f t="shared" si="90"/>
        <v>0</v>
      </c>
      <c r="AM22" s="51">
        <f t="shared" si="91"/>
        <v>0.109044643931914</v>
      </c>
      <c r="AN22" s="51">
        <f t="shared" si="92"/>
        <v>0.122932313059213</v>
      </c>
      <c r="AO22" s="51">
        <f t="shared" si="93"/>
        <v>0.0993490059898666</v>
      </c>
      <c r="AP22" s="73"/>
      <c r="AQ22" s="73"/>
      <c r="AR22" s="73"/>
      <c r="AS22" s="73"/>
      <c r="AT22" s="73"/>
      <c r="AU22" s="73"/>
      <c r="AV22" s="73"/>
      <c r="AW22" s="73"/>
      <c r="AX22" s="73"/>
      <c r="AY22" s="73"/>
      <c r="AZ22" s="51"/>
      <c r="BA22" s="51"/>
      <c r="BB22" s="51"/>
      <c r="BC22" s="51"/>
      <c r="BD22" s="51"/>
      <c r="BE22" s="73"/>
      <c r="BF22" s="73"/>
      <c r="BG22" s="73"/>
      <c r="BH22" s="73"/>
      <c r="BI22" s="73"/>
      <c r="BJ22" s="73"/>
      <c r="BK22" s="73"/>
      <c r="BL22" s="73"/>
      <c r="BM22" s="73"/>
      <c r="BN22" s="73"/>
      <c r="BO22" s="51"/>
      <c r="BP22" s="51"/>
      <c r="BQ22" s="51"/>
      <c r="BR22" s="51"/>
      <c r="BS22" s="51"/>
      <c r="BT22" s="73"/>
      <c r="BU22" s="73"/>
      <c r="BV22" s="73"/>
      <c r="BW22" s="73"/>
      <c r="BX22" s="73"/>
      <c r="BY22" s="73"/>
      <c r="BZ22" s="73"/>
      <c r="CA22" s="73"/>
      <c r="CB22" s="73"/>
      <c r="CC22" s="73"/>
      <c r="CD22" s="51"/>
      <c r="CE22" s="51"/>
      <c r="CF22" s="51"/>
      <c r="CG22" s="51"/>
      <c r="CH22" s="51"/>
      <c r="CI22" s="73"/>
      <c r="CJ22" s="73"/>
      <c r="CK22" s="73"/>
      <c r="CL22" s="73"/>
      <c r="CM22" s="73"/>
      <c r="CN22" s="73"/>
      <c r="CO22" s="73"/>
      <c r="CP22" s="73"/>
      <c r="CQ22" s="73"/>
      <c r="CR22" s="73"/>
      <c r="CS22" s="73"/>
      <c r="CT22" s="73"/>
      <c r="CU22" s="73"/>
      <c r="CV22" s="73"/>
      <c r="CW22" s="73"/>
      <c r="CX22" s="73"/>
      <c r="CY22" s="73"/>
      <c r="CZ22" s="73"/>
      <c r="DA22" s="73"/>
      <c r="DB22" s="73"/>
      <c r="DC22" s="73"/>
      <c r="DD22" s="73"/>
      <c r="DE22" s="73"/>
      <c r="DF22" s="73"/>
      <c r="DG22" s="73"/>
      <c r="DH22" s="73"/>
      <c r="DI22" s="73"/>
      <c r="DJ22" s="73"/>
      <c r="DK22" s="73"/>
      <c r="DL22" s="73"/>
      <c r="DM22" s="73"/>
      <c r="DN22" s="73"/>
      <c r="DO22" s="73"/>
      <c r="DP22" s="73"/>
      <c r="DQ22" s="73"/>
      <c r="DR22" s="51"/>
      <c r="DS22" s="51"/>
      <c r="DT22" s="51"/>
      <c r="DU22" s="51"/>
      <c r="DV22" s="51"/>
      <c r="DW22" s="51">
        <f t="shared" si="94"/>
        <v>0.191839773306689</v>
      </c>
      <c r="DX22" s="51">
        <f t="shared" si="95"/>
        <v>0.216272035186538</v>
      </c>
      <c r="DY22" s="59"/>
      <c r="DZ22" s="51">
        <f t="shared" si="96"/>
        <v>0</v>
      </c>
      <c r="EA22" s="51"/>
      <c r="EB22" s="51">
        <f t="shared" si="97"/>
        <v>0</v>
      </c>
      <c r="EC22" s="51" t="e">
        <f t="shared" si="98"/>
        <v>#DIV/0!</v>
      </c>
      <c r="ED22" s="51"/>
      <c r="EE22" s="51"/>
      <c r="EF22" s="51"/>
      <c r="EG22" s="51"/>
      <c r="EH22" s="90"/>
      <c r="EI22" s="90"/>
      <c r="EJ22" s="13"/>
      <c r="EK22" s="13"/>
      <c r="EL22" s="51"/>
      <c r="EM22" s="13"/>
      <c r="EN22" s="51"/>
      <c r="EO22" s="59"/>
      <c r="EP22" s="51">
        <f t="shared" si="99"/>
        <v>0</v>
      </c>
      <c r="EQ22" s="51"/>
      <c r="ER22" s="51"/>
      <c r="ES22" s="51"/>
      <c r="ET22" s="51"/>
      <c r="EU22" s="51"/>
      <c r="EV22" s="51"/>
      <c r="EW22" s="51"/>
      <c r="EX22" s="90"/>
      <c r="EY22" s="90"/>
      <c r="EZ22" s="13"/>
      <c r="FA22" s="51"/>
      <c r="FB22" s="51"/>
      <c r="FC22" s="59"/>
      <c r="FD22" s="59"/>
      <c r="FE22" s="51">
        <f t="shared" si="100"/>
        <v>0</v>
      </c>
      <c r="FF22" s="93"/>
      <c r="FG22" s="51"/>
      <c r="FH22" s="51"/>
      <c r="FI22" s="93"/>
      <c r="FJ22" s="93"/>
      <c r="FK22" s="60"/>
      <c r="FL22" s="51"/>
      <c r="FM22" s="51"/>
      <c r="FN22" s="14"/>
    </row>
    <row r="23" spans="1:170">
      <c r="A23" s="13">
        <v>2014</v>
      </c>
      <c r="B23" s="13"/>
      <c r="C23" s="60">
        <v>2641896888.88</v>
      </c>
      <c r="D23" s="51">
        <f t="shared" si="101"/>
        <v>0.139637431020141</v>
      </c>
      <c r="E23" s="60">
        <v>2329690792.25</v>
      </c>
      <c r="F23" s="60"/>
      <c r="G23" s="60">
        <v>1731095659.02</v>
      </c>
      <c r="H23" s="60">
        <v>45245619.17</v>
      </c>
      <c r="I23" s="49">
        <v>230995802.07</v>
      </c>
      <c r="J23" s="60">
        <v>288307740.26</v>
      </c>
      <c r="K23" s="60"/>
      <c r="L23" s="60">
        <v>33214100.66</v>
      </c>
      <c r="M23" s="60">
        <v>322787675.72</v>
      </c>
      <c r="N23" s="60">
        <v>344024306.1</v>
      </c>
      <c r="O23" s="60">
        <v>51394587.66</v>
      </c>
      <c r="P23" s="60">
        <v>292629718.44</v>
      </c>
      <c r="Q23" s="51"/>
      <c r="R23" s="59"/>
      <c r="S23" s="60"/>
      <c r="T23" s="60"/>
      <c r="U23" s="60"/>
      <c r="V23" s="60"/>
      <c r="W23" s="60"/>
      <c r="X23" s="60"/>
      <c r="Y23" s="60"/>
      <c r="Z23" s="60"/>
      <c r="AA23" s="51"/>
      <c r="AB23" s="73"/>
      <c r="AC23" s="60"/>
      <c r="AD23" s="73"/>
      <c r="AE23" s="51"/>
      <c r="AF23" s="76"/>
      <c r="AG23" s="76">
        <f t="shared" si="85"/>
        <v>0.881825025819855</v>
      </c>
      <c r="AH23" s="51">
        <f t="shared" si="86"/>
        <v>0.655247245381282</v>
      </c>
      <c r="AI23" s="51">
        <f t="shared" si="87"/>
        <v>0.0171261866276626</v>
      </c>
      <c r="AJ23" s="51">
        <f t="shared" si="88"/>
        <v>0.0874355857877284</v>
      </c>
      <c r="AK23" s="51">
        <f t="shared" si="89"/>
        <v>0.109129066116666</v>
      </c>
      <c r="AL23" s="51">
        <f t="shared" si="90"/>
        <v>0</v>
      </c>
      <c r="AM23" s="51">
        <f t="shared" si="91"/>
        <v>0.122180270198525</v>
      </c>
      <c r="AN23" s="51">
        <f t="shared" si="92"/>
        <v>0.130218672631787</v>
      </c>
      <c r="AO23" s="51">
        <f t="shared" si="93"/>
        <v>0.110765003612256</v>
      </c>
      <c r="AP23" s="73"/>
      <c r="AQ23" s="73"/>
      <c r="AR23" s="73"/>
      <c r="AS23" s="73"/>
      <c r="AT23" s="73"/>
      <c r="AU23" s="73"/>
      <c r="AV23" s="73"/>
      <c r="AW23" s="73"/>
      <c r="AX23" s="73"/>
      <c r="AY23" s="73"/>
      <c r="AZ23" s="51"/>
      <c r="BA23" s="51"/>
      <c r="BB23" s="51"/>
      <c r="BC23" s="51"/>
      <c r="BD23" s="51"/>
      <c r="BE23" s="73"/>
      <c r="BF23" s="73"/>
      <c r="BG23" s="73"/>
      <c r="BH23" s="73"/>
      <c r="BI23" s="73"/>
      <c r="BJ23" s="73"/>
      <c r="BK23" s="73"/>
      <c r="BL23" s="73"/>
      <c r="BM23" s="73"/>
      <c r="BN23" s="73"/>
      <c r="BO23" s="51"/>
      <c r="BP23" s="51"/>
      <c r="BQ23" s="51"/>
      <c r="BR23" s="51"/>
      <c r="BS23" s="51"/>
      <c r="BT23" s="73"/>
      <c r="BU23" s="73"/>
      <c r="BV23" s="73"/>
      <c r="BW23" s="73"/>
      <c r="BX23" s="73"/>
      <c r="BY23" s="73"/>
      <c r="BZ23" s="73"/>
      <c r="CA23" s="73"/>
      <c r="CB23" s="73"/>
      <c r="CC23" s="73"/>
      <c r="CD23" s="51"/>
      <c r="CE23" s="51"/>
      <c r="CF23" s="51"/>
      <c r="CG23" s="51"/>
      <c r="CH23" s="51"/>
      <c r="CI23" s="73"/>
      <c r="CJ23" s="73"/>
      <c r="CK23" s="73"/>
      <c r="CL23" s="73"/>
      <c r="CM23" s="73"/>
      <c r="CN23" s="73"/>
      <c r="CO23" s="73"/>
      <c r="CP23" s="73"/>
      <c r="CQ23" s="73"/>
      <c r="CR23" s="73"/>
      <c r="CS23" s="73"/>
      <c r="CT23" s="73"/>
      <c r="CU23" s="73"/>
      <c r="CV23" s="73"/>
      <c r="CW23" s="73"/>
      <c r="CX23" s="73"/>
      <c r="CY23" s="73"/>
      <c r="CZ23" s="73"/>
      <c r="DA23" s="73"/>
      <c r="DB23" s="73"/>
      <c r="DC23" s="73"/>
      <c r="DD23" s="73"/>
      <c r="DE23" s="73"/>
      <c r="DF23" s="73"/>
      <c r="DG23" s="73"/>
      <c r="DH23" s="73"/>
      <c r="DI23" s="73"/>
      <c r="DJ23" s="73"/>
      <c r="DK23" s="73"/>
      <c r="DL23" s="73"/>
      <c r="DM23" s="73"/>
      <c r="DN23" s="73"/>
      <c r="DO23" s="73"/>
      <c r="DP23" s="73"/>
      <c r="DQ23" s="73"/>
      <c r="DR23" s="51"/>
      <c r="DS23" s="51"/>
      <c r="DT23" s="51"/>
      <c r="DU23" s="51"/>
      <c r="DV23" s="51"/>
      <c r="DW23" s="51">
        <f t="shared" si="94"/>
        <v>0.149392315451864</v>
      </c>
      <c r="DX23" s="51">
        <f t="shared" si="95"/>
        <v>0.159221034524818</v>
      </c>
      <c r="DY23" s="59"/>
      <c r="DZ23" s="51">
        <f t="shared" si="96"/>
        <v>0</v>
      </c>
      <c r="EA23" s="51"/>
      <c r="EB23" s="51">
        <f t="shared" si="97"/>
        <v>0</v>
      </c>
      <c r="EC23" s="51" t="e">
        <f t="shared" si="98"/>
        <v>#DIV/0!</v>
      </c>
      <c r="ED23" s="51"/>
      <c r="EE23" s="51"/>
      <c r="EF23" s="51"/>
      <c r="EG23" s="51"/>
      <c r="EH23" s="90"/>
      <c r="EI23" s="90"/>
      <c r="EJ23" s="13"/>
      <c r="EK23" s="13"/>
      <c r="EL23" s="51"/>
      <c r="EM23" s="13"/>
      <c r="EN23" s="51"/>
      <c r="EO23" s="59"/>
      <c r="EP23" s="51">
        <f t="shared" si="99"/>
        <v>0</v>
      </c>
      <c r="EQ23" s="51"/>
      <c r="ER23" s="51"/>
      <c r="ES23" s="51"/>
      <c r="ET23" s="51"/>
      <c r="EU23" s="51"/>
      <c r="EV23" s="51"/>
      <c r="EW23" s="51"/>
      <c r="EX23" s="90"/>
      <c r="EY23" s="90"/>
      <c r="EZ23" s="13"/>
      <c r="FA23" s="51"/>
      <c r="FB23" s="51"/>
      <c r="FC23" s="59"/>
      <c r="FD23" s="59"/>
      <c r="FE23" s="51">
        <f t="shared" si="100"/>
        <v>0</v>
      </c>
      <c r="FF23" s="93"/>
      <c r="FG23" s="51"/>
      <c r="FH23" s="51"/>
      <c r="FI23" s="93"/>
      <c r="FJ23" s="93"/>
      <c r="FK23" s="60"/>
      <c r="FL23" s="51"/>
      <c r="FM23" s="51"/>
      <c r="FN23" s="14"/>
    </row>
    <row r="24" spans="1:170">
      <c r="A24" s="13">
        <v>2013</v>
      </c>
      <c r="B24" s="13"/>
      <c r="C24" s="60">
        <v>2318190695.54</v>
      </c>
      <c r="D24" s="51">
        <f t="shared" si="101"/>
        <v>0.321404611520922</v>
      </c>
      <c r="E24" s="60">
        <v>2075917816.89</v>
      </c>
      <c r="F24" s="60"/>
      <c r="G24" s="60">
        <v>1592757028.23</v>
      </c>
      <c r="H24" s="60">
        <v>37720238.9</v>
      </c>
      <c r="I24" s="49">
        <v>185459727.61</v>
      </c>
      <c r="J24" s="60">
        <v>225358687.3</v>
      </c>
      <c r="K24" s="60"/>
      <c r="L24" s="60">
        <v>33833713.16</v>
      </c>
      <c r="M24" s="60">
        <v>254249235.99</v>
      </c>
      <c r="N24" s="60">
        <v>262357521.58</v>
      </c>
      <c r="O24" s="60">
        <v>42004915.4</v>
      </c>
      <c r="P24" s="60">
        <v>220352606.18</v>
      </c>
      <c r="Q24" s="51"/>
      <c r="R24" s="59"/>
      <c r="S24" s="60"/>
      <c r="T24" s="60"/>
      <c r="U24" s="60"/>
      <c r="V24" s="60"/>
      <c r="W24" s="60"/>
      <c r="X24" s="60"/>
      <c r="Y24" s="60"/>
      <c r="Z24" s="60"/>
      <c r="AA24" s="51"/>
      <c r="AB24" s="73"/>
      <c r="AC24" s="60"/>
      <c r="AD24" s="73"/>
      <c r="AE24" s="51"/>
      <c r="AF24" s="76"/>
      <c r="AG24" s="76">
        <f t="shared" si="85"/>
        <v>0.895490530992074</v>
      </c>
      <c r="AH24" s="51">
        <f t="shared" si="86"/>
        <v>0.687069028140924</v>
      </c>
      <c r="AI24" s="51">
        <f t="shared" si="87"/>
        <v>0.0162714132933803</v>
      </c>
      <c r="AJ24" s="51">
        <f t="shared" si="88"/>
        <v>0.0800019290763304</v>
      </c>
      <c r="AK24" s="51">
        <f t="shared" si="89"/>
        <v>0.0972131791114384</v>
      </c>
      <c r="AL24" s="51">
        <f t="shared" si="90"/>
        <v>0</v>
      </c>
      <c r="AM24" s="51">
        <f t="shared" si="91"/>
        <v>0.109675721017755</v>
      </c>
      <c r="AN24" s="51">
        <f t="shared" si="92"/>
        <v>0.113173399446712</v>
      </c>
      <c r="AO24" s="51">
        <f t="shared" si="93"/>
        <v>0.095053701407714</v>
      </c>
      <c r="AP24" s="73"/>
      <c r="AQ24" s="73"/>
      <c r="AR24" s="73"/>
      <c r="AS24" s="73"/>
      <c r="AT24" s="73"/>
      <c r="AU24" s="73"/>
      <c r="AV24" s="73"/>
      <c r="AW24" s="73"/>
      <c r="AX24" s="73"/>
      <c r="AY24" s="73"/>
      <c r="AZ24" s="51"/>
      <c r="BA24" s="51"/>
      <c r="BB24" s="51"/>
      <c r="BC24" s="51"/>
      <c r="BD24" s="51"/>
      <c r="BE24" s="73"/>
      <c r="BF24" s="73"/>
      <c r="BG24" s="73"/>
      <c r="BH24" s="73"/>
      <c r="BI24" s="73"/>
      <c r="BJ24" s="73"/>
      <c r="BK24" s="73"/>
      <c r="BL24" s="73"/>
      <c r="BM24" s="73"/>
      <c r="BN24" s="73"/>
      <c r="BO24" s="51"/>
      <c r="BP24" s="51"/>
      <c r="BQ24" s="51"/>
      <c r="BR24" s="51"/>
      <c r="BS24" s="51"/>
      <c r="BT24" s="73"/>
      <c r="BU24" s="73"/>
      <c r="BV24" s="73"/>
      <c r="BW24" s="73"/>
      <c r="BX24" s="73"/>
      <c r="BY24" s="73"/>
      <c r="BZ24" s="73"/>
      <c r="CA24" s="73"/>
      <c r="CB24" s="73"/>
      <c r="CC24" s="73"/>
      <c r="CD24" s="51"/>
      <c r="CE24" s="51"/>
      <c r="CF24" s="51"/>
      <c r="CG24" s="51"/>
      <c r="CH24" s="51"/>
      <c r="CI24" s="73"/>
      <c r="CJ24" s="73"/>
      <c r="CK24" s="73"/>
      <c r="CL24" s="73"/>
      <c r="CM24" s="73"/>
      <c r="CN24" s="73"/>
      <c r="CO24" s="73"/>
      <c r="CP24" s="73"/>
      <c r="CQ24" s="73"/>
      <c r="CR24" s="73"/>
      <c r="CS24" s="73"/>
      <c r="CT24" s="73"/>
      <c r="CU24" s="73"/>
      <c r="CV24" s="73"/>
      <c r="CW24" s="73"/>
      <c r="CX24" s="73"/>
      <c r="CY24" s="73"/>
      <c r="CZ24" s="73"/>
      <c r="DA24" s="73"/>
      <c r="DB24" s="73"/>
      <c r="DC24" s="73"/>
      <c r="DD24" s="73"/>
      <c r="DE24" s="73"/>
      <c r="DF24" s="73"/>
      <c r="DG24" s="73"/>
      <c r="DH24" s="73"/>
      <c r="DI24" s="73"/>
      <c r="DJ24" s="73"/>
      <c r="DK24" s="73"/>
      <c r="DL24" s="73"/>
      <c r="DM24" s="73"/>
      <c r="DN24" s="73"/>
      <c r="DO24" s="73"/>
      <c r="DP24" s="73"/>
      <c r="DQ24" s="73"/>
      <c r="DR24" s="51"/>
      <c r="DS24" s="51"/>
      <c r="DT24" s="51"/>
      <c r="DU24" s="51"/>
      <c r="DV24" s="51"/>
      <c r="DW24" s="51">
        <f t="shared" si="94"/>
        <v>0.160105626654167</v>
      </c>
      <c r="DX24" s="51">
        <f t="shared" si="95"/>
        <v>0.165211569806456</v>
      </c>
      <c r="DY24" s="59"/>
      <c r="DZ24" s="51">
        <f t="shared" si="96"/>
        <v>0</v>
      </c>
      <c r="EA24" s="51"/>
      <c r="EB24" s="51">
        <f t="shared" si="97"/>
        <v>0</v>
      </c>
      <c r="EC24" s="51" t="e">
        <f t="shared" si="98"/>
        <v>#DIV/0!</v>
      </c>
      <c r="ED24" s="51"/>
      <c r="EE24" s="51"/>
      <c r="EF24" s="51"/>
      <c r="EG24" s="51"/>
      <c r="EH24" s="90"/>
      <c r="EI24" s="90"/>
      <c r="EJ24" s="13"/>
      <c r="EK24" s="13"/>
      <c r="EL24" s="51"/>
      <c r="EM24" s="13"/>
      <c r="EN24" s="51"/>
      <c r="EO24" s="59"/>
      <c r="EP24" s="51">
        <f t="shared" si="99"/>
        <v>0</v>
      </c>
      <c r="EQ24" s="51"/>
      <c r="ER24" s="51"/>
      <c r="ES24" s="51"/>
      <c r="ET24" s="51"/>
      <c r="EU24" s="51"/>
      <c r="EV24" s="51"/>
      <c r="EW24" s="51"/>
      <c r="EX24" s="90"/>
      <c r="EY24" s="90"/>
      <c r="EZ24" s="13"/>
      <c r="FA24" s="51"/>
      <c r="FB24" s="51"/>
      <c r="FC24" s="59"/>
      <c r="FD24" s="59"/>
      <c r="FE24" s="51">
        <f t="shared" si="100"/>
        <v>0</v>
      </c>
      <c r="FF24" s="93"/>
      <c r="FG24" s="51"/>
      <c r="FH24" s="51"/>
      <c r="FI24" s="93"/>
      <c r="FJ24" s="93"/>
      <c r="FK24" s="60"/>
      <c r="FL24" s="51"/>
      <c r="FM24" s="51"/>
      <c r="FN24" s="14"/>
    </row>
    <row r="25" spans="1:170">
      <c r="A25" s="13">
        <v>2012</v>
      </c>
      <c r="B25" s="13"/>
      <c r="C25" s="60">
        <v>1754338281.65</v>
      </c>
      <c r="D25" s="51"/>
      <c r="E25" s="60">
        <v>1656603745.64</v>
      </c>
      <c r="F25" s="60"/>
      <c r="G25" s="60">
        <v>1254360858.52</v>
      </c>
      <c r="H25" s="60">
        <v>18491234.05</v>
      </c>
      <c r="I25" s="49">
        <v>159860886.9</v>
      </c>
      <c r="J25" s="60">
        <v>174611764.93</v>
      </c>
      <c r="K25" s="60"/>
      <c r="L25" s="60">
        <v>40927808.72</v>
      </c>
      <c r="M25" s="60">
        <v>117736589.57</v>
      </c>
      <c r="N25" s="60">
        <v>145320131.28</v>
      </c>
      <c r="O25" s="60">
        <v>22906699.05</v>
      </c>
      <c r="P25" s="60">
        <v>122413432.23</v>
      </c>
      <c r="Q25" s="51"/>
      <c r="R25" s="59"/>
      <c r="S25" s="60"/>
      <c r="T25" s="60"/>
      <c r="U25" s="60"/>
      <c r="V25" s="60"/>
      <c r="W25" s="60"/>
      <c r="X25" s="60"/>
      <c r="Y25" s="60"/>
      <c r="Z25" s="60"/>
      <c r="AA25" s="51"/>
      <c r="AB25" s="73"/>
      <c r="AC25" s="60"/>
      <c r="AD25" s="73"/>
      <c r="AE25" s="51"/>
      <c r="AF25" s="76"/>
      <c r="AG25" s="76">
        <f t="shared" si="85"/>
        <v>0.944289800301184</v>
      </c>
      <c r="AH25" s="51">
        <f t="shared" si="86"/>
        <v>0.715005122809178</v>
      </c>
      <c r="AI25" s="51">
        <f t="shared" si="87"/>
        <v>0.0105402898878821</v>
      </c>
      <c r="AJ25" s="51">
        <f t="shared" si="88"/>
        <v>0.0911231822118404</v>
      </c>
      <c r="AK25" s="51">
        <f t="shared" si="89"/>
        <v>0.0995314112200602</v>
      </c>
      <c r="AL25" s="51">
        <f t="shared" si="90"/>
        <v>0</v>
      </c>
      <c r="AM25" s="51">
        <f t="shared" si="91"/>
        <v>0.0671116801140916</v>
      </c>
      <c r="AN25" s="51">
        <f t="shared" si="92"/>
        <v>0.0828347262326868</v>
      </c>
      <c r="AO25" s="51">
        <f t="shared" si="93"/>
        <v>0.0697775528872727</v>
      </c>
      <c r="AP25" s="73"/>
      <c r="AQ25" s="73"/>
      <c r="AR25" s="73"/>
      <c r="AS25" s="73"/>
      <c r="AT25" s="73"/>
      <c r="AU25" s="73"/>
      <c r="AV25" s="73"/>
      <c r="AW25" s="73"/>
      <c r="AX25" s="73"/>
      <c r="AY25" s="73"/>
      <c r="AZ25" s="51"/>
      <c r="BA25" s="51"/>
      <c r="BB25" s="51"/>
      <c r="BC25" s="51"/>
      <c r="BD25" s="51"/>
      <c r="BE25" s="73"/>
      <c r="BF25" s="73"/>
      <c r="BG25" s="73"/>
      <c r="BH25" s="73"/>
      <c r="BI25" s="73"/>
      <c r="BJ25" s="73"/>
      <c r="BK25" s="73"/>
      <c r="BL25" s="73"/>
      <c r="BM25" s="73"/>
      <c r="BN25" s="73"/>
      <c r="BO25" s="51"/>
      <c r="BP25" s="51"/>
      <c r="BQ25" s="51"/>
      <c r="BR25" s="51"/>
      <c r="BS25" s="51"/>
      <c r="BT25" s="73"/>
      <c r="BU25" s="73"/>
      <c r="BV25" s="73"/>
      <c r="BW25" s="73"/>
      <c r="BX25" s="73"/>
      <c r="BY25" s="73"/>
      <c r="BZ25" s="73"/>
      <c r="CA25" s="73"/>
      <c r="CB25" s="73"/>
      <c r="CC25" s="73"/>
      <c r="CD25" s="51"/>
      <c r="CE25" s="51"/>
      <c r="CF25" s="51"/>
      <c r="CG25" s="51"/>
      <c r="CH25" s="51"/>
      <c r="CI25" s="73"/>
      <c r="CJ25" s="73"/>
      <c r="CK25" s="73"/>
      <c r="CL25" s="73"/>
      <c r="CM25" s="73"/>
      <c r="CN25" s="73"/>
      <c r="CO25" s="73"/>
      <c r="CP25" s="73"/>
      <c r="CQ25" s="73"/>
      <c r="CR25" s="73"/>
      <c r="CS25" s="73"/>
      <c r="CT25" s="73"/>
      <c r="CU25" s="73"/>
      <c r="CV25" s="73"/>
      <c r="CW25" s="73"/>
      <c r="CX25" s="73"/>
      <c r="CY25" s="73"/>
      <c r="CZ25" s="73"/>
      <c r="DA25" s="73"/>
      <c r="DB25" s="73"/>
      <c r="DC25" s="73"/>
      <c r="DD25" s="73"/>
      <c r="DE25" s="73"/>
      <c r="DF25" s="73"/>
      <c r="DG25" s="73"/>
      <c r="DH25" s="73"/>
      <c r="DI25" s="73"/>
      <c r="DJ25" s="73"/>
      <c r="DK25" s="73"/>
      <c r="DL25" s="73"/>
      <c r="DM25" s="73"/>
      <c r="DN25" s="73"/>
      <c r="DO25" s="73"/>
      <c r="DP25" s="73"/>
      <c r="DQ25" s="73"/>
      <c r="DR25" s="51"/>
      <c r="DS25" s="51"/>
      <c r="DT25" s="51"/>
      <c r="DU25" s="51"/>
      <c r="DV25" s="51"/>
      <c r="DW25" s="51">
        <f t="shared" si="94"/>
        <v>0.157629220729672</v>
      </c>
      <c r="DX25" s="51">
        <f t="shared" si="95"/>
        <v>0.194558880409738</v>
      </c>
      <c r="DY25" s="59"/>
      <c r="DZ25" s="51">
        <f t="shared" si="96"/>
        <v>0</v>
      </c>
      <c r="EA25" s="51"/>
      <c r="EB25" s="51">
        <f t="shared" si="97"/>
        <v>0</v>
      </c>
      <c r="EC25" s="51" t="e">
        <f t="shared" si="98"/>
        <v>#DIV/0!</v>
      </c>
      <c r="ED25" s="51"/>
      <c r="EE25" s="51"/>
      <c r="EF25" s="51"/>
      <c r="EG25" s="51"/>
      <c r="EH25" s="90"/>
      <c r="EI25" s="90"/>
      <c r="EJ25" s="49"/>
      <c r="EK25" s="49"/>
      <c r="EL25" s="49"/>
      <c r="EM25" s="44"/>
      <c r="EN25" s="51"/>
      <c r="EO25" s="59"/>
      <c r="EP25" s="51">
        <f t="shared" si="99"/>
        <v>0</v>
      </c>
      <c r="EQ25" s="51"/>
      <c r="ER25" s="51"/>
      <c r="ES25" s="51"/>
      <c r="ET25" s="51"/>
      <c r="EU25" s="51"/>
      <c r="EV25" s="51"/>
      <c r="EW25" s="51"/>
      <c r="EX25" s="90"/>
      <c r="EY25" s="90"/>
      <c r="EZ25" s="13"/>
      <c r="FA25" s="51"/>
      <c r="FB25" s="51"/>
      <c r="FC25" s="59"/>
      <c r="FD25" s="59"/>
      <c r="FE25" s="51">
        <f t="shared" si="100"/>
        <v>0</v>
      </c>
      <c r="FF25" s="93"/>
      <c r="FG25" s="51"/>
      <c r="FH25" s="51"/>
      <c r="FI25" s="93"/>
      <c r="FJ25" s="93"/>
      <c r="FK25" s="60"/>
      <c r="FL25" s="51"/>
      <c r="FM25" s="51"/>
      <c r="FN25" s="14"/>
    </row>
    <row r="26" spans="1:170">
      <c r="A26" s="13">
        <v>2022</v>
      </c>
      <c r="B26" s="13" t="s">
        <v>98</v>
      </c>
      <c r="C26" s="60">
        <v>2436471672.19</v>
      </c>
      <c r="D26" s="51">
        <f>(C26-C27)/C27</f>
        <v>0.265511357801264</v>
      </c>
      <c r="E26" s="60">
        <v>2026838681.39</v>
      </c>
      <c r="F26" s="60"/>
      <c r="G26" s="59">
        <v>1545770407.17</v>
      </c>
      <c r="H26" s="59">
        <v>20935801.51</v>
      </c>
      <c r="I26" s="49">
        <v>330951760.6</v>
      </c>
      <c r="J26" s="59">
        <v>72964563.24</v>
      </c>
      <c r="K26" s="59">
        <v>64524845.73</v>
      </c>
      <c r="L26" s="59">
        <v>-8308696.86</v>
      </c>
      <c r="M26" s="59">
        <v>400347681.7</v>
      </c>
      <c r="N26" s="59">
        <v>401660975.31</v>
      </c>
      <c r="O26" s="59">
        <v>57707967.16</v>
      </c>
      <c r="P26" s="59">
        <v>343953008.15</v>
      </c>
      <c r="Q26" s="51"/>
      <c r="R26" s="59"/>
      <c r="S26" s="59"/>
      <c r="T26" s="59"/>
      <c r="U26" s="59"/>
      <c r="V26" s="59"/>
      <c r="W26" s="59"/>
      <c r="X26" s="59"/>
      <c r="Y26" s="59"/>
      <c r="Z26" s="59"/>
      <c r="AA26" s="51"/>
      <c r="AB26" s="73"/>
      <c r="AC26" s="59"/>
      <c r="AD26" s="73"/>
      <c r="AE26" s="51"/>
      <c r="AF26" s="51"/>
      <c r="AG26" s="51">
        <f t="shared" ref="AG26:AG31" si="102">G26/C26</f>
        <v>0.634429870379161</v>
      </c>
      <c r="AH26" s="51">
        <f t="shared" ref="AH26:AH35" si="103">G26/$C26</f>
        <v>0.634429870379161</v>
      </c>
      <c r="AI26" s="51">
        <f t="shared" ref="AI26:AI35" si="104">H26/$C26</f>
        <v>0.00859267183319314</v>
      </c>
      <c r="AJ26" s="51">
        <f t="shared" ref="AJ26:AJ35" si="105">I26/$C26</f>
        <v>0.135832385977436</v>
      </c>
      <c r="AK26" s="51">
        <f t="shared" ref="AK26:AK35" si="106">J26/$C26</f>
        <v>0.0299468136949101</v>
      </c>
      <c r="AL26" s="51">
        <f t="shared" ref="AL26:AL35" si="107">K26/$C26</f>
        <v>0.0264829041381805</v>
      </c>
      <c r="AM26" s="51">
        <f t="shared" si="91"/>
        <v>0.16431452344371</v>
      </c>
      <c r="AN26" s="51">
        <f t="shared" si="92"/>
        <v>0.16485353796417</v>
      </c>
      <c r="AO26" s="51">
        <f t="shared" si="93"/>
        <v>0.141168482308206</v>
      </c>
      <c r="AP26" s="73"/>
      <c r="AQ26" s="73"/>
      <c r="AR26" s="73"/>
      <c r="AS26" s="73"/>
      <c r="AT26" s="73"/>
      <c r="AU26" s="73"/>
      <c r="AV26" s="73"/>
      <c r="AW26" s="73"/>
      <c r="AX26" s="73"/>
      <c r="AY26" s="73"/>
      <c r="AZ26" s="51"/>
      <c r="BA26" s="51"/>
      <c r="BB26" s="51"/>
      <c r="BC26" s="51"/>
      <c r="BD26" s="51"/>
      <c r="BE26" s="73"/>
      <c r="BF26" s="73"/>
      <c r="BG26" s="73"/>
      <c r="BH26" s="73"/>
      <c r="BI26" s="73"/>
      <c r="BJ26" s="73"/>
      <c r="BK26" s="73"/>
      <c r="BL26" s="73"/>
      <c r="BM26" s="73"/>
      <c r="BN26" s="73"/>
      <c r="BO26" s="51"/>
      <c r="BP26" s="51"/>
      <c r="BQ26" s="51"/>
      <c r="BR26" s="51"/>
      <c r="BS26" s="51"/>
      <c r="BT26" s="73"/>
      <c r="BU26" s="73"/>
      <c r="BV26" s="73"/>
      <c r="BW26" s="73"/>
      <c r="BX26" s="73"/>
      <c r="BY26" s="73"/>
      <c r="BZ26" s="73"/>
      <c r="CA26" s="73"/>
      <c r="CB26" s="73"/>
      <c r="CC26" s="73"/>
      <c r="CD26" s="51"/>
      <c r="CE26" s="51"/>
      <c r="CF26" s="51"/>
      <c r="CG26" s="51"/>
      <c r="CH26" s="51"/>
      <c r="CI26" s="73"/>
      <c r="CJ26" s="73"/>
      <c r="CK26" s="73"/>
      <c r="CL26" s="73"/>
      <c r="CM26" s="73"/>
      <c r="CN26" s="73"/>
      <c r="CO26" s="73"/>
      <c r="CP26" s="73"/>
      <c r="CQ26" s="73"/>
      <c r="CR26" s="73"/>
      <c r="CS26" s="73"/>
      <c r="CT26" s="73"/>
      <c r="CU26" s="73"/>
      <c r="CV26" s="73"/>
      <c r="CW26" s="73"/>
      <c r="CX26" s="73"/>
      <c r="CY26" s="73"/>
      <c r="CZ26" s="73"/>
      <c r="DA26" s="73"/>
      <c r="DB26" s="73"/>
      <c r="DC26" s="73"/>
      <c r="DD26" s="73"/>
      <c r="DE26" s="73"/>
      <c r="DF26" s="73"/>
      <c r="DG26" s="73"/>
      <c r="DH26" s="73"/>
      <c r="DI26" s="73"/>
      <c r="DJ26" s="73"/>
      <c r="DK26" s="73"/>
      <c r="DL26" s="73"/>
      <c r="DM26" s="73"/>
      <c r="DN26" s="73"/>
      <c r="DO26" s="73"/>
      <c r="DP26" s="73"/>
      <c r="DQ26" s="73"/>
      <c r="DR26" s="51"/>
      <c r="DS26" s="51"/>
      <c r="DT26" s="51"/>
      <c r="DU26" s="51"/>
      <c r="DV26" s="51"/>
      <c r="DW26" s="51">
        <f t="shared" ref="DW26:DW41" si="108">O26/N26</f>
        <v>0.143673323293261</v>
      </c>
      <c r="DX26" s="51">
        <f t="shared" ref="DX26:DX41" si="109">O26/M26</f>
        <v>0.14414462677779</v>
      </c>
      <c r="DY26" s="59">
        <v>1513144072.56</v>
      </c>
      <c r="DZ26" s="51">
        <f t="shared" si="96"/>
        <v>0.62103905817215</v>
      </c>
      <c r="EA26" s="59">
        <v>950994337.4</v>
      </c>
      <c r="EB26" s="51">
        <f t="shared" ref="EB26:EB31" si="110">EA26/G26</f>
        <v>0.615223537071772</v>
      </c>
      <c r="EC26" s="51">
        <f t="shared" si="98"/>
        <v>0.628488955312146</v>
      </c>
      <c r="ED26" s="51"/>
      <c r="EE26" s="51"/>
      <c r="EF26" s="51"/>
      <c r="EG26" s="51"/>
      <c r="EH26" s="90">
        <v>336024</v>
      </c>
      <c r="EI26" s="90">
        <v>345013</v>
      </c>
      <c r="EJ26" s="49">
        <f t="shared" ref="EJ26:EJ31" si="111">DY26/EH26</f>
        <v>4503.08332904792</v>
      </c>
      <c r="EK26" s="49"/>
      <c r="EL26" s="49"/>
      <c r="EM26" s="44">
        <v>41924</v>
      </c>
      <c r="EN26" s="51"/>
      <c r="EO26" s="59"/>
      <c r="EP26" s="51">
        <f t="shared" si="99"/>
        <v>0</v>
      </c>
      <c r="EQ26" s="51"/>
      <c r="ER26" s="51"/>
      <c r="ES26" s="51"/>
      <c r="ET26" s="51"/>
      <c r="EU26" s="51"/>
      <c r="EV26" s="51"/>
      <c r="EW26" s="51"/>
      <c r="EX26" s="90"/>
      <c r="EY26" s="90"/>
      <c r="EZ26" s="13"/>
      <c r="FA26" s="51"/>
      <c r="FB26" s="51"/>
      <c r="FC26" s="59"/>
      <c r="FD26" s="59"/>
      <c r="FE26" s="51">
        <f t="shared" si="100"/>
        <v>0</v>
      </c>
      <c r="FF26" s="93"/>
      <c r="FG26" s="51"/>
      <c r="FH26" s="51"/>
      <c r="FI26" s="93"/>
      <c r="FJ26" s="93"/>
      <c r="FK26" s="60"/>
      <c r="FL26" s="51"/>
      <c r="FM26" s="51"/>
      <c r="FN26" s="14"/>
    </row>
    <row r="27" spans="1:170">
      <c r="A27" s="13">
        <v>2021</v>
      </c>
      <c r="B27" s="13"/>
      <c r="C27" s="60">
        <v>1925286294.09</v>
      </c>
      <c r="D27" s="51">
        <f t="shared" ref="D27:D34" si="112">(C27-C28)/C28</f>
        <v>0.137019947464054</v>
      </c>
      <c r="E27" s="60">
        <v>1669845150.73</v>
      </c>
      <c r="F27" s="60"/>
      <c r="G27" s="59">
        <v>1147871732</v>
      </c>
      <c r="H27" s="59">
        <v>16340427.33</v>
      </c>
      <c r="I27" s="49">
        <v>387948874.88</v>
      </c>
      <c r="J27" s="59">
        <v>64998547.08</v>
      </c>
      <c r="K27" s="59">
        <v>55389752.79</v>
      </c>
      <c r="L27" s="59">
        <v>-2704183.35</v>
      </c>
      <c r="M27" s="59">
        <v>269992984.84</v>
      </c>
      <c r="N27" s="59">
        <v>261242466.36</v>
      </c>
      <c r="O27" s="59">
        <v>39840870.93</v>
      </c>
      <c r="P27" s="59">
        <v>221401595.43</v>
      </c>
      <c r="Q27" s="51"/>
      <c r="R27" s="59"/>
      <c r="S27" s="59"/>
      <c r="T27" s="59"/>
      <c r="U27" s="59"/>
      <c r="V27" s="59"/>
      <c r="W27" s="59"/>
      <c r="X27" s="59"/>
      <c r="Y27" s="59"/>
      <c r="Z27" s="59"/>
      <c r="AA27" s="51"/>
      <c r="AB27" s="73"/>
      <c r="AC27" s="59"/>
      <c r="AD27" s="73"/>
      <c r="AE27" s="51"/>
      <c r="AF27" s="51"/>
      <c r="AG27" s="51">
        <f t="shared" si="102"/>
        <v>0.596208333027452</v>
      </c>
      <c r="AH27" s="51">
        <f t="shared" si="103"/>
        <v>0.596208333027452</v>
      </c>
      <c r="AI27" s="51">
        <f t="shared" si="104"/>
        <v>0.00848727141524862</v>
      </c>
      <c r="AJ27" s="51">
        <f t="shared" si="105"/>
        <v>0.201501914842939</v>
      </c>
      <c r="AK27" s="51">
        <f t="shared" si="106"/>
        <v>0.0337604580054012</v>
      </c>
      <c r="AL27" s="51">
        <f t="shared" si="107"/>
        <v>0.0287696188146295</v>
      </c>
      <c r="AM27" s="51">
        <f t="shared" si="91"/>
        <v>0.140235239646587</v>
      </c>
      <c r="AN27" s="51">
        <f t="shared" si="92"/>
        <v>0.135690191719501</v>
      </c>
      <c r="AO27" s="51">
        <f t="shared" si="93"/>
        <v>0.114996713013348</v>
      </c>
      <c r="AP27" s="73"/>
      <c r="AQ27" s="73"/>
      <c r="AR27" s="73"/>
      <c r="AS27" s="73"/>
      <c r="AT27" s="73"/>
      <c r="AU27" s="73"/>
      <c r="AV27" s="73"/>
      <c r="AW27" s="73"/>
      <c r="AX27" s="73"/>
      <c r="AY27" s="73"/>
      <c r="AZ27" s="51"/>
      <c r="BA27" s="51"/>
      <c r="BB27" s="51"/>
      <c r="BC27" s="51"/>
      <c r="BD27" s="51"/>
      <c r="BE27" s="73"/>
      <c r="BF27" s="73"/>
      <c r="BG27" s="73"/>
      <c r="BH27" s="73"/>
      <c r="BI27" s="73"/>
      <c r="BJ27" s="73"/>
      <c r="BK27" s="73"/>
      <c r="BL27" s="73"/>
      <c r="BM27" s="73"/>
      <c r="BN27" s="73"/>
      <c r="BO27" s="51"/>
      <c r="BP27" s="51"/>
      <c r="BQ27" s="51"/>
      <c r="BR27" s="51"/>
      <c r="BS27" s="51"/>
      <c r="BT27" s="73"/>
      <c r="BU27" s="73"/>
      <c r="BV27" s="73"/>
      <c r="BW27" s="73"/>
      <c r="BX27" s="73"/>
      <c r="BY27" s="73"/>
      <c r="BZ27" s="73"/>
      <c r="CA27" s="73"/>
      <c r="CB27" s="73"/>
      <c r="CC27" s="73"/>
      <c r="CD27" s="51"/>
      <c r="CE27" s="51"/>
      <c r="CF27" s="51"/>
      <c r="CG27" s="51"/>
      <c r="CH27" s="51"/>
      <c r="CI27" s="73"/>
      <c r="CJ27" s="73"/>
      <c r="CK27" s="73"/>
      <c r="CL27" s="73"/>
      <c r="CM27" s="73"/>
      <c r="CN27" s="73"/>
      <c r="CO27" s="73"/>
      <c r="CP27" s="73"/>
      <c r="CQ27" s="73"/>
      <c r="CR27" s="73"/>
      <c r="CS27" s="73"/>
      <c r="CT27" s="73"/>
      <c r="CU27" s="73"/>
      <c r="CV27" s="73"/>
      <c r="CW27" s="73"/>
      <c r="CX27" s="73"/>
      <c r="CY27" s="73"/>
      <c r="CZ27" s="73"/>
      <c r="DA27" s="73"/>
      <c r="DB27" s="73"/>
      <c r="DC27" s="73"/>
      <c r="DD27" s="73"/>
      <c r="DE27" s="73"/>
      <c r="DF27" s="73"/>
      <c r="DG27" s="73"/>
      <c r="DH27" s="73"/>
      <c r="DI27" s="73"/>
      <c r="DJ27" s="73"/>
      <c r="DK27" s="73"/>
      <c r="DL27" s="73"/>
      <c r="DM27" s="73"/>
      <c r="DN27" s="73"/>
      <c r="DO27" s="73"/>
      <c r="DP27" s="73"/>
      <c r="DQ27" s="73"/>
      <c r="DR27" s="51"/>
      <c r="DS27" s="51"/>
      <c r="DT27" s="51"/>
      <c r="DU27" s="51"/>
      <c r="DV27" s="51"/>
      <c r="DW27" s="51">
        <f t="shared" si="108"/>
        <v>0.152505339139993</v>
      </c>
      <c r="DX27" s="51">
        <f t="shared" si="109"/>
        <v>0.147562615205021</v>
      </c>
      <c r="DY27" s="59">
        <v>1182064447.78</v>
      </c>
      <c r="DZ27" s="51">
        <f t="shared" si="96"/>
        <v>0.613968141469947</v>
      </c>
      <c r="EA27" s="59">
        <v>662778435.01</v>
      </c>
      <c r="EB27" s="51">
        <f t="shared" si="110"/>
        <v>0.577397645166507</v>
      </c>
      <c r="EC27" s="51">
        <f t="shared" si="98"/>
        <v>0.560695684786684</v>
      </c>
      <c r="ED27" s="51"/>
      <c r="EE27" s="51"/>
      <c r="EF27" s="51"/>
      <c r="EG27" s="51"/>
      <c r="EH27" s="90">
        <v>263559</v>
      </c>
      <c r="EI27" s="90">
        <v>275340</v>
      </c>
      <c r="EJ27" s="49">
        <f t="shared" si="111"/>
        <v>4485.00885107319</v>
      </c>
      <c r="EK27" s="49"/>
      <c r="EL27" s="49"/>
      <c r="EM27" s="44">
        <v>32935</v>
      </c>
      <c r="EN27" s="51"/>
      <c r="EO27" s="59"/>
      <c r="EP27" s="51">
        <f t="shared" si="99"/>
        <v>0</v>
      </c>
      <c r="EQ27" s="51"/>
      <c r="ER27" s="51"/>
      <c r="ES27" s="51"/>
      <c r="ET27" s="51"/>
      <c r="EU27" s="51"/>
      <c r="EV27" s="51"/>
      <c r="EW27" s="51"/>
      <c r="EX27" s="90"/>
      <c r="EY27" s="90"/>
      <c r="EZ27" s="13"/>
      <c r="FA27" s="51"/>
      <c r="FB27" s="51"/>
      <c r="FC27" s="59"/>
      <c r="FD27" s="59"/>
      <c r="FE27" s="51">
        <f t="shared" si="100"/>
        <v>0</v>
      </c>
      <c r="FF27" s="93"/>
      <c r="FG27" s="51"/>
      <c r="FH27" s="51"/>
      <c r="FI27" s="93"/>
      <c r="FJ27" s="93"/>
      <c r="FK27" s="60"/>
      <c r="FL27" s="51"/>
      <c r="FM27" s="51"/>
      <c r="FN27" s="14"/>
    </row>
    <row r="28" spans="1:170">
      <c r="A28" s="13">
        <v>2020</v>
      </c>
      <c r="B28" s="13"/>
      <c r="C28" s="60">
        <v>1693273982.03</v>
      </c>
      <c r="D28" s="51">
        <f t="shared" si="112"/>
        <v>0.249512951393242</v>
      </c>
      <c r="E28" s="60">
        <v>1356874804.36</v>
      </c>
      <c r="F28" s="60"/>
      <c r="G28" s="59">
        <v>950816655.19</v>
      </c>
      <c r="H28" s="59">
        <v>15790503.76</v>
      </c>
      <c r="I28" s="49">
        <v>286850462.86</v>
      </c>
      <c r="J28" s="59">
        <v>61411717.01</v>
      </c>
      <c r="K28" s="59">
        <v>45221538.75</v>
      </c>
      <c r="L28" s="59">
        <v>-3216073.21</v>
      </c>
      <c r="M28" s="59">
        <v>261914264.2</v>
      </c>
      <c r="N28" s="59">
        <v>256945009.47</v>
      </c>
      <c r="O28" s="59">
        <v>51143969.08</v>
      </c>
      <c r="P28" s="59">
        <v>205801040.39</v>
      </c>
      <c r="Q28" s="51"/>
      <c r="R28" s="59"/>
      <c r="S28" s="59"/>
      <c r="T28" s="59"/>
      <c r="U28" s="59"/>
      <c r="V28" s="59"/>
      <c r="W28" s="59"/>
      <c r="X28" s="59"/>
      <c r="Y28" s="59"/>
      <c r="Z28" s="59"/>
      <c r="AA28" s="51"/>
      <c r="AB28" s="73"/>
      <c r="AC28" s="59"/>
      <c r="AD28" s="73"/>
      <c r="AE28" s="51"/>
      <c r="AF28" s="51"/>
      <c r="AG28" s="51">
        <f t="shared" si="102"/>
        <v>0.56152558019589</v>
      </c>
      <c r="AH28" s="51">
        <f t="shared" si="103"/>
        <v>0.56152558019589</v>
      </c>
      <c r="AI28" s="51">
        <f t="shared" si="104"/>
        <v>0.00932542750173801</v>
      </c>
      <c r="AJ28" s="51">
        <f t="shared" si="105"/>
        <v>0.169405817312628</v>
      </c>
      <c r="AK28" s="51">
        <f t="shared" si="106"/>
        <v>0.0362680332077009</v>
      </c>
      <c r="AL28" s="51">
        <f t="shared" si="107"/>
        <v>0.0267065691848555</v>
      </c>
      <c r="AM28" s="51">
        <f t="shared" si="91"/>
        <v>0.154679199574071</v>
      </c>
      <c r="AN28" s="51">
        <f t="shared" si="92"/>
        <v>0.151744497462814</v>
      </c>
      <c r="AO28" s="51">
        <f t="shared" si="93"/>
        <v>0.121540307460033</v>
      </c>
      <c r="AP28" s="73"/>
      <c r="AQ28" s="73"/>
      <c r="AR28" s="73"/>
      <c r="AS28" s="73"/>
      <c r="AT28" s="73"/>
      <c r="AU28" s="73"/>
      <c r="AV28" s="73"/>
      <c r="AW28" s="73"/>
      <c r="AX28" s="73"/>
      <c r="AY28" s="73"/>
      <c r="AZ28" s="51"/>
      <c r="BA28" s="51"/>
      <c r="BB28" s="51"/>
      <c r="BC28" s="51"/>
      <c r="BD28" s="51"/>
      <c r="BE28" s="73"/>
      <c r="BF28" s="73"/>
      <c r="BG28" s="73"/>
      <c r="BH28" s="73"/>
      <c r="BI28" s="73"/>
      <c r="BJ28" s="73"/>
      <c r="BK28" s="73"/>
      <c r="BL28" s="73"/>
      <c r="BM28" s="73"/>
      <c r="BN28" s="73"/>
      <c r="BO28" s="51"/>
      <c r="BP28" s="51"/>
      <c r="BQ28" s="51"/>
      <c r="BR28" s="51"/>
      <c r="BS28" s="51"/>
      <c r="BT28" s="73"/>
      <c r="BU28" s="73"/>
      <c r="BV28" s="73"/>
      <c r="BW28" s="73"/>
      <c r="BX28" s="73"/>
      <c r="BY28" s="73"/>
      <c r="BZ28" s="73"/>
      <c r="CA28" s="73"/>
      <c r="CB28" s="73"/>
      <c r="CC28" s="73"/>
      <c r="CD28" s="51"/>
      <c r="CE28" s="51"/>
      <c r="CF28" s="51"/>
      <c r="CG28" s="51"/>
      <c r="CH28" s="51"/>
      <c r="CI28" s="73"/>
      <c r="CJ28" s="73"/>
      <c r="CK28" s="73"/>
      <c r="CL28" s="73"/>
      <c r="CM28" s="73"/>
      <c r="CN28" s="73"/>
      <c r="CO28" s="73"/>
      <c r="CP28" s="73"/>
      <c r="CQ28" s="73"/>
      <c r="CR28" s="73"/>
      <c r="CS28" s="73"/>
      <c r="CT28" s="73"/>
      <c r="CU28" s="73"/>
      <c r="CV28" s="73"/>
      <c r="CW28" s="73"/>
      <c r="CX28" s="73"/>
      <c r="CY28" s="73"/>
      <c r="CZ28" s="73"/>
      <c r="DA28" s="73"/>
      <c r="DB28" s="73"/>
      <c r="DC28" s="73"/>
      <c r="DD28" s="73"/>
      <c r="DE28" s="73"/>
      <c r="DF28" s="73"/>
      <c r="DG28" s="73"/>
      <c r="DH28" s="73"/>
      <c r="DI28" s="73"/>
      <c r="DJ28" s="73"/>
      <c r="DK28" s="73"/>
      <c r="DL28" s="73"/>
      <c r="DM28" s="73"/>
      <c r="DN28" s="73"/>
      <c r="DO28" s="73"/>
      <c r="DP28" s="73"/>
      <c r="DQ28" s="73"/>
      <c r="DR28" s="51"/>
      <c r="DS28" s="51"/>
      <c r="DT28" s="51"/>
      <c r="DU28" s="51"/>
      <c r="DV28" s="51"/>
      <c r="DW28" s="51">
        <f t="shared" si="108"/>
        <v>0.199046360875016</v>
      </c>
      <c r="DX28" s="51">
        <f t="shared" si="109"/>
        <v>0.195269888168237</v>
      </c>
      <c r="DY28" s="59">
        <v>1053969814.05</v>
      </c>
      <c r="DZ28" s="51">
        <f t="shared" si="96"/>
        <v>0.622444935217416</v>
      </c>
      <c r="EA28" s="59">
        <v>544506620.14</v>
      </c>
      <c r="EB28" s="51">
        <f t="shared" si="110"/>
        <v>0.572672572748731</v>
      </c>
      <c r="EC28" s="51">
        <f t="shared" si="98"/>
        <v>0.51662449235398</v>
      </c>
      <c r="ED28" s="51"/>
      <c r="EE28" s="51"/>
      <c r="EF28" s="51"/>
      <c r="EG28" s="51"/>
      <c r="EH28" s="90">
        <v>202456.02</v>
      </c>
      <c r="EI28" s="90">
        <v>203078.04</v>
      </c>
      <c r="EJ28" s="49">
        <f t="shared" si="111"/>
        <v>5205.9198538527</v>
      </c>
      <c r="EK28" s="49"/>
      <c r="EL28" s="49"/>
      <c r="EM28" s="49">
        <v>21155.2</v>
      </c>
      <c r="EN28" s="51"/>
      <c r="EO28" s="59"/>
      <c r="EP28" s="51">
        <f t="shared" si="99"/>
        <v>0</v>
      </c>
      <c r="EQ28" s="51"/>
      <c r="ER28" s="51"/>
      <c r="ES28" s="51"/>
      <c r="ET28" s="51"/>
      <c r="EU28" s="51"/>
      <c r="EV28" s="51"/>
      <c r="EW28" s="51"/>
      <c r="EX28" s="90"/>
      <c r="EY28" s="90"/>
      <c r="EZ28" s="13"/>
      <c r="FA28" s="51"/>
      <c r="FB28" s="51"/>
      <c r="FC28" s="59"/>
      <c r="FD28" s="59"/>
      <c r="FE28" s="51">
        <f t="shared" si="100"/>
        <v>0</v>
      </c>
      <c r="FF28" s="93"/>
      <c r="FG28" s="51"/>
      <c r="FH28" s="51"/>
      <c r="FI28" s="93"/>
      <c r="FJ28" s="93"/>
      <c r="FK28" s="60"/>
      <c r="FL28" s="51"/>
      <c r="FM28" s="51"/>
      <c r="FN28" s="14"/>
    </row>
    <row r="29" spans="1:170">
      <c r="A29" s="13">
        <v>2019</v>
      </c>
      <c r="B29" s="13"/>
      <c r="C29" s="60">
        <v>1355147203.67</v>
      </c>
      <c r="D29" s="51">
        <f t="shared" si="112"/>
        <v>0.271906286261509</v>
      </c>
      <c r="E29" s="60">
        <v>1136669474.22</v>
      </c>
      <c r="F29" s="60"/>
      <c r="G29" s="59">
        <v>728988143.54</v>
      </c>
      <c r="H29" s="59">
        <v>13048238.93</v>
      </c>
      <c r="I29" s="49">
        <v>308762684.45</v>
      </c>
      <c r="J29" s="59">
        <v>53903006.32</v>
      </c>
      <c r="K29" s="59">
        <v>39482608.83</v>
      </c>
      <c r="L29" s="59">
        <v>-7515207.85</v>
      </c>
      <c r="M29" s="59">
        <v>231836026.43</v>
      </c>
      <c r="N29" s="59">
        <v>232004461.83</v>
      </c>
      <c r="O29" s="59">
        <v>33750491.3</v>
      </c>
      <c r="P29" s="59">
        <v>198253970.53</v>
      </c>
      <c r="Q29" s="51"/>
      <c r="R29" s="59"/>
      <c r="S29" s="59"/>
      <c r="T29" s="59"/>
      <c r="U29" s="59"/>
      <c r="V29" s="59"/>
      <c r="W29" s="59"/>
      <c r="X29" s="59"/>
      <c r="Y29" s="59"/>
      <c r="Z29" s="59"/>
      <c r="AA29" s="51"/>
      <c r="AB29" s="73"/>
      <c r="AC29" s="59"/>
      <c r="AD29" s="73"/>
      <c r="AE29" s="51"/>
      <c r="AF29" s="51"/>
      <c r="AG29" s="51">
        <f t="shared" si="102"/>
        <v>0.537940189498056</v>
      </c>
      <c r="AH29" s="74">
        <f t="shared" si="103"/>
        <v>0.537940189498056</v>
      </c>
      <c r="AI29" s="51">
        <f t="shared" si="104"/>
        <v>0.00962865059578978</v>
      </c>
      <c r="AJ29" s="51">
        <f t="shared" si="105"/>
        <v>0.227844387394824</v>
      </c>
      <c r="AK29" s="51">
        <f t="shared" si="106"/>
        <v>0.0397764952575043</v>
      </c>
      <c r="AL29" s="51">
        <f t="shared" si="107"/>
        <v>0.0291352915189387</v>
      </c>
      <c r="AM29" s="51">
        <f t="shared" si="91"/>
        <v>0.171078112991816</v>
      </c>
      <c r="AN29" s="51">
        <f t="shared" si="92"/>
        <v>0.171202406057207</v>
      </c>
      <c r="AO29" s="51">
        <f t="shared" si="93"/>
        <v>0.146297000055116</v>
      </c>
      <c r="AP29" s="73"/>
      <c r="AQ29" s="73"/>
      <c r="AR29" s="73"/>
      <c r="AS29" s="73"/>
      <c r="AT29" s="73"/>
      <c r="AU29" s="73"/>
      <c r="AV29" s="73"/>
      <c r="AW29" s="73"/>
      <c r="AX29" s="73"/>
      <c r="AY29" s="73"/>
      <c r="AZ29" s="51"/>
      <c r="BA29" s="51"/>
      <c r="BB29" s="51"/>
      <c r="BC29" s="51"/>
      <c r="BD29" s="51"/>
      <c r="BE29" s="73"/>
      <c r="BF29" s="73"/>
      <c r="BG29" s="73"/>
      <c r="BH29" s="73"/>
      <c r="BI29" s="73"/>
      <c r="BJ29" s="73"/>
      <c r="BK29" s="73"/>
      <c r="BL29" s="73"/>
      <c r="BM29" s="73"/>
      <c r="BN29" s="73"/>
      <c r="BO29" s="51"/>
      <c r="BP29" s="51"/>
      <c r="BQ29" s="51"/>
      <c r="BR29" s="51"/>
      <c r="BS29" s="51"/>
      <c r="BT29" s="73"/>
      <c r="BU29" s="73"/>
      <c r="BV29" s="73"/>
      <c r="BW29" s="73"/>
      <c r="BX29" s="73"/>
      <c r="BY29" s="73"/>
      <c r="BZ29" s="73"/>
      <c r="CA29" s="73"/>
      <c r="CB29" s="73"/>
      <c r="CC29" s="73"/>
      <c r="CD29" s="51"/>
      <c r="CE29" s="51"/>
      <c r="CF29" s="51"/>
      <c r="CG29" s="51"/>
      <c r="CH29" s="51"/>
      <c r="CI29" s="73"/>
      <c r="CJ29" s="73"/>
      <c r="CK29" s="73"/>
      <c r="CL29" s="73"/>
      <c r="CM29" s="73"/>
      <c r="CN29" s="73"/>
      <c r="CO29" s="73"/>
      <c r="CP29" s="73"/>
      <c r="CQ29" s="73"/>
      <c r="CR29" s="73"/>
      <c r="CS29" s="73"/>
      <c r="CT29" s="73"/>
      <c r="CU29" s="73"/>
      <c r="CV29" s="73"/>
      <c r="CW29" s="73"/>
      <c r="CX29" s="73"/>
      <c r="CY29" s="73"/>
      <c r="CZ29" s="73"/>
      <c r="DA29" s="73"/>
      <c r="DB29" s="73"/>
      <c r="DC29" s="73"/>
      <c r="DD29" s="73"/>
      <c r="DE29" s="73"/>
      <c r="DF29" s="73"/>
      <c r="DG29" s="73"/>
      <c r="DH29" s="73"/>
      <c r="DI29" s="73"/>
      <c r="DJ29" s="73"/>
      <c r="DK29" s="73"/>
      <c r="DL29" s="73"/>
      <c r="DM29" s="73"/>
      <c r="DN29" s="73"/>
      <c r="DO29" s="73"/>
      <c r="DP29" s="73"/>
      <c r="DQ29" s="73"/>
      <c r="DR29" s="51"/>
      <c r="DS29" s="51"/>
      <c r="DT29" s="51"/>
      <c r="DU29" s="51"/>
      <c r="DV29" s="51"/>
      <c r="DW29" s="51">
        <f t="shared" si="108"/>
        <v>0.145473457854145</v>
      </c>
      <c r="DX29" s="51">
        <f t="shared" si="109"/>
        <v>0.145579148416739</v>
      </c>
      <c r="DY29" s="49">
        <v>835148173.63</v>
      </c>
      <c r="DZ29" s="51">
        <f t="shared" si="96"/>
        <v>0.616278564696335</v>
      </c>
      <c r="EA29" s="59">
        <v>414874034.26</v>
      </c>
      <c r="EB29" s="51">
        <f t="shared" si="110"/>
        <v>0.569109440169154</v>
      </c>
      <c r="EC29" s="51">
        <f t="shared" si="98"/>
        <v>0.496766977836682</v>
      </c>
      <c r="ED29" s="51"/>
      <c r="EE29" s="51"/>
      <c r="EF29" s="51"/>
      <c r="EG29" s="51"/>
      <c r="EH29" s="90">
        <v>151841.23</v>
      </c>
      <c r="EI29" s="90">
        <v>158306.88</v>
      </c>
      <c r="EJ29" s="49">
        <f t="shared" si="111"/>
        <v>5500.1409935233</v>
      </c>
      <c r="EK29" s="49"/>
      <c r="EL29" s="49"/>
      <c r="EM29" s="49">
        <v>20533.18</v>
      </c>
      <c r="EN29" s="51"/>
      <c r="EO29" s="59"/>
      <c r="EP29" s="51">
        <f t="shared" si="99"/>
        <v>0</v>
      </c>
      <c r="EQ29" s="51"/>
      <c r="ER29" s="51"/>
      <c r="ES29" s="51"/>
      <c r="ET29" s="51"/>
      <c r="EU29" s="51"/>
      <c r="EV29" s="51"/>
      <c r="EW29" s="51"/>
      <c r="EX29" s="90"/>
      <c r="EY29" s="90"/>
      <c r="EZ29" s="13"/>
      <c r="FA29" s="51"/>
      <c r="FB29" s="51"/>
      <c r="FC29" s="59"/>
      <c r="FD29" s="59"/>
      <c r="FE29" s="51">
        <f t="shared" si="100"/>
        <v>0</v>
      </c>
      <c r="FF29" s="93"/>
      <c r="FG29" s="51"/>
      <c r="FH29" s="51"/>
      <c r="FI29" s="93"/>
      <c r="FJ29" s="93"/>
      <c r="FK29" s="60"/>
      <c r="FL29" s="51"/>
      <c r="FM29" s="51"/>
      <c r="FN29" s="14"/>
    </row>
    <row r="30" spans="1:170">
      <c r="A30" s="13">
        <v>2018</v>
      </c>
      <c r="B30" s="13"/>
      <c r="C30" s="60">
        <v>1065445794.48</v>
      </c>
      <c r="D30" s="51">
        <f t="shared" si="112"/>
        <v>0.123689887095143</v>
      </c>
      <c r="E30" s="60">
        <v>881735362.24</v>
      </c>
      <c r="F30" s="60"/>
      <c r="G30" s="59">
        <v>578058411.02</v>
      </c>
      <c r="H30" s="59">
        <v>12108757.57</v>
      </c>
      <c r="I30" s="49">
        <v>216326402.44</v>
      </c>
      <c r="J30" s="59">
        <v>52211721.01</v>
      </c>
      <c r="K30" s="59">
        <v>20360287.94</v>
      </c>
      <c r="L30" s="59">
        <v>1697152.63</v>
      </c>
      <c r="M30" s="59">
        <v>285175272.21</v>
      </c>
      <c r="N30" s="59">
        <v>285154328.18</v>
      </c>
      <c r="O30" s="59">
        <v>45130726.95</v>
      </c>
      <c r="P30" s="59">
        <v>240023601.23</v>
      </c>
      <c r="Q30" s="51"/>
      <c r="R30" s="59"/>
      <c r="S30" s="59"/>
      <c r="T30" s="59"/>
      <c r="U30" s="59"/>
      <c r="V30" s="59"/>
      <c r="W30" s="59"/>
      <c r="X30" s="59"/>
      <c r="Y30" s="59"/>
      <c r="Z30" s="59"/>
      <c r="AA30" s="51"/>
      <c r="AB30" s="73"/>
      <c r="AC30" s="59"/>
      <c r="AD30" s="73"/>
      <c r="AE30" s="51"/>
      <c r="AF30" s="51"/>
      <c r="AG30" s="51">
        <f t="shared" si="102"/>
        <v>0.542550746377601</v>
      </c>
      <c r="AH30" s="51">
        <f t="shared" si="103"/>
        <v>0.542550746377601</v>
      </c>
      <c r="AI30" s="51">
        <f t="shared" si="104"/>
        <v>0.0113649681971008</v>
      </c>
      <c r="AJ30" s="51">
        <f t="shared" si="105"/>
        <v>0.203038393469449</v>
      </c>
      <c r="AK30" s="51">
        <f t="shared" si="106"/>
        <v>0.0490045775022111</v>
      </c>
      <c r="AL30" s="51">
        <f t="shared" si="107"/>
        <v>0.0191096422225187</v>
      </c>
      <c r="AM30" s="51">
        <f t="shared" si="91"/>
        <v>0.267658170586878</v>
      </c>
      <c r="AN30" s="51">
        <f t="shared" si="92"/>
        <v>0.267638513059383</v>
      </c>
      <c r="AO30" s="51">
        <f t="shared" si="93"/>
        <v>0.225279974329567</v>
      </c>
      <c r="AP30" s="73"/>
      <c r="AQ30" s="73"/>
      <c r="AR30" s="73"/>
      <c r="AS30" s="73"/>
      <c r="AT30" s="73"/>
      <c r="AU30" s="73"/>
      <c r="AV30" s="73"/>
      <c r="AW30" s="73"/>
      <c r="AX30" s="73"/>
      <c r="AY30" s="73"/>
      <c r="AZ30" s="51"/>
      <c r="BA30" s="51"/>
      <c r="BB30" s="51"/>
      <c r="BC30" s="51"/>
      <c r="BD30" s="51"/>
      <c r="BE30" s="73"/>
      <c r="BF30" s="73"/>
      <c r="BG30" s="73"/>
      <c r="BH30" s="73"/>
      <c r="BI30" s="73"/>
      <c r="BJ30" s="73"/>
      <c r="BK30" s="73"/>
      <c r="BL30" s="73"/>
      <c r="BM30" s="73"/>
      <c r="BN30" s="73"/>
      <c r="BO30" s="51"/>
      <c r="BP30" s="51"/>
      <c r="BQ30" s="51"/>
      <c r="BR30" s="51"/>
      <c r="BS30" s="51"/>
      <c r="BT30" s="73"/>
      <c r="BU30" s="73"/>
      <c r="BV30" s="73"/>
      <c r="BW30" s="73"/>
      <c r="BX30" s="73"/>
      <c r="BY30" s="73"/>
      <c r="BZ30" s="73"/>
      <c r="CA30" s="73"/>
      <c r="CB30" s="73"/>
      <c r="CC30" s="73"/>
      <c r="CD30" s="51"/>
      <c r="CE30" s="51"/>
      <c r="CF30" s="51"/>
      <c r="CG30" s="51"/>
      <c r="CH30" s="51"/>
      <c r="CI30" s="73"/>
      <c r="CJ30" s="73"/>
      <c r="CK30" s="73"/>
      <c r="CL30" s="73"/>
      <c r="CM30" s="73"/>
      <c r="CN30" s="73"/>
      <c r="CO30" s="73"/>
      <c r="CP30" s="73"/>
      <c r="CQ30" s="73"/>
      <c r="CR30" s="73"/>
      <c r="CS30" s="73"/>
      <c r="CT30" s="73"/>
      <c r="CU30" s="73"/>
      <c r="CV30" s="73"/>
      <c r="CW30" s="73"/>
      <c r="CX30" s="73"/>
      <c r="CY30" s="73"/>
      <c r="CZ30" s="73"/>
      <c r="DA30" s="73"/>
      <c r="DB30" s="73"/>
      <c r="DC30" s="73"/>
      <c r="DD30" s="73"/>
      <c r="DE30" s="73"/>
      <c r="DF30" s="73"/>
      <c r="DG30" s="73"/>
      <c r="DH30" s="73"/>
      <c r="DI30" s="73"/>
      <c r="DJ30" s="73"/>
      <c r="DK30" s="73"/>
      <c r="DL30" s="73"/>
      <c r="DM30" s="73"/>
      <c r="DN30" s="73"/>
      <c r="DO30" s="73"/>
      <c r="DP30" s="73"/>
      <c r="DQ30" s="73"/>
      <c r="DR30" s="51"/>
      <c r="DS30" s="51"/>
      <c r="DT30" s="51"/>
      <c r="DU30" s="51"/>
      <c r="DV30" s="51"/>
      <c r="DW30" s="51">
        <f t="shared" si="108"/>
        <v>0.158267725543734</v>
      </c>
      <c r="DX30" s="51">
        <f t="shared" si="109"/>
        <v>0.158256101941287</v>
      </c>
      <c r="DY30" s="59">
        <v>608688964</v>
      </c>
      <c r="DZ30" s="51">
        <f t="shared" si="96"/>
        <v>0.571299795028123</v>
      </c>
      <c r="EA30" s="87">
        <v>303308325.77</v>
      </c>
      <c r="EB30" s="51">
        <f t="shared" si="110"/>
        <v>0.524701864011985</v>
      </c>
      <c r="EC30" s="51">
        <f t="shared" si="98"/>
        <v>0.498297724632313</v>
      </c>
      <c r="ED30" s="51"/>
      <c r="EE30" s="51"/>
      <c r="EF30" s="51"/>
      <c r="EG30" s="51"/>
      <c r="EH30" s="90">
        <v>111023.73</v>
      </c>
      <c r="EI30" s="90">
        <v>114261.34</v>
      </c>
      <c r="EJ30" s="49">
        <f t="shared" si="111"/>
        <v>5482.51228813876</v>
      </c>
      <c r="EK30" s="49"/>
      <c r="EL30" s="49"/>
      <c r="EM30" s="49">
        <v>14067.53</v>
      </c>
      <c r="EN30" s="51"/>
      <c r="EO30" s="59"/>
      <c r="EP30" s="51">
        <f t="shared" si="99"/>
        <v>0</v>
      </c>
      <c r="EQ30" s="51"/>
      <c r="ER30" s="51"/>
      <c r="ES30" s="51"/>
      <c r="ET30" s="51"/>
      <c r="EU30" s="51"/>
      <c r="EV30" s="51"/>
      <c r="EW30" s="51"/>
      <c r="EX30" s="90"/>
      <c r="EY30" s="90"/>
      <c r="EZ30" s="13"/>
      <c r="FA30" s="51"/>
      <c r="FB30" s="51"/>
      <c r="FC30" s="59"/>
      <c r="FD30" s="59"/>
      <c r="FE30" s="51">
        <f t="shared" si="100"/>
        <v>0</v>
      </c>
      <c r="FF30" s="93"/>
      <c r="FG30" s="51"/>
      <c r="FH30" s="51"/>
      <c r="FI30" s="93"/>
      <c r="FJ30" s="93"/>
      <c r="FK30" s="60"/>
      <c r="FL30" s="51"/>
      <c r="FM30" s="51"/>
      <c r="FN30" s="14"/>
    </row>
    <row r="31" spans="1:170">
      <c r="A31" s="13">
        <v>2017</v>
      </c>
      <c r="B31" s="13"/>
      <c r="C31" s="60">
        <v>948167111.51</v>
      </c>
      <c r="D31" s="51">
        <f t="shared" si="112"/>
        <v>0.230010498376745</v>
      </c>
      <c r="E31" s="60">
        <v>792202600.28</v>
      </c>
      <c r="F31" s="60"/>
      <c r="G31" s="59">
        <v>537261639.44</v>
      </c>
      <c r="H31" s="59">
        <v>10944053.81</v>
      </c>
      <c r="I31" s="49">
        <v>175636458.9</v>
      </c>
      <c r="J31" s="59">
        <v>43985811.78</v>
      </c>
      <c r="K31" s="59">
        <v>22412654.12</v>
      </c>
      <c r="L31" s="59">
        <v>1193171.8</v>
      </c>
      <c r="M31" s="59">
        <v>169196845.16</v>
      </c>
      <c r="N31" s="59">
        <v>170816896.19</v>
      </c>
      <c r="O31" s="59">
        <v>26757461.94</v>
      </c>
      <c r="P31" s="59">
        <v>144059434.25</v>
      </c>
      <c r="Q31" s="51"/>
      <c r="R31" s="59"/>
      <c r="S31" s="59"/>
      <c r="T31" s="59"/>
      <c r="U31" s="59"/>
      <c r="V31" s="59"/>
      <c r="W31" s="59"/>
      <c r="X31" s="59"/>
      <c r="Y31" s="59"/>
      <c r="Z31" s="59"/>
      <c r="AA31" s="51"/>
      <c r="AB31" s="73"/>
      <c r="AC31" s="59"/>
      <c r="AD31" s="73"/>
      <c r="AE31" s="51"/>
      <c r="AF31" s="51"/>
      <c r="AG31" s="51">
        <f t="shared" si="102"/>
        <v>0.566631802472442</v>
      </c>
      <c r="AH31" s="51">
        <f t="shared" si="103"/>
        <v>0.566631802472442</v>
      </c>
      <c r="AI31" s="51">
        <f t="shared" si="104"/>
        <v>0.0115423259013605</v>
      </c>
      <c r="AJ31" s="51">
        <f t="shared" si="105"/>
        <v>0.185237872910705</v>
      </c>
      <c r="AK31" s="51">
        <f t="shared" si="106"/>
        <v>0.0463903580350415</v>
      </c>
      <c r="AL31" s="51">
        <f t="shared" si="107"/>
        <v>0.0236378733747755</v>
      </c>
      <c r="AM31" s="51">
        <f t="shared" si="91"/>
        <v>0.178446228630042</v>
      </c>
      <c r="AN31" s="51">
        <f t="shared" si="92"/>
        <v>0.180154842027758</v>
      </c>
      <c r="AO31" s="51">
        <f t="shared" si="93"/>
        <v>0.151934645803711</v>
      </c>
      <c r="AP31" s="73"/>
      <c r="AQ31" s="73"/>
      <c r="AR31" s="73"/>
      <c r="AS31" s="73"/>
      <c r="AT31" s="73"/>
      <c r="AU31" s="73"/>
      <c r="AV31" s="73"/>
      <c r="AW31" s="73"/>
      <c r="AX31" s="73"/>
      <c r="AY31" s="73"/>
      <c r="AZ31" s="51"/>
      <c r="BA31" s="51"/>
      <c r="BB31" s="51"/>
      <c r="BC31" s="51"/>
      <c r="BD31" s="51"/>
      <c r="BE31" s="73"/>
      <c r="BF31" s="73"/>
      <c r="BG31" s="73"/>
      <c r="BH31" s="73"/>
      <c r="BI31" s="73"/>
      <c r="BJ31" s="73"/>
      <c r="BK31" s="73"/>
      <c r="BL31" s="73"/>
      <c r="BM31" s="73"/>
      <c r="BN31" s="73"/>
      <c r="BO31" s="51"/>
      <c r="BP31" s="51"/>
      <c r="BQ31" s="51"/>
      <c r="BR31" s="51"/>
      <c r="BS31" s="51"/>
      <c r="BT31" s="73"/>
      <c r="BU31" s="73"/>
      <c r="BV31" s="73"/>
      <c r="BW31" s="73"/>
      <c r="BX31" s="73"/>
      <c r="BY31" s="73"/>
      <c r="BZ31" s="73"/>
      <c r="CA31" s="73"/>
      <c r="CB31" s="73"/>
      <c r="CC31" s="73"/>
      <c r="CD31" s="51"/>
      <c r="CE31" s="51"/>
      <c r="CF31" s="51"/>
      <c r="CG31" s="51"/>
      <c r="CH31" s="51"/>
      <c r="CI31" s="73"/>
      <c r="CJ31" s="73"/>
      <c r="CK31" s="73"/>
      <c r="CL31" s="73"/>
      <c r="CM31" s="73"/>
      <c r="CN31" s="73"/>
      <c r="CO31" s="73"/>
      <c r="CP31" s="73"/>
      <c r="CQ31" s="73"/>
      <c r="CR31" s="73"/>
      <c r="CS31" s="73"/>
      <c r="CT31" s="73"/>
      <c r="CU31" s="73"/>
      <c r="CV31" s="73"/>
      <c r="CW31" s="73"/>
      <c r="CX31" s="73"/>
      <c r="CY31" s="73"/>
      <c r="CZ31" s="73"/>
      <c r="DA31" s="73"/>
      <c r="DB31" s="73"/>
      <c r="DC31" s="73"/>
      <c r="DD31" s="73"/>
      <c r="DE31" s="73"/>
      <c r="DF31" s="73"/>
      <c r="DG31" s="73"/>
      <c r="DH31" s="73"/>
      <c r="DI31" s="73"/>
      <c r="DJ31" s="73"/>
      <c r="DK31" s="73"/>
      <c r="DL31" s="73"/>
      <c r="DM31" s="73"/>
      <c r="DN31" s="73"/>
      <c r="DO31" s="73"/>
      <c r="DP31" s="73"/>
      <c r="DQ31" s="73"/>
      <c r="DR31" s="51"/>
      <c r="DS31" s="51"/>
      <c r="DT31" s="51"/>
      <c r="DU31" s="51"/>
      <c r="DV31" s="51"/>
      <c r="DW31" s="51">
        <f t="shared" si="108"/>
        <v>0.156644117395961</v>
      </c>
      <c r="DX31" s="51">
        <f t="shared" si="109"/>
        <v>0.158143976707704</v>
      </c>
      <c r="DY31" s="59">
        <v>505576221.65</v>
      </c>
      <c r="DZ31" s="51">
        <f t="shared" si="96"/>
        <v>0.533214256762024</v>
      </c>
      <c r="EA31" s="59">
        <v>258682460.69</v>
      </c>
      <c r="EB31" s="51">
        <f t="shared" si="110"/>
        <v>0.481483213578454</v>
      </c>
      <c r="EC31" s="51">
        <f t="shared" si="98"/>
        <v>0.511658676995851</v>
      </c>
      <c r="ED31" s="51"/>
      <c r="EE31" s="51"/>
      <c r="EF31" s="51"/>
      <c r="EG31" s="51"/>
      <c r="EH31" s="90">
        <v>94958.7</v>
      </c>
      <c r="EI31" s="90">
        <v>96349.95</v>
      </c>
      <c r="EJ31" s="49">
        <f t="shared" si="111"/>
        <v>5324.16957740576</v>
      </c>
      <c r="EK31" s="49"/>
      <c r="EL31" s="49"/>
      <c r="EM31" s="49">
        <v>10829.88</v>
      </c>
      <c r="EN31" s="51"/>
      <c r="EO31" s="59"/>
      <c r="EP31" s="51">
        <f t="shared" si="99"/>
        <v>0</v>
      </c>
      <c r="EQ31" s="51"/>
      <c r="ER31" s="51"/>
      <c r="ES31" s="51"/>
      <c r="ET31" s="51"/>
      <c r="EU31" s="51"/>
      <c r="EV31" s="51"/>
      <c r="EW31" s="51"/>
      <c r="EX31" s="90"/>
      <c r="EY31" s="90"/>
      <c r="EZ31" s="13"/>
      <c r="FA31" s="51"/>
      <c r="FB31" s="51"/>
      <c r="FC31" s="59"/>
      <c r="FD31" s="59"/>
      <c r="FE31" s="51">
        <f t="shared" si="100"/>
        <v>0</v>
      </c>
      <c r="FF31" s="93"/>
      <c r="FG31" s="51"/>
      <c r="FH31" s="51"/>
      <c r="FI31" s="93"/>
      <c r="FJ31" s="93"/>
      <c r="FK31" s="60"/>
      <c r="FL31" s="51"/>
      <c r="FM31" s="51"/>
      <c r="FN31" s="14"/>
    </row>
    <row r="32" spans="1:170">
      <c r="A32" s="45">
        <v>2016</v>
      </c>
      <c r="B32" s="13"/>
      <c r="C32" s="60">
        <v>770860990.83</v>
      </c>
      <c r="D32" s="51">
        <f t="shared" si="112"/>
        <v>0.236174394035559</v>
      </c>
      <c r="E32" s="60">
        <v>662796851.61</v>
      </c>
      <c r="F32" s="60"/>
      <c r="G32" s="60">
        <v>455044993.65</v>
      </c>
      <c r="H32" s="60">
        <v>9939920.51</v>
      </c>
      <c r="I32" s="49">
        <v>155584380.12</v>
      </c>
      <c r="J32" s="60">
        <v>41627306.42</v>
      </c>
      <c r="K32" s="60"/>
      <c r="L32" s="60">
        <v>-744236.12</v>
      </c>
      <c r="M32" s="60">
        <v>109805144.07</v>
      </c>
      <c r="N32" s="60">
        <v>121972177.66</v>
      </c>
      <c r="O32" s="60">
        <v>21883612.08</v>
      </c>
      <c r="P32" s="60">
        <v>100088565.58</v>
      </c>
      <c r="Q32" s="51"/>
      <c r="R32" s="59"/>
      <c r="S32" s="60"/>
      <c r="T32" s="60"/>
      <c r="U32" s="60"/>
      <c r="V32" s="60"/>
      <c r="W32" s="60"/>
      <c r="X32" s="60"/>
      <c r="Y32" s="60"/>
      <c r="Z32" s="60"/>
      <c r="AA32" s="51"/>
      <c r="AB32" s="73"/>
      <c r="AC32" s="60"/>
      <c r="AD32" s="73"/>
      <c r="AE32" s="51"/>
      <c r="AF32" s="51"/>
      <c r="AG32" s="51">
        <f>E32/C32</f>
        <v>0.859813714138466</v>
      </c>
      <c r="AH32" s="51">
        <f t="shared" si="103"/>
        <v>0.590307460181692</v>
      </c>
      <c r="AI32" s="51">
        <f t="shared" si="104"/>
        <v>0.0128945693558802</v>
      </c>
      <c r="AJ32" s="51">
        <f t="shared" si="105"/>
        <v>0.201831954101711</v>
      </c>
      <c r="AK32" s="51">
        <f t="shared" si="106"/>
        <v>0.0540010545548285</v>
      </c>
      <c r="AL32" s="51">
        <f t="shared" si="107"/>
        <v>0</v>
      </c>
      <c r="AM32" s="51">
        <f t="shared" si="91"/>
        <v>0.142444805712338</v>
      </c>
      <c r="AN32" s="51">
        <f t="shared" si="92"/>
        <v>0.158228499185917</v>
      </c>
      <c r="AO32" s="51">
        <f t="shared" si="93"/>
        <v>0.129839966959844</v>
      </c>
      <c r="AP32" s="73"/>
      <c r="AQ32" s="73"/>
      <c r="AR32" s="73"/>
      <c r="AS32" s="73"/>
      <c r="AT32" s="73"/>
      <c r="AU32" s="73"/>
      <c r="AV32" s="73"/>
      <c r="AW32" s="73"/>
      <c r="AX32" s="73"/>
      <c r="AY32" s="73"/>
      <c r="AZ32" s="51"/>
      <c r="BA32" s="51"/>
      <c r="BB32" s="51"/>
      <c r="BC32" s="51"/>
      <c r="BD32" s="51"/>
      <c r="BE32" s="73"/>
      <c r="BF32" s="73"/>
      <c r="BG32" s="73"/>
      <c r="BH32" s="73"/>
      <c r="BI32" s="73"/>
      <c r="BJ32" s="73"/>
      <c r="BK32" s="73"/>
      <c r="BL32" s="73"/>
      <c r="BM32" s="73"/>
      <c r="BN32" s="73"/>
      <c r="BO32" s="51"/>
      <c r="BP32" s="51"/>
      <c r="BQ32" s="51"/>
      <c r="BR32" s="51"/>
      <c r="BS32" s="51"/>
      <c r="BT32" s="73"/>
      <c r="BU32" s="73"/>
      <c r="BV32" s="73"/>
      <c r="BW32" s="73"/>
      <c r="BX32" s="73"/>
      <c r="BY32" s="73"/>
      <c r="BZ32" s="73"/>
      <c r="CA32" s="73"/>
      <c r="CB32" s="73"/>
      <c r="CC32" s="73"/>
      <c r="CD32" s="51"/>
      <c r="CE32" s="51"/>
      <c r="CF32" s="51"/>
      <c r="CG32" s="51"/>
      <c r="CH32" s="51"/>
      <c r="CI32" s="73"/>
      <c r="CJ32" s="73"/>
      <c r="CK32" s="73"/>
      <c r="CL32" s="73"/>
      <c r="CM32" s="73"/>
      <c r="CN32" s="73"/>
      <c r="CO32" s="73"/>
      <c r="CP32" s="73"/>
      <c r="CQ32" s="73"/>
      <c r="CR32" s="73"/>
      <c r="CS32" s="73"/>
      <c r="CT32" s="73"/>
      <c r="CU32" s="73"/>
      <c r="CV32" s="73"/>
      <c r="CW32" s="73"/>
      <c r="CX32" s="73"/>
      <c r="CY32" s="73"/>
      <c r="CZ32" s="73"/>
      <c r="DA32" s="73"/>
      <c r="DB32" s="73"/>
      <c r="DC32" s="73"/>
      <c r="DD32" s="73"/>
      <c r="DE32" s="73"/>
      <c r="DF32" s="73"/>
      <c r="DG32" s="73"/>
      <c r="DH32" s="73"/>
      <c r="DI32" s="73"/>
      <c r="DJ32" s="73"/>
      <c r="DK32" s="73"/>
      <c r="DL32" s="73"/>
      <c r="DM32" s="73"/>
      <c r="DN32" s="73"/>
      <c r="DO32" s="73"/>
      <c r="DP32" s="73"/>
      <c r="DQ32" s="73"/>
      <c r="DR32" s="51"/>
      <c r="DS32" s="51"/>
      <c r="DT32" s="51"/>
      <c r="DU32" s="51"/>
      <c r="DV32" s="51"/>
      <c r="DW32" s="51">
        <f t="shared" si="108"/>
        <v>0.179414785402955</v>
      </c>
      <c r="DX32" s="51">
        <f t="shared" si="109"/>
        <v>0.199294962593459</v>
      </c>
      <c r="DY32" s="59"/>
      <c r="DZ32" s="51">
        <f t="shared" si="96"/>
        <v>0</v>
      </c>
      <c r="EA32" s="51"/>
      <c r="EB32" s="51"/>
      <c r="EC32" s="51"/>
      <c r="ED32" s="51"/>
      <c r="EE32" s="51"/>
      <c r="EF32" s="51"/>
      <c r="EG32" s="51"/>
      <c r="EH32" s="90"/>
      <c r="EI32" s="90"/>
      <c r="EJ32" s="13"/>
      <c r="EK32" s="13"/>
      <c r="EL32" s="13"/>
      <c r="EM32" s="13"/>
      <c r="EN32" s="51"/>
      <c r="EO32" s="59"/>
      <c r="EP32" s="51">
        <f t="shared" si="99"/>
        <v>0</v>
      </c>
      <c r="EQ32" s="51"/>
      <c r="ER32" s="51"/>
      <c r="ES32" s="51"/>
      <c r="ET32" s="51"/>
      <c r="EU32" s="51"/>
      <c r="EV32" s="51"/>
      <c r="EW32" s="51"/>
      <c r="EX32" s="90"/>
      <c r="EY32" s="90"/>
      <c r="EZ32" s="13"/>
      <c r="FA32" s="51"/>
      <c r="FB32" s="51"/>
      <c r="FC32" s="59"/>
      <c r="FD32" s="59"/>
      <c r="FE32" s="51">
        <f t="shared" ref="FE32:FE47" si="113">FD32/C32</f>
        <v>0</v>
      </c>
      <c r="FF32" s="93"/>
      <c r="FG32" s="51"/>
      <c r="FH32" s="51"/>
      <c r="FI32" s="93"/>
      <c r="FJ32" s="93"/>
      <c r="FK32" s="60"/>
      <c r="FL32" s="51"/>
      <c r="FM32" s="51"/>
      <c r="FN32" s="14"/>
    </row>
    <row r="33" spans="1:170">
      <c r="A33" s="13">
        <v>2015</v>
      </c>
      <c r="B33" s="13"/>
      <c r="C33" s="60">
        <v>623585955.63</v>
      </c>
      <c r="D33" s="51">
        <f t="shared" si="112"/>
        <v>-0.0417807283033406</v>
      </c>
      <c r="E33" s="60">
        <v>545148782.2</v>
      </c>
      <c r="F33" s="60"/>
      <c r="G33" s="60">
        <v>391673640.37</v>
      </c>
      <c r="H33" s="60">
        <v>3996952.62</v>
      </c>
      <c r="I33" s="49">
        <v>103835008.44</v>
      </c>
      <c r="J33" s="60">
        <v>38146814.99</v>
      </c>
      <c r="K33" s="60"/>
      <c r="L33" s="60">
        <v>7181535.02</v>
      </c>
      <c r="M33" s="60">
        <v>78437173.43</v>
      </c>
      <c r="N33" s="60">
        <v>80884690</v>
      </c>
      <c r="O33" s="60">
        <v>14353571.4</v>
      </c>
      <c r="P33" s="60">
        <v>66531118.6</v>
      </c>
      <c r="Q33" s="51"/>
      <c r="R33" s="59"/>
      <c r="S33" s="60"/>
      <c r="T33" s="60"/>
      <c r="U33" s="60"/>
      <c r="V33" s="60"/>
      <c r="W33" s="60"/>
      <c r="X33" s="60"/>
      <c r="Y33" s="60"/>
      <c r="Z33" s="60"/>
      <c r="AA33" s="51"/>
      <c r="AB33" s="73"/>
      <c r="AC33" s="60"/>
      <c r="AD33" s="73"/>
      <c r="AE33" s="51"/>
      <c r="AF33" s="51"/>
      <c r="AG33" s="51">
        <f>E33/C33</f>
        <v>0.874215939724371</v>
      </c>
      <c r="AH33" s="51">
        <f t="shared" si="103"/>
        <v>0.628098880088307</v>
      </c>
      <c r="AI33" s="51">
        <f t="shared" si="104"/>
        <v>0.0064096257844068</v>
      </c>
      <c r="AJ33" s="51">
        <f t="shared" si="105"/>
        <v>0.166512743756548</v>
      </c>
      <c r="AK33" s="51">
        <f t="shared" si="106"/>
        <v>0.0611733068161563</v>
      </c>
      <c r="AL33" s="51">
        <f t="shared" si="107"/>
        <v>0</v>
      </c>
      <c r="AM33" s="51">
        <f t="shared" si="91"/>
        <v>0.12578406027563</v>
      </c>
      <c r="AN33" s="51">
        <f t="shared" si="92"/>
        <v>0.12970896677473</v>
      </c>
      <c r="AO33" s="51">
        <f t="shared" si="93"/>
        <v>0.106691175449557</v>
      </c>
      <c r="AP33" s="73"/>
      <c r="AQ33" s="73"/>
      <c r="AR33" s="73"/>
      <c r="AS33" s="73"/>
      <c r="AT33" s="73"/>
      <c r="AU33" s="73"/>
      <c r="AV33" s="73"/>
      <c r="AW33" s="73"/>
      <c r="AX33" s="73"/>
      <c r="AY33" s="73"/>
      <c r="AZ33" s="51"/>
      <c r="BA33" s="51"/>
      <c r="BB33" s="51"/>
      <c r="BC33" s="51"/>
      <c r="BD33" s="51"/>
      <c r="BE33" s="73"/>
      <c r="BF33" s="73"/>
      <c r="BG33" s="73"/>
      <c r="BH33" s="73"/>
      <c r="BI33" s="73"/>
      <c r="BJ33" s="73"/>
      <c r="BK33" s="73"/>
      <c r="BL33" s="73"/>
      <c r="BM33" s="73"/>
      <c r="BN33" s="73"/>
      <c r="BO33" s="51"/>
      <c r="BP33" s="51"/>
      <c r="BQ33" s="51"/>
      <c r="BR33" s="51"/>
      <c r="BS33" s="51"/>
      <c r="BT33" s="73"/>
      <c r="BU33" s="73"/>
      <c r="BV33" s="73"/>
      <c r="BW33" s="73"/>
      <c r="BX33" s="73"/>
      <c r="BY33" s="73"/>
      <c r="BZ33" s="73"/>
      <c r="CA33" s="73"/>
      <c r="CB33" s="73"/>
      <c r="CC33" s="73"/>
      <c r="CD33" s="51"/>
      <c r="CE33" s="51"/>
      <c r="CF33" s="51"/>
      <c r="CG33" s="51"/>
      <c r="CH33" s="51"/>
      <c r="CI33" s="73"/>
      <c r="CJ33" s="73"/>
      <c r="CK33" s="73"/>
      <c r="CL33" s="73"/>
      <c r="CM33" s="73"/>
      <c r="CN33" s="73"/>
      <c r="CO33" s="73"/>
      <c r="CP33" s="73"/>
      <c r="CQ33" s="73"/>
      <c r="CR33" s="73"/>
      <c r="CS33" s="73"/>
      <c r="CT33" s="73"/>
      <c r="CU33" s="73"/>
      <c r="CV33" s="73"/>
      <c r="CW33" s="73"/>
      <c r="CX33" s="73"/>
      <c r="CY33" s="73"/>
      <c r="CZ33" s="73"/>
      <c r="DA33" s="73"/>
      <c r="DB33" s="73"/>
      <c r="DC33" s="73"/>
      <c r="DD33" s="73"/>
      <c r="DE33" s="73"/>
      <c r="DF33" s="73"/>
      <c r="DG33" s="73"/>
      <c r="DH33" s="73"/>
      <c r="DI33" s="73"/>
      <c r="DJ33" s="73"/>
      <c r="DK33" s="73"/>
      <c r="DL33" s="73"/>
      <c r="DM33" s="73"/>
      <c r="DN33" s="73"/>
      <c r="DO33" s="73"/>
      <c r="DP33" s="73"/>
      <c r="DQ33" s="73"/>
      <c r="DR33" s="51"/>
      <c r="DS33" s="51"/>
      <c r="DT33" s="51"/>
      <c r="DU33" s="51"/>
      <c r="DV33" s="51"/>
      <c r="DW33" s="51">
        <f t="shared" si="108"/>
        <v>0.177457209763677</v>
      </c>
      <c r="DX33" s="51">
        <f t="shared" si="109"/>
        <v>0.182994500851176</v>
      </c>
      <c r="DY33" s="59"/>
      <c r="DZ33" s="51">
        <f t="shared" si="96"/>
        <v>0</v>
      </c>
      <c r="EA33" s="51"/>
      <c r="EB33" s="51"/>
      <c r="EC33" s="51"/>
      <c r="ED33" s="51"/>
      <c r="EE33" s="51"/>
      <c r="EF33" s="51"/>
      <c r="EG33" s="51"/>
      <c r="EH33" s="90"/>
      <c r="EI33" s="90"/>
      <c r="EJ33" s="13"/>
      <c r="EK33" s="13"/>
      <c r="EL33" s="13"/>
      <c r="EM33" s="13"/>
      <c r="EN33" s="51"/>
      <c r="EO33" s="59"/>
      <c r="EP33" s="51">
        <f t="shared" si="99"/>
        <v>0</v>
      </c>
      <c r="EQ33" s="51"/>
      <c r="ER33" s="51"/>
      <c r="ES33" s="51"/>
      <c r="ET33" s="51"/>
      <c r="EU33" s="51"/>
      <c r="EV33" s="51"/>
      <c r="EW33" s="51"/>
      <c r="EX33" s="90"/>
      <c r="EY33" s="90"/>
      <c r="EZ33" s="13"/>
      <c r="FA33" s="51"/>
      <c r="FB33" s="51"/>
      <c r="FC33" s="59"/>
      <c r="FD33" s="59"/>
      <c r="FE33" s="51">
        <f t="shared" si="113"/>
        <v>0</v>
      </c>
      <c r="FF33" s="93"/>
      <c r="FG33" s="51"/>
      <c r="FH33" s="51"/>
      <c r="FI33" s="93"/>
      <c r="FJ33" s="93"/>
      <c r="FK33" s="60"/>
      <c r="FL33" s="51"/>
      <c r="FM33" s="51"/>
      <c r="FN33" s="14"/>
    </row>
    <row r="34" spans="1:170">
      <c r="A34" s="13">
        <v>2014</v>
      </c>
      <c r="B34" s="13"/>
      <c r="C34" s="60">
        <v>650775844.37</v>
      </c>
      <c r="D34" s="51">
        <f t="shared" si="112"/>
        <v>0.0622324251897966</v>
      </c>
      <c r="E34" s="60">
        <v>586545199.88</v>
      </c>
      <c r="F34" s="60"/>
      <c r="G34" s="60">
        <v>439190435.52</v>
      </c>
      <c r="H34" s="60">
        <v>3311033.71</v>
      </c>
      <c r="I34" s="49">
        <v>98501979.67</v>
      </c>
      <c r="J34" s="60">
        <v>38837586.4</v>
      </c>
      <c r="K34" s="60"/>
      <c r="L34" s="60">
        <v>6843457.54</v>
      </c>
      <c r="M34" s="60">
        <v>64230644.49</v>
      </c>
      <c r="N34" s="60">
        <v>64278058.12</v>
      </c>
      <c r="O34" s="60">
        <v>11307733.43</v>
      </c>
      <c r="P34" s="60">
        <v>52970324.69</v>
      </c>
      <c r="Q34" s="51"/>
      <c r="R34" s="59"/>
      <c r="S34" s="60"/>
      <c r="T34" s="60"/>
      <c r="U34" s="60"/>
      <c r="V34" s="60"/>
      <c r="W34" s="60"/>
      <c r="X34" s="60"/>
      <c r="Y34" s="60"/>
      <c r="Z34" s="60"/>
      <c r="AA34" s="51"/>
      <c r="AB34" s="73"/>
      <c r="AC34" s="60"/>
      <c r="AD34" s="73"/>
      <c r="AE34" s="51"/>
      <c r="AF34" s="51"/>
      <c r="AG34" s="51">
        <f>E34/C34</f>
        <v>0.901301431136892</v>
      </c>
      <c r="AH34" s="51">
        <f t="shared" si="103"/>
        <v>0.674872061278134</v>
      </c>
      <c r="AI34" s="51">
        <f t="shared" si="104"/>
        <v>0.00508782515307606</v>
      </c>
      <c r="AJ34" s="51">
        <f t="shared" si="105"/>
        <v>0.151360841866153</v>
      </c>
      <c r="AK34" s="51">
        <f t="shared" si="106"/>
        <v>0.0596788997870652</v>
      </c>
      <c r="AL34" s="51">
        <f t="shared" si="107"/>
        <v>0</v>
      </c>
      <c r="AM34" s="51">
        <f t="shared" si="91"/>
        <v>0.0986985688631085</v>
      </c>
      <c r="AN34" s="51">
        <f t="shared" si="92"/>
        <v>0.0987714259465577</v>
      </c>
      <c r="AO34" s="51">
        <f t="shared" si="93"/>
        <v>0.0813956528169531</v>
      </c>
      <c r="AP34" s="73"/>
      <c r="AQ34" s="73"/>
      <c r="AR34" s="73"/>
      <c r="AS34" s="73"/>
      <c r="AT34" s="73"/>
      <c r="AU34" s="73"/>
      <c r="AV34" s="73"/>
      <c r="AW34" s="73"/>
      <c r="AX34" s="73"/>
      <c r="AY34" s="73"/>
      <c r="AZ34" s="51"/>
      <c r="BA34" s="51"/>
      <c r="BB34" s="51"/>
      <c r="BC34" s="51"/>
      <c r="BD34" s="51"/>
      <c r="BE34" s="73"/>
      <c r="BF34" s="73"/>
      <c r="BG34" s="73"/>
      <c r="BH34" s="73"/>
      <c r="BI34" s="73"/>
      <c r="BJ34" s="73"/>
      <c r="BK34" s="73"/>
      <c r="BL34" s="73"/>
      <c r="BM34" s="73"/>
      <c r="BN34" s="73"/>
      <c r="BO34" s="51"/>
      <c r="BP34" s="51"/>
      <c r="BQ34" s="51"/>
      <c r="BR34" s="51"/>
      <c r="BS34" s="51"/>
      <c r="BT34" s="73"/>
      <c r="BU34" s="73"/>
      <c r="BV34" s="73"/>
      <c r="BW34" s="73"/>
      <c r="BX34" s="73"/>
      <c r="BY34" s="73"/>
      <c r="BZ34" s="73"/>
      <c r="CA34" s="73"/>
      <c r="CB34" s="73"/>
      <c r="CC34" s="73"/>
      <c r="CD34" s="51"/>
      <c r="CE34" s="51"/>
      <c r="CF34" s="51"/>
      <c r="CG34" s="51"/>
      <c r="CH34" s="51"/>
      <c r="CI34" s="73"/>
      <c r="CJ34" s="73"/>
      <c r="CK34" s="73"/>
      <c r="CL34" s="73"/>
      <c r="CM34" s="73"/>
      <c r="CN34" s="73"/>
      <c r="CO34" s="73"/>
      <c r="CP34" s="73"/>
      <c r="CQ34" s="73"/>
      <c r="CR34" s="73"/>
      <c r="CS34" s="73"/>
      <c r="CT34" s="73"/>
      <c r="CU34" s="73"/>
      <c r="CV34" s="73"/>
      <c r="CW34" s="73"/>
      <c r="CX34" s="73"/>
      <c r="CY34" s="73"/>
      <c r="CZ34" s="73"/>
      <c r="DA34" s="73"/>
      <c r="DB34" s="73"/>
      <c r="DC34" s="73"/>
      <c r="DD34" s="73"/>
      <c r="DE34" s="73"/>
      <c r="DF34" s="73"/>
      <c r="DG34" s="73"/>
      <c r="DH34" s="73"/>
      <c r="DI34" s="73"/>
      <c r="DJ34" s="73"/>
      <c r="DK34" s="73"/>
      <c r="DL34" s="73"/>
      <c r="DM34" s="73"/>
      <c r="DN34" s="73"/>
      <c r="DO34" s="73"/>
      <c r="DP34" s="73"/>
      <c r="DQ34" s="73"/>
      <c r="DR34" s="51"/>
      <c r="DS34" s="51"/>
      <c r="DT34" s="51"/>
      <c r="DU34" s="51"/>
      <c r="DV34" s="51"/>
      <c r="DW34" s="51"/>
      <c r="DX34" s="51"/>
      <c r="DY34" s="59"/>
      <c r="DZ34" s="51">
        <f t="shared" si="96"/>
        <v>0</v>
      </c>
      <c r="EA34" s="51"/>
      <c r="EB34" s="51"/>
      <c r="EC34" s="51"/>
      <c r="ED34" s="51"/>
      <c r="EE34" s="51"/>
      <c r="EF34" s="51"/>
      <c r="EG34" s="51"/>
      <c r="EH34" s="90"/>
      <c r="EI34" s="90"/>
      <c r="EJ34" s="13"/>
      <c r="EK34" s="13"/>
      <c r="EL34" s="13"/>
      <c r="EM34" s="13"/>
      <c r="EN34" s="51"/>
      <c r="EO34" s="59"/>
      <c r="EP34" s="51">
        <f t="shared" si="99"/>
        <v>0</v>
      </c>
      <c r="EQ34" s="51"/>
      <c r="ER34" s="51"/>
      <c r="ES34" s="51"/>
      <c r="ET34" s="51"/>
      <c r="EU34" s="51"/>
      <c r="EV34" s="51"/>
      <c r="EW34" s="51"/>
      <c r="EX34" s="90"/>
      <c r="EY34" s="90"/>
      <c r="EZ34" s="13"/>
      <c r="FA34" s="51"/>
      <c r="FB34" s="51"/>
      <c r="FC34" s="59"/>
      <c r="FD34" s="59"/>
      <c r="FE34" s="51">
        <f t="shared" si="113"/>
        <v>0</v>
      </c>
      <c r="FF34" s="93"/>
      <c r="FG34" s="51"/>
      <c r="FH34" s="51"/>
      <c r="FI34" s="93"/>
      <c r="FJ34" s="93"/>
      <c r="FK34" s="60"/>
      <c r="FL34" s="51"/>
      <c r="FM34" s="51"/>
      <c r="FN34" s="14"/>
    </row>
    <row r="35" spans="1:170">
      <c r="A35" s="13">
        <v>2013</v>
      </c>
      <c r="B35" s="13"/>
      <c r="C35" s="60">
        <v>612649198.93</v>
      </c>
      <c r="D35" s="51"/>
      <c r="E35" s="60">
        <v>533515548.18</v>
      </c>
      <c r="F35" s="60"/>
      <c r="G35" s="60">
        <v>415659252.94</v>
      </c>
      <c r="H35" s="60">
        <v>4394417.56</v>
      </c>
      <c r="I35" s="49">
        <v>76390305.52</v>
      </c>
      <c r="J35" s="60">
        <v>32672059.81</v>
      </c>
      <c r="K35" s="60"/>
      <c r="L35" s="60">
        <v>3947615.4</v>
      </c>
      <c r="M35" s="60">
        <v>79133650.75</v>
      </c>
      <c r="N35" s="60">
        <v>83618213.42</v>
      </c>
      <c r="O35" s="60">
        <v>13149040.82</v>
      </c>
      <c r="P35" s="60">
        <v>70469172.6</v>
      </c>
      <c r="Q35" s="51"/>
      <c r="R35" s="59"/>
      <c r="S35" s="60"/>
      <c r="T35" s="60"/>
      <c r="U35" s="60"/>
      <c r="V35" s="60"/>
      <c r="W35" s="60"/>
      <c r="X35" s="60"/>
      <c r="Y35" s="60"/>
      <c r="Z35" s="60"/>
      <c r="AA35" s="51"/>
      <c r="AB35" s="73"/>
      <c r="AC35" s="60"/>
      <c r="AD35" s="73"/>
      <c r="AE35" s="51"/>
      <c r="AF35" s="51"/>
      <c r="AG35" s="51">
        <f>E35/C35</f>
        <v>0.87083366649592</v>
      </c>
      <c r="AH35" s="51">
        <f t="shared" si="103"/>
        <v>0.678462085098543</v>
      </c>
      <c r="AI35" s="51">
        <f t="shared" si="104"/>
        <v>0.00717281205569992</v>
      </c>
      <c r="AJ35" s="51">
        <f t="shared" si="105"/>
        <v>0.124688493273829</v>
      </c>
      <c r="AK35" s="51">
        <f t="shared" si="106"/>
        <v>0.0533291480133528</v>
      </c>
      <c r="AL35" s="51">
        <f t="shared" si="107"/>
        <v>0</v>
      </c>
      <c r="AM35" s="51">
        <f t="shared" si="91"/>
        <v>0.12916633350408</v>
      </c>
      <c r="AN35" s="51">
        <f t="shared" si="92"/>
        <v>0.136486285407767</v>
      </c>
      <c r="AO35" s="51">
        <f t="shared" si="93"/>
        <v>0.115023691735948</v>
      </c>
      <c r="AP35" s="73"/>
      <c r="AQ35" s="73"/>
      <c r="AR35" s="73"/>
      <c r="AS35" s="73"/>
      <c r="AT35" s="73"/>
      <c r="AU35" s="73"/>
      <c r="AV35" s="73"/>
      <c r="AW35" s="73"/>
      <c r="AX35" s="73"/>
      <c r="AY35" s="73"/>
      <c r="AZ35" s="51"/>
      <c r="BA35" s="51"/>
      <c r="BB35" s="51"/>
      <c r="BC35" s="51"/>
      <c r="BD35" s="51"/>
      <c r="BE35" s="73"/>
      <c r="BF35" s="73"/>
      <c r="BG35" s="73"/>
      <c r="BH35" s="73"/>
      <c r="BI35" s="73"/>
      <c r="BJ35" s="73"/>
      <c r="BK35" s="73"/>
      <c r="BL35" s="73"/>
      <c r="BM35" s="73"/>
      <c r="BN35" s="73"/>
      <c r="BO35" s="51"/>
      <c r="BP35" s="51"/>
      <c r="BQ35" s="51"/>
      <c r="BR35" s="51"/>
      <c r="BS35" s="51"/>
      <c r="BT35" s="73"/>
      <c r="BU35" s="73"/>
      <c r="BV35" s="73"/>
      <c r="BW35" s="73"/>
      <c r="BX35" s="73"/>
      <c r="BY35" s="73"/>
      <c r="BZ35" s="73"/>
      <c r="CA35" s="73"/>
      <c r="CB35" s="73"/>
      <c r="CC35" s="73"/>
      <c r="CD35" s="51"/>
      <c r="CE35" s="51"/>
      <c r="CF35" s="51"/>
      <c r="CG35" s="51"/>
      <c r="CH35" s="51"/>
      <c r="CI35" s="73"/>
      <c r="CJ35" s="73"/>
      <c r="CK35" s="73"/>
      <c r="CL35" s="73"/>
      <c r="CM35" s="73"/>
      <c r="CN35" s="73"/>
      <c r="CO35" s="73"/>
      <c r="CP35" s="73"/>
      <c r="CQ35" s="73"/>
      <c r="CR35" s="73"/>
      <c r="CS35" s="73"/>
      <c r="CT35" s="73"/>
      <c r="CU35" s="73"/>
      <c r="CV35" s="73"/>
      <c r="CW35" s="73"/>
      <c r="CX35" s="73"/>
      <c r="CY35" s="73"/>
      <c r="CZ35" s="73"/>
      <c r="DA35" s="73"/>
      <c r="DB35" s="73"/>
      <c r="DC35" s="73"/>
      <c r="DD35" s="73"/>
      <c r="DE35" s="73"/>
      <c r="DF35" s="73"/>
      <c r="DG35" s="73"/>
      <c r="DH35" s="73"/>
      <c r="DI35" s="73"/>
      <c r="DJ35" s="73"/>
      <c r="DK35" s="73"/>
      <c r="DL35" s="73"/>
      <c r="DM35" s="73"/>
      <c r="DN35" s="73"/>
      <c r="DO35" s="73"/>
      <c r="DP35" s="73"/>
      <c r="DQ35" s="73"/>
      <c r="DR35" s="51"/>
      <c r="DS35" s="51"/>
      <c r="DT35" s="51"/>
      <c r="DU35" s="51"/>
      <c r="DV35" s="51"/>
      <c r="DW35" s="51"/>
      <c r="DX35" s="51"/>
      <c r="DY35" s="59"/>
      <c r="DZ35" s="51">
        <f t="shared" si="96"/>
        <v>0</v>
      </c>
      <c r="EA35" s="51"/>
      <c r="EB35" s="51"/>
      <c r="EC35" s="51"/>
      <c r="ED35" s="51"/>
      <c r="EE35" s="51"/>
      <c r="EF35" s="51"/>
      <c r="EG35" s="51"/>
      <c r="EH35" s="90"/>
      <c r="EI35" s="90"/>
      <c r="EJ35" s="13"/>
      <c r="EK35" s="13"/>
      <c r="EL35" s="13"/>
      <c r="EM35" s="13"/>
      <c r="EN35" s="51"/>
      <c r="EO35" s="59"/>
      <c r="EP35" s="51">
        <f t="shared" si="99"/>
        <v>0</v>
      </c>
      <c r="EQ35" s="51"/>
      <c r="ER35" s="51"/>
      <c r="ES35" s="51"/>
      <c r="ET35" s="51"/>
      <c r="EU35" s="51"/>
      <c r="EV35" s="51"/>
      <c r="EW35" s="51"/>
      <c r="EX35" s="90"/>
      <c r="EY35" s="90"/>
      <c r="EZ35" s="13"/>
      <c r="FA35" s="51"/>
      <c r="FB35" s="51"/>
      <c r="FC35" s="59"/>
      <c r="FD35" s="59"/>
      <c r="FE35" s="51">
        <f t="shared" si="113"/>
        <v>0</v>
      </c>
      <c r="FF35" s="93"/>
      <c r="FG35" s="51"/>
      <c r="FH35" s="51"/>
      <c r="FI35" s="93"/>
      <c r="FJ35" s="93"/>
      <c r="FK35" s="60"/>
      <c r="FL35" s="51"/>
      <c r="FM35" s="51"/>
      <c r="FN35" s="14"/>
    </row>
    <row r="36" spans="1:170">
      <c r="A36" s="13">
        <v>2012</v>
      </c>
      <c r="B36" s="13"/>
      <c r="C36" s="60"/>
      <c r="D36" s="51"/>
      <c r="E36" s="60"/>
      <c r="F36" s="60"/>
      <c r="G36" s="60"/>
      <c r="H36" s="60"/>
      <c r="I36" s="13"/>
      <c r="J36" s="60"/>
      <c r="K36" s="60"/>
      <c r="L36" s="60"/>
      <c r="M36" s="60"/>
      <c r="N36" s="60"/>
      <c r="O36" s="60"/>
      <c r="P36" s="60"/>
      <c r="Q36" s="51"/>
      <c r="R36" s="59"/>
      <c r="S36" s="60"/>
      <c r="T36" s="60"/>
      <c r="U36" s="60"/>
      <c r="V36" s="60"/>
      <c r="W36" s="60"/>
      <c r="X36" s="60"/>
      <c r="Y36" s="60"/>
      <c r="Z36" s="60"/>
      <c r="AA36" s="51"/>
      <c r="AB36" s="73"/>
      <c r="AC36" s="60"/>
      <c r="AD36" s="73"/>
      <c r="AE36" s="51"/>
      <c r="AF36" s="51"/>
      <c r="AG36" s="51"/>
      <c r="AH36" s="51"/>
      <c r="AI36" s="51"/>
      <c r="AJ36" s="51"/>
      <c r="AK36" s="51"/>
      <c r="AL36" s="51"/>
      <c r="AM36" s="51"/>
      <c r="AN36" s="51"/>
      <c r="AO36" s="51"/>
      <c r="AP36" s="73"/>
      <c r="AQ36" s="73"/>
      <c r="AR36" s="73"/>
      <c r="AS36" s="73"/>
      <c r="AT36" s="73"/>
      <c r="AU36" s="73"/>
      <c r="AV36" s="73"/>
      <c r="AW36" s="73"/>
      <c r="AX36" s="73"/>
      <c r="AY36" s="73"/>
      <c r="AZ36" s="51"/>
      <c r="BA36" s="51"/>
      <c r="BB36" s="51"/>
      <c r="BC36" s="51"/>
      <c r="BD36" s="51"/>
      <c r="BE36" s="73"/>
      <c r="BF36" s="73"/>
      <c r="BG36" s="73"/>
      <c r="BH36" s="73"/>
      <c r="BI36" s="73"/>
      <c r="BJ36" s="73"/>
      <c r="BK36" s="73"/>
      <c r="BL36" s="73"/>
      <c r="BM36" s="73"/>
      <c r="BN36" s="73"/>
      <c r="BO36" s="51"/>
      <c r="BP36" s="51"/>
      <c r="BQ36" s="51"/>
      <c r="BR36" s="51"/>
      <c r="BS36" s="51"/>
      <c r="BT36" s="73"/>
      <c r="BU36" s="73"/>
      <c r="BV36" s="73"/>
      <c r="BW36" s="73"/>
      <c r="BX36" s="73"/>
      <c r="BY36" s="73"/>
      <c r="BZ36" s="73"/>
      <c r="CA36" s="73"/>
      <c r="CB36" s="73"/>
      <c r="CC36" s="73"/>
      <c r="CD36" s="51"/>
      <c r="CE36" s="51"/>
      <c r="CF36" s="51"/>
      <c r="CG36" s="51"/>
      <c r="CH36" s="51"/>
      <c r="CI36" s="73"/>
      <c r="CJ36" s="73"/>
      <c r="CK36" s="73"/>
      <c r="CL36" s="73"/>
      <c r="CM36" s="73"/>
      <c r="CN36" s="73"/>
      <c r="CO36" s="73"/>
      <c r="CP36" s="73"/>
      <c r="CQ36" s="73"/>
      <c r="CR36" s="73"/>
      <c r="CS36" s="73"/>
      <c r="CT36" s="73"/>
      <c r="CU36" s="73"/>
      <c r="CV36" s="73"/>
      <c r="CW36" s="73"/>
      <c r="CX36" s="73"/>
      <c r="CY36" s="73"/>
      <c r="CZ36" s="73"/>
      <c r="DA36" s="73"/>
      <c r="DB36" s="73"/>
      <c r="DC36" s="73"/>
      <c r="DD36" s="73"/>
      <c r="DE36" s="73"/>
      <c r="DF36" s="73"/>
      <c r="DG36" s="73"/>
      <c r="DH36" s="73"/>
      <c r="DI36" s="73"/>
      <c r="DJ36" s="73"/>
      <c r="DK36" s="73"/>
      <c r="DL36" s="73"/>
      <c r="DM36" s="73"/>
      <c r="DN36" s="73"/>
      <c r="DO36" s="73"/>
      <c r="DP36" s="73"/>
      <c r="DQ36" s="73"/>
      <c r="DR36" s="51"/>
      <c r="DS36" s="51"/>
      <c r="DT36" s="51"/>
      <c r="DU36" s="51"/>
      <c r="DV36" s="51"/>
      <c r="DW36" s="51"/>
      <c r="DX36" s="51"/>
      <c r="DY36" s="59"/>
      <c r="DZ36" s="51" t="e">
        <f t="shared" si="96"/>
        <v>#DIV/0!</v>
      </c>
      <c r="EA36" s="51"/>
      <c r="EB36" s="51"/>
      <c r="EC36" s="51"/>
      <c r="ED36" s="51"/>
      <c r="EE36" s="51"/>
      <c r="EF36" s="51"/>
      <c r="EG36" s="51"/>
      <c r="EH36" s="90"/>
      <c r="EI36" s="90"/>
      <c r="EJ36" s="13"/>
      <c r="EK36" s="13"/>
      <c r="EL36" s="13"/>
      <c r="EM36" s="13"/>
      <c r="EN36" s="51"/>
      <c r="EO36" s="59"/>
      <c r="EP36" s="51" t="e">
        <f t="shared" si="99"/>
        <v>#DIV/0!</v>
      </c>
      <c r="EQ36" s="51"/>
      <c r="ER36" s="51"/>
      <c r="ES36" s="51"/>
      <c r="ET36" s="51"/>
      <c r="EU36" s="51"/>
      <c r="EV36" s="51"/>
      <c r="EW36" s="51"/>
      <c r="EX36" s="90"/>
      <c r="EY36" s="90"/>
      <c r="EZ36" s="13"/>
      <c r="FA36" s="51"/>
      <c r="FB36" s="51"/>
      <c r="FC36" s="59"/>
      <c r="FD36" s="59"/>
      <c r="FE36" s="51" t="e">
        <f t="shared" si="113"/>
        <v>#DIV/0!</v>
      </c>
      <c r="FF36" s="93"/>
      <c r="FG36" s="51"/>
      <c r="FH36" s="51"/>
      <c r="FI36" s="93"/>
      <c r="FJ36" s="93"/>
      <c r="FK36" s="60"/>
      <c r="FL36" s="51"/>
      <c r="FM36" s="51"/>
      <c r="FN36" s="14"/>
    </row>
    <row r="37" spans="1:170">
      <c r="A37" s="13">
        <v>2022</v>
      </c>
      <c r="B37" s="13" t="s">
        <v>99</v>
      </c>
      <c r="C37" s="60">
        <v>2690710152.71</v>
      </c>
      <c r="D37" s="51">
        <f t="shared" ref="D37:D42" si="114">(C37-C38)/C38</f>
        <v>0.328394500954267</v>
      </c>
      <c r="E37" s="60">
        <v>2344058242.16</v>
      </c>
      <c r="F37" s="60"/>
      <c r="G37" s="60">
        <v>1769938971.73</v>
      </c>
      <c r="H37" s="60">
        <v>22361664.84</v>
      </c>
      <c r="I37" s="49">
        <v>387943092.86</v>
      </c>
      <c r="J37" s="60">
        <v>150045026.66</v>
      </c>
      <c r="K37" s="60">
        <v>31973976.51</v>
      </c>
      <c r="L37" s="60">
        <v>-18204490.44</v>
      </c>
      <c r="M37" s="60">
        <v>405819152.23</v>
      </c>
      <c r="N37" s="60">
        <v>403799001.87</v>
      </c>
      <c r="O37" s="60">
        <v>63187916.37</v>
      </c>
      <c r="P37" s="60">
        <v>340611085.5</v>
      </c>
      <c r="Q37" s="51"/>
      <c r="R37" s="59"/>
      <c r="S37" s="60"/>
      <c r="T37" s="60"/>
      <c r="U37" s="60"/>
      <c r="V37" s="60"/>
      <c r="W37" s="60"/>
      <c r="X37" s="60"/>
      <c r="Y37" s="60"/>
      <c r="Z37" s="60"/>
      <c r="AA37" s="51"/>
      <c r="AB37" s="73"/>
      <c r="AC37" s="60"/>
      <c r="AD37" s="73"/>
      <c r="AE37" s="51"/>
      <c r="AF37" s="51"/>
      <c r="AG37" s="51">
        <f>E37/C37</f>
        <v>0.87116713028311</v>
      </c>
      <c r="AH37" s="51">
        <f>G37/$C37</f>
        <v>0.657796221546707</v>
      </c>
      <c r="AI37" s="51">
        <f>H37/$C37</f>
        <v>0.00831069255730797</v>
      </c>
      <c r="AJ37" s="51">
        <f>I37/$C37</f>
        <v>0.144178700358816</v>
      </c>
      <c r="AK37" s="51">
        <f>J37/$C37</f>
        <v>0.0557640987487557</v>
      </c>
      <c r="AL37" s="51">
        <f>K37/$C37</f>
        <v>0.0118830995147496</v>
      </c>
      <c r="AM37" s="51">
        <f t="shared" si="91"/>
        <v>0.150822321691272</v>
      </c>
      <c r="AN37" s="51">
        <f t="shared" si="92"/>
        <v>0.15007153463308</v>
      </c>
      <c r="AO37" s="51">
        <f t="shared" si="93"/>
        <v>0.126587802538652</v>
      </c>
      <c r="AP37" s="73"/>
      <c r="AQ37" s="73"/>
      <c r="AR37" s="73"/>
      <c r="AS37" s="73"/>
      <c r="AT37" s="73"/>
      <c r="AU37" s="73"/>
      <c r="AV37" s="73"/>
      <c r="AW37" s="73"/>
      <c r="AX37" s="73"/>
      <c r="AY37" s="73"/>
      <c r="AZ37" s="51"/>
      <c r="BA37" s="51"/>
      <c r="BB37" s="51"/>
      <c r="BC37" s="51"/>
      <c r="BD37" s="51"/>
      <c r="BE37" s="73"/>
      <c r="BF37" s="73"/>
      <c r="BG37" s="73"/>
      <c r="BH37" s="73"/>
      <c r="BI37" s="73"/>
      <c r="BJ37" s="73"/>
      <c r="BK37" s="73"/>
      <c r="BL37" s="73"/>
      <c r="BM37" s="73"/>
      <c r="BN37" s="73"/>
      <c r="BO37" s="51"/>
      <c r="BP37" s="51"/>
      <c r="BQ37" s="51"/>
      <c r="BR37" s="51"/>
      <c r="BS37" s="51"/>
      <c r="BT37" s="73"/>
      <c r="BU37" s="73"/>
      <c r="BV37" s="73"/>
      <c r="BW37" s="73"/>
      <c r="BX37" s="73"/>
      <c r="BY37" s="73"/>
      <c r="BZ37" s="73"/>
      <c r="CA37" s="73"/>
      <c r="CB37" s="73"/>
      <c r="CC37" s="73"/>
      <c r="CD37" s="51"/>
      <c r="CE37" s="51"/>
      <c r="CF37" s="51"/>
      <c r="CG37" s="51"/>
      <c r="CH37" s="51"/>
      <c r="CI37" s="73"/>
      <c r="CJ37" s="73"/>
      <c r="CK37" s="73"/>
      <c r="CL37" s="73"/>
      <c r="CM37" s="73"/>
      <c r="CN37" s="73"/>
      <c r="CO37" s="73"/>
      <c r="CP37" s="73"/>
      <c r="CQ37" s="73"/>
      <c r="CR37" s="73"/>
      <c r="CS37" s="73"/>
      <c r="CT37" s="73"/>
      <c r="CU37" s="73"/>
      <c r="CV37" s="73"/>
      <c r="CW37" s="73"/>
      <c r="CX37" s="73"/>
      <c r="CY37" s="73"/>
      <c r="CZ37" s="73"/>
      <c r="DA37" s="73"/>
      <c r="DB37" s="73"/>
      <c r="DC37" s="73"/>
      <c r="DD37" s="73"/>
      <c r="DE37" s="73"/>
      <c r="DF37" s="73"/>
      <c r="DG37" s="73"/>
      <c r="DH37" s="73"/>
      <c r="DI37" s="73"/>
      <c r="DJ37" s="73"/>
      <c r="DK37" s="73"/>
      <c r="DL37" s="73"/>
      <c r="DM37" s="73"/>
      <c r="DN37" s="73"/>
      <c r="DO37" s="73"/>
      <c r="DP37" s="73"/>
      <c r="DQ37" s="73"/>
      <c r="DR37" s="51"/>
      <c r="DS37" s="51"/>
      <c r="DT37" s="51"/>
      <c r="DU37" s="51"/>
      <c r="DV37" s="51"/>
      <c r="DW37" s="51">
        <f t="shared" si="108"/>
        <v>0.156483587322841</v>
      </c>
      <c r="DX37" s="51">
        <f t="shared" si="109"/>
        <v>0.155704618726787</v>
      </c>
      <c r="DY37" s="59"/>
      <c r="DZ37" s="51">
        <f t="shared" si="96"/>
        <v>0</v>
      </c>
      <c r="EA37" s="51"/>
      <c r="EB37" s="51"/>
      <c r="EC37" s="51"/>
      <c r="ED37" s="51"/>
      <c r="EE37" s="51"/>
      <c r="EF37" s="51"/>
      <c r="EG37" s="51"/>
      <c r="EH37" s="90"/>
      <c r="EI37" s="90"/>
      <c r="EJ37" s="13"/>
      <c r="EK37" s="13"/>
      <c r="EL37" s="13"/>
      <c r="EM37" s="13"/>
      <c r="EN37" s="51"/>
      <c r="EO37" s="59"/>
      <c r="EP37" s="51">
        <f t="shared" si="99"/>
        <v>0</v>
      </c>
      <c r="EQ37" s="51"/>
      <c r="ER37" s="51"/>
      <c r="ES37" s="51"/>
      <c r="ET37" s="51"/>
      <c r="EU37" s="51"/>
      <c r="EV37" s="51"/>
      <c r="EW37" s="51"/>
      <c r="EX37" s="90"/>
      <c r="EY37" s="90"/>
      <c r="EZ37" s="13"/>
      <c r="FA37" s="51"/>
      <c r="FB37" s="51"/>
      <c r="FC37" s="59"/>
      <c r="FD37" s="59"/>
      <c r="FE37" s="51">
        <f t="shared" si="113"/>
        <v>0</v>
      </c>
      <c r="FF37" s="93"/>
      <c r="FG37" s="51"/>
      <c r="FH37" s="51"/>
      <c r="FI37" s="93"/>
      <c r="FJ37" s="93"/>
      <c r="FK37" s="60"/>
      <c r="FL37" s="51"/>
      <c r="FM37" s="51"/>
      <c r="FN37" s="14"/>
    </row>
    <row r="38" spans="1:170">
      <c r="A38" s="13">
        <v>2021</v>
      </c>
      <c r="B38" s="13"/>
      <c r="C38" s="60">
        <v>2025535449.58</v>
      </c>
      <c r="D38" s="51">
        <f t="shared" si="114"/>
        <v>-0.143412163367192</v>
      </c>
      <c r="E38" s="60">
        <v>1884573153.51</v>
      </c>
      <c r="F38" s="60"/>
      <c r="G38" s="60">
        <v>1372877842.63</v>
      </c>
      <c r="H38" s="60">
        <v>15862951.03</v>
      </c>
      <c r="I38" s="49">
        <v>394344221.15</v>
      </c>
      <c r="J38" s="60">
        <v>110003591.66</v>
      </c>
      <c r="K38" s="60">
        <v>26207842.6</v>
      </c>
      <c r="L38" s="60">
        <v>-34723295.56</v>
      </c>
      <c r="M38" s="60">
        <v>189048659.22</v>
      </c>
      <c r="N38" s="60">
        <v>216128285.6</v>
      </c>
      <c r="O38" s="60">
        <v>31742347.75</v>
      </c>
      <c r="P38" s="60">
        <v>184385937.85</v>
      </c>
      <c r="Q38" s="51"/>
      <c r="R38" s="59"/>
      <c r="S38" s="60"/>
      <c r="T38" s="60"/>
      <c r="U38" s="60"/>
      <c r="V38" s="60"/>
      <c r="W38" s="60"/>
      <c r="X38" s="60"/>
      <c r="Y38" s="60"/>
      <c r="Z38" s="60"/>
      <c r="AA38" s="51"/>
      <c r="AB38" s="73"/>
      <c r="AC38" s="60"/>
      <c r="AD38" s="73"/>
      <c r="AE38" s="51"/>
      <c r="AF38" s="51"/>
      <c r="AG38" s="51">
        <f>E38/C38</f>
        <v>0.930407391241052</v>
      </c>
      <c r="AH38" s="51">
        <f>G38/$C38</f>
        <v>0.677785147090203</v>
      </c>
      <c r="AI38" s="51">
        <f>H38/$C38</f>
        <v>0.00783148526642139</v>
      </c>
      <c r="AJ38" s="51">
        <f>I38/$C38</f>
        <v>0.194686408096076</v>
      </c>
      <c r="AK38" s="51">
        <f>J38/$C38</f>
        <v>0.054308401110832</v>
      </c>
      <c r="AL38" s="51">
        <f>K38/$C38</f>
        <v>0.0129387232425057</v>
      </c>
      <c r="AM38" s="51">
        <f t="shared" si="91"/>
        <v>0.0933326835919854</v>
      </c>
      <c r="AN38" s="51">
        <f t="shared" si="92"/>
        <v>0.106701803537832</v>
      </c>
      <c r="AO38" s="51">
        <f t="shared" si="93"/>
        <v>0.0910307138234648</v>
      </c>
      <c r="AP38" s="73"/>
      <c r="AQ38" s="73"/>
      <c r="AR38" s="73"/>
      <c r="AS38" s="73"/>
      <c r="AT38" s="73"/>
      <c r="AU38" s="73"/>
      <c r="AV38" s="73"/>
      <c r="AW38" s="73"/>
      <c r="AX38" s="73"/>
      <c r="AY38" s="73"/>
      <c r="AZ38" s="51"/>
      <c r="BA38" s="51"/>
      <c r="BB38" s="51"/>
      <c r="BC38" s="51"/>
      <c r="BD38" s="51"/>
      <c r="BE38" s="73"/>
      <c r="BF38" s="73"/>
      <c r="BG38" s="73"/>
      <c r="BH38" s="73"/>
      <c r="BI38" s="73"/>
      <c r="BJ38" s="73"/>
      <c r="BK38" s="73"/>
      <c r="BL38" s="73"/>
      <c r="BM38" s="73"/>
      <c r="BN38" s="73"/>
      <c r="BO38" s="51"/>
      <c r="BP38" s="51"/>
      <c r="BQ38" s="51"/>
      <c r="BR38" s="51"/>
      <c r="BS38" s="51"/>
      <c r="BT38" s="73"/>
      <c r="BU38" s="73"/>
      <c r="BV38" s="73"/>
      <c r="BW38" s="73"/>
      <c r="BX38" s="73"/>
      <c r="BY38" s="73"/>
      <c r="BZ38" s="73"/>
      <c r="CA38" s="73"/>
      <c r="CB38" s="73"/>
      <c r="CC38" s="73"/>
      <c r="CD38" s="51"/>
      <c r="CE38" s="51"/>
      <c r="CF38" s="51"/>
      <c r="CG38" s="51"/>
      <c r="CH38" s="51"/>
      <c r="CI38" s="73"/>
      <c r="CJ38" s="73"/>
      <c r="CK38" s="73"/>
      <c r="CL38" s="73"/>
      <c r="CM38" s="73"/>
      <c r="CN38" s="73"/>
      <c r="CO38" s="73"/>
      <c r="CP38" s="73"/>
      <c r="CQ38" s="73"/>
      <c r="CR38" s="73"/>
      <c r="CS38" s="73"/>
      <c r="CT38" s="73"/>
      <c r="CU38" s="73"/>
      <c r="CV38" s="73"/>
      <c r="CW38" s="73"/>
      <c r="CX38" s="73"/>
      <c r="CY38" s="73"/>
      <c r="CZ38" s="73"/>
      <c r="DA38" s="73"/>
      <c r="DB38" s="73"/>
      <c r="DC38" s="73"/>
      <c r="DD38" s="73"/>
      <c r="DE38" s="73"/>
      <c r="DF38" s="73"/>
      <c r="DG38" s="73"/>
      <c r="DH38" s="73"/>
      <c r="DI38" s="73"/>
      <c r="DJ38" s="73"/>
      <c r="DK38" s="73"/>
      <c r="DL38" s="73"/>
      <c r="DM38" s="73"/>
      <c r="DN38" s="73"/>
      <c r="DO38" s="73"/>
      <c r="DP38" s="73"/>
      <c r="DQ38" s="73"/>
      <c r="DR38" s="51"/>
      <c r="DS38" s="51"/>
      <c r="DT38" s="51"/>
      <c r="DU38" s="51"/>
      <c r="DV38" s="51"/>
      <c r="DW38" s="51">
        <f t="shared" si="108"/>
        <v>0.146868086524997</v>
      </c>
      <c r="DX38" s="51">
        <f t="shared" si="109"/>
        <v>0.167905701531904</v>
      </c>
      <c r="DY38" s="59"/>
      <c r="DZ38" s="51">
        <f t="shared" si="96"/>
        <v>0</v>
      </c>
      <c r="EA38" s="51"/>
      <c r="EB38" s="51"/>
      <c r="EC38" s="51"/>
      <c r="ED38" s="51"/>
      <c r="EE38" s="51"/>
      <c r="EF38" s="51"/>
      <c r="EG38" s="51"/>
      <c r="EH38" s="90"/>
      <c r="EI38" s="90"/>
      <c r="EJ38" s="13"/>
      <c r="EK38" s="13"/>
      <c r="EL38" s="13"/>
      <c r="EM38" s="13"/>
      <c r="EN38" s="51"/>
      <c r="EO38" s="59"/>
      <c r="EP38" s="51">
        <f t="shared" si="99"/>
        <v>0</v>
      </c>
      <c r="EQ38" s="51"/>
      <c r="ER38" s="51"/>
      <c r="ES38" s="51"/>
      <c r="ET38" s="51"/>
      <c r="EU38" s="51"/>
      <c r="EV38" s="51"/>
      <c r="EW38" s="51"/>
      <c r="EX38" s="90"/>
      <c r="EY38" s="90"/>
      <c r="EZ38" s="13"/>
      <c r="FA38" s="51"/>
      <c r="FB38" s="51"/>
      <c r="FC38" s="59"/>
      <c r="FD38" s="59"/>
      <c r="FE38" s="51">
        <f t="shared" si="113"/>
        <v>0</v>
      </c>
      <c r="FF38" s="93"/>
      <c r="FG38" s="51"/>
      <c r="FH38" s="51"/>
      <c r="FI38" s="93"/>
      <c r="FJ38" s="93"/>
      <c r="FK38" s="60"/>
      <c r="FL38" s="51"/>
      <c r="FM38" s="51"/>
      <c r="FN38" s="14"/>
    </row>
    <row r="39" spans="1:170">
      <c r="A39" s="13">
        <v>2020</v>
      </c>
      <c r="B39" s="13"/>
      <c r="C39" s="60">
        <v>2364655862.43</v>
      </c>
      <c r="D39" s="51">
        <f t="shared" si="114"/>
        <v>0.36896660405246</v>
      </c>
      <c r="E39" s="60">
        <v>1994384575.28</v>
      </c>
      <c r="F39" s="60"/>
      <c r="G39" s="60">
        <v>1450679446.32</v>
      </c>
      <c r="H39" s="60">
        <v>19194850.06</v>
      </c>
      <c r="I39" s="49">
        <v>407005338.28</v>
      </c>
      <c r="J39" s="60">
        <v>102317884.88</v>
      </c>
      <c r="K39" s="60">
        <v>30394819.68</v>
      </c>
      <c r="L39" s="60">
        <v>-15207763.94</v>
      </c>
      <c r="M39" s="60">
        <v>406926001.61</v>
      </c>
      <c r="N39" s="60">
        <v>428054028.52</v>
      </c>
      <c r="O39" s="60">
        <v>63782745.42</v>
      </c>
      <c r="P39" s="60">
        <v>364271283.1</v>
      </c>
      <c r="Q39" s="51"/>
      <c r="R39" s="59"/>
      <c r="S39" s="60"/>
      <c r="T39" s="60"/>
      <c r="U39" s="60"/>
      <c r="V39" s="60"/>
      <c r="W39" s="60"/>
      <c r="X39" s="60"/>
      <c r="Y39" s="60"/>
      <c r="Z39" s="60"/>
      <c r="AA39" s="51"/>
      <c r="AB39" s="73"/>
      <c r="AC39" s="60"/>
      <c r="AD39" s="73"/>
      <c r="AE39" s="51"/>
      <c r="AF39" s="51"/>
      <c r="AG39" s="51">
        <f>E39/C39</f>
        <v>0.843414302675952</v>
      </c>
      <c r="AH39" s="51">
        <f>G39/$C39</f>
        <v>0.61348438450119</v>
      </c>
      <c r="AI39" s="51">
        <f>H39/$C39</f>
        <v>0.00811739685464198</v>
      </c>
      <c r="AJ39" s="51">
        <f>I39/$C39</f>
        <v>0.172120326152554</v>
      </c>
      <c r="AK39" s="51">
        <f>J39/$C39</f>
        <v>0.0432696725581264</v>
      </c>
      <c r="AL39" s="51">
        <f>K39/$C39</f>
        <v>0.012853802603126</v>
      </c>
      <c r="AM39" s="51">
        <f t="shared" si="91"/>
        <v>0.172086775109774</v>
      </c>
      <c r="AN39" s="51">
        <f t="shared" si="92"/>
        <v>0.181021701855642</v>
      </c>
      <c r="AO39" s="51">
        <f t="shared" si="93"/>
        <v>0.154048328506315</v>
      </c>
      <c r="AP39" s="73"/>
      <c r="AQ39" s="73"/>
      <c r="AR39" s="73"/>
      <c r="AS39" s="73"/>
      <c r="AT39" s="73"/>
      <c r="AU39" s="73"/>
      <c r="AV39" s="73"/>
      <c r="AW39" s="73"/>
      <c r="AX39" s="73"/>
      <c r="AY39" s="73"/>
      <c r="AZ39" s="51"/>
      <c r="BA39" s="51"/>
      <c r="BB39" s="51"/>
      <c r="BC39" s="51"/>
      <c r="BD39" s="51"/>
      <c r="BE39" s="73"/>
      <c r="BF39" s="73"/>
      <c r="BG39" s="73"/>
      <c r="BH39" s="73"/>
      <c r="BI39" s="73"/>
      <c r="BJ39" s="73"/>
      <c r="BK39" s="73"/>
      <c r="BL39" s="73"/>
      <c r="BM39" s="73"/>
      <c r="BN39" s="73"/>
      <c r="BO39" s="51"/>
      <c r="BP39" s="51"/>
      <c r="BQ39" s="51"/>
      <c r="BR39" s="51"/>
      <c r="BS39" s="51"/>
      <c r="BT39" s="73"/>
      <c r="BU39" s="73"/>
      <c r="BV39" s="73"/>
      <c r="BW39" s="73"/>
      <c r="BX39" s="73"/>
      <c r="BY39" s="73"/>
      <c r="BZ39" s="73"/>
      <c r="CA39" s="73"/>
      <c r="CB39" s="73"/>
      <c r="CC39" s="73"/>
      <c r="CD39" s="51"/>
      <c r="CE39" s="51"/>
      <c r="CF39" s="51"/>
      <c r="CG39" s="51"/>
      <c r="CH39" s="51"/>
      <c r="CI39" s="73"/>
      <c r="CJ39" s="73"/>
      <c r="CK39" s="73"/>
      <c r="CL39" s="73"/>
      <c r="CM39" s="73"/>
      <c r="CN39" s="73"/>
      <c r="CO39" s="73"/>
      <c r="CP39" s="73"/>
      <c r="CQ39" s="73"/>
      <c r="CR39" s="73"/>
      <c r="CS39" s="73"/>
      <c r="CT39" s="73"/>
      <c r="CU39" s="73"/>
      <c r="CV39" s="73"/>
      <c r="CW39" s="73"/>
      <c r="CX39" s="73"/>
      <c r="CY39" s="73"/>
      <c r="CZ39" s="73"/>
      <c r="DA39" s="73"/>
      <c r="DB39" s="73"/>
      <c r="DC39" s="73"/>
      <c r="DD39" s="73"/>
      <c r="DE39" s="73"/>
      <c r="DF39" s="73"/>
      <c r="DG39" s="73"/>
      <c r="DH39" s="73"/>
      <c r="DI39" s="73"/>
      <c r="DJ39" s="73"/>
      <c r="DK39" s="73"/>
      <c r="DL39" s="73"/>
      <c r="DM39" s="73"/>
      <c r="DN39" s="73"/>
      <c r="DO39" s="73"/>
      <c r="DP39" s="73"/>
      <c r="DQ39" s="73"/>
      <c r="DR39" s="51"/>
      <c r="DS39" s="51"/>
      <c r="DT39" s="51"/>
      <c r="DU39" s="51"/>
      <c r="DV39" s="51"/>
      <c r="DW39" s="51">
        <f t="shared" si="108"/>
        <v>0.149006296332567</v>
      </c>
      <c r="DX39" s="51">
        <f t="shared" si="109"/>
        <v>0.156742860293134</v>
      </c>
      <c r="DY39" s="59"/>
      <c r="DZ39" s="51">
        <f t="shared" si="96"/>
        <v>0</v>
      </c>
      <c r="EA39" s="51"/>
      <c r="EB39" s="51"/>
      <c r="EC39" s="51"/>
      <c r="ED39" s="51"/>
      <c r="EE39" s="51"/>
      <c r="EF39" s="51"/>
      <c r="EG39" s="51"/>
      <c r="EH39" s="90"/>
      <c r="EI39" s="90"/>
      <c r="EJ39" s="13"/>
      <c r="EK39" s="13"/>
      <c r="EL39" s="13"/>
      <c r="EM39" s="13"/>
      <c r="EN39" s="51"/>
      <c r="EO39" s="59"/>
      <c r="EP39" s="51">
        <f t="shared" si="99"/>
        <v>0</v>
      </c>
      <c r="EQ39" s="51"/>
      <c r="ER39" s="51"/>
      <c r="ES39" s="51"/>
      <c r="ET39" s="51"/>
      <c r="EU39" s="51"/>
      <c r="EV39" s="51"/>
      <c r="EW39" s="51"/>
      <c r="EX39" s="90"/>
      <c r="EY39" s="90"/>
      <c r="EZ39" s="13"/>
      <c r="FA39" s="51"/>
      <c r="FB39" s="51"/>
      <c r="FC39" s="59"/>
      <c r="FD39" s="59"/>
      <c r="FE39" s="51">
        <f t="shared" si="113"/>
        <v>0</v>
      </c>
      <c r="FF39" s="93"/>
      <c r="FG39" s="51"/>
      <c r="FH39" s="51"/>
      <c r="FI39" s="93"/>
      <c r="FJ39" s="93"/>
      <c r="FK39" s="60"/>
      <c r="FL39" s="51"/>
      <c r="FM39" s="51"/>
      <c r="FN39" s="14"/>
    </row>
    <row r="40" spans="1:170">
      <c r="A40" s="13">
        <v>2019</v>
      </c>
      <c r="B40" s="13"/>
      <c r="C40" s="60">
        <v>1727329107.54</v>
      </c>
      <c r="D40" s="51">
        <f t="shared" si="114"/>
        <v>0.222575353222556</v>
      </c>
      <c r="E40" s="60">
        <v>1424597668.63</v>
      </c>
      <c r="F40" s="60"/>
      <c r="G40" s="60">
        <v>1083250464.25</v>
      </c>
      <c r="H40" s="60">
        <v>15339150.73</v>
      </c>
      <c r="I40" s="49">
        <v>240888678.81</v>
      </c>
      <c r="J40" s="60">
        <v>63906612.2</v>
      </c>
      <c r="K40" s="60">
        <v>25760060.33</v>
      </c>
      <c r="L40" s="60">
        <v>-4547297.69</v>
      </c>
      <c r="M40" s="60">
        <v>333719198.48</v>
      </c>
      <c r="N40" s="60">
        <v>346426076.51</v>
      </c>
      <c r="O40" s="60">
        <v>49454352.38</v>
      </c>
      <c r="P40" s="60">
        <v>296971724.13</v>
      </c>
      <c r="Q40" s="51"/>
      <c r="R40" s="59"/>
      <c r="S40" s="60"/>
      <c r="T40" s="60"/>
      <c r="U40" s="60"/>
      <c r="V40" s="60"/>
      <c r="W40" s="60"/>
      <c r="X40" s="60"/>
      <c r="Y40" s="60"/>
      <c r="Z40" s="60"/>
      <c r="AA40" s="51"/>
      <c r="AB40" s="73"/>
      <c r="AC40" s="60"/>
      <c r="AD40" s="73"/>
      <c r="AE40" s="51"/>
      <c r="AF40" s="51"/>
      <c r="AG40" s="51">
        <f>E40/C40</f>
        <v>0.824740150797818</v>
      </c>
      <c r="AH40" s="51">
        <f>G40/$C40</f>
        <v>0.627124535516411</v>
      </c>
      <c r="AI40" s="51">
        <f>H40/$C40</f>
        <v>0.00888027108617736</v>
      </c>
      <c r="AJ40" s="51">
        <f>I40/$C40</f>
        <v>0.139457314624348</v>
      </c>
      <c r="AK40" s="51">
        <f>J40/$C40</f>
        <v>0.0369973573194824</v>
      </c>
      <c r="AL40" s="51">
        <f>K40/$C40</f>
        <v>0.0149132323525113</v>
      </c>
      <c r="AM40" s="51">
        <f t="shared" si="91"/>
        <v>0.193199545485151</v>
      </c>
      <c r="AN40" s="51">
        <f t="shared" si="92"/>
        <v>0.200555918960555</v>
      </c>
      <c r="AO40" s="51">
        <f t="shared" si="93"/>
        <v>0.171925386328339</v>
      </c>
      <c r="AP40" s="73"/>
      <c r="AQ40" s="73"/>
      <c r="AR40" s="73"/>
      <c r="AS40" s="73"/>
      <c r="AT40" s="73"/>
      <c r="AU40" s="73"/>
      <c r="AV40" s="73"/>
      <c r="AW40" s="73"/>
      <c r="AX40" s="73"/>
      <c r="AY40" s="73"/>
      <c r="AZ40" s="51"/>
      <c r="BA40" s="51"/>
      <c r="BB40" s="51"/>
      <c r="BC40" s="51"/>
      <c r="BD40" s="51"/>
      <c r="BE40" s="73"/>
      <c r="BF40" s="73"/>
      <c r="BG40" s="73"/>
      <c r="BH40" s="73"/>
      <c r="BI40" s="73"/>
      <c r="BJ40" s="73"/>
      <c r="BK40" s="73"/>
      <c r="BL40" s="73"/>
      <c r="BM40" s="73"/>
      <c r="BN40" s="73"/>
      <c r="BO40" s="51"/>
      <c r="BP40" s="51"/>
      <c r="BQ40" s="51"/>
      <c r="BR40" s="51"/>
      <c r="BS40" s="51"/>
      <c r="BT40" s="73"/>
      <c r="BU40" s="73"/>
      <c r="BV40" s="73"/>
      <c r="BW40" s="73"/>
      <c r="BX40" s="73"/>
      <c r="BY40" s="73"/>
      <c r="BZ40" s="73"/>
      <c r="CA40" s="73"/>
      <c r="CB40" s="73"/>
      <c r="CC40" s="73"/>
      <c r="CD40" s="51"/>
      <c r="CE40" s="51"/>
      <c r="CF40" s="51"/>
      <c r="CG40" s="51"/>
      <c r="CH40" s="51"/>
      <c r="CI40" s="73"/>
      <c r="CJ40" s="73"/>
      <c r="CK40" s="73"/>
      <c r="CL40" s="73"/>
      <c r="CM40" s="73"/>
      <c r="CN40" s="73"/>
      <c r="CO40" s="73"/>
      <c r="CP40" s="73"/>
      <c r="CQ40" s="73"/>
      <c r="CR40" s="73"/>
      <c r="CS40" s="73"/>
      <c r="CT40" s="73"/>
      <c r="CU40" s="73"/>
      <c r="CV40" s="73"/>
      <c r="CW40" s="73"/>
      <c r="CX40" s="73"/>
      <c r="CY40" s="73"/>
      <c r="CZ40" s="73"/>
      <c r="DA40" s="73"/>
      <c r="DB40" s="73"/>
      <c r="DC40" s="73"/>
      <c r="DD40" s="73"/>
      <c r="DE40" s="73"/>
      <c r="DF40" s="73"/>
      <c r="DG40" s="73"/>
      <c r="DH40" s="73"/>
      <c r="DI40" s="73"/>
      <c r="DJ40" s="73"/>
      <c r="DK40" s="73"/>
      <c r="DL40" s="73"/>
      <c r="DM40" s="73"/>
      <c r="DN40" s="73"/>
      <c r="DO40" s="73"/>
      <c r="DP40" s="73"/>
      <c r="DQ40" s="73"/>
      <c r="DR40" s="51"/>
      <c r="DS40" s="51"/>
      <c r="DT40" s="51"/>
      <c r="DU40" s="51"/>
      <c r="DV40" s="51"/>
      <c r="DW40" s="51">
        <f t="shared" si="108"/>
        <v>0.142755859715348</v>
      </c>
      <c r="DX40" s="51">
        <f t="shared" si="109"/>
        <v>0.148191511322247</v>
      </c>
      <c r="DY40" s="59"/>
      <c r="DZ40" s="51">
        <f t="shared" si="96"/>
        <v>0</v>
      </c>
      <c r="EA40" s="51"/>
      <c r="EB40" s="51"/>
      <c r="EC40" s="51"/>
      <c r="ED40" s="51"/>
      <c r="EE40" s="51"/>
      <c r="EF40" s="51"/>
      <c r="EG40" s="51"/>
      <c r="EH40" s="90"/>
      <c r="EI40" s="90"/>
      <c r="EJ40" s="13"/>
      <c r="EK40" s="13"/>
      <c r="EL40" s="13"/>
      <c r="EM40" s="13"/>
      <c r="EN40" s="51"/>
      <c r="EO40" s="59"/>
      <c r="EP40" s="51">
        <f t="shared" si="99"/>
        <v>0</v>
      </c>
      <c r="EQ40" s="51"/>
      <c r="ER40" s="51"/>
      <c r="ES40" s="51"/>
      <c r="ET40" s="51"/>
      <c r="EU40" s="51"/>
      <c r="EV40" s="51"/>
      <c r="EW40" s="51"/>
      <c r="EX40" s="90"/>
      <c r="EY40" s="90"/>
      <c r="EZ40" s="13"/>
      <c r="FA40" s="51"/>
      <c r="FB40" s="51"/>
      <c r="FC40" s="59"/>
      <c r="FD40" s="59"/>
      <c r="FE40" s="51">
        <f t="shared" si="113"/>
        <v>0</v>
      </c>
      <c r="FF40" s="93"/>
      <c r="FG40" s="51"/>
      <c r="FH40" s="51"/>
      <c r="FI40" s="93"/>
      <c r="FJ40" s="93"/>
      <c r="FK40" s="60"/>
      <c r="FL40" s="51"/>
      <c r="FM40" s="51"/>
      <c r="FN40" s="14"/>
    </row>
    <row r="41" spans="1:170">
      <c r="A41" s="13">
        <v>2018</v>
      </c>
      <c r="B41" s="13"/>
      <c r="C41" s="60">
        <v>1412861058.41</v>
      </c>
      <c r="D41" s="51">
        <f t="shared" si="114"/>
        <v>0.325614220708547</v>
      </c>
      <c r="E41" s="60">
        <v>1131914434.48</v>
      </c>
      <c r="F41" s="60"/>
      <c r="G41" s="60">
        <v>856522660.65</v>
      </c>
      <c r="H41" s="60">
        <v>15932635.82</v>
      </c>
      <c r="I41" s="49">
        <v>183115250.62</v>
      </c>
      <c r="J41" s="60">
        <v>55757125.96</v>
      </c>
      <c r="K41" s="60">
        <v>22381832.77</v>
      </c>
      <c r="L41" s="60">
        <v>-1795071.34</v>
      </c>
      <c r="M41" s="60">
        <v>299580768.26</v>
      </c>
      <c r="N41" s="60">
        <v>310714328.49</v>
      </c>
      <c r="O41" s="60">
        <v>44107324.88</v>
      </c>
      <c r="P41" s="60">
        <v>266607003.61</v>
      </c>
      <c r="Q41" s="51"/>
      <c r="R41" s="59"/>
      <c r="S41" s="60"/>
      <c r="T41" s="60"/>
      <c r="U41" s="60"/>
      <c r="V41" s="60"/>
      <c r="W41" s="60"/>
      <c r="X41" s="60"/>
      <c r="Y41" s="60"/>
      <c r="Z41" s="60"/>
      <c r="AA41" s="51"/>
      <c r="AB41" s="73"/>
      <c r="AC41" s="60"/>
      <c r="AD41" s="73"/>
      <c r="AE41" s="51"/>
      <c r="AF41" s="51"/>
      <c r="AG41" s="51">
        <f>E41/C41</f>
        <v>0.801150564482136</v>
      </c>
      <c r="AH41" s="51">
        <f>G41/$C41</f>
        <v>0.606232761212847</v>
      </c>
      <c r="AI41" s="51">
        <f>H41/$C41</f>
        <v>0.0112768596212357</v>
      </c>
      <c r="AJ41" s="51">
        <f>I41/$C41</f>
        <v>0.129605986045134</v>
      </c>
      <c r="AK41" s="51">
        <f>J41/$C41</f>
        <v>0.0394639838277854</v>
      </c>
      <c r="AL41" s="51">
        <f>K41/$C41</f>
        <v>0.0158414959749743</v>
      </c>
      <c r="AM41" s="51">
        <f t="shared" si="91"/>
        <v>0.212038378775292</v>
      </c>
      <c r="AN41" s="51">
        <f t="shared" si="92"/>
        <v>0.219918531012293</v>
      </c>
      <c r="AO41" s="51">
        <f t="shared" si="93"/>
        <v>0.188700086270361</v>
      </c>
      <c r="AP41" s="73"/>
      <c r="AQ41" s="73"/>
      <c r="AR41" s="73"/>
      <c r="AS41" s="73"/>
      <c r="AT41" s="73"/>
      <c r="AU41" s="73"/>
      <c r="AV41" s="73"/>
      <c r="AW41" s="73"/>
      <c r="AX41" s="73"/>
      <c r="AY41" s="73"/>
      <c r="AZ41" s="51"/>
      <c r="BA41" s="51"/>
      <c r="BB41" s="51"/>
      <c r="BC41" s="51"/>
      <c r="BD41" s="51"/>
      <c r="BE41" s="73"/>
      <c r="BF41" s="73"/>
      <c r="BG41" s="73"/>
      <c r="BH41" s="73"/>
      <c r="BI41" s="73"/>
      <c r="BJ41" s="73"/>
      <c r="BK41" s="73"/>
      <c r="BL41" s="73"/>
      <c r="BM41" s="73"/>
      <c r="BN41" s="73"/>
      <c r="BO41" s="51"/>
      <c r="BP41" s="51"/>
      <c r="BQ41" s="51"/>
      <c r="BR41" s="51"/>
      <c r="BS41" s="51"/>
      <c r="BT41" s="73"/>
      <c r="BU41" s="73"/>
      <c r="BV41" s="73"/>
      <c r="BW41" s="73"/>
      <c r="BX41" s="73"/>
      <c r="BY41" s="73"/>
      <c r="BZ41" s="73"/>
      <c r="CA41" s="73"/>
      <c r="CB41" s="73"/>
      <c r="CC41" s="73"/>
      <c r="CD41" s="51"/>
      <c r="CE41" s="51"/>
      <c r="CF41" s="51"/>
      <c r="CG41" s="51"/>
      <c r="CH41" s="51"/>
      <c r="CI41" s="73"/>
      <c r="CJ41" s="73"/>
      <c r="CK41" s="73"/>
      <c r="CL41" s="73"/>
      <c r="CM41" s="73"/>
      <c r="CN41" s="73"/>
      <c r="CO41" s="73"/>
      <c r="CP41" s="73"/>
      <c r="CQ41" s="73"/>
      <c r="CR41" s="73"/>
      <c r="CS41" s="73"/>
      <c r="CT41" s="73"/>
      <c r="CU41" s="73"/>
      <c r="CV41" s="73"/>
      <c r="CW41" s="73"/>
      <c r="CX41" s="73"/>
      <c r="CY41" s="73"/>
      <c r="CZ41" s="73"/>
      <c r="DA41" s="73"/>
      <c r="DB41" s="73"/>
      <c r="DC41" s="73"/>
      <c r="DD41" s="73"/>
      <c r="DE41" s="73"/>
      <c r="DF41" s="73"/>
      <c r="DG41" s="73"/>
      <c r="DH41" s="73"/>
      <c r="DI41" s="73"/>
      <c r="DJ41" s="73"/>
      <c r="DK41" s="73"/>
      <c r="DL41" s="73"/>
      <c r="DM41" s="73"/>
      <c r="DN41" s="73"/>
      <c r="DO41" s="73"/>
      <c r="DP41" s="73"/>
      <c r="DQ41" s="73"/>
      <c r="DR41" s="51"/>
      <c r="DS41" s="51"/>
      <c r="DT41" s="51"/>
      <c r="DU41" s="51"/>
      <c r="DV41" s="51"/>
      <c r="DW41" s="51">
        <f t="shared" si="108"/>
        <v>0.141954589266454</v>
      </c>
      <c r="DX41" s="51">
        <f t="shared" si="109"/>
        <v>0.147230161455892</v>
      </c>
      <c r="DY41" s="59"/>
      <c r="DZ41" s="51">
        <f t="shared" si="96"/>
        <v>0</v>
      </c>
      <c r="EA41" s="51"/>
      <c r="EB41" s="51"/>
      <c r="EC41" s="51"/>
      <c r="ED41" s="51"/>
      <c r="EE41" s="51"/>
      <c r="EF41" s="51"/>
      <c r="EG41" s="51"/>
      <c r="EH41" s="90"/>
      <c r="EI41" s="90"/>
      <c r="EJ41" s="13"/>
      <c r="EK41" s="13"/>
      <c r="EL41" s="13"/>
      <c r="EM41" s="13"/>
      <c r="EN41" s="51"/>
      <c r="EO41" s="59"/>
      <c r="EP41" s="51">
        <f t="shared" si="99"/>
        <v>0</v>
      </c>
      <c r="EQ41" s="51"/>
      <c r="ER41" s="51"/>
      <c r="ES41" s="51"/>
      <c r="ET41" s="51"/>
      <c r="EU41" s="51"/>
      <c r="EV41" s="51"/>
      <c r="EW41" s="51"/>
      <c r="EX41" s="90"/>
      <c r="EY41" s="90"/>
      <c r="EZ41" s="13"/>
      <c r="FA41" s="51"/>
      <c r="FB41" s="51"/>
      <c r="FC41" s="59"/>
      <c r="FD41" s="59"/>
      <c r="FE41" s="51">
        <f t="shared" si="113"/>
        <v>0</v>
      </c>
      <c r="FF41" s="93"/>
      <c r="FG41" s="51"/>
      <c r="FH41" s="51"/>
      <c r="FI41" s="93"/>
      <c r="FJ41" s="93"/>
      <c r="FK41" s="60"/>
      <c r="FL41" s="51"/>
      <c r="FM41" s="51"/>
      <c r="FN41" s="14"/>
    </row>
    <row r="42" spans="1:170">
      <c r="A42" s="13">
        <v>2017</v>
      </c>
      <c r="B42" s="13"/>
      <c r="C42" s="60">
        <v>1065816160.04</v>
      </c>
      <c r="D42" s="51">
        <f t="shared" si="114"/>
        <v>0.0832576082351315</v>
      </c>
      <c r="E42" s="60"/>
      <c r="F42" s="60"/>
      <c r="G42" s="60"/>
      <c r="H42" s="60"/>
      <c r="I42" s="13"/>
      <c r="J42" s="60"/>
      <c r="K42" s="60"/>
      <c r="L42" s="60"/>
      <c r="M42" s="60"/>
      <c r="N42" s="60"/>
      <c r="O42" s="60"/>
      <c r="P42" s="60"/>
      <c r="Q42" s="51"/>
      <c r="R42" s="59"/>
      <c r="S42" s="60"/>
      <c r="T42" s="60"/>
      <c r="U42" s="60"/>
      <c r="V42" s="60"/>
      <c r="W42" s="60"/>
      <c r="X42" s="60"/>
      <c r="Y42" s="60"/>
      <c r="Z42" s="60"/>
      <c r="AA42" s="51"/>
      <c r="AB42" s="73"/>
      <c r="AC42" s="60"/>
      <c r="AD42" s="73"/>
      <c r="AE42" s="51"/>
      <c r="AF42" s="51"/>
      <c r="AG42" s="51"/>
      <c r="AH42" s="51"/>
      <c r="AI42" s="51"/>
      <c r="AJ42" s="51"/>
      <c r="AK42" s="51"/>
      <c r="AL42" s="51"/>
      <c r="AM42" s="51"/>
      <c r="AN42" s="51"/>
      <c r="AO42" s="51"/>
      <c r="AP42" s="73"/>
      <c r="AQ42" s="73"/>
      <c r="AR42" s="73"/>
      <c r="AS42" s="73"/>
      <c r="AT42" s="73"/>
      <c r="AU42" s="73"/>
      <c r="AV42" s="73"/>
      <c r="AW42" s="73"/>
      <c r="AX42" s="73"/>
      <c r="AY42" s="73"/>
      <c r="AZ42" s="51"/>
      <c r="BA42" s="51"/>
      <c r="BB42" s="51"/>
      <c r="BC42" s="51"/>
      <c r="BD42" s="51"/>
      <c r="BE42" s="73"/>
      <c r="BF42" s="73"/>
      <c r="BG42" s="73"/>
      <c r="BH42" s="73"/>
      <c r="BI42" s="73"/>
      <c r="BJ42" s="73"/>
      <c r="BK42" s="73"/>
      <c r="BL42" s="73"/>
      <c r="BM42" s="73"/>
      <c r="BN42" s="73"/>
      <c r="BO42" s="51"/>
      <c r="BP42" s="51"/>
      <c r="BQ42" s="51"/>
      <c r="BR42" s="51"/>
      <c r="BS42" s="51"/>
      <c r="BT42" s="73"/>
      <c r="BU42" s="73"/>
      <c r="BV42" s="73"/>
      <c r="BW42" s="73"/>
      <c r="BX42" s="73"/>
      <c r="BY42" s="73"/>
      <c r="BZ42" s="73"/>
      <c r="CA42" s="73"/>
      <c r="CB42" s="73"/>
      <c r="CC42" s="73"/>
      <c r="CD42" s="51"/>
      <c r="CE42" s="51"/>
      <c r="CF42" s="51"/>
      <c r="CG42" s="51"/>
      <c r="CH42" s="51"/>
      <c r="CI42" s="73"/>
      <c r="CJ42" s="73"/>
      <c r="CK42" s="73"/>
      <c r="CL42" s="73"/>
      <c r="CM42" s="73"/>
      <c r="CN42" s="73"/>
      <c r="CO42" s="73"/>
      <c r="CP42" s="73"/>
      <c r="CQ42" s="73"/>
      <c r="CR42" s="73"/>
      <c r="CS42" s="73"/>
      <c r="CT42" s="73"/>
      <c r="CU42" s="73"/>
      <c r="CV42" s="73"/>
      <c r="CW42" s="73"/>
      <c r="CX42" s="73"/>
      <c r="CY42" s="73"/>
      <c r="CZ42" s="73"/>
      <c r="DA42" s="73"/>
      <c r="DB42" s="73"/>
      <c r="DC42" s="73"/>
      <c r="DD42" s="73"/>
      <c r="DE42" s="73"/>
      <c r="DF42" s="73"/>
      <c r="DG42" s="73"/>
      <c r="DH42" s="73"/>
      <c r="DI42" s="73"/>
      <c r="DJ42" s="73"/>
      <c r="DK42" s="73"/>
      <c r="DL42" s="73"/>
      <c r="DM42" s="73"/>
      <c r="DN42" s="73"/>
      <c r="DO42" s="73"/>
      <c r="DP42" s="73"/>
      <c r="DQ42" s="73"/>
      <c r="DR42" s="51"/>
      <c r="DS42" s="51"/>
      <c r="DT42" s="51"/>
      <c r="DU42" s="51"/>
      <c r="DV42" s="51"/>
      <c r="DW42" s="51"/>
      <c r="DX42" s="51"/>
      <c r="DY42" s="59"/>
      <c r="DZ42" s="51">
        <f t="shared" si="96"/>
        <v>0</v>
      </c>
      <c r="EA42" s="51"/>
      <c r="EB42" s="51"/>
      <c r="EC42" s="51"/>
      <c r="ED42" s="51"/>
      <c r="EE42" s="51"/>
      <c r="EF42" s="51"/>
      <c r="EG42" s="51"/>
      <c r="EH42" s="90"/>
      <c r="EI42" s="90"/>
      <c r="EJ42" s="13"/>
      <c r="EK42" s="13"/>
      <c r="EL42" s="13"/>
      <c r="EM42" s="13"/>
      <c r="EN42" s="51"/>
      <c r="EO42" s="59"/>
      <c r="EP42" s="51">
        <f t="shared" si="99"/>
        <v>0</v>
      </c>
      <c r="EQ42" s="51"/>
      <c r="ER42" s="51"/>
      <c r="ES42" s="51"/>
      <c r="ET42" s="51"/>
      <c r="EU42" s="51"/>
      <c r="EV42" s="51"/>
      <c r="EW42" s="51"/>
      <c r="EX42" s="90"/>
      <c r="EY42" s="90"/>
      <c r="EZ42" s="13"/>
      <c r="FA42" s="51"/>
      <c r="FB42" s="51"/>
      <c r="FC42" s="59"/>
      <c r="FD42" s="59"/>
      <c r="FE42" s="51">
        <f t="shared" si="113"/>
        <v>0</v>
      </c>
      <c r="FF42" s="93"/>
      <c r="FG42" s="51"/>
      <c r="FH42" s="51"/>
      <c r="FI42" s="93"/>
      <c r="FJ42" s="93"/>
      <c r="FK42" s="60"/>
      <c r="FL42" s="51"/>
      <c r="FM42" s="51"/>
      <c r="FN42" s="14"/>
    </row>
    <row r="43" spans="1:170">
      <c r="A43" s="13">
        <v>2016</v>
      </c>
      <c r="B43" s="13"/>
      <c r="C43" s="60">
        <v>983899076.21</v>
      </c>
      <c r="D43" s="51"/>
      <c r="E43" s="60"/>
      <c r="F43" s="60"/>
      <c r="G43" s="60"/>
      <c r="H43" s="60"/>
      <c r="I43" s="13"/>
      <c r="J43" s="60"/>
      <c r="K43" s="60"/>
      <c r="L43" s="60"/>
      <c r="M43" s="60"/>
      <c r="N43" s="60"/>
      <c r="O43" s="60"/>
      <c r="P43" s="60"/>
      <c r="Q43" s="51"/>
      <c r="R43" s="59"/>
      <c r="S43" s="60"/>
      <c r="T43" s="60"/>
      <c r="U43" s="60"/>
      <c r="V43" s="60"/>
      <c r="W43" s="60"/>
      <c r="X43" s="60"/>
      <c r="Y43" s="60"/>
      <c r="Z43" s="60"/>
      <c r="AA43" s="51"/>
      <c r="AB43" s="73"/>
      <c r="AC43" s="60"/>
      <c r="AD43" s="73"/>
      <c r="AE43" s="51"/>
      <c r="AF43" s="51"/>
      <c r="AG43" s="51"/>
      <c r="AH43" s="51"/>
      <c r="AI43" s="51"/>
      <c r="AJ43" s="51"/>
      <c r="AK43" s="51"/>
      <c r="AL43" s="51"/>
      <c r="AM43" s="51"/>
      <c r="AN43" s="51"/>
      <c r="AO43" s="51"/>
      <c r="AP43" s="73"/>
      <c r="AQ43" s="73"/>
      <c r="AR43" s="73"/>
      <c r="AS43" s="73"/>
      <c r="AT43" s="73"/>
      <c r="AU43" s="73"/>
      <c r="AV43" s="73"/>
      <c r="AW43" s="73"/>
      <c r="AX43" s="73"/>
      <c r="AY43" s="73"/>
      <c r="AZ43" s="51"/>
      <c r="BA43" s="51"/>
      <c r="BB43" s="51"/>
      <c r="BC43" s="51"/>
      <c r="BD43" s="51"/>
      <c r="BE43" s="73"/>
      <c r="BF43" s="73"/>
      <c r="BG43" s="73"/>
      <c r="BH43" s="73"/>
      <c r="BI43" s="73"/>
      <c r="BJ43" s="73"/>
      <c r="BK43" s="73"/>
      <c r="BL43" s="73"/>
      <c r="BM43" s="73"/>
      <c r="BN43" s="73"/>
      <c r="BO43" s="51"/>
      <c r="BP43" s="51"/>
      <c r="BQ43" s="51"/>
      <c r="BR43" s="51"/>
      <c r="BS43" s="51"/>
      <c r="BT43" s="73"/>
      <c r="BU43" s="73"/>
      <c r="BV43" s="73"/>
      <c r="BW43" s="73"/>
      <c r="BX43" s="73"/>
      <c r="BY43" s="73"/>
      <c r="BZ43" s="73"/>
      <c r="CA43" s="73"/>
      <c r="CB43" s="73"/>
      <c r="CC43" s="73"/>
      <c r="CD43" s="51"/>
      <c r="CE43" s="51"/>
      <c r="CF43" s="51"/>
      <c r="CG43" s="51"/>
      <c r="CH43" s="51"/>
      <c r="CI43" s="73"/>
      <c r="CJ43" s="73"/>
      <c r="CK43" s="73"/>
      <c r="CL43" s="73"/>
      <c r="CM43" s="73"/>
      <c r="CN43" s="73"/>
      <c r="CO43" s="73"/>
      <c r="CP43" s="73"/>
      <c r="CQ43" s="73"/>
      <c r="CR43" s="73"/>
      <c r="CS43" s="73"/>
      <c r="CT43" s="73"/>
      <c r="CU43" s="73"/>
      <c r="CV43" s="73"/>
      <c r="CW43" s="73"/>
      <c r="CX43" s="73"/>
      <c r="CY43" s="73"/>
      <c r="CZ43" s="73"/>
      <c r="DA43" s="73"/>
      <c r="DB43" s="73"/>
      <c r="DC43" s="73"/>
      <c r="DD43" s="73"/>
      <c r="DE43" s="73"/>
      <c r="DF43" s="73"/>
      <c r="DG43" s="73"/>
      <c r="DH43" s="73"/>
      <c r="DI43" s="73"/>
      <c r="DJ43" s="73"/>
      <c r="DK43" s="73"/>
      <c r="DL43" s="73"/>
      <c r="DM43" s="73"/>
      <c r="DN43" s="73"/>
      <c r="DO43" s="73"/>
      <c r="DP43" s="73"/>
      <c r="DQ43" s="73"/>
      <c r="DR43" s="51"/>
      <c r="DS43" s="51"/>
      <c r="DT43" s="51"/>
      <c r="DU43" s="51"/>
      <c r="DV43" s="51"/>
      <c r="DW43" s="51"/>
      <c r="DX43" s="51"/>
      <c r="DY43" s="59"/>
      <c r="DZ43" s="51">
        <f t="shared" si="96"/>
        <v>0</v>
      </c>
      <c r="EA43" s="51"/>
      <c r="EB43" s="51"/>
      <c r="EC43" s="51"/>
      <c r="ED43" s="51"/>
      <c r="EE43" s="51"/>
      <c r="EF43" s="51"/>
      <c r="EG43" s="51"/>
      <c r="EH43" s="90"/>
      <c r="EI43" s="90"/>
      <c r="EJ43" s="13"/>
      <c r="EK43" s="13"/>
      <c r="EL43" s="13"/>
      <c r="EM43" s="13"/>
      <c r="EN43" s="51"/>
      <c r="EO43" s="59"/>
      <c r="EP43" s="51">
        <f t="shared" si="99"/>
        <v>0</v>
      </c>
      <c r="EQ43" s="51"/>
      <c r="ER43" s="51"/>
      <c r="ES43" s="51"/>
      <c r="ET43" s="51"/>
      <c r="EU43" s="51"/>
      <c r="EV43" s="51"/>
      <c r="EW43" s="51"/>
      <c r="EX43" s="90"/>
      <c r="EY43" s="90"/>
      <c r="EZ43" s="13"/>
      <c r="FA43" s="51"/>
      <c r="FB43" s="51"/>
      <c r="FC43" s="59"/>
      <c r="FD43" s="59"/>
      <c r="FE43" s="51">
        <f t="shared" si="113"/>
        <v>0</v>
      </c>
      <c r="FF43" s="93"/>
      <c r="FG43" s="51"/>
      <c r="FH43" s="51"/>
      <c r="FI43" s="93"/>
      <c r="FJ43" s="93"/>
      <c r="FK43" s="60"/>
      <c r="FL43" s="51"/>
      <c r="FM43" s="51"/>
      <c r="FN43" s="14"/>
    </row>
    <row r="44" spans="1:170">
      <c r="A44" s="13">
        <v>2015</v>
      </c>
      <c r="B44" s="13"/>
      <c r="C44" s="60"/>
      <c r="D44" s="51"/>
      <c r="E44" s="60"/>
      <c r="F44" s="60"/>
      <c r="G44" s="60"/>
      <c r="H44" s="60"/>
      <c r="I44" s="13"/>
      <c r="J44" s="60"/>
      <c r="K44" s="60"/>
      <c r="L44" s="60"/>
      <c r="M44" s="60"/>
      <c r="N44" s="60"/>
      <c r="O44" s="60"/>
      <c r="P44" s="60"/>
      <c r="Q44" s="51"/>
      <c r="R44" s="59"/>
      <c r="S44" s="60"/>
      <c r="T44" s="60"/>
      <c r="U44" s="60"/>
      <c r="V44" s="60"/>
      <c r="W44" s="60"/>
      <c r="X44" s="60"/>
      <c r="Y44" s="60"/>
      <c r="Z44" s="60"/>
      <c r="AA44" s="51"/>
      <c r="AB44" s="73"/>
      <c r="AC44" s="60"/>
      <c r="AD44" s="73"/>
      <c r="AE44" s="51"/>
      <c r="AF44" s="51"/>
      <c r="AG44" s="51"/>
      <c r="AH44" s="51"/>
      <c r="AI44" s="51"/>
      <c r="AJ44" s="51"/>
      <c r="AK44" s="51"/>
      <c r="AL44" s="51"/>
      <c r="AM44" s="51"/>
      <c r="AN44" s="51"/>
      <c r="AO44" s="51"/>
      <c r="AP44" s="73"/>
      <c r="AQ44" s="73"/>
      <c r="AR44" s="73"/>
      <c r="AS44" s="73"/>
      <c r="AT44" s="73"/>
      <c r="AU44" s="73"/>
      <c r="AV44" s="73"/>
      <c r="AW44" s="73"/>
      <c r="AX44" s="73"/>
      <c r="AY44" s="73"/>
      <c r="AZ44" s="51"/>
      <c r="BA44" s="51"/>
      <c r="BB44" s="51"/>
      <c r="BC44" s="51"/>
      <c r="BD44" s="51"/>
      <c r="BE44" s="73"/>
      <c r="BF44" s="73"/>
      <c r="BG44" s="73"/>
      <c r="BH44" s="73"/>
      <c r="BI44" s="73"/>
      <c r="BJ44" s="73"/>
      <c r="BK44" s="73"/>
      <c r="BL44" s="73"/>
      <c r="BM44" s="73"/>
      <c r="BN44" s="73"/>
      <c r="BO44" s="51"/>
      <c r="BP44" s="51"/>
      <c r="BQ44" s="51"/>
      <c r="BR44" s="51"/>
      <c r="BS44" s="51"/>
      <c r="BT44" s="73"/>
      <c r="BU44" s="73"/>
      <c r="BV44" s="73"/>
      <c r="BW44" s="73"/>
      <c r="BX44" s="73"/>
      <c r="BY44" s="73"/>
      <c r="BZ44" s="73"/>
      <c r="CA44" s="73"/>
      <c r="CB44" s="73"/>
      <c r="CC44" s="73"/>
      <c r="CD44" s="51"/>
      <c r="CE44" s="51"/>
      <c r="CF44" s="51"/>
      <c r="CG44" s="51"/>
      <c r="CH44" s="51"/>
      <c r="CI44" s="73"/>
      <c r="CJ44" s="73"/>
      <c r="CK44" s="73"/>
      <c r="CL44" s="73"/>
      <c r="CM44" s="73"/>
      <c r="CN44" s="73"/>
      <c r="CO44" s="73"/>
      <c r="CP44" s="73"/>
      <c r="CQ44" s="73"/>
      <c r="CR44" s="73"/>
      <c r="CS44" s="73"/>
      <c r="CT44" s="73"/>
      <c r="CU44" s="73"/>
      <c r="CV44" s="73"/>
      <c r="CW44" s="73"/>
      <c r="CX44" s="73"/>
      <c r="CY44" s="73"/>
      <c r="CZ44" s="73"/>
      <c r="DA44" s="73"/>
      <c r="DB44" s="73"/>
      <c r="DC44" s="73"/>
      <c r="DD44" s="73"/>
      <c r="DE44" s="73"/>
      <c r="DF44" s="73"/>
      <c r="DG44" s="73"/>
      <c r="DH44" s="73"/>
      <c r="DI44" s="73"/>
      <c r="DJ44" s="73"/>
      <c r="DK44" s="73"/>
      <c r="DL44" s="73"/>
      <c r="DM44" s="73"/>
      <c r="DN44" s="73"/>
      <c r="DO44" s="73"/>
      <c r="DP44" s="73"/>
      <c r="DQ44" s="73"/>
      <c r="DR44" s="51"/>
      <c r="DS44" s="51"/>
      <c r="DT44" s="51"/>
      <c r="DU44" s="51"/>
      <c r="DV44" s="51"/>
      <c r="DW44" s="51"/>
      <c r="DX44" s="51"/>
      <c r="DY44" s="59"/>
      <c r="DZ44" s="51" t="e">
        <f t="shared" si="96"/>
        <v>#DIV/0!</v>
      </c>
      <c r="EA44" s="51"/>
      <c r="EB44" s="51"/>
      <c r="EC44" s="51"/>
      <c r="ED44" s="51"/>
      <c r="EE44" s="51"/>
      <c r="EF44" s="51"/>
      <c r="EG44" s="51"/>
      <c r="EH44" s="90"/>
      <c r="EI44" s="90"/>
      <c r="EJ44" s="13"/>
      <c r="EK44" s="13"/>
      <c r="EL44" s="13"/>
      <c r="EM44" s="13"/>
      <c r="EN44" s="51"/>
      <c r="EO44" s="59"/>
      <c r="EP44" s="51" t="e">
        <f t="shared" si="99"/>
        <v>#DIV/0!</v>
      </c>
      <c r="EQ44" s="51"/>
      <c r="ER44" s="51"/>
      <c r="ES44" s="51"/>
      <c r="ET44" s="51"/>
      <c r="EU44" s="51"/>
      <c r="EV44" s="51"/>
      <c r="EW44" s="51"/>
      <c r="EX44" s="90"/>
      <c r="EY44" s="90"/>
      <c r="EZ44" s="13"/>
      <c r="FA44" s="51"/>
      <c r="FB44" s="51"/>
      <c r="FC44" s="59"/>
      <c r="FD44" s="59"/>
      <c r="FE44" s="51" t="e">
        <f t="shared" si="113"/>
        <v>#DIV/0!</v>
      </c>
      <c r="FF44" s="93"/>
      <c r="FG44" s="51"/>
      <c r="FH44" s="51"/>
      <c r="FI44" s="93"/>
      <c r="FJ44" s="93"/>
      <c r="FK44" s="60"/>
      <c r="FL44" s="51"/>
      <c r="FM44" s="51"/>
      <c r="FN44" s="14"/>
    </row>
    <row r="45" spans="1:170">
      <c r="A45" s="13">
        <v>2014</v>
      </c>
      <c r="B45" s="13"/>
      <c r="C45" s="60"/>
      <c r="D45" s="51"/>
      <c r="E45" s="60"/>
      <c r="F45" s="60"/>
      <c r="G45" s="60"/>
      <c r="H45" s="60"/>
      <c r="I45" s="13"/>
      <c r="J45" s="60"/>
      <c r="K45" s="60"/>
      <c r="L45" s="60"/>
      <c r="M45" s="60"/>
      <c r="N45" s="60"/>
      <c r="O45" s="60"/>
      <c r="P45" s="60"/>
      <c r="Q45" s="51"/>
      <c r="R45" s="59"/>
      <c r="S45" s="60"/>
      <c r="T45" s="60"/>
      <c r="U45" s="60"/>
      <c r="V45" s="60"/>
      <c r="W45" s="60"/>
      <c r="X45" s="60"/>
      <c r="Y45" s="60"/>
      <c r="Z45" s="60"/>
      <c r="AA45" s="51"/>
      <c r="AB45" s="73"/>
      <c r="AC45" s="60"/>
      <c r="AD45" s="73"/>
      <c r="AE45" s="51"/>
      <c r="AF45" s="51"/>
      <c r="AG45" s="51"/>
      <c r="AH45" s="51"/>
      <c r="AI45" s="51"/>
      <c r="AJ45" s="51"/>
      <c r="AK45" s="51"/>
      <c r="AL45" s="51"/>
      <c r="AM45" s="51"/>
      <c r="AN45" s="51"/>
      <c r="AO45" s="51"/>
      <c r="AP45" s="73"/>
      <c r="AQ45" s="73"/>
      <c r="AR45" s="73"/>
      <c r="AS45" s="73"/>
      <c r="AT45" s="73"/>
      <c r="AU45" s="73"/>
      <c r="AV45" s="73"/>
      <c r="AW45" s="73"/>
      <c r="AX45" s="73"/>
      <c r="AY45" s="73"/>
      <c r="AZ45" s="51"/>
      <c r="BA45" s="51"/>
      <c r="BB45" s="51"/>
      <c r="BC45" s="51"/>
      <c r="BD45" s="51"/>
      <c r="BE45" s="73"/>
      <c r="BF45" s="73"/>
      <c r="BG45" s="73"/>
      <c r="BH45" s="73"/>
      <c r="BI45" s="73"/>
      <c r="BJ45" s="73"/>
      <c r="BK45" s="73"/>
      <c r="BL45" s="73"/>
      <c r="BM45" s="73"/>
      <c r="BN45" s="73"/>
      <c r="BO45" s="51"/>
      <c r="BP45" s="51"/>
      <c r="BQ45" s="51"/>
      <c r="BR45" s="51"/>
      <c r="BS45" s="51"/>
      <c r="BT45" s="73"/>
      <c r="BU45" s="73"/>
      <c r="BV45" s="73"/>
      <c r="BW45" s="73"/>
      <c r="BX45" s="73"/>
      <c r="BY45" s="73"/>
      <c r="BZ45" s="73"/>
      <c r="CA45" s="73"/>
      <c r="CB45" s="73"/>
      <c r="CC45" s="73"/>
      <c r="CD45" s="51"/>
      <c r="CE45" s="51"/>
      <c r="CF45" s="51"/>
      <c r="CG45" s="51"/>
      <c r="CH45" s="51"/>
      <c r="CI45" s="73"/>
      <c r="CJ45" s="73"/>
      <c r="CK45" s="73"/>
      <c r="CL45" s="73"/>
      <c r="CM45" s="73"/>
      <c r="CN45" s="73"/>
      <c r="CO45" s="73"/>
      <c r="CP45" s="73"/>
      <c r="CQ45" s="73"/>
      <c r="CR45" s="73"/>
      <c r="CS45" s="73"/>
      <c r="CT45" s="73"/>
      <c r="CU45" s="73"/>
      <c r="CV45" s="73"/>
      <c r="CW45" s="73"/>
      <c r="CX45" s="73"/>
      <c r="CY45" s="73"/>
      <c r="CZ45" s="73"/>
      <c r="DA45" s="73"/>
      <c r="DB45" s="73"/>
      <c r="DC45" s="73"/>
      <c r="DD45" s="73"/>
      <c r="DE45" s="73"/>
      <c r="DF45" s="73"/>
      <c r="DG45" s="73"/>
      <c r="DH45" s="73"/>
      <c r="DI45" s="73"/>
      <c r="DJ45" s="73"/>
      <c r="DK45" s="73"/>
      <c r="DL45" s="73"/>
      <c r="DM45" s="73"/>
      <c r="DN45" s="73"/>
      <c r="DO45" s="73"/>
      <c r="DP45" s="73"/>
      <c r="DQ45" s="73"/>
      <c r="DR45" s="51"/>
      <c r="DS45" s="51"/>
      <c r="DT45" s="51"/>
      <c r="DU45" s="51"/>
      <c r="DV45" s="51"/>
      <c r="DW45" s="51"/>
      <c r="DX45" s="51"/>
      <c r="DY45" s="59"/>
      <c r="DZ45" s="51" t="e">
        <f t="shared" si="96"/>
        <v>#DIV/0!</v>
      </c>
      <c r="EA45" s="51"/>
      <c r="EB45" s="51"/>
      <c r="EC45" s="51"/>
      <c r="ED45" s="51"/>
      <c r="EE45" s="51"/>
      <c r="EF45" s="51"/>
      <c r="EG45" s="51"/>
      <c r="EH45" s="90"/>
      <c r="EI45" s="90"/>
      <c r="EJ45" s="13"/>
      <c r="EK45" s="13"/>
      <c r="EL45" s="13"/>
      <c r="EM45" s="13"/>
      <c r="EN45" s="51"/>
      <c r="EO45" s="59"/>
      <c r="EP45" s="51" t="e">
        <f t="shared" si="99"/>
        <v>#DIV/0!</v>
      </c>
      <c r="EQ45" s="51"/>
      <c r="ER45" s="51"/>
      <c r="ES45" s="51"/>
      <c r="ET45" s="51"/>
      <c r="EU45" s="51"/>
      <c r="EV45" s="51"/>
      <c r="EW45" s="51"/>
      <c r="EX45" s="90"/>
      <c r="EY45" s="90"/>
      <c r="EZ45" s="13"/>
      <c r="FA45" s="51"/>
      <c r="FB45" s="51"/>
      <c r="FC45" s="59"/>
      <c r="FD45" s="59"/>
      <c r="FE45" s="51" t="e">
        <f t="shared" si="113"/>
        <v>#DIV/0!</v>
      </c>
      <c r="FF45" s="93"/>
      <c r="FG45" s="51"/>
      <c r="FH45" s="51"/>
      <c r="FI45" s="93"/>
      <c r="FJ45" s="93"/>
      <c r="FK45" s="60"/>
      <c r="FL45" s="51"/>
      <c r="FM45" s="51"/>
      <c r="FN45" s="14"/>
    </row>
    <row r="46" spans="1:170">
      <c r="A46" s="13">
        <v>2013</v>
      </c>
      <c r="B46" s="13"/>
      <c r="C46" s="60"/>
      <c r="D46" s="51"/>
      <c r="E46" s="60"/>
      <c r="F46" s="60"/>
      <c r="G46" s="60"/>
      <c r="H46" s="60"/>
      <c r="I46" s="13"/>
      <c r="J46" s="60"/>
      <c r="K46" s="60"/>
      <c r="L46" s="60"/>
      <c r="M46" s="60"/>
      <c r="N46" s="60"/>
      <c r="O46" s="60"/>
      <c r="P46" s="60"/>
      <c r="Q46" s="51"/>
      <c r="R46" s="59"/>
      <c r="S46" s="60"/>
      <c r="T46" s="60"/>
      <c r="U46" s="60"/>
      <c r="V46" s="60"/>
      <c r="W46" s="60"/>
      <c r="X46" s="60"/>
      <c r="Y46" s="60"/>
      <c r="Z46" s="60"/>
      <c r="AA46" s="51"/>
      <c r="AB46" s="73"/>
      <c r="AC46" s="60"/>
      <c r="AD46" s="73"/>
      <c r="AE46" s="51"/>
      <c r="AF46" s="51"/>
      <c r="AG46" s="51"/>
      <c r="AH46" s="51"/>
      <c r="AI46" s="51"/>
      <c r="AJ46" s="51"/>
      <c r="AK46" s="51"/>
      <c r="AL46" s="51"/>
      <c r="AM46" s="51"/>
      <c r="AN46" s="51"/>
      <c r="AO46" s="51"/>
      <c r="AP46" s="73"/>
      <c r="AQ46" s="73"/>
      <c r="AR46" s="73"/>
      <c r="AS46" s="73"/>
      <c r="AT46" s="73"/>
      <c r="AU46" s="73"/>
      <c r="AV46" s="73"/>
      <c r="AW46" s="73"/>
      <c r="AX46" s="73"/>
      <c r="AY46" s="73"/>
      <c r="AZ46" s="51"/>
      <c r="BA46" s="51"/>
      <c r="BB46" s="51"/>
      <c r="BC46" s="51"/>
      <c r="BD46" s="51"/>
      <c r="BE46" s="73"/>
      <c r="BF46" s="73"/>
      <c r="BG46" s="73"/>
      <c r="BH46" s="73"/>
      <c r="BI46" s="73"/>
      <c r="BJ46" s="73"/>
      <c r="BK46" s="73"/>
      <c r="BL46" s="73"/>
      <c r="BM46" s="73"/>
      <c r="BN46" s="73"/>
      <c r="BO46" s="51"/>
      <c r="BP46" s="51"/>
      <c r="BQ46" s="51"/>
      <c r="BR46" s="51"/>
      <c r="BS46" s="51"/>
      <c r="BT46" s="73"/>
      <c r="BU46" s="73"/>
      <c r="BV46" s="73"/>
      <c r="BW46" s="73"/>
      <c r="BX46" s="73"/>
      <c r="BY46" s="73"/>
      <c r="BZ46" s="73"/>
      <c r="CA46" s="73"/>
      <c r="CB46" s="73"/>
      <c r="CC46" s="73"/>
      <c r="CD46" s="51"/>
      <c r="CE46" s="51"/>
      <c r="CF46" s="51"/>
      <c r="CG46" s="51"/>
      <c r="CH46" s="51"/>
      <c r="CI46" s="73"/>
      <c r="CJ46" s="73"/>
      <c r="CK46" s="73"/>
      <c r="CL46" s="73"/>
      <c r="CM46" s="73"/>
      <c r="CN46" s="73"/>
      <c r="CO46" s="73"/>
      <c r="CP46" s="73"/>
      <c r="CQ46" s="73"/>
      <c r="CR46" s="73"/>
      <c r="CS46" s="73"/>
      <c r="CT46" s="73"/>
      <c r="CU46" s="73"/>
      <c r="CV46" s="73"/>
      <c r="CW46" s="73"/>
      <c r="CX46" s="73"/>
      <c r="CY46" s="73"/>
      <c r="CZ46" s="73"/>
      <c r="DA46" s="73"/>
      <c r="DB46" s="73"/>
      <c r="DC46" s="73"/>
      <c r="DD46" s="73"/>
      <c r="DE46" s="73"/>
      <c r="DF46" s="73"/>
      <c r="DG46" s="73"/>
      <c r="DH46" s="73"/>
      <c r="DI46" s="73"/>
      <c r="DJ46" s="73"/>
      <c r="DK46" s="73"/>
      <c r="DL46" s="73"/>
      <c r="DM46" s="73"/>
      <c r="DN46" s="73"/>
      <c r="DO46" s="73"/>
      <c r="DP46" s="73"/>
      <c r="DQ46" s="73"/>
      <c r="DR46" s="51"/>
      <c r="DS46" s="51"/>
      <c r="DT46" s="51"/>
      <c r="DU46" s="51"/>
      <c r="DV46" s="51"/>
      <c r="DW46" s="51"/>
      <c r="DX46" s="51"/>
      <c r="DY46" s="59"/>
      <c r="DZ46" s="51" t="e">
        <f t="shared" si="96"/>
        <v>#DIV/0!</v>
      </c>
      <c r="EA46" s="51"/>
      <c r="EB46" s="51"/>
      <c r="EC46" s="51"/>
      <c r="ED46" s="51"/>
      <c r="EE46" s="51"/>
      <c r="EF46" s="51"/>
      <c r="EG46" s="51"/>
      <c r="EH46" s="90"/>
      <c r="EI46" s="90"/>
      <c r="EJ46" s="13"/>
      <c r="EK46" s="13"/>
      <c r="EL46" s="13"/>
      <c r="EM46" s="13"/>
      <c r="EN46" s="51"/>
      <c r="EO46" s="59"/>
      <c r="EP46" s="51" t="e">
        <f t="shared" si="99"/>
        <v>#DIV/0!</v>
      </c>
      <c r="EQ46" s="51"/>
      <c r="ER46" s="51"/>
      <c r="ES46" s="51"/>
      <c r="ET46" s="51"/>
      <c r="EU46" s="51"/>
      <c r="EV46" s="51"/>
      <c r="EW46" s="51"/>
      <c r="EX46" s="90"/>
      <c r="EY46" s="90"/>
      <c r="EZ46" s="13"/>
      <c r="FA46" s="51"/>
      <c r="FB46" s="51"/>
      <c r="FC46" s="59"/>
      <c r="FD46" s="59"/>
      <c r="FE46" s="51" t="e">
        <f t="shared" si="113"/>
        <v>#DIV/0!</v>
      </c>
      <c r="FF46" s="93"/>
      <c r="FG46" s="51"/>
      <c r="FH46" s="51"/>
      <c r="FI46" s="93"/>
      <c r="FJ46" s="93"/>
      <c r="FK46" s="60"/>
      <c r="FL46" s="51"/>
      <c r="FM46" s="51"/>
      <c r="FN46" s="14"/>
    </row>
    <row r="47" spans="1:170">
      <c r="A47" s="13">
        <v>2012</v>
      </c>
      <c r="B47" s="13"/>
      <c r="C47" s="60"/>
      <c r="D47" s="51"/>
      <c r="E47" s="60"/>
      <c r="F47" s="60"/>
      <c r="G47" s="60"/>
      <c r="H47" s="60"/>
      <c r="I47" s="13"/>
      <c r="J47" s="60"/>
      <c r="K47" s="60"/>
      <c r="L47" s="60"/>
      <c r="M47" s="60"/>
      <c r="N47" s="60"/>
      <c r="O47" s="60"/>
      <c r="P47" s="60"/>
      <c r="Q47" s="51"/>
      <c r="R47" s="59"/>
      <c r="S47" s="60"/>
      <c r="T47" s="60"/>
      <c r="U47" s="60"/>
      <c r="V47" s="60"/>
      <c r="W47" s="60"/>
      <c r="X47" s="60"/>
      <c r="Y47" s="60"/>
      <c r="Z47" s="60"/>
      <c r="AA47" s="51"/>
      <c r="AB47" s="73"/>
      <c r="AC47" s="60"/>
      <c r="AD47" s="73"/>
      <c r="AE47" s="51"/>
      <c r="AF47" s="51"/>
      <c r="AG47" s="51"/>
      <c r="AH47" s="51"/>
      <c r="AI47" s="51"/>
      <c r="AJ47" s="51"/>
      <c r="AK47" s="51"/>
      <c r="AL47" s="51"/>
      <c r="AM47" s="51"/>
      <c r="AN47" s="51"/>
      <c r="AO47" s="51"/>
      <c r="AP47" s="73"/>
      <c r="AQ47" s="73"/>
      <c r="AR47" s="73"/>
      <c r="AS47" s="73"/>
      <c r="AT47" s="73"/>
      <c r="AU47" s="73"/>
      <c r="AV47" s="73"/>
      <c r="AW47" s="73"/>
      <c r="AX47" s="73"/>
      <c r="AY47" s="73"/>
      <c r="AZ47" s="51"/>
      <c r="BA47" s="51"/>
      <c r="BB47" s="51"/>
      <c r="BC47" s="51"/>
      <c r="BD47" s="51"/>
      <c r="BE47" s="73"/>
      <c r="BF47" s="73"/>
      <c r="BG47" s="73"/>
      <c r="BH47" s="73"/>
      <c r="BI47" s="73"/>
      <c r="BJ47" s="73"/>
      <c r="BK47" s="73"/>
      <c r="BL47" s="73"/>
      <c r="BM47" s="73"/>
      <c r="BN47" s="73"/>
      <c r="BO47" s="51"/>
      <c r="BP47" s="51"/>
      <c r="BQ47" s="51"/>
      <c r="BR47" s="51"/>
      <c r="BS47" s="51"/>
      <c r="BT47" s="73"/>
      <c r="BU47" s="73"/>
      <c r="BV47" s="73"/>
      <c r="BW47" s="73"/>
      <c r="BX47" s="73"/>
      <c r="BY47" s="73"/>
      <c r="BZ47" s="73"/>
      <c r="CA47" s="73"/>
      <c r="CB47" s="73"/>
      <c r="CC47" s="73"/>
      <c r="CD47" s="51"/>
      <c r="CE47" s="51"/>
      <c r="CF47" s="51"/>
      <c r="CG47" s="51"/>
      <c r="CH47" s="51"/>
      <c r="CI47" s="73"/>
      <c r="CJ47" s="73"/>
      <c r="CK47" s="73"/>
      <c r="CL47" s="73"/>
      <c r="CM47" s="73"/>
      <c r="CN47" s="73"/>
      <c r="CO47" s="73"/>
      <c r="CP47" s="73"/>
      <c r="CQ47" s="73"/>
      <c r="CR47" s="73"/>
      <c r="CS47" s="73"/>
      <c r="CT47" s="73"/>
      <c r="CU47" s="73"/>
      <c r="CV47" s="73"/>
      <c r="CW47" s="73"/>
      <c r="CX47" s="73"/>
      <c r="CY47" s="73"/>
      <c r="CZ47" s="73"/>
      <c r="DA47" s="73"/>
      <c r="DB47" s="73"/>
      <c r="DC47" s="73"/>
      <c r="DD47" s="73"/>
      <c r="DE47" s="73"/>
      <c r="DF47" s="73"/>
      <c r="DG47" s="73"/>
      <c r="DH47" s="73"/>
      <c r="DI47" s="73"/>
      <c r="DJ47" s="73"/>
      <c r="DK47" s="73"/>
      <c r="DL47" s="73"/>
      <c r="DM47" s="73"/>
      <c r="DN47" s="73"/>
      <c r="DO47" s="73"/>
      <c r="DP47" s="73"/>
      <c r="DQ47" s="73"/>
      <c r="DR47" s="51"/>
      <c r="DS47" s="51"/>
      <c r="DT47" s="51"/>
      <c r="DU47" s="51"/>
      <c r="DV47" s="51"/>
      <c r="DW47" s="51"/>
      <c r="DX47" s="51"/>
      <c r="DY47" s="59"/>
      <c r="DZ47" s="51" t="e">
        <f t="shared" si="96"/>
        <v>#DIV/0!</v>
      </c>
      <c r="EA47" s="51"/>
      <c r="EB47" s="51"/>
      <c r="EC47" s="51"/>
      <c r="ED47" s="51"/>
      <c r="EE47" s="51"/>
      <c r="EF47" s="51"/>
      <c r="EG47" s="51"/>
      <c r="EH47" s="90"/>
      <c r="EI47" s="90"/>
      <c r="EJ47" s="13"/>
      <c r="EK47" s="13"/>
      <c r="EL47" s="13"/>
      <c r="EM47" s="13"/>
      <c r="EN47" s="51"/>
      <c r="EO47" s="59"/>
      <c r="EP47" s="51" t="e">
        <f t="shared" si="99"/>
        <v>#DIV/0!</v>
      </c>
      <c r="EQ47" s="51"/>
      <c r="ER47" s="51"/>
      <c r="ES47" s="51"/>
      <c r="ET47" s="51"/>
      <c r="EU47" s="51"/>
      <c r="EV47" s="51"/>
      <c r="EW47" s="51"/>
      <c r="EX47" s="90"/>
      <c r="EY47" s="90"/>
      <c r="EZ47" s="13"/>
      <c r="FA47" s="51"/>
      <c r="FB47" s="51"/>
      <c r="FC47" s="59"/>
      <c r="FD47" s="59"/>
      <c r="FE47" s="51" t="e">
        <f t="shared" si="113"/>
        <v>#DIV/0!</v>
      </c>
      <c r="FF47" s="93"/>
      <c r="FG47" s="51"/>
      <c r="FH47" s="51"/>
      <c r="FI47" s="93"/>
      <c r="FJ47" s="93"/>
      <c r="FK47" s="60"/>
      <c r="FL47" s="51"/>
      <c r="FM47" s="51"/>
      <c r="FN47" s="14"/>
    </row>
  </sheetData>
  <mergeCells count="43">
    <mergeCell ref="R1:W1"/>
    <mergeCell ref="X1:AB1"/>
    <mergeCell ref="AG1:AO1"/>
    <mergeCell ref="AP1:AT1"/>
    <mergeCell ref="AU1:AY1"/>
    <mergeCell ref="AZ1:BD1"/>
    <mergeCell ref="BE1:BI1"/>
    <mergeCell ref="BJ1:BN1"/>
    <mergeCell ref="BO1:BS1"/>
    <mergeCell ref="BT1:BX1"/>
    <mergeCell ref="BY1:CC1"/>
    <mergeCell ref="CD1:CH1"/>
    <mergeCell ref="CK1:DG1"/>
    <mergeCell ref="DH1:DL1"/>
    <mergeCell ref="DM1:DQ1"/>
    <mergeCell ref="DR1:DV1"/>
    <mergeCell ref="DY1:EN1"/>
    <mergeCell ref="EO1:FC1"/>
    <mergeCell ref="FD1:FN1"/>
    <mergeCell ref="A1:A2"/>
    <mergeCell ref="B1:B2"/>
    <mergeCell ref="B3:B13"/>
    <mergeCell ref="B15:B25"/>
    <mergeCell ref="B26:B36"/>
    <mergeCell ref="B37:B47"/>
    <mergeCell ref="C1:C2"/>
    <mergeCell ref="E1:E2"/>
    <mergeCell ref="G1:G2"/>
    <mergeCell ref="H1:H2"/>
    <mergeCell ref="I1:I2"/>
    <mergeCell ref="J1:J2"/>
    <mergeCell ref="K1:K2"/>
    <mergeCell ref="L1:L2"/>
    <mergeCell ref="M1:M2"/>
    <mergeCell ref="N1:N2"/>
    <mergeCell ref="O1:O2"/>
    <mergeCell ref="P1:P2"/>
    <mergeCell ref="AC1:AC2"/>
    <mergeCell ref="AD1:AD2"/>
    <mergeCell ref="AE1:AE2"/>
    <mergeCell ref="AF1:AF2"/>
    <mergeCell ref="DW1:DW2"/>
    <mergeCell ref="DX1:DX2"/>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
  <sheetViews>
    <sheetView workbookViewId="0">
      <selection activeCell="C10" sqref="C10"/>
    </sheetView>
  </sheetViews>
  <sheetFormatPr defaultColWidth="9.23076923076923" defaultRowHeight="16.8"/>
  <cols>
    <col min="1" max="1" width="9.23076923076923" style="11"/>
    <col min="2" max="2" width="13.4615384615385" style="11" customWidth="1"/>
    <col min="3" max="3" width="10.3076923076923" style="11" customWidth="1"/>
    <col min="4" max="4" width="7.30769230769231" style="11" customWidth="1"/>
    <col min="5" max="5" width="8.65384615384615" style="11" customWidth="1"/>
    <col min="6" max="6" width="17.3846153846154" style="11" customWidth="1"/>
    <col min="7" max="8" width="16.2307692307692" style="11"/>
    <col min="9" max="9" width="12.9230769230769" style="42"/>
  </cols>
  <sheetData>
    <row r="1" spans="1:9">
      <c r="A1" s="13" t="s">
        <v>1</v>
      </c>
      <c r="B1" s="13" t="s">
        <v>197</v>
      </c>
      <c r="C1" s="13" t="s">
        <v>198</v>
      </c>
      <c r="D1" s="13" t="s">
        <v>199</v>
      </c>
      <c r="E1" s="13"/>
      <c r="F1" s="13"/>
      <c r="G1" s="13"/>
      <c r="H1" s="13"/>
      <c r="I1" s="13"/>
    </row>
    <row r="2" ht="101" spans="1:9">
      <c r="A2" s="13"/>
      <c r="B2" s="13"/>
      <c r="C2" s="13"/>
      <c r="D2" s="43" t="s">
        <v>200</v>
      </c>
      <c r="E2" s="43" t="s">
        <v>201</v>
      </c>
      <c r="F2" s="43" t="s">
        <v>202</v>
      </c>
      <c r="G2" s="43" t="s">
        <v>203</v>
      </c>
      <c r="H2" s="43" t="s">
        <v>204</v>
      </c>
      <c r="I2" s="50" t="s">
        <v>205</v>
      </c>
    </row>
    <row r="3" spans="1:9">
      <c r="A3" s="13">
        <v>2022</v>
      </c>
      <c r="B3" s="44">
        <v>4633833787</v>
      </c>
      <c r="C3" s="44">
        <v>156565</v>
      </c>
      <c r="D3" s="45">
        <v>2</v>
      </c>
      <c r="E3" s="13">
        <v>7</v>
      </c>
      <c r="F3" s="13">
        <v>0</v>
      </c>
      <c r="G3" s="49">
        <v>3243683650.9</v>
      </c>
      <c r="H3" s="49">
        <v>6197716943.78</v>
      </c>
      <c r="I3" s="51">
        <f>G3/H3</f>
        <v>0.523367504570428</v>
      </c>
    </row>
    <row r="4" spans="1:9">
      <c r="A4" s="13">
        <v>2021</v>
      </c>
      <c r="B4" s="44">
        <v>4212576170</v>
      </c>
      <c r="C4" s="44">
        <v>174861</v>
      </c>
      <c r="D4" s="45">
        <v>1</v>
      </c>
      <c r="E4" s="13">
        <v>7.6</v>
      </c>
      <c r="F4" s="13">
        <v>0</v>
      </c>
      <c r="G4" s="49">
        <v>3201557889.2</v>
      </c>
      <c r="H4" s="49">
        <v>6670757811.72</v>
      </c>
      <c r="I4" s="51">
        <f>G4/H4</f>
        <v>0.47993915827301</v>
      </c>
    </row>
    <row r="5" spans="1:9">
      <c r="A5" s="13">
        <v>2020</v>
      </c>
      <c r="B5" s="44">
        <v>3240443208</v>
      </c>
      <c r="C5" s="44">
        <v>66719</v>
      </c>
      <c r="D5" s="46">
        <v>1</v>
      </c>
      <c r="E5" s="13">
        <v>10.3</v>
      </c>
      <c r="F5" s="45">
        <v>2</v>
      </c>
      <c r="G5" s="49">
        <v>3337656504.24</v>
      </c>
      <c r="H5" s="49">
        <v>6402859991.91</v>
      </c>
      <c r="I5" s="51">
        <f t="shared" ref="I5:I13" si="0">G5/H5</f>
        <v>0.521275884285635</v>
      </c>
    </row>
    <row r="6" spans="1:9">
      <c r="A6" s="13">
        <v>2019</v>
      </c>
      <c r="B6" s="44">
        <v>2700369340</v>
      </c>
      <c r="C6" s="44">
        <v>31382</v>
      </c>
      <c r="D6" s="13">
        <v>0</v>
      </c>
      <c r="E6" s="13">
        <v>10.8</v>
      </c>
      <c r="F6" s="45">
        <v>2</v>
      </c>
      <c r="G6" s="49">
        <v>2916398887.2</v>
      </c>
      <c r="H6" s="49">
        <v>5353185029.35</v>
      </c>
      <c r="I6" s="51">
        <f t="shared" si="0"/>
        <v>0.544796951947338</v>
      </c>
    </row>
    <row r="7" spans="1:9">
      <c r="A7" s="13">
        <v>2018</v>
      </c>
      <c r="B7" s="44">
        <v>2700369340</v>
      </c>
      <c r="C7" s="47">
        <v>21112</v>
      </c>
      <c r="D7" s="48">
        <v>0</v>
      </c>
      <c r="E7" s="13">
        <v>9.8</v>
      </c>
      <c r="F7" s="13">
        <v>0</v>
      </c>
      <c r="G7" s="49">
        <v>2646361953.2</v>
      </c>
      <c r="H7" s="49">
        <v>4364813027.88</v>
      </c>
      <c r="I7" s="51">
        <f t="shared" si="0"/>
        <v>0.606294458959985</v>
      </c>
    </row>
    <row r="8" spans="1:9">
      <c r="A8" s="45">
        <v>2017</v>
      </c>
      <c r="B8" s="44">
        <v>2701206700</v>
      </c>
      <c r="C8" s="47">
        <v>19346</v>
      </c>
      <c r="D8" s="13">
        <v>0</v>
      </c>
      <c r="E8" s="13">
        <v>8.5</v>
      </c>
      <c r="F8" s="13">
        <v>0</v>
      </c>
      <c r="G8" s="49">
        <v>2296025695</v>
      </c>
      <c r="H8" s="49">
        <v>3531436928.16</v>
      </c>
      <c r="I8" s="51">
        <f t="shared" si="0"/>
        <v>0.650167549841053</v>
      </c>
    </row>
    <row r="9" spans="1:9">
      <c r="A9" s="13">
        <v>2016</v>
      </c>
      <c r="B9" s="44">
        <v>2704950700</v>
      </c>
      <c r="C9" s="47">
        <v>23169</v>
      </c>
      <c r="D9" s="48">
        <v>0</v>
      </c>
      <c r="E9" s="13">
        <v>6.8</v>
      </c>
      <c r="F9" s="13">
        <v>0</v>
      </c>
      <c r="G9" s="49">
        <v>1839366476</v>
      </c>
      <c r="H9" s="49">
        <v>2843133968.17</v>
      </c>
      <c r="I9" s="51">
        <f t="shared" si="0"/>
        <v>0.646950335999791</v>
      </c>
    </row>
    <row r="10" spans="1:9">
      <c r="A10" s="13">
        <v>2015</v>
      </c>
      <c r="B10" s="44">
        <v>2706246000</v>
      </c>
      <c r="C10" s="47">
        <v>27577</v>
      </c>
      <c r="D10" s="48">
        <v>0</v>
      </c>
      <c r="E10" s="13">
        <v>6</v>
      </c>
      <c r="F10" s="13">
        <v>0</v>
      </c>
      <c r="G10" s="49">
        <v>1623747600</v>
      </c>
      <c r="H10" s="49">
        <v>2509632367.33</v>
      </c>
      <c r="I10" s="51">
        <f t="shared" si="0"/>
        <v>0.647006159602375</v>
      </c>
    </row>
    <row r="11" spans="1:9">
      <c r="A11" s="13">
        <v>2014</v>
      </c>
      <c r="B11" s="44">
        <v>1503580000</v>
      </c>
      <c r="C11" s="47">
        <v>20304</v>
      </c>
      <c r="D11" s="13">
        <v>0</v>
      </c>
      <c r="E11" s="13">
        <v>8.5</v>
      </c>
      <c r="F11" s="45">
        <v>8</v>
      </c>
      <c r="G11" s="49">
        <v>1278043000</v>
      </c>
      <c r="H11" s="49">
        <v>2090275690.29</v>
      </c>
      <c r="I11" s="51">
        <f t="shared" si="0"/>
        <v>0.611423175391131</v>
      </c>
    </row>
    <row r="12" spans="1:9">
      <c r="A12" s="13">
        <v>2013</v>
      </c>
      <c r="B12" s="44">
        <v>711000000</v>
      </c>
      <c r="C12" s="13">
        <v>60</v>
      </c>
      <c r="D12" s="48">
        <v>0</v>
      </c>
      <c r="E12" s="13">
        <v>13.5</v>
      </c>
      <c r="F12" s="45">
        <v>10</v>
      </c>
      <c r="G12" s="49">
        <v>978600000</v>
      </c>
      <c r="H12" s="49">
        <v>1606418791.67</v>
      </c>
      <c r="I12" s="51">
        <f t="shared" si="0"/>
        <v>0.609181120810139</v>
      </c>
    </row>
    <row r="13" spans="1:9">
      <c r="A13" s="13">
        <v>2012</v>
      </c>
      <c r="B13" s="44"/>
      <c r="C13" s="13"/>
      <c r="D13" s="48">
        <v>0</v>
      </c>
      <c r="E13" s="13">
        <v>10.5</v>
      </c>
      <c r="F13" s="13">
        <v>0</v>
      </c>
      <c r="G13" s="49">
        <v>746550000</v>
      </c>
      <c r="H13" s="49">
        <v>1207566852.96</v>
      </c>
      <c r="I13" s="51">
        <f t="shared" si="0"/>
        <v>0.618226641589283</v>
      </c>
    </row>
  </sheetData>
  <mergeCells count="4">
    <mergeCell ref="D1:I1"/>
    <mergeCell ref="A1:A2"/>
    <mergeCell ref="B1:B2"/>
    <mergeCell ref="C1:C2"/>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
  <sheetViews>
    <sheetView workbookViewId="0">
      <selection activeCell="C20" sqref="C20"/>
    </sheetView>
  </sheetViews>
  <sheetFormatPr defaultColWidth="9.23076923076923" defaultRowHeight="16.8" outlineLevelCol="7"/>
  <cols>
    <col min="1" max="1" width="9.23076923076923" style="11"/>
    <col min="2" max="2" width="10.9230769230769" style="11"/>
    <col min="3" max="3" width="46.6923076923077" customWidth="1"/>
    <col min="4" max="4" width="21.3846153846154" style="11" customWidth="1"/>
    <col min="5" max="5" width="13.4615384615385" style="11" customWidth="1"/>
    <col min="6" max="6" width="12.7692307692308" style="11" customWidth="1"/>
    <col min="7" max="7" width="20.6730769230769" style="11" customWidth="1"/>
    <col min="8" max="8" width="17.6153846153846" style="11" customWidth="1"/>
  </cols>
  <sheetData>
    <row r="1" spans="1:8">
      <c r="A1" s="11" t="s">
        <v>1</v>
      </c>
      <c r="B1" s="11" t="s">
        <v>206</v>
      </c>
      <c r="C1" t="s">
        <v>207</v>
      </c>
      <c r="D1" s="11" t="s">
        <v>208</v>
      </c>
      <c r="E1" s="11" t="s">
        <v>209</v>
      </c>
      <c r="F1" s="11" t="s">
        <v>210</v>
      </c>
      <c r="G1" s="11" t="s">
        <v>211</v>
      </c>
      <c r="H1" s="11" t="s">
        <v>212</v>
      </c>
    </row>
    <row r="2" spans="1:8">
      <c r="A2" s="11">
        <v>2014</v>
      </c>
      <c r="B2" s="30">
        <v>41820</v>
      </c>
      <c r="C2" t="s">
        <v>213</v>
      </c>
      <c r="D2" s="31">
        <v>34509447.38</v>
      </c>
      <c r="E2" s="31">
        <v>17177837.38</v>
      </c>
      <c r="F2" s="34">
        <v>0.25</v>
      </c>
      <c r="G2" s="35">
        <v>0.15</v>
      </c>
      <c r="H2" s="35">
        <v>0.13</v>
      </c>
    </row>
    <row r="3" spans="1:2">
      <c r="A3" s="11">
        <v>2015</v>
      </c>
      <c r="B3" s="30"/>
    </row>
    <row r="4" spans="1:1">
      <c r="A4" s="11">
        <v>2016</v>
      </c>
    </row>
    <row r="5" spans="1:8">
      <c r="A5" s="11">
        <v>2017</v>
      </c>
      <c r="B5" s="11" t="s">
        <v>214</v>
      </c>
      <c r="C5" t="s">
        <v>215</v>
      </c>
      <c r="D5" s="11" t="s">
        <v>214</v>
      </c>
      <c r="E5" s="11" t="s">
        <v>214</v>
      </c>
      <c r="F5" s="36" t="s">
        <v>216</v>
      </c>
      <c r="G5" s="11" t="s">
        <v>217</v>
      </c>
      <c r="H5" s="37">
        <v>0.105</v>
      </c>
    </row>
    <row r="6" ht="34" spans="2:8">
      <c r="B6" s="30">
        <v>42767</v>
      </c>
      <c r="C6" t="s">
        <v>218</v>
      </c>
      <c r="D6" s="31">
        <v>40271000</v>
      </c>
      <c r="E6" s="31">
        <v>15090466.13</v>
      </c>
      <c r="F6" s="38" t="s">
        <v>219</v>
      </c>
      <c r="G6" s="12" t="s">
        <v>220</v>
      </c>
      <c r="H6" s="37">
        <v>0.105</v>
      </c>
    </row>
    <row r="7" spans="1:1">
      <c r="A7" s="11">
        <v>2018</v>
      </c>
    </row>
    <row r="8" spans="1:8">
      <c r="A8" s="11">
        <v>2019</v>
      </c>
      <c r="C8" t="s">
        <v>215</v>
      </c>
      <c r="F8" s="36" t="s">
        <v>221</v>
      </c>
      <c r="G8" s="11" t="s">
        <v>222</v>
      </c>
      <c r="H8" s="37">
        <v>0.1436</v>
      </c>
    </row>
    <row r="9" spans="3:8">
      <c r="C9" t="s">
        <v>223</v>
      </c>
      <c r="F9" s="38" t="s">
        <v>224</v>
      </c>
      <c r="G9" s="11" t="s">
        <v>225</v>
      </c>
      <c r="H9" s="37">
        <v>0.1436</v>
      </c>
    </row>
    <row r="10" spans="1:3">
      <c r="A10" s="11">
        <v>2020</v>
      </c>
      <c r="C10" t="s">
        <v>215</v>
      </c>
    </row>
    <row r="11" spans="3:8">
      <c r="C11" t="s">
        <v>223</v>
      </c>
      <c r="F11" s="38" t="s">
        <v>226</v>
      </c>
      <c r="G11" s="11" t="s">
        <v>227</v>
      </c>
      <c r="H11" s="37">
        <v>0.1382</v>
      </c>
    </row>
    <row r="12" spans="3:8">
      <c r="C12" t="s">
        <v>228</v>
      </c>
      <c r="F12" s="39" t="s">
        <v>229</v>
      </c>
      <c r="G12" s="11" t="s">
        <v>230</v>
      </c>
      <c r="H12" s="37">
        <v>0.1382</v>
      </c>
    </row>
    <row r="13" spans="1:3">
      <c r="A13" s="11">
        <v>2021</v>
      </c>
      <c r="C13" t="s">
        <v>215</v>
      </c>
    </row>
    <row r="14" spans="3:8">
      <c r="C14" t="s">
        <v>223</v>
      </c>
      <c r="D14" s="32"/>
      <c r="F14" s="38" t="s">
        <v>231</v>
      </c>
      <c r="G14" s="11" t="s">
        <v>232</v>
      </c>
      <c r="H14" s="37">
        <v>0.1382</v>
      </c>
    </row>
    <row r="15" spans="3:8">
      <c r="C15" t="s">
        <v>228</v>
      </c>
      <c r="D15" s="32"/>
      <c r="F15" s="39" t="s">
        <v>233</v>
      </c>
      <c r="G15" s="11" t="s">
        <v>234</v>
      </c>
      <c r="H15" s="37">
        <v>0.1382</v>
      </c>
    </row>
    <row r="16" spans="1:8">
      <c r="A16" s="11">
        <v>2022</v>
      </c>
      <c r="C16" t="s">
        <v>215</v>
      </c>
      <c r="D16" s="32"/>
      <c r="H16" s="37"/>
    </row>
    <row r="17" spans="3:8">
      <c r="C17" t="s">
        <v>223</v>
      </c>
      <c r="D17" s="32"/>
      <c r="F17" s="40">
        <v>0.27</v>
      </c>
      <c r="G17" s="11" t="s">
        <v>235</v>
      </c>
      <c r="H17" s="37">
        <v>0.1382</v>
      </c>
    </row>
    <row r="18" spans="3:8">
      <c r="C18" t="s">
        <v>236</v>
      </c>
      <c r="D18" s="32">
        <f>(6312.5+10605)*10000</f>
        <v>169175000</v>
      </c>
      <c r="F18" s="39" t="s">
        <v>237</v>
      </c>
      <c r="G18" s="11" t="s">
        <v>238</v>
      </c>
      <c r="H18" s="37">
        <v>0.1382</v>
      </c>
    </row>
    <row r="19" ht="17" spans="2:8">
      <c r="B19" s="11">
        <v>2022</v>
      </c>
      <c r="C19" s="33" t="s">
        <v>239</v>
      </c>
      <c r="D19" s="32">
        <v>440181000</v>
      </c>
      <c r="E19" s="31">
        <v>97846575.6</v>
      </c>
      <c r="F19" s="11" t="s">
        <v>240</v>
      </c>
      <c r="G19" s="11" t="s">
        <v>241</v>
      </c>
      <c r="H19" s="41">
        <v>0.1382</v>
      </c>
    </row>
    <row r="20" spans="2:8">
      <c r="B20" s="11">
        <v>2022</v>
      </c>
      <c r="C20" t="s">
        <v>242</v>
      </c>
      <c r="D20" s="31">
        <v>532808000</v>
      </c>
      <c r="E20" s="31">
        <v>97491384.51</v>
      </c>
      <c r="F20" s="11" t="s">
        <v>243</v>
      </c>
      <c r="G20" s="11" t="s">
        <v>244</v>
      </c>
      <c r="H20" s="37">
        <v>0.1475</v>
      </c>
    </row>
  </sheetData>
  <mergeCells count="5">
    <mergeCell ref="A5:A6"/>
    <mergeCell ref="A8:A9"/>
    <mergeCell ref="A10:A12"/>
    <mergeCell ref="A13:A15"/>
    <mergeCell ref="A16:A20"/>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2"/>
  <sheetViews>
    <sheetView workbookViewId="0">
      <pane xSplit="2" ySplit="2" topLeftCell="C3" activePane="bottomRight" state="frozen"/>
      <selection/>
      <selection pane="topRight"/>
      <selection pane="bottomLeft"/>
      <selection pane="bottomRight" activeCell="E3" sqref="E3"/>
    </sheetView>
  </sheetViews>
  <sheetFormatPr defaultColWidth="9.23076923076923" defaultRowHeight="16.8" outlineLevelCol="6"/>
  <cols>
    <col min="1" max="1" width="10.3076923076923" style="15" customWidth="1"/>
    <col min="2" max="3" width="9" style="15"/>
    <col min="4" max="4" width="90.5769230769231" style="16" customWidth="1"/>
    <col min="5" max="5" width="32.8557692307692" style="17" customWidth="1"/>
    <col min="6" max="6" width="138.144230769231" customWidth="1"/>
    <col min="7" max="7" width="116.923076923077" customWidth="1"/>
  </cols>
  <sheetData>
    <row r="1" spans="1:7">
      <c r="A1" s="18" t="s">
        <v>0</v>
      </c>
      <c r="B1" s="19" t="s">
        <v>1</v>
      </c>
      <c r="C1" s="19" t="s">
        <v>245</v>
      </c>
      <c r="D1" s="20"/>
      <c r="E1" s="18" t="s">
        <v>246</v>
      </c>
      <c r="F1" s="13"/>
      <c r="G1" s="11" t="s">
        <v>247</v>
      </c>
    </row>
    <row r="2" spans="1:7">
      <c r="A2" s="18"/>
      <c r="B2" s="19"/>
      <c r="C2" s="19" t="s">
        <v>248</v>
      </c>
      <c r="D2" s="21" t="s">
        <v>249</v>
      </c>
      <c r="E2" s="17" t="s">
        <v>248</v>
      </c>
      <c r="F2" s="14" t="s">
        <v>249</v>
      </c>
      <c r="G2" s="11"/>
    </row>
    <row r="3" ht="409.5" spans="1:7">
      <c r="A3" s="18" t="s">
        <v>85</v>
      </c>
      <c r="B3" s="19">
        <v>2022</v>
      </c>
      <c r="C3" s="19"/>
      <c r="D3" s="21"/>
      <c r="E3" s="27" t="s">
        <v>250</v>
      </c>
      <c r="F3" s="28" t="s">
        <v>251</v>
      </c>
      <c r="G3" t="s">
        <v>252</v>
      </c>
    </row>
    <row r="4" ht="409.5" spans="1:6">
      <c r="A4" s="18"/>
      <c r="B4" s="19">
        <v>2021</v>
      </c>
      <c r="C4" s="19"/>
      <c r="D4" s="22"/>
      <c r="E4" s="27" t="s">
        <v>253</v>
      </c>
      <c r="F4" s="28" t="s">
        <v>254</v>
      </c>
    </row>
    <row r="5" ht="409.5" spans="1:6">
      <c r="A5" s="18"/>
      <c r="B5" s="19">
        <v>2020</v>
      </c>
      <c r="C5" s="19"/>
      <c r="D5" s="21"/>
      <c r="E5" s="27" t="s">
        <v>255</v>
      </c>
      <c r="F5" s="28" t="s">
        <v>256</v>
      </c>
    </row>
    <row r="6" ht="409.5" spans="1:6">
      <c r="A6" s="18"/>
      <c r="B6" s="19">
        <v>2019</v>
      </c>
      <c r="C6" s="19"/>
      <c r="D6" s="21"/>
      <c r="E6" s="27" t="s">
        <v>257</v>
      </c>
      <c r="F6" s="28" t="s">
        <v>258</v>
      </c>
    </row>
    <row r="7" ht="409.5" spans="1:6">
      <c r="A7" s="18"/>
      <c r="B7" s="19">
        <v>2018</v>
      </c>
      <c r="C7" s="19"/>
      <c r="D7" s="21"/>
      <c r="E7" s="27" t="s">
        <v>259</v>
      </c>
      <c r="F7" s="28" t="s">
        <v>260</v>
      </c>
    </row>
    <row r="8" ht="409.5" spans="1:6">
      <c r="A8" s="18"/>
      <c r="B8" s="19">
        <v>2017</v>
      </c>
      <c r="C8" s="19"/>
      <c r="D8" s="21"/>
      <c r="E8" s="27" t="s">
        <v>261</v>
      </c>
      <c r="F8" s="28" t="s">
        <v>262</v>
      </c>
    </row>
    <row r="9" ht="370" spans="1:6">
      <c r="A9" s="18"/>
      <c r="B9" s="19">
        <v>2016</v>
      </c>
      <c r="C9" s="19"/>
      <c r="D9" s="21"/>
      <c r="E9" s="27" t="s">
        <v>263</v>
      </c>
      <c r="F9" s="28" t="s">
        <v>264</v>
      </c>
    </row>
    <row r="10" ht="387" spans="1:6">
      <c r="A10" s="18"/>
      <c r="B10" s="19">
        <v>2015</v>
      </c>
      <c r="C10" s="19"/>
      <c r="D10" s="21"/>
      <c r="E10" s="27" t="s">
        <v>265</v>
      </c>
      <c r="F10" s="28" t="s">
        <v>266</v>
      </c>
    </row>
    <row r="11" ht="404" spans="1:6">
      <c r="A11" s="18"/>
      <c r="B11" s="19">
        <v>2014</v>
      </c>
      <c r="C11" s="19"/>
      <c r="D11" s="21"/>
      <c r="E11" s="27" t="s">
        <v>267</v>
      </c>
      <c r="F11" s="28" t="s">
        <v>268</v>
      </c>
    </row>
    <row r="12" ht="409.5" spans="1:6">
      <c r="A12" s="18"/>
      <c r="B12" s="19">
        <v>2013</v>
      </c>
      <c r="C12" s="19"/>
      <c r="D12" s="21"/>
      <c r="E12" s="27" t="s">
        <v>269</v>
      </c>
      <c r="F12" s="28" t="s">
        <v>270</v>
      </c>
    </row>
    <row r="13" spans="1:6">
      <c r="A13" s="18"/>
      <c r="B13" s="19">
        <v>2012</v>
      </c>
      <c r="C13" s="19"/>
      <c r="D13" s="21"/>
      <c r="F13" s="14"/>
    </row>
    <row r="14" customFormat="1" spans="1:6">
      <c r="A14" s="18" t="s">
        <v>96</v>
      </c>
      <c r="B14" s="19">
        <v>2022</v>
      </c>
      <c r="C14" s="19"/>
      <c r="D14" s="21"/>
      <c r="E14" s="17"/>
      <c r="F14" s="14"/>
    </row>
    <row r="15" customFormat="1" spans="1:6">
      <c r="A15" s="18"/>
      <c r="B15" s="19">
        <v>2021</v>
      </c>
      <c r="C15" s="19"/>
      <c r="D15" s="21"/>
      <c r="E15" s="17"/>
      <c r="F15" s="14"/>
    </row>
    <row r="16" customFormat="1" spans="1:6">
      <c r="A16" s="18"/>
      <c r="B16" s="19">
        <v>2020</v>
      </c>
      <c r="C16" s="19"/>
      <c r="D16" s="21"/>
      <c r="E16" s="17"/>
      <c r="F16" s="14"/>
    </row>
    <row r="17" customFormat="1" spans="1:6">
      <c r="A17" s="18"/>
      <c r="B17" s="19">
        <v>2019</v>
      </c>
      <c r="C17" s="19"/>
      <c r="D17" s="21"/>
      <c r="E17" s="17"/>
      <c r="F17" s="14"/>
    </row>
    <row r="18" customFormat="1" spans="1:6">
      <c r="A18" s="18"/>
      <c r="B18" s="19">
        <v>2018</v>
      </c>
      <c r="C18" s="19"/>
      <c r="D18" s="21"/>
      <c r="E18" s="17"/>
      <c r="F18" s="14"/>
    </row>
    <row r="19" customFormat="1" spans="1:6">
      <c r="A19" s="18"/>
      <c r="B19" s="19">
        <v>2017</v>
      </c>
      <c r="C19" s="19"/>
      <c r="D19" s="21"/>
      <c r="E19" s="17"/>
      <c r="F19" s="14"/>
    </row>
    <row r="20" customFormat="1" spans="1:6">
      <c r="A20" s="18"/>
      <c r="B20" s="19">
        <v>2016</v>
      </c>
      <c r="C20" s="19"/>
      <c r="D20" s="21"/>
      <c r="E20" s="17"/>
      <c r="F20" s="14"/>
    </row>
    <row r="21" customFormat="1" spans="1:6">
      <c r="A21" s="18"/>
      <c r="B21" s="19">
        <v>2015</v>
      </c>
      <c r="C21" s="19"/>
      <c r="D21" s="21"/>
      <c r="E21" s="17"/>
      <c r="F21" s="14"/>
    </row>
    <row r="22" customFormat="1" spans="1:6">
      <c r="A22" s="18"/>
      <c r="B22" s="19">
        <v>2014</v>
      </c>
      <c r="C22" s="19"/>
      <c r="D22" s="21"/>
      <c r="E22" s="17"/>
      <c r="F22" s="14"/>
    </row>
    <row r="23" customFormat="1" spans="1:6">
      <c r="A23" s="18"/>
      <c r="B23" s="19">
        <v>2013</v>
      </c>
      <c r="C23" s="19"/>
      <c r="D23" s="21"/>
      <c r="E23" s="17"/>
      <c r="F23" s="14"/>
    </row>
    <row r="24" customFormat="1" spans="1:6">
      <c r="A24" s="18"/>
      <c r="B24" s="19">
        <v>2012</v>
      </c>
      <c r="C24" s="19"/>
      <c r="D24" s="21"/>
      <c r="E24" s="17"/>
      <c r="F24" s="14"/>
    </row>
    <row r="25" ht="409.5" spans="1:6">
      <c r="A25" s="23" t="s">
        <v>98</v>
      </c>
      <c r="B25" s="19">
        <v>2022</v>
      </c>
      <c r="C25" s="19"/>
      <c r="D25" s="22" t="s">
        <v>271</v>
      </c>
      <c r="F25" s="28" t="s">
        <v>272</v>
      </c>
    </row>
    <row r="26" ht="409.5" spans="1:6">
      <c r="A26" s="24"/>
      <c r="B26" s="19">
        <v>2021</v>
      </c>
      <c r="C26" s="19"/>
      <c r="D26" s="22" t="s">
        <v>273</v>
      </c>
      <c r="F26" s="28" t="s">
        <v>274</v>
      </c>
    </row>
    <row r="27" ht="409.5" spans="1:6">
      <c r="A27" s="24"/>
      <c r="B27" s="19">
        <v>2020</v>
      </c>
      <c r="C27" s="19"/>
      <c r="D27" s="22" t="s">
        <v>275</v>
      </c>
      <c r="F27" s="28" t="s">
        <v>276</v>
      </c>
    </row>
    <row r="28" ht="409.5" spans="1:6">
      <c r="A28" s="24"/>
      <c r="B28" s="19">
        <v>2019</v>
      </c>
      <c r="C28" s="19"/>
      <c r="D28" s="22" t="s">
        <v>275</v>
      </c>
      <c r="F28" s="28" t="s">
        <v>277</v>
      </c>
    </row>
    <row r="29" ht="409.5" spans="1:6">
      <c r="A29" s="24"/>
      <c r="B29" s="19">
        <v>2018</v>
      </c>
      <c r="C29" s="19"/>
      <c r="D29" s="22" t="s">
        <v>275</v>
      </c>
      <c r="F29" s="28" t="s">
        <v>278</v>
      </c>
    </row>
    <row r="30" ht="409.5" spans="1:6">
      <c r="A30" s="24"/>
      <c r="B30" s="19">
        <v>2017</v>
      </c>
      <c r="C30" s="19" t="s">
        <v>279</v>
      </c>
      <c r="D30" s="22" t="s">
        <v>280</v>
      </c>
      <c r="F30" s="28" t="s">
        <v>281</v>
      </c>
    </row>
    <row r="31" ht="409.5" spans="1:6">
      <c r="A31" s="24"/>
      <c r="B31" s="19">
        <v>2016</v>
      </c>
      <c r="C31" s="25" t="s">
        <v>282</v>
      </c>
      <c r="D31" s="22" t="s">
        <v>283</v>
      </c>
      <c r="F31" s="28" t="s">
        <v>284</v>
      </c>
    </row>
    <row r="32" spans="1:6">
      <c r="A32" s="24"/>
      <c r="B32" s="19">
        <v>2015</v>
      </c>
      <c r="C32" s="19"/>
      <c r="D32" s="21"/>
      <c r="F32" s="14"/>
    </row>
    <row r="33" spans="1:6">
      <c r="A33" s="24"/>
      <c r="B33" s="19">
        <v>2014</v>
      </c>
      <c r="C33" s="19"/>
      <c r="D33" s="21"/>
      <c r="F33" s="14"/>
    </row>
    <row r="34" spans="1:6">
      <c r="A34" s="24"/>
      <c r="B34" s="19">
        <v>2013</v>
      </c>
      <c r="C34" s="19"/>
      <c r="D34" s="21"/>
      <c r="F34" s="14"/>
    </row>
    <row r="35" spans="1:6">
      <c r="A35" s="26"/>
      <c r="B35" s="19">
        <v>2012</v>
      </c>
      <c r="C35" s="19"/>
      <c r="D35" s="21"/>
      <c r="F35" s="14"/>
    </row>
    <row r="36" ht="409.5" spans="1:6">
      <c r="A36" s="18" t="s">
        <v>99</v>
      </c>
      <c r="B36" s="19">
        <v>2022</v>
      </c>
      <c r="C36" s="19"/>
      <c r="D36" s="22" t="s">
        <v>285</v>
      </c>
      <c r="F36" s="28" t="s">
        <v>286</v>
      </c>
    </row>
    <row r="37" ht="409.5" spans="1:6">
      <c r="A37" s="18"/>
      <c r="B37" s="19">
        <v>2021</v>
      </c>
      <c r="C37" s="19"/>
      <c r="D37" s="22" t="s">
        <v>287</v>
      </c>
      <c r="F37" s="28" t="s">
        <v>288</v>
      </c>
    </row>
    <row r="38" ht="409.5" spans="1:6">
      <c r="A38" s="18"/>
      <c r="B38" s="19">
        <v>2020</v>
      </c>
      <c r="C38" s="19"/>
      <c r="D38" s="21"/>
      <c r="F38" s="28" t="s">
        <v>289</v>
      </c>
    </row>
    <row r="39" ht="409.5" spans="1:6">
      <c r="A39" s="18"/>
      <c r="B39" s="19">
        <v>2019</v>
      </c>
      <c r="C39" s="19"/>
      <c r="D39" s="21"/>
      <c r="E39" s="27"/>
      <c r="F39" s="28" t="s">
        <v>290</v>
      </c>
    </row>
    <row r="40" spans="1:6">
      <c r="A40" s="18"/>
      <c r="B40" s="19">
        <v>2018</v>
      </c>
      <c r="C40" s="19"/>
      <c r="D40" s="21"/>
      <c r="F40" s="14"/>
    </row>
    <row r="41" spans="1:6">
      <c r="A41" s="18"/>
      <c r="B41" s="19">
        <v>2017</v>
      </c>
      <c r="C41" s="19"/>
      <c r="D41" s="21"/>
      <c r="F41" s="14"/>
    </row>
    <row r="42" spans="1:6">
      <c r="A42" s="18"/>
      <c r="B42" s="19">
        <v>2016</v>
      </c>
      <c r="C42" s="19"/>
      <c r="D42" s="21"/>
      <c r="F42" s="14"/>
    </row>
    <row r="43" spans="1:6">
      <c r="A43" s="18"/>
      <c r="B43" s="19">
        <v>2015</v>
      </c>
      <c r="C43" s="19"/>
      <c r="D43" s="21"/>
      <c r="F43" s="14"/>
    </row>
    <row r="44" spans="1:6">
      <c r="A44" s="18"/>
      <c r="B44" s="19">
        <v>2014</v>
      </c>
      <c r="C44" s="19"/>
      <c r="D44" s="21"/>
      <c r="F44" s="14"/>
    </row>
    <row r="45" spans="1:6">
      <c r="A45" s="18"/>
      <c r="B45" s="19">
        <v>2013</v>
      </c>
      <c r="C45" s="19"/>
      <c r="D45" s="21"/>
      <c r="F45" s="14"/>
    </row>
    <row r="46" spans="1:6">
      <c r="A46" s="18"/>
      <c r="B46" s="19">
        <v>2012</v>
      </c>
      <c r="C46" s="19"/>
      <c r="D46" s="21"/>
      <c r="F46" s="14"/>
    </row>
    <row r="47" spans="1:6">
      <c r="A47" s="23" t="s">
        <v>101</v>
      </c>
      <c r="B47" s="19">
        <v>2022</v>
      </c>
      <c r="C47" s="19"/>
      <c r="D47" s="21"/>
      <c r="F47" s="14"/>
    </row>
    <row r="48" spans="1:6">
      <c r="A48" s="24"/>
      <c r="B48" s="19">
        <v>2021</v>
      </c>
      <c r="C48" s="19"/>
      <c r="D48" s="21"/>
      <c r="F48" s="14"/>
    </row>
    <row r="49" spans="1:6">
      <c r="A49" s="24"/>
      <c r="B49" s="19">
        <v>2020</v>
      </c>
      <c r="C49" s="19"/>
      <c r="D49" s="21"/>
      <c r="F49" s="14"/>
    </row>
    <row r="50" spans="1:6">
      <c r="A50" s="24"/>
      <c r="B50" s="19">
        <v>2019</v>
      </c>
      <c r="C50" s="19"/>
      <c r="D50" s="21"/>
      <c r="F50" s="14"/>
    </row>
    <row r="51" spans="1:6">
      <c r="A51" s="24"/>
      <c r="B51" s="19">
        <v>2018</v>
      </c>
      <c r="C51" s="19"/>
      <c r="D51" s="21"/>
      <c r="F51" s="14"/>
    </row>
    <row r="52" spans="1:6">
      <c r="A52" s="24"/>
      <c r="B52" s="19">
        <v>2017</v>
      </c>
      <c r="C52" s="19"/>
      <c r="D52" s="21"/>
      <c r="F52" s="14"/>
    </row>
    <row r="53" spans="1:6">
      <c r="A53" s="24"/>
      <c r="B53" s="19">
        <v>2016</v>
      </c>
      <c r="C53" s="19"/>
      <c r="D53" s="21"/>
      <c r="F53" s="14"/>
    </row>
    <row r="54" spans="1:6">
      <c r="A54" s="24"/>
      <c r="B54" s="19">
        <v>2015</v>
      </c>
      <c r="C54" s="19"/>
      <c r="D54" s="21"/>
      <c r="F54" s="14"/>
    </row>
    <row r="55" spans="1:6">
      <c r="A55" s="24"/>
      <c r="B55" s="19">
        <v>2014</v>
      </c>
      <c r="C55" s="19"/>
      <c r="D55" s="21"/>
      <c r="F55" s="14"/>
    </row>
    <row r="56" spans="1:6">
      <c r="A56" s="24"/>
      <c r="B56" s="19">
        <v>2013</v>
      </c>
      <c r="C56" s="19"/>
      <c r="D56" s="21"/>
      <c r="F56" s="14"/>
    </row>
    <row r="57" spans="1:6">
      <c r="A57" s="26"/>
      <c r="B57" s="19">
        <v>2012</v>
      </c>
      <c r="C57" s="19"/>
      <c r="D57" s="21"/>
      <c r="F57" s="14"/>
    </row>
    <row r="58" spans="1:6">
      <c r="A58" s="18" t="s">
        <v>100</v>
      </c>
      <c r="B58" s="19">
        <v>2022</v>
      </c>
      <c r="C58" s="19"/>
      <c r="D58" s="21"/>
      <c r="F58" s="14"/>
    </row>
    <row r="59" spans="1:6">
      <c r="A59" s="18"/>
      <c r="B59" s="19">
        <v>2021</v>
      </c>
      <c r="C59" s="19"/>
      <c r="D59" s="21"/>
      <c r="F59" s="14"/>
    </row>
    <row r="60" spans="1:6">
      <c r="A60" s="18"/>
      <c r="B60" s="19">
        <v>2020</v>
      </c>
      <c r="C60" s="19"/>
      <c r="D60" s="21"/>
      <c r="F60" s="14"/>
    </row>
    <row r="61" spans="1:6">
      <c r="A61" s="18"/>
      <c r="B61" s="19">
        <v>2019</v>
      </c>
      <c r="C61" s="19"/>
      <c r="D61" s="21"/>
      <c r="F61" s="14"/>
    </row>
    <row r="62" spans="1:6">
      <c r="A62" s="18"/>
      <c r="B62" s="19">
        <v>2018</v>
      </c>
      <c r="C62" s="19"/>
      <c r="D62" s="21"/>
      <c r="F62" s="14"/>
    </row>
    <row r="63" spans="1:6">
      <c r="A63" s="18"/>
      <c r="B63" s="19">
        <v>2017</v>
      </c>
      <c r="C63" s="19"/>
      <c r="D63" s="21"/>
      <c r="F63" s="14"/>
    </row>
    <row r="64" spans="1:6">
      <c r="A64" s="18"/>
      <c r="B64" s="19">
        <v>2016</v>
      </c>
      <c r="C64" s="19"/>
      <c r="D64" s="21"/>
      <c r="F64" s="14"/>
    </row>
    <row r="65" spans="1:6">
      <c r="A65" s="18"/>
      <c r="B65" s="19">
        <v>2015</v>
      </c>
      <c r="C65" s="19"/>
      <c r="D65" s="21"/>
      <c r="F65" s="14"/>
    </row>
    <row r="66" spans="1:6">
      <c r="A66" s="18"/>
      <c r="B66" s="19">
        <v>2014</v>
      </c>
      <c r="C66" s="19"/>
      <c r="D66" s="21"/>
      <c r="F66" s="14"/>
    </row>
    <row r="67" spans="1:6">
      <c r="A67" s="18"/>
      <c r="B67" s="19">
        <v>2013</v>
      </c>
      <c r="C67" s="19"/>
      <c r="D67" s="21"/>
      <c r="F67" s="14"/>
    </row>
    <row r="68" spans="1:6">
      <c r="A68" s="18"/>
      <c r="B68" s="19">
        <v>2012</v>
      </c>
      <c r="C68" s="19"/>
      <c r="D68" s="21"/>
      <c r="F68" s="14"/>
    </row>
    <row r="69" spans="1:6">
      <c r="A69" s="18" t="s">
        <v>102</v>
      </c>
      <c r="B69" s="19">
        <v>2022</v>
      </c>
      <c r="C69" s="19"/>
      <c r="D69" s="21"/>
      <c r="F69" s="14"/>
    </row>
    <row r="70" spans="1:6">
      <c r="A70" s="18"/>
      <c r="B70" s="19">
        <v>2021</v>
      </c>
      <c r="C70" s="19"/>
      <c r="D70" s="21"/>
      <c r="F70" s="14"/>
    </row>
    <row r="71" spans="1:6">
      <c r="A71" s="18"/>
      <c r="B71" s="19">
        <v>2020</v>
      </c>
      <c r="C71" s="19"/>
      <c r="D71" s="21"/>
      <c r="F71" s="14"/>
    </row>
    <row r="72" spans="1:6">
      <c r="A72" s="18"/>
      <c r="B72" s="19">
        <v>2019</v>
      </c>
      <c r="C72" s="19"/>
      <c r="D72" s="21"/>
      <c r="F72" s="14"/>
    </row>
    <row r="73" spans="1:6">
      <c r="A73" s="18"/>
      <c r="B73" s="19">
        <v>2018</v>
      </c>
      <c r="C73" s="19"/>
      <c r="D73" s="21"/>
      <c r="F73" s="14"/>
    </row>
    <row r="74" spans="1:6">
      <c r="A74" s="18"/>
      <c r="B74" s="19">
        <v>2017</v>
      </c>
      <c r="C74" s="19"/>
      <c r="D74" s="21"/>
      <c r="F74" s="14"/>
    </row>
    <row r="75" spans="1:6">
      <c r="A75" s="18"/>
      <c r="B75" s="19">
        <v>2016</v>
      </c>
      <c r="C75" s="19"/>
      <c r="D75" s="21"/>
      <c r="F75" s="14"/>
    </row>
    <row r="76" spans="1:6">
      <c r="A76" s="18"/>
      <c r="B76" s="19">
        <v>2015</v>
      </c>
      <c r="C76" s="19"/>
      <c r="D76" s="21"/>
      <c r="F76" s="14"/>
    </row>
    <row r="77" spans="1:6">
      <c r="A77" s="18"/>
      <c r="B77" s="19">
        <v>2014</v>
      </c>
      <c r="C77" s="19"/>
      <c r="D77" s="21"/>
      <c r="F77" s="14"/>
    </row>
    <row r="78" spans="1:6">
      <c r="A78" s="18"/>
      <c r="B78" s="19">
        <v>2013</v>
      </c>
      <c r="C78" s="19"/>
      <c r="D78" s="21"/>
      <c r="F78" s="14"/>
    </row>
    <row r="79" spans="1:6">
      <c r="A79" s="18"/>
      <c r="B79" s="19">
        <v>2012</v>
      </c>
      <c r="C79" s="19"/>
      <c r="D79" s="21"/>
      <c r="F79" s="14"/>
    </row>
    <row r="80" spans="1:6">
      <c r="A80" s="18" t="s">
        <v>103</v>
      </c>
      <c r="B80" s="19">
        <v>2022</v>
      </c>
      <c r="C80" s="19"/>
      <c r="D80" s="21"/>
      <c r="F80" s="14"/>
    </row>
    <row r="81" spans="1:6">
      <c r="A81" s="18"/>
      <c r="B81" s="19">
        <v>2021</v>
      </c>
      <c r="C81" s="19"/>
      <c r="D81" s="21"/>
      <c r="F81" s="14"/>
    </row>
    <row r="82" spans="1:6">
      <c r="A82" s="18"/>
      <c r="B82" s="19">
        <v>2020</v>
      </c>
      <c r="C82" s="19"/>
      <c r="D82" s="21"/>
      <c r="F82" s="14"/>
    </row>
    <row r="83" spans="1:6">
      <c r="A83" s="18"/>
      <c r="B83" s="19">
        <v>2019</v>
      </c>
      <c r="C83" s="19"/>
      <c r="D83" s="21"/>
      <c r="F83" s="14"/>
    </row>
    <row r="84" spans="1:6">
      <c r="A84" s="18"/>
      <c r="B84" s="19">
        <v>2018</v>
      </c>
      <c r="C84" s="19"/>
      <c r="D84" s="21"/>
      <c r="F84" s="14"/>
    </row>
    <row r="85" spans="1:6">
      <c r="A85" s="18"/>
      <c r="B85" s="19">
        <v>2017</v>
      </c>
      <c r="C85" s="19"/>
      <c r="D85" s="21"/>
      <c r="F85" s="14"/>
    </row>
    <row r="86" spans="1:6">
      <c r="A86" s="18"/>
      <c r="B86" s="19">
        <v>2016</v>
      </c>
      <c r="C86" s="19"/>
      <c r="D86" s="21"/>
      <c r="F86" s="14"/>
    </row>
    <row r="87" spans="1:6">
      <c r="A87" s="18"/>
      <c r="B87" s="19">
        <v>2015</v>
      </c>
      <c r="C87" s="19"/>
      <c r="D87" s="21"/>
      <c r="F87" s="14"/>
    </row>
    <row r="88" spans="1:6">
      <c r="A88" s="18"/>
      <c r="B88" s="19">
        <v>2014</v>
      </c>
      <c r="C88" s="19"/>
      <c r="D88" s="21"/>
      <c r="F88" s="14"/>
    </row>
    <row r="89" spans="1:6">
      <c r="A89" s="18"/>
      <c r="B89" s="19">
        <v>2013</v>
      </c>
      <c r="C89" s="19"/>
      <c r="D89" s="21"/>
      <c r="F89" s="14"/>
    </row>
    <row r="90" spans="1:6">
      <c r="A90" s="18"/>
      <c r="B90" s="19">
        <v>2012</v>
      </c>
      <c r="C90" s="19"/>
      <c r="D90" s="21"/>
      <c r="F90" s="14"/>
    </row>
    <row r="91" spans="1:6">
      <c r="A91" s="18" t="s">
        <v>104</v>
      </c>
      <c r="B91" s="19">
        <v>2022</v>
      </c>
      <c r="C91" s="19"/>
      <c r="D91" s="21"/>
      <c r="F91" s="14"/>
    </row>
    <row r="92" spans="1:6">
      <c r="A92" s="18"/>
      <c r="B92" s="19">
        <v>2021</v>
      </c>
      <c r="C92" s="19"/>
      <c r="D92" s="21"/>
      <c r="F92" s="14"/>
    </row>
    <row r="93" spans="1:6">
      <c r="A93" s="18"/>
      <c r="B93" s="19">
        <v>2020</v>
      </c>
      <c r="C93" s="19"/>
      <c r="D93" s="21"/>
      <c r="F93" s="14"/>
    </row>
    <row r="94" spans="1:6">
      <c r="A94" s="18"/>
      <c r="B94" s="19">
        <v>2019</v>
      </c>
      <c r="C94" s="19"/>
      <c r="D94" s="21"/>
      <c r="F94" s="14"/>
    </row>
    <row r="95" spans="1:6">
      <c r="A95" s="18"/>
      <c r="B95" s="19">
        <v>2018</v>
      </c>
      <c r="C95" s="19"/>
      <c r="D95" s="21"/>
      <c r="F95" s="14"/>
    </row>
    <row r="96" spans="1:6">
      <c r="A96" s="18"/>
      <c r="B96" s="19">
        <v>2017</v>
      </c>
      <c r="C96" s="19"/>
      <c r="D96" s="21"/>
      <c r="F96" s="14"/>
    </row>
    <row r="97" spans="1:6">
      <c r="A97" s="18"/>
      <c r="B97" s="19">
        <v>2016</v>
      </c>
      <c r="C97" s="19"/>
      <c r="D97" s="21"/>
      <c r="F97" s="14"/>
    </row>
    <row r="98" spans="1:6">
      <c r="A98" s="18"/>
      <c r="B98" s="19">
        <v>2015</v>
      </c>
      <c r="C98" s="19"/>
      <c r="D98" s="21"/>
      <c r="F98" s="14"/>
    </row>
    <row r="99" spans="1:6">
      <c r="A99" s="18"/>
      <c r="B99" s="19">
        <v>2014</v>
      </c>
      <c r="C99" s="19"/>
      <c r="D99" s="21"/>
      <c r="F99" s="14"/>
    </row>
    <row r="100" spans="1:6">
      <c r="A100" s="18"/>
      <c r="B100" s="19">
        <v>2013</v>
      </c>
      <c r="C100" s="19"/>
      <c r="D100" s="21"/>
      <c r="F100" s="14"/>
    </row>
    <row r="101" spans="1:6">
      <c r="A101" s="18"/>
      <c r="B101" s="19">
        <v>2012</v>
      </c>
      <c r="C101" s="19"/>
      <c r="D101" s="21"/>
      <c r="F101" s="14"/>
    </row>
    <row r="102" spans="5:5">
      <c r="E102" s="29"/>
    </row>
  </sheetData>
  <mergeCells count="14">
    <mergeCell ref="C1:D1"/>
    <mergeCell ref="E1:F1"/>
    <mergeCell ref="A1:A2"/>
    <mergeCell ref="A3:A13"/>
    <mergeCell ref="A14:A24"/>
    <mergeCell ref="A25:A35"/>
    <mergeCell ref="A36:A46"/>
    <mergeCell ref="A47:A57"/>
    <mergeCell ref="A58:A68"/>
    <mergeCell ref="A69:A79"/>
    <mergeCell ref="A80:A90"/>
    <mergeCell ref="A91:A101"/>
    <mergeCell ref="B1:B2"/>
    <mergeCell ref="G1:G2"/>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
  <sheetViews>
    <sheetView topLeftCell="E1" workbookViewId="0">
      <selection activeCell="K26" sqref="K26"/>
    </sheetView>
  </sheetViews>
  <sheetFormatPr defaultColWidth="9.23076923076923" defaultRowHeight="16.8" outlineLevelRow="2"/>
  <cols>
    <col min="1" max="4" width="9.23076923076923" style="13"/>
    <col min="5" max="5" width="17.6153846153846" style="13" customWidth="1"/>
    <col min="6" max="9" width="12.7692307692308" style="13" customWidth="1"/>
    <col min="10" max="11" width="10.3076923076923" style="13" customWidth="1"/>
    <col min="12" max="12" width="9.23076923076923" style="13"/>
    <col min="13" max="13" width="10.3076923076923" style="14" customWidth="1"/>
    <col min="14" max="14" width="10.3076923076923" style="13" customWidth="1"/>
    <col min="15" max="15" width="14.7403846153846" style="13" customWidth="1"/>
  </cols>
  <sheetData>
    <row r="1" spans="1:14">
      <c r="A1" s="13" t="s">
        <v>0</v>
      </c>
      <c r="B1" s="13" t="s">
        <v>1</v>
      </c>
      <c r="C1" s="13" t="s">
        <v>291</v>
      </c>
      <c r="D1" s="13" t="s">
        <v>292</v>
      </c>
      <c r="E1" s="13" t="s">
        <v>293</v>
      </c>
      <c r="I1" s="13" t="s">
        <v>294</v>
      </c>
      <c r="L1" s="13" t="s">
        <v>295</v>
      </c>
      <c r="M1" s="13" t="s">
        <v>296</v>
      </c>
      <c r="N1" s="13" t="s">
        <v>297</v>
      </c>
    </row>
    <row r="2" spans="5:15">
      <c r="E2" s="13" t="s">
        <v>298</v>
      </c>
      <c r="F2" s="13" t="s">
        <v>299</v>
      </c>
      <c r="G2" s="13" t="s">
        <v>300</v>
      </c>
      <c r="H2" s="13" t="s">
        <v>301</v>
      </c>
      <c r="I2" s="13" t="s">
        <v>302</v>
      </c>
      <c r="J2" s="13" t="s">
        <v>303</v>
      </c>
      <c r="K2" s="13" t="s">
        <v>304</v>
      </c>
      <c r="M2" s="13"/>
      <c r="N2" s="13" t="s">
        <v>305</v>
      </c>
      <c r="O2" s="13" t="s">
        <v>306</v>
      </c>
    </row>
    <row r="3" spans="1:1">
      <c r="A3" s="13" t="s">
        <v>85</v>
      </c>
    </row>
  </sheetData>
  <mergeCells count="9">
    <mergeCell ref="E1:H1"/>
    <mergeCell ref="I1:K1"/>
    <mergeCell ref="N1:O1"/>
    <mergeCell ref="A1:A2"/>
    <mergeCell ref="B1:B2"/>
    <mergeCell ref="C1:C2"/>
    <mergeCell ref="D1:D2"/>
    <mergeCell ref="L1:L2"/>
    <mergeCell ref="M1:M2"/>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
  <sheetViews>
    <sheetView workbookViewId="0">
      <selection activeCell="F2" sqref="F2"/>
    </sheetView>
  </sheetViews>
  <sheetFormatPr defaultColWidth="9.23076923076923" defaultRowHeight="16.8" outlineLevelRow="2" outlineLevelCol="6"/>
  <cols>
    <col min="1" max="1" width="41.8461538461538" style="11" customWidth="1"/>
    <col min="2" max="2" width="20.0288461538462" style="11" customWidth="1"/>
    <col min="3" max="3" width="20" style="11" customWidth="1"/>
    <col min="4" max="4" width="39.3846153846154" style="11" customWidth="1"/>
    <col min="5" max="5" width="9.23076923076923" style="11"/>
    <col min="6" max="6" width="32.1538461538462" style="11" customWidth="1"/>
    <col min="7" max="7" width="68.1538461538462" customWidth="1"/>
  </cols>
  <sheetData>
    <row r="1" spans="1:7">
      <c r="A1" s="11" t="s">
        <v>307</v>
      </c>
      <c r="B1" s="11" t="s">
        <v>308</v>
      </c>
      <c r="C1" s="11" t="s">
        <v>309</v>
      </c>
      <c r="D1" s="11" t="s">
        <v>310</v>
      </c>
      <c r="E1" s="11" t="s">
        <v>311</v>
      </c>
      <c r="F1" s="11" t="s">
        <v>312</v>
      </c>
      <c r="G1" t="s">
        <v>313</v>
      </c>
    </row>
    <row r="2" ht="101" spans="1:7">
      <c r="A2" s="11" t="s">
        <v>314</v>
      </c>
      <c r="B2" s="12" t="s">
        <v>315</v>
      </c>
      <c r="C2" s="12" t="s">
        <v>316</v>
      </c>
      <c r="D2" s="11" t="s">
        <v>317</v>
      </c>
      <c r="G2" t="s">
        <v>318</v>
      </c>
    </row>
    <row r="3" spans="7:7">
      <c r="G3" t="s">
        <v>319</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2"/>
  <sheetViews>
    <sheetView workbookViewId="0">
      <selection activeCell="G15" sqref="G15"/>
    </sheetView>
  </sheetViews>
  <sheetFormatPr defaultColWidth="9.23076923076923" defaultRowHeight="16.8"/>
  <cols>
    <col min="1" max="1" width="9.23076923076923" style="4"/>
    <col min="2" max="5" width="22.4615384615385" style="4" customWidth="1"/>
    <col min="6" max="6" width="9.23076923076923" style="1"/>
  </cols>
  <sheetData>
    <row r="1" spans="1:15">
      <c r="A1" s="5" t="s">
        <v>320</v>
      </c>
      <c r="F1" s="4"/>
      <c r="G1" s="7"/>
      <c r="H1" s="7"/>
      <c r="I1" s="7"/>
      <c r="J1" s="7"/>
      <c r="K1" s="7"/>
      <c r="L1" s="7"/>
      <c r="M1" s="7"/>
      <c r="N1" s="7"/>
      <c r="O1" s="7"/>
    </row>
    <row r="2" spans="1:6">
      <c r="A2" s="6" t="s">
        <v>1</v>
      </c>
      <c r="B2" s="6" t="s">
        <v>321</v>
      </c>
      <c r="C2" s="6" t="s">
        <v>322</v>
      </c>
      <c r="D2" s="6" t="s">
        <v>323</v>
      </c>
      <c r="E2" s="6" t="s">
        <v>324</v>
      </c>
      <c r="F2" s="6"/>
    </row>
    <row r="3" ht="17" spans="1:6">
      <c r="A3" s="6">
        <v>2022</v>
      </c>
      <c r="B3" s="6"/>
      <c r="C3" s="6"/>
      <c r="D3" s="6"/>
      <c r="E3" s="8" t="s">
        <v>325</v>
      </c>
      <c r="F3" s="9" t="s">
        <v>326</v>
      </c>
    </row>
    <row r="4" spans="1:6">
      <c r="A4" s="6">
        <v>2021</v>
      </c>
      <c r="B4" s="6"/>
      <c r="C4" s="6"/>
      <c r="D4" s="6"/>
      <c r="E4" s="10">
        <v>44645</v>
      </c>
      <c r="F4" s="9" t="s">
        <v>327</v>
      </c>
    </row>
    <row r="5" spans="1:6">
      <c r="A5" s="6">
        <v>2020</v>
      </c>
      <c r="B5" s="6"/>
      <c r="C5" s="6"/>
      <c r="D5" s="6"/>
      <c r="E5" s="10">
        <v>44286</v>
      </c>
      <c r="F5" s="9" t="s">
        <v>326</v>
      </c>
    </row>
    <row r="6" spans="1:6">
      <c r="A6" s="6">
        <v>2019</v>
      </c>
      <c r="B6" s="6"/>
      <c r="C6" s="6"/>
      <c r="D6" s="6"/>
      <c r="E6" s="10">
        <v>43916</v>
      </c>
      <c r="F6" s="9" t="s">
        <v>328</v>
      </c>
    </row>
    <row r="7" spans="1:6">
      <c r="A7" s="6">
        <v>2018</v>
      </c>
      <c r="B7" s="6"/>
      <c r="C7" s="6"/>
      <c r="D7" s="6"/>
      <c r="E7" s="10">
        <v>43550</v>
      </c>
      <c r="F7" s="9" t="s">
        <v>329</v>
      </c>
    </row>
    <row r="8" ht="17" spans="1:6">
      <c r="A8" s="6">
        <v>2017</v>
      </c>
      <c r="B8" s="6"/>
      <c r="C8" s="6"/>
      <c r="D8" s="6"/>
      <c r="E8" s="8" t="s">
        <v>330</v>
      </c>
      <c r="F8" s="9" t="s">
        <v>331</v>
      </c>
    </row>
    <row r="9" spans="1:6">
      <c r="A9" s="6">
        <v>2016</v>
      </c>
      <c r="B9" s="6"/>
      <c r="C9" s="6"/>
      <c r="D9" s="6"/>
      <c r="E9" s="10">
        <v>42817</v>
      </c>
      <c r="F9" s="9" t="s">
        <v>328</v>
      </c>
    </row>
    <row r="10" spans="1:6">
      <c r="A10" s="6">
        <v>2015</v>
      </c>
      <c r="B10" s="6"/>
      <c r="C10" s="6"/>
      <c r="D10" s="6"/>
      <c r="E10" s="10">
        <v>42439</v>
      </c>
      <c r="F10" s="9" t="s">
        <v>328</v>
      </c>
    </row>
    <row r="11" spans="1:6">
      <c r="A11" s="6">
        <v>2014</v>
      </c>
      <c r="B11" s="6"/>
      <c r="C11" s="6"/>
      <c r="D11" s="6"/>
      <c r="E11" s="10">
        <v>42073</v>
      </c>
      <c r="F11" s="9" t="s">
        <v>329</v>
      </c>
    </row>
    <row r="12" spans="1:6">
      <c r="A12" s="6">
        <v>2013</v>
      </c>
      <c r="B12" s="6"/>
      <c r="C12" s="6"/>
      <c r="D12" s="6"/>
      <c r="E12" s="10">
        <v>41723</v>
      </c>
      <c r="F12" s="9" t="s">
        <v>329</v>
      </c>
    </row>
  </sheetData>
  <mergeCells count="2">
    <mergeCell ref="A1:F1"/>
    <mergeCell ref="E2:F2"/>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workbookViewId="0">
      <selection activeCell="B7" sqref="B7"/>
    </sheetView>
  </sheetViews>
  <sheetFormatPr defaultColWidth="9.23076923076923" defaultRowHeight="16.8" outlineLevelRow="6" outlineLevelCol="3"/>
  <cols>
    <col min="1" max="1" width="9.23076923076923" style="1"/>
    <col min="2" max="2" width="12.7692307692308" style="1" customWidth="1"/>
    <col min="3" max="3" width="10.3076923076923" style="1" customWidth="1"/>
    <col min="4" max="4" width="9.23076923076923" style="1"/>
  </cols>
  <sheetData>
    <row r="1" spans="1:4">
      <c r="A1" s="1" t="s">
        <v>1</v>
      </c>
      <c r="B1" s="1" t="s">
        <v>332</v>
      </c>
      <c r="C1" s="1" t="s">
        <v>333</v>
      </c>
      <c r="D1" s="1" t="s">
        <v>334</v>
      </c>
    </row>
    <row r="2" spans="1:1">
      <c r="A2" s="1">
        <v>2022</v>
      </c>
    </row>
  </sheetData>
  <mergeCells count="1">
    <mergeCell ref="A2:A7"/>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
  <sheetViews>
    <sheetView workbookViewId="0">
      <selection activeCell="D1" sqref="D1"/>
    </sheetView>
  </sheetViews>
  <sheetFormatPr defaultColWidth="9.23076923076923" defaultRowHeight="16.8" outlineLevelCol="6"/>
  <cols>
    <col min="1" max="1" width="32.1538461538462" style="1" customWidth="1"/>
    <col min="2" max="2" width="17.6153846153846" style="1" customWidth="1"/>
    <col min="3" max="3" width="10.3076923076923" style="1" customWidth="1"/>
    <col min="4" max="4" width="24.8461538461538" style="1" customWidth="1"/>
    <col min="5" max="5" width="12.7692307692308" style="1" customWidth="1"/>
    <col min="6" max="6" width="24.8461538461538" style="1" customWidth="1"/>
    <col min="7" max="7" width="17.6153846153846" style="1" customWidth="1"/>
  </cols>
  <sheetData>
    <row r="1" ht="17" spans="1:7">
      <c r="A1" s="1" t="s">
        <v>335</v>
      </c>
      <c r="B1" s="2" t="s">
        <v>336</v>
      </c>
      <c r="C1" s="1" t="s">
        <v>337</v>
      </c>
      <c r="D1" s="1" t="s">
        <v>338</v>
      </c>
      <c r="E1" s="3" t="s">
        <v>339</v>
      </c>
      <c r="F1" s="1" t="s">
        <v>340</v>
      </c>
      <c r="G1" s="2" t="s">
        <v>341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10</vt:i4>
      </vt:variant>
    </vt:vector>
  </HeadingPairs>
  <TitlesOfParts>
    <vt:vector size="10" baseType="lpstr">
      <vt:lpstr>资产表分析</vt:lpstr>
      <vt:lpstr>利润表分析</vt:lpstr>
      <vt:lpstr>利润分配情况</vt:lpstr>
      <vt:lpstr>收购情况</vt:lpstr>
      <vt:lpstr>经营政策和竞争优势分析</vt:lpstr>
      <vt:lpstr>企业管理</vt:lpstr>
      <vt:lpstr>经营模式</vt:lpstr>
      <vt:lpstr>财务报告的完整性和公平性</vt:lpstr>
      <vt:lpstr>董事会成员构成及持股情况</vt:lpstr>
      <vt:lpstr>经营原则</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冬阳</cp:lastModifiedBy>
  <dcterms:created xsi:type="dcterms:W3CDTF">2023-05-11T17:56:00Z</dcterms:created>
  <dcterms:modified xsi:type="dcterms:W3CDTF">2023-08-13T08:39:57Z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BD49586A69B041EAA06F4AF0CA1C4894_11</vt:lpwstr>
  </property>
  <property fmtid="{D5CDD505-2E9C-101B-9397-08002B2CF9AE}" pid="3" name="KSOProductBuildVer">
    <vt:lpwstr>2052-5.1.1.7662</vt:lpwstr>
  </property>
</Properties>
</file>