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<sst xmlns="http://schemas.openxmlformats.org/spreadsheetml/2006/main" count="127">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</sst>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0.00_ "/>
    <numFmt numFmtId="178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);[Red]\(0.00\)"/>
    <numFmt numFmtId="41" formatCode="_ * #,##0_ ;_ * \-#,##0_ ;_ * &quot;-&quot;_ ;_ @_ "/>
    <numFmt numFmtId="180" formatCode="0_);\(0\)"/>
    <numFmt numFmtId="181" formatCode="#\ ?/?"/>
    <numFmt numFmtId="43" formatCode="_ * #,##0.00_ ;_ * \-#,##0.00_ ;_ * &quot;-&quot;??_ ;_ @_ "/>
  </numFmts>
  <fonts count="4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3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9" fillId="34" borderId="8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6" fillId="17" borderId="8" applyNumberForma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7" fillId="31" borderId="10" applyNumberFormat="0" applyAlignment="0" applyProtection="0">
      <alignment vertical="center"/>
    </xf>
    <xf numFmtId="0" fontId="33" fillId="17" borderId="7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1" fillId="26" borderId="9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</cellStyleXfs>
  <cellXfs count="13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1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18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9" fontId="14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9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20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1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  <c:pt idx="6">
                        <c:v>2004.7038</c:v>
                      </c:pt>
                      <c:pt idx="7">
                        <c:v>1988.24</c:v>
                      </c:pt>
                      <c:pt idx="8">
                        <c:v>1999.2232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2000</c:v>
                </c:pt>
                <c:pt idx="1">
                  <c:v>1997.6154</c:v>
                </c:pt>
                <c:pt idx="2">
                  <c:v>1996.2508</c:v>
                </c:pt>
                <c:pt idx="3">
                  <c:v>1996.1606</c:v>
                </c:pt>
                <c:pt idx="4">
                  <c:v>1996.6204</c:v>
                </c:pt>
                <c:pt idx="5">
                  <c:v>2005.9</c:v>
                </c:pt>
                <c:pt idx="6">
                  <c:v>2004.7038</c:v>
                </c:pt>
                <c:pt idx="7">
                  <c:v>1988.24</c:v>
                </c:pt>
                <c:pt idx="8">
                  <c:v>1999.2232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5"/>
  <sheetViews>
    <sheetView workbookViewId="0">
      <pane xSplit="4" ySplit="3" topLeftCell="Q11" activePane="bottomRight" state="frozen"/>
      <selection/>
      <selection pane="topRight"/>
      <selection pane="bottomLeft"/>
      <selection pane="bottomRight" activeCell="S24" sqref="S24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100"/>
      <c r="Y1" s="100"/>
      <c r="Z1" s="83"/>
      <c r="AA1" s="83"/>
      <c r="AB1" s="83"/>
      <c r="AC1" s="83"/>
      <c r="AD1" s="111"/>
      <c r="AE1" s="111"/>
      <c r="AF1" s="112"/>
      <c r="AG1" s="112"/>
      <c r="AH1" s="121"/>
      <c r="AI1" s="121"/>
      <c r="AJ1" s="121"/>
      <c r="AK1" s="121"/>
      <c r="AL1" s="121"/>
      <c r="AM1" s="121"/>
      <c r="AN1" s="121"/>
      <c r="AO1" s="121"/>
      <c r="AQ1" s="134"/>
      <c r="AR1" s="134"/>
      <c r="AS1" s="134"/>
      <c r="AT1" s="134"/>
      <c r="AU1" s="134"/>
      <c r="AV1" s="134"/>
      <c r="AW1" s="134"/>
      <c r="AX1" s="134"/>
      <c r="AZ1" s="134"/>
      <c r="BA1" s="134"/>
      <c r="BB1" s="134"/>
      <c r="BC1" s="134"/>
      <c r="BD1" s="134"/>
      <c r="BE1" s="134"/>
      <c r="BF1" s="134"/>
      <c r="BH1" s="134"/>
      <c r="BI1" s="134"/>
      <c r="BJ1" s="134"/>
      <c r="BK1" s="134"/>
      <c r="BL1" s="134"/>
      <c r="BM1" s="134"/>
      <c r="BN1" s="134"/>
      <c r="BP1" s="134"/>
      <c r="BQ1" s="134"/>
      <c r="BR1" s="134"/>
      <c r="BS1" s="134"/>
      <c r="BT1" s="134"/>
      <c r="BU1" s="134"/>
      <c r="BV1" s="134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1" t="s">
        <v>22</v>
      </c>
      <c r="X2" s="101"/>
      <c r="Y2" s="101"/>
      <c r="Z2" s="86" t="s">
        <v>23</v>
      </c>
      <c r="AA2" s="86" t="s">
        <v>24</v>
      </c>
      <c r="AB2" s="86" t="s">
        <v>25</v>
      </c>
      <c r="AC2" s="86" t="s">
        <v>26</v>
      </c>
      <c r="AD2" s="111"/>
      <c r="AE2" s="111" t="s">
        <v>27</v>
      </c>
      <c r="AF2" s="111"/>
      <c r="AG2" s="113" t="s">
        <v>28</v>
      </c>
      <c r="AH2" s="121"/>
      <c r="AI2" s="121"/>
      <c r="AJ2" s="121"/>
      <c r="AK2" s="121"/>
      <c r="AL2" s="121"/>
      <c r="AM2" s="121"/>
      <c r="AN2" s="121"/>
      <c r="AO2" s="121"/>
      <c r="AQ2" s="134"/>
      <c r="AR2" s="134"/>
      <c r="AS2" s="134"/>
      <c r="AT2" s="134"/>
      <c r="AU2" s="134"/>
      <c r="AV2" s="134"/>
      <c r="AW2" s="134"/>
      <c r="AX2" s="134"/>
      <c r="AZ2" s="134"/>
      <c r="BA2" s="134"/>
      <c r="BB2" s="134"/>
      <c r="BC2" s="134"/>
      <c r="BD2" s="134"/>
      <c r="BE2" s="134"/>
      <c r="BF2" s="134"/>
      <c r="BH2" s="134"/>
      <c r="BI2" s="134"/>
      <c r="BJ2" s="134"/>
      <c r="BK2" s="134"/>
      <c r="BL2" s="134"/>
      <c r="BM2" s="134"/>
      <c r="BN2" s="134"/>
      <c r="BP2" s="134"/>
      <c r="BQ2" s="134"/>
      <c r="BR2" s="134"/>
      <c r="BS2" s="134"/>
      <c r="BT2" s="134"/>
      <c r="BU2" s="134"/>
      <c r="BV2" s="134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2"/>
      <c r="V3" s="86"/>
      <c r="W3" s="86" t="s">
        <v>34</v>
      </c>
      <c r="X3" s="101" t="s">
        <v>35</v>
      </c>
      <c r="Y3" s="101" t="s">
        <v>36</v>
      </c>
      <c r="Z3" s="102"/>
      <c r="AA3" s="86"/>
      <c r="AB3" s="86"/>
      <c r="AC3" s="102"/>
      <c r="AD3" s="111" t="s">
        <v>37</v>
      </c>
      <c r="AE3" s="111" t="s">
        <v>38</v>
      </c>
      <c r="AF3" s="113" t="s">
        <v>39</v>
      </c>
      <c r="AG3" s="122"/>
      <c r="AH3" s="121"/>
      <c r="AI3" s="121"/>
      <c r="AJ3" s="121"/>
      <c r="AK3" s="121"/>
      <c r="AL3" s="121"/>
      <c r="AM3" s="121"/>
      <c r="AN3" s="121"/>
      <c r="AO3" s="121"/>
      <c r="AQ3" s="134"/>
      <c r="AR3" s="134"/>
      <c r="AS3" s="134"/>
      <c r="AT3" s="134"/>
      <c r="AU3" s="134"/>
      <c r="AV3" s="134"/>
      <c r="AW3" s="134"/>
      <c r="AX3" s="134"/>
      <c r="AZ3" s="134"/>
      <c r="BA3" s="134"/>
      <c r="BB3" s="134"/>
      <c r="BC3" s="134"/>
      <c r="BD3" s="134"/>
      <c r="BE3" s="134"/>
      <c r="BF3" s="134"/>
      <c r="BH3" s="134"/>
      <c r="BI3" s="134"/>
      <c r="BJ3" s="134"/>
      <c r="BK3" s="134"/>
      <c r="BL3" s="134"/>
      <c r="BM3" s="134"/>
      <c r="BN3" s="134"/>
      <c r="BP3" s="134"/>
      <c r="BQ3" s="134"/>
      <c r="BR3" s="134"/>
      <c r="BS3" s="134"/>
      <c r="BT3" s="134"/>
      <c r="BU3" s="134"/>
      <c r="BV3" s="134"/>
    </row>
    <row r="4" s="29" customFormat="1" ht="23.6" spans="1:74">
      <c r="A4" s="39" t="s">
        <v>40</v>
      </c>
      <c r="B4" s="39" t="s">
        <v>41</v>
      </c>
      <c r="C4" s="136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3">
        <v>24.89</v>
      </c>
      <c r="V4" s="104">
        <v>100</v>
      </c>
      <c r="W4" s="103">
        <v>5</v>
      </c>
      <c r="X4" s="105">
        <f>U4*V4*0.001</f>
        <v>2.489</v>
      </c>
      <c r="Y4" s="105">
        <v>0</v>
      </c>
      <c r="Z4" s="110">
        <f>U4*V4-W4-X4-Y4</f>
        <v>2481.511</v>
      </c>
      <c r="AA4" s="104">
        <v>27.43</v>
      </c>
      <c r="AB4" s="104">
        <v>24.74</v>
      </c>
      <c r="AC4" s="114">
        <f>(U4-AB4)/(AA4-AB4)</f>
        <v>0.0557620817843874</v>
      </c>
      <c r="AD4" s="115">
        <f>Z4+Z5-J4</f>
        <v>-1.25900000000001</v>
      </c>
      <c r="AE4" s="115">
        <f>F4</f>
        <v>26.2</v>
      </c>
      <c r="AF4" s="116">
        <f>(U4+U5)/2</f>
        <v>26.295</v>
      </c>
      <c r="AG4" s="123" t="s">
        <v>44</v>
      </c>
      <c r="AH4" s="124"/>
      <c r="AI4" s="125"/>
      <c r="AJ4" s="125"/>
      <c r="AK4" s="125"/>
      <c r="AL4" s="125"/>
      <c r="AM4" s="125"/>
      <c r="AN4" s="125"/>
      <c r="AO4" s="125"/>
      <c r="AQ4" s="135"/>
      <c r="AR4" s="135"/>
      <c r="AS4" s="135"/>
      <c r="AT4" s="135"/>
      <c r="AU4" s="135"/>
      <c r="AV4" s="135"/>
      <c r="AW4" s="135"/>
      <c r="AX4" s="135"/>
      <c r="AZ4" s="135"/>
      <c r="BA4" s="135"/>
      <c r="BB4" s="135"/>
      <c r="BC4" s="135"/>
      <c r="BD4" s="135"/>
      <c r="BE4" s="135"/>
      <c r="BF4" s="135"/>
      <c r="BH4" s="135"/>
      <c r="BI4" s="135"/>
      <c r="BJ4" s="135"/>
      <c r="BK4" s="135"/>
      <c r="BL4" s="135"/>
      <c r="BM4" s="135"/>
      <c r="BN4" s="135"/>
      <c r="BP4" s="135"/>
      <c r="BQ4" s="135"/>
      <c r="BR4" s="135"/>
      <c r="BS4" s="135"/>
      <c r="BT4" s="135"/>
      <c r="BU4" s="135"/>
      <c r="BV4" s="135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5">
        <f>U5*V5*0.001</f>
        <v>2.77</v>
      </c>
      <c r="Y5" s="105">
        <v>0</v>
      </c>
      <c r="Z5" s="110">
        <f>U5*V5-W5-X5-Y5</f>
        <v>2762.23</v>
      </c>
      <c r="AA5" s="39">
        <v>28.7</v>
      </c>
      <c r="AB5" s="39">
        <v>27.5</v>
      </c>
      <c r="AC5" s="114">
        <f>(U5-AB5)/(AA5-AB5)</f>
        <v>0.166666666666666</v>
      </c>
      <c r="AD5" s="115"/>
      <c r="AE5" s="115"/>
      <c r="AF5" s="116"/>
      <c r="AG5" s="123"/>
      <c r="AH5" s="126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5">
        <f>U6*V6*0.001</f>
        <v>0</v>
      </c>
      <c r="Y6" s="105">
        <f>U6*V6*0.0002</f>
        <v>0</v>
      </c>
      <c r="Z6" s="110">
        <f>U6*V6-W6-X6-Y6</f>
        <v>0</v>
      </c>
      <c r="AA6" s="41"/>
      <c r="AB6" s="41"/>
      <c r="AC6" s="114"/>
      <c r="AD6" s="93">
        <v>0</v>
      </c>
      <c r="AE6" s="93"/>
      <c r="AF6" s="117"/>
      <c r="AG6" s="127"/>
      <c r="AH6" s="128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6">
        <v>37.75</v>
      </c>
      <c r="V7" s="41">
        <v>100</v>
      </c>
      <c r="W7" s="41">
        <v>5</v>
      </c>
      <c r="X7" s="105">
        <f t="shared" ref="X7:X23" si="3">U7*V7*0.001</f>
        <v>3.775</v>
      </c>
      <c r="Y7" s="105">
        <f>U7*V7*0.00002</f>
        <v>0.0755</v>
      </c>
      <c r="Z7" s="110">
        <f t="shared" ref="Z7:Z23" si="4">U7*V7-W7-X7-Y7</f>
        <v>3766.1495</v>
      </c>
      <c r="AA7" s="41">
        <v>38.83</v>
      </c>
      <c r="AB7" s="41">
        <v>36.3</v>
      </c>
      <c r="AC7" s="114">
        <f t="shared" ref="AC7:AC16" si="5">(U7-AB7)/(AA7-AB7)</f>
        <v>0.57312252964427</v>
      </c>
      <c r="AD7" s="97">
        <f>Z7-J7</f>
        <v>491.0841</v>
      </c>
      <c r="AE7" s="118">
        <f>F7</f>
        <v>32.7</v>
      </c>
      <c r="AF7" s="119">
        <f>U7</f>
        <v>37.75</v>
      </c>
      <c r="AG7" s="127"/>
      <c r="AH7" s="128"/>
    </row>
    <row r="8" s="29" customFormat="1" ht="72" spans="1:34">
      <c r="A8" s="39" t="s">
        <v>52</v>
      </c>
      <c r="B8" s="41" t="s">
        <v>53</v>
      </c>
      <c r="C8" s="137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5">
        <f t="shared" si="3"/>
        <v>7.245</v>
      </c>
      <c r="Y8" s="105">
        <v>0</v>
      </c>
      <c r="Z8" s="110">
        <f t="shared" si="4"/>
        <v>7232.755</v>
      </c>
      <c r="AA8" s="43">
        <v>73</v>
      </c>
      <c r="AB8" s="43">
        <v>71.75</v>
      </c>
      <c r="AC8" s="114">
        <f t="shared" si="5"/>
        <v>0.560000000000002</v>
      </c>
      <c r="AD8" s="97">
        <f>Z8-J8</f>
        <v>20.7550000000001</v>
      </c>
      <c r="AE8" s="118">
        <f>F8</f>
        <v>72.07</v>
      </c>
      <c r="AF8" s="119">
        <f>U8</f>
        <v>72.45</v>
      </c>
      <c r="AG8" s="129" t="s">
        <v>56</v>
      </c>
      <c r="AH8" s="126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5">
        <f t="shared" si="3"/>
        <v>3.015</v>
      </c>
      <c r="Y9" s="105">
        <f>U9*V9*0.00002</f>
        <v>0.0603</v>
      </c>
      <c r="Z9" s="110">
        <f t="shared" si="4"/>
        <v>3006.9247</v>
      </c>
      <c r="AA9" s="43">
        <v>30.69</v>
      </c>
      <c r="AB9" s="43">
        <v>30.01</v>
      </c>
      <c r="AC9" s="114">
        <f t="shared" si="5"/>
        <v>0.205882352941172</v>
      </c>
      <c r="AD9" s="97">
        <f>Z9-J9</f>
        <v>-52.1363799999999</v>
      </c>
      <c r="AE9" s="118">
        <f>F9</f>
        <v>30.54</v>
      </c>
      <c r="AF9" s="119">
        <f>U9</f>
        <v>30.15</v>
      </c>
      <c r="AG9" s="129" t="s">
        <v>60</v>
      </c>
      <c r="AH9" s="126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5">
        <f t="shared" si="3"/>
        <v>2.783</v>
      </c>
      <c r="Y10" s="105">
        <f>U10*V10*0.00002</f>
        <v>0.05566</v>
      </c>
      <c r="Z10" s="110">
        <f t="shared" si="4"/>
        <v>2775.16134</v>
      </c>
      <c r="AA10" s="41">
        <v>28.4</v>
      </c>
      <c r="AB10" s="41">
        <v>27.44</v>
      </c>
      <c r="AC10" s="114">
        <f t="shared" si="5"/>
        <v>0.406249999999998</v>
      </c>
      <c r="AD10" s="97">
        <f>Z10-J10</f>
        <v>-210.89828</v>
      </c>
      <c r="AE10" s="118">
        <f t="shared" ref="AE10:AE15" si="6">F10</f>
        <v>29.81</v>
      </c>
      <c r="AF10" s="119">
        <f t="shared" ref="AF10:AF15" si="7">U10</f>
        <v>27.83</v>
      </c>
      <c r="AG10" s="130" t="s">
        <v>64</v>
      </c>
      <c r="AH10" s="128"/>
    </row>
    <row r="11" ht="118" spans="1:33">
      <c r="A11" s="39" t="s">
        <v>65</v>
      </c>
      <c r="B11" s="41" t="s">
        <v>66</v>
      </c>
      <c r="C11" s="137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5">
        <f t="shared" si="3"/>
        <v>2.67</v>
      </c>
      <c r="Y11" s="105">
        <v>0</v>
      </c>
      <c r="Z11" s="110">
        <f t="shared" si="4"/>
        <v>2662.33</v>
      </c>
      <c r="AA11" s="41">
        <v>28.18</v>
      </c>
      <c r="AB11" s="41">
        <v>25.99</v>
      </c>
      <c r="AC11" s="114">
        <f t="shared" si="5"/>
        <v>0.324200913242009</v>
      </c>
      <c r="AD11" s="97">
        <f>Z11-J11</f>
        <v>-179.67</v>
      </c>
      <c r="AE11" s="118">
        <f t="shared" si="6"/>
        <v>28.37</v>
      </c>
      <c r="AF11" s="119">
        <f t="shared" si="7"/>
        <v>26.7</v>
      </c>
      <c r="AG11" s="130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5">
        <f t="shared" si="3"/>
        <v>3.452</v>
      </c>
      <c r="Y12" s="105">
        <f t="shared" ref="Y12:Y19" si="8">U12*V12*0.0002</f>
        <v>0.6904</v>
      </c>
      <c r="Z12" s="110">
        <f t="shared" si="4"/>
        <v>3442.8576</v>
      </c>
      <c r="AA12" s="41">
        <v>35.07</v>
      </c>
      <c r="AB12" s="41">
        <v>33.85</v>
      </c>
      <c r="AC12" s="114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1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5">
        <f t="shared" si="3"/>
        <v>6.936</v>
      </c>
      <c r="Y13" s="105">
        <f t="shared" si="8"/>
        <v>1.3872</v>
      </c>
      <c r="Z13" s="110">
        <f t="shared" si="4"/>
        <v>6922.6768</v>
      </c>
      <c r="AA13" s="41"/>
      <c r="AB13" s="41"/>
      <c r="AC13" s="114" t="e">
        <f t="shared" si="5"/>
        <v>#DIV/0!</v>
      </c>
      <c r="AD13" s="97"/>
      <c r="AE13" s="97"/>
      <c r="AF13" s="89"/>
      <c r="AG13" s="132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5">
        <f t="shared" si="3"/>
        <v>3.468</v>
      </c>
      <c r="Y14" s="105">
        <f t="shared" si="8"/>
        <v>0.6936</v>
      </c>
      <c r="Z14" s="110">
        <f t="shared" si="4"/>
        <v>3458.8384</v>
      </c>
      <c r="AA14" s="41"/>
      <c r="AB14" s="41"/>
      <c r="AC14" s="114"/>
      <c r="AD14" s="97"/>
      <c r="AE14" s="97"/>
      <c r="AF14" s="89"/>
      <c r="AG14" s="132"/>
    </row>
    <row r="15" ht="60" spans="1:33">
      <c r="A15" s="39" t="s">
        <v>74</v>
      </c>
      <c r="B15" s="41" t="s">
        <v>75</v>
      </c>
      <c r="C15" s="137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5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5" si="10">M15-N15</f>
        <v>25.89</v>
      </c>
      <c r="P15" s="73">
        <v>50.45</v>
      </c>
      <c r="Q15" s="96">
        <f t="shared" ref="Q15:Q25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5">
        <f t="shared" si="3"/>
        <v>11.166</v>
      </c>
      <c r="Y15" s="105">
        <f t="shared" si="8"/>
        <v>2.2332</v>
      </c>
      <c r="Z15" s="110">
        <f t="shared" si="4"/>
        <v>11147.6008</v>
      </c>
      <c r="AA15" s="41">
        <v>115.99</v>
      </c>
      <c r="AB15" s="41">
        <v>110.08</v>
      </c>
      <c r="AC15" s="114">
        <f t="shared" ref="AC15:AC23" si="12">(U15-AB15)/(AA15-AB15)</f>
        <v>0.267343485617597</v>
      </c>
      <c r="AD15" s="97">
        <f>Z15-J15</f>
        <v>-454.3992</v>
      </c>
      <c r="AE15" s="118">
        <f t="shared" si="6"/>
        <v>115.97</v>
      </c>
      <c r="AF15" s="119">
        <f t="shared" si="7"/>
        <v>111.66</v>
      </c>
      <c r="AG15" s="130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5">
        <f t="shared" si="3"/>
        <v>3.59</v>
      </c>
      <c r="Y16" s="105">
        <f t="shared" si="8"/>
        <v>0.718</v>
      </c>
      <c r="Z16" s="110">
        <f t="shared" si="4"/>
        <v>3580.692</v>
      </c>
      <c r="AA16" s="41">
        <v>36.86</v>
      </c>
      <c r="AB16" s="41">
        <v>35.6</v>
      </c>
      <c r="AC16" s="114">
        <f t="shared" si="12"/>
        <v>0.238095238095236</v>
      </c>
      <c r="AD16" s="97">
        <f t="shared" ref="AD16:AD21" si="13">Z16-J16</f>
        <v>-339.3863</v>
      </c>
      <c r="AE16" s="118">
        <f t="shared" ref="AE16:AE21" si="14">F16</f>
        <v>39.15</v>
      </c>
      <c r="AF16" s="119">
        <f t="shared" ref="AF16:AF21" si="15">U16</f>
        <v>35.9</v>
      </c>
      <c r="AG16" s="127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5">
        <f t="shared" si="3"/>
        <v>6.067</v>
      </c>
      <c r="Y17" s="105">
        <f t="shared" si="8"/>
        <v>1.2134</v>
      </c>
      <c r="Z17" s="110">
        <f t="shared" si="4"/>
        <v>6054.7196</v>
      </c>
      <c r="AA17" s="41">
        <v>64.29</v>
      </c>
      <c r="AB17" s="41">
        <v>60.28</v>
      </c>
      <c r="AC17" s="114">
        <f t="shared" si="12"/>
        <v>0.0972568578553616</v>
      </c>
      <c r="AD17" s="97">
        <f t="shared" si="13"/>
        <v>-380.409</v>
      </c>
      <c r="AE17" s="118">
        <f t="shared" si="14"/>
        <v>64.3</v>
      </c>
      <c r="AF17" s="119">
        <f t="shared" si="15"/>
        <v>60.67</v>
      </c>
      <c r="AG17" s="127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v>0</v>
      </c>
      <c r="T18" s="67">
        <v>44558</v>
      </c>
      <c r="U18" s="41">
        <v>15.65</v>
      </c>
      <c r="V18" s="41">
        <v>100</v>
      </c>
      <c r="W18" s="41">
        <v>5</v>
      </c>
      <c r="X18" s="105">
        <f t="shared" si="3"/>
        <v>1.565</v>
      </c>
      <c r="Y18" s="105">
        <f t="shared" si="8"/>
        <v>0.313</v>
      </c>
      <c r="Z18" s="110">
        <f t="shared" si="4"/>
        <v>1558.122</v>
      </c>
      <c r="AA18" s="41">
        <v>15.69</v>
      </c>
      <c r="AB18" s="41">
        <v>15.05</v>
      </c>
      <c r="AC18" s="114">
        <f t="shared" si="12"/>
        <v>0.937500000000001</v>
      </c>
      <c r="AD18" s="97">
        <f t="shared" si="13"/>
        <v>-147.91202</v>
      </c>
      <c r="AE18" s="93"/>
      <c r="AF18" s="120"/>
      <c r="AG18" s="127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v>0</v>
      </c>
      <c r="T19" s="67">
        <v>44558</v>
      </c>
      <c r="U19" s="41">
        <v>15.65</v>
      </c>
      <c r="V19" s="41">
        <v>200</v>
      </c>
      <c r="W19" s="41">
        <v>5</v>
      </c>
      <c r="X19" s="105">
        <f t="shared" si="3"/>
        <v>3.13</v>
      </c>
      <c r="Y19" s="105">
        <f t="shared" si="8"/>
        <v>0.626</v>
      </c>
      <c r="Z19" s="110">
        <f t="shared" si="4"/>
        <v>3121.244</v>
      </c>
      <c r="AA19" s="41">
        <v>15.69</v>
      </c>
      <c r="AB19" s="41">
        <v>15.05</v>
      </c>
      <c r="AC19" s="114">
        <f t="shared" si="12"/>
        <v>0.937500000000001</v>
      </c>
      <c r="AD19" s="97">
        <f t="shared" si="13"/>
        <v>-321.82476</v>
      </c>
      <c r="AE19" s="93"/>
      <c r="AF19" s="120"/>
      <c r="AG19" s="127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v>0</v>
      </c>
      <c r="T20" s="41"/>
      <c r="U20" s="41"/>
      <c r="V20" s="41"/>
      <c r="W20" s="41"/>
      <c r="X20" s="105">
        <f t="shared" si="3"/>
        <v>0</v>
      </c>
      <c r="Y20" s="107"/>
      <c r="Z20" s="110">
        <f t="shared" si="4"/>
        <v>0</v>
      </c>
      <c r="AA20" s="41"/>
      <c r="AB20" s="41"/>
      <c r="AC20" s="114" t="e">
        <f t="shared" si="12"/>
        <v>#DIV/0!</v>
      </c>
      <c r="AD20" s="93"/>
      <c r="AE20" s="93"/>
      <c r="AF20" s="120"/>
      <c r="AG20" s="127"/>
    </row>
    <row r="21" ht="15.2" spans="1:33">
      <c r="A21" s="39" t="s">
        <v>92</v>
      </c>
      <c r="B21" s="48" t="s">
        <v>93</v>
      </c>
      <c r="C21" s="138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5">
        <f t="shared" si="3"/>
        <v>2.602</v>
      </c>
      <c r="Y21" s="107">
        <v>0</v>
      </c>
      <c r="Z21" s="110">
        <f t="shared" si="4"/>
        <v>2594.398</v>
      </c>
      <c r="AA21" s="41">
        <v>26.77</v>
      </c>
      <c r="AB21" s="41">
        <v>25.9</v>
      </c>
      <c r="AC21" s="114">
        <f t="shared" si="12"/>
        <v>0.13793103448276</v>
      </c>
      <c r="AD21" s="97">
        <f t="shared" si="13"/>
        <v>-193.602</v>
      </c>
      <c r="AE21" s="118">
        <f t="shared" si="14"/>
        <v>27.83</v>
      </c>
      <c r="AF21" s="119">
        <f t="shared" si="15"/>
        <v>26.02</v>
      </c>
      <c r="AG21" s="127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 t="shared" ref="I22:I28" si="16"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>(F22-R22)*G22+H22+I22+5</f>
        <v>360.0782</v>
      </c>
      <c r="T22" s="41"/>
      <c r="U22" s="41"/>
      <c r="V22" s="41"/>
      <c r="W22" s="41"/>
      <c r="X22" s="105">
        <f t="shared" si="3"/>
        <v>0</v>
      </c>
      <c r="Y22" s="107"/>
      <c r="Z22" s="110">
        <f t="shared" si="4"/>
        <v>0</v>
      </c>
      <c r="AA22" s="41"/>
      <c r="AB22" s="41"/>
      <c r="AC22" s="114" t="e">
        <f t="shared" si="12"/>
        <v>#DIV/0!</v>
      </c>
      <c r="AD22" s="93"/>
      <c r="AE22" s="93"/>
      <c r="AF22" s="120"/>
      <c r="AG22" s="127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 t="shared" si="16"/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5">
        <f t="shared" si="3"/>
        <v>8.794</v>
      </c>
      <c r="Y23" s="105">
        <f>U23*V23*0.0002</f>
        <v>1.7588</v>
      </c>
      <c r="Z23" s="110">
        <f t="shared" si="4"/>
        <v>8778.4472</v>
      </c>
      <c r="AA23" s="41">
        <v>45.9</v>
      </c>
      <c r="AB23" s="41">
        <v>42.77</v>
      </c>
      <c r="AC23" s="114">
        <f t="shared" si="12"/>
        <v>0.383386581469648</v>
      </c>
      <c r="AD23" s="93">
        <f>Z23-J23</f>
        <v>993.2916</v>
      </c>
      <c r="AE23" s="118">
        <f>F23</f>
        <v>38.9</v>
      </c>
      <c r="AF23" s="119">
        <f>U23</f>
        <v>43.97</v>
      </c>
      <c r="AG23" s="127"/>
    </row>
    <row r="24" ht="15" spans="1:33">
      <c r="A24" s="39" t="s">
        <v>100</v>
      </c>
      <c r="B24" s="41" t="s">
        <v>101</v>
      </c>
      <c r="C24" s="137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v>0</v>
      </c>
      <c r="J24" s="71">
        <f t="shared" si="9"/>
        <v>18521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 t="shared" ref="S24:S28" si="17">(F24-R24)*G24+H24+I24+5</f>
        <v>736</v>
      </c>
      <c r="T24" s="67"/>
      <c r="U24" s="41"/>
      <c r="V24" s="41"/>
      <c r="W24" s="41"/>
      <c r="X24" s="107"/>
      <c r="Y24" s="107"/>
      <c r="Z24" s="41"/>
      <c r="AA24" s="41"/>
      <c r="AB24" s="41"/>
      <c r="AC24" s="41"/>
      <c r="AD24" s="93"/>
      <c r="AE24" s="93"/>
      <c r="AF24" s="120"/>
      <c r="AG24" s="127"/>
    </row>
    <row r="25" ht="15.2" spans="1:33">
      <c r="A25" s="39" t="s">
        <v>104</v>
      </c>
      <c r="B25" s="41" t="s">
        <v>105</v>
      </c>
      <c r="C25" s="51">
        <v>600587</v>
      </c>
      <c r="D25" s="47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 t="shared" si="16"/>
        <v>0.35484</v>
      </c>
      <c r="J25" s="71">
        <f t="shared" si="9"/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 t="shared" si="10"/>
        <v>8.51</v>
      </c>
      <c r="P25" s="73">
        <v>25.83</v>
      </c>
      <c r="Q25" s="96">
        <f t="shared" si="11"/>
        <v>0.792951541850221</v>
      </c>
      <c r="R25" s="93">
        <v>27.05</v>
      </c>
      <c r="S25" s="94">
        <f>(F25-R25)*300+H25+I25+5</f>
        <v>766.35484</v>
      </c>
      <c r="T25" s="67">
        <v>44558</v>
      </c>
      <c r="U25" s="41">
        <v>31.39</v>
      </c>
      <c r="V25" s="41">
        <v>300</v>
      </c>
      <c r="W25" s="41">
        <v>5</v>
      </c>
      <c r="X25" s="105">
        <f>U25*V25*0.001</f>
        <v>9.417</v>
      </c>
      <c r="Y25" s="105">
        <f>U25*V25*0.0002</f>
        <v>1.8834</v>
      </c>
      <c r="Z25" s="110">
        <f>U25*V25-W25-X25-Y25</f>
        <v>9400.6996</v>
      </c>
      <c r="AA25" s="41">
        <v>31.59</v>
      </c>
      <c r="AB25" s="41">
        <v>30.01</v>
      </c>
      <c r="AC25" s="114">
        <f>(U25-AB25)/(AA25-AB25)</f>
        <v>0.873417721518988</v>
      </c>
      <c r="AD25" s="93">
        <f>(Z25-J25/2)</f>
        <v>527.02218</v>
      </c>
      <c r="AE25" s="93"/>
      <c r="AF25" s="120"/>
      <c r="AG25" s="127"/>
    </row>
    <row r="26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8"/>
      <c r="Y26" s="108"/>
      <c r="Z26" s="55"/>
      <c r="AA26" s="55"/>
      <c r="AB26" s="55"/>
      <c r="AC26" s="55"/>
      <c r="AD26" s="99"/>
      <c r="AE26" s="99"/>
      <c r="AF26" s="30"/>
      <c r="AG26" s="133"/>
    </row>
    <row r="27" ht="15" spans="1:33">
      <c r="A27" s="39" t="s">
        <v>107</v>
      </c>
      <c r="B27" s="48" t="s">
        <v>108</v>
      </c>
      <c r="C27" s="49">
        <v>603599</v>
      </c>
      <c r="D27" s="47" t="s">
        <v>109</v>
      </c>
      <c r="E27" s="67">
        <v>44558</v>
      </c>
      <c r="F27" s="75">
        <v>40.38</v>
      </c>
      <c r="G27" s="76">
        <v>200</v>
      </c>
      <c r="H27" s="75">
        <v>5</v>
      </c>
      <c r="I27" s="73">
        <f t="shared" si="16"/>
        <v>0.16152</v>
      </c>
      <c r="J27" s="71">
        <f>F27*G27+H27+I27</f>
        <v>8081.16152</v>
      </c>
      <c r="K27" s="75">
        <v>41.06</v>
      </c>
      <c r="L27" s="75">
        <v>38.43</v>
      </c>
      <c r="M27" s="75"/>
      <c r="N27" s="75"/>
      <c r="O27" s="75"/>
      <c r="P27" s="75">
        <v>15.12</v>
      </c>
      <c r="Q27" s="96">
        <f>(K27-F27)/(K27-L27)</f>
        <v>0.258555133079848</v>
      </c>
      <c r="R27" s="93">
        <v>38</v>
      </c>
      <c r="S27" s="94">
        <f t="shared" si="17"/>
        <v>486.161520000001</v>
      </c>
      <c r="T27" s="55"/>
      <c r="U27" s="55"/>
      <c r="V27" s="55"/>
      <c r="W27" s="55"/>
      <c r="X27" s="108"/>
      <c r="Y27" s="108"/>
      <c r="Z27" s="55"/>
      <c r="AA27" s="55"/>
      <c r="AB27" s="55"/>
      <c r="AC27" s="55"/>
      <c r="AD27" s="99"/>
      <c r="AE27" s="99"/>
      <c r="AF27" s="30"/>
      <c r="AG27" s="133"/>
    </row>
    <row r="28" ht="15" spans="1:33">
      <c r="A28" s="39" t="s">
        <v>110</v>
      </c>
      <c r="B28" s="48" t="s">
        <v>111</v>
      </c>
      <c r="C28" s="46">
        <v>603995</v>
      </c>
      <c r="D28" s="47" t="s">
        <v>112</v>
      </c>
      <c r="E28" s="67">
        <v>44558</v>
      </c>
      <c r="F28" s="75">
        <v>55.97</v>
      </c>
      <c r="G28" s="76">
        <v>200</v>
      </c>
      <c r="H28" s="75">
        <v>5</v>
      </c>
      <c r="I28" s="73">
        <f t="shared" si="16"/>
        <v>0.22388</v>
      </c>
      <c r="J28" s="71">
        <f>F28*G28+H28+I28</f>
        <v>11199.22388</v>
      </c>
      <c r="K28" s="75">
        <v>59</v>
      </c>
      <c r="L28" s="75">
        <v>54.81</v>
      </c>
      <c r="M28" s="75"/>
      <c r="N28" s="75"/>
      <c r="O28" s="75"/>
      <c r="P28" s="75">
        <v>21.87</v>
      </c>
      <c r="Q28" s="96">
        <f>(K28-F28)/(K28-L28)</f>
        <v>0.723150357995227</v>
      </c>
      <c r="R28" s="98">
        <v>52</v>
      </c>
      <c r="S28" s="94">
        <f t="shared" si="17"/>
        <v>804.22388</v>
      </c>
      <c r="T28" s="55"/>
      <c r="U28" s="55"/>
      <c r="V28" s="55"/>
      <c r="W28" s="55"/>
      <c r="X28" s="108"/>
      <c r="Y28" s="108"/>
      <c r="Z28" s="55"/>
      <c r="AA28" s="55"/>
      <c r="AB28" s="55"/>
      <c r="AC28" s="55"/>
      <c r="AD28" s="99"/>
      <c r="AE28" s="99"/>
      <c r="AF28" s="30"/>
      <c r="AG28" s="133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9"/>
      <c r="S29" s="99"/>
      <c r="T29" s="55"/>
      <c r="U29" s="55"/>
      <c r="V29" s="55"/>
      <c r="W29" s="55"/>
      <c r="X29" s="108"/>
      <c r="Y29" s="108"/>
      <c r="Z29" s="55"/>
      <c r="AA29" s="55"/>
      <c r="AB29" s="55"/>
      <c r="AC29" s="55"/>
      <c r="AD29" s="99"/>
      <c r="AE29" s="99"/>
      <c r="AF29" s="30"/>
      <c r="AG29" s="133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9"/>
      <c r="S30" s="99"/>
      <c r="T30" s="55"/>
      <c r="U30" s="55"/>
      <c r="V30" s="55"/>
      <c r="W30" s="55"/>
      <c r="X30" s="108"/>
      <c r="Y30" s="108"/>
      <c r="Z30" s="55"/>
      <c r="AA30" s="55"/>
      <c r="AB30" s="55"/>
      <c r="AC30" s="55"/>
      <c r="AD30" s="99"/>
      <c r="AE30" s="99"/>
      <c r="AF30" s="30"/>
      <c r="AG30" s="133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9"/>
      <c r="S31" s="99"/>
      <c r="T31" s="55"/>
      <c r="U31" s="55"/>
      <c r="V31" s="55"/>
      <c r="W31" s="55"/>
      <c r="X31" s="108"/>
      <c r="Y31" s="108"/>
      <c r="Z31" s="55"/>
      <c r="AA31" s="55"/>
      <c r="AB31" s="55"/>
      <c r="AC31" s="55"/>
      <c r="AD31" s="99"/>
      <c r="AE31" s="99"/>
      <c r="AF31" s="30"/>
      <c r="AG31" s="133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9"/>
      <c r="S32" s="99"/>
      <c r="T32" s="55"/>
      <c r="U32" s="55"/>
      <c r="V32" s="55"/>
      <c r="W32" s="55"/>
      <c r="X32" s="108"/>
      <c r="Y32" s="108"/>
      <c r="Z32" s="55"/>
      <c r="AA32" s="55"/>
      <c r="AB32" s="55"/>
      <c r="AC32" s="55"/>
      <c r="AD32" s="99"/>
      <c r="AE32" s="99"/>
      <c r="AF32" s="30"/>
      <c r="AG32" s="133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9"/>
      <c r="S33" s="99"/>
      <c r="T33" s="55"/>
      <c r="U33" s="55"/>
      <c r="V33" s="55"/>
      <c r="W33" s="55"/>
      <c r="X33" s="108"/>
      <c r="Y33" s="108"/>
      <c r="Z33" s="55"/>
      <c r="AA33" s="55"/>
      <c r="AB33" s="55"/>
      <c r="AC33" s="55"/>
      <c r="AD33" s="99"/>
      <c r="AE33" s="99"/>
      <c r="AF33" s="30"/>
      <c r="AG33" s="133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9"/>
      <c r="S34" s="99"/>
      <c r="T34" s="55"/>
      <c r="U34" s="55"/>
      <c r="V34" s="55"/>
      <c r="W34" s="55"/>
      <c r="X34" s="108"/>
      <c r="Y34" s="108"/>
      <c r="Z34" s="55"/>
      <c r="AA34" s="55"/>
      <c r="AB34" s="55"/>
      <c r="AC34" s="55"/>
      <c r="AD34" s="99"/>
      <c r="AE34" s="99"/>
      <c r="AF34" s="30"/>
      <c r="AG34" s="133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9"/>
      <c r="S35" s="99"/>
      <c r="T35" s="55"/>
      <c r="U35" s="55"/>
      <c r="V35" s="55"/>
      <c r="W35" s="55"/>
      <c r="X35" s="108"/>
      <c r="Y35" s="108"/>
      <c r="Z35" s="55"/>
      <c r="AA35" s="55"/>
      <c r="AB35" s="55"/>
      <c r="AC35" s="55"/>
      <c r="AD35" s="99"/>
      <c r="AE35" s="99"/>
      <c r="AF35" s="30"/>
      <c r="AG35" s="133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9"/>
      <c r="S36" s="99"/>
      <c r="T36" s="55"/>
      <c r="U36" s="55"/>
      <c r="V36" s="55"/>
      <c r="W36" s="55"/>
      <c r="X36" s="108"/>
      <c r="Y36" s="108"/>
      <c r="Z36" s="55"/>
      <c r="AA36" s="55"/>
      <c r="AB36" s="55"/>
      <c r="AC36" s="55"/>
      <c r="AD36" s="99"/>
      <c r="AE36" s="99"/>
      <c r="AF36" s="30"/>
      <c r="AG36" s="133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9"/>
      <c r="S37" s="99"/>
      <c r="T37" s="55"/>
      <c r="U37" s="55"/>
      <c r="V37" s="55"/>
      <c r="W37" s="55"/>
      <c r="X37" s="108"/>
      <c r="Y37" s="108"/>
      <c r="Z37" s="55"/>
      <c r="AA37" s="55"/>
      <c r="AB37" s="55"/>
      <c r="AC37" s="55"/>
      <c r="AD37" s="99"/>
      <c r="AE37" s="99"/>
      <c r="AF37" s="30"/>
      <c r="AG37" s="133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9"/>
      <c r="S38" s="99"/>
      <c r="T38" s="55"/>
      <c r="U38" s="55"/>
      <c r="V38" s="55"/>
      <c r="W38" s="55"/>
      <c r="X38" s="108"/>
      <c r="Y38" s="108"/>
      <c r="Z38" s="55"/>
      <c r="AA38" s="55"/>
      <c r="AB38" s="55"/>
      <c r="AC38" s="55"/>
      <c r="AD38" s="99"/>
      <c r="AE38" s="99"/>
      <c r="AF38" s="30"/>
      <c r="AG38" s="133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9"/>
      <c r="S39" s="99"/>
      <c r="T39" s="55"/>
      <c r="U39" s="55"/>
      <c r="V39" s="55"/>
      <c r="W39" s="55"/>
      <c r="X39" s="108"/>
      <c r="Y39" s="108"/>
      <c r="Z39" s="55"/>
      <c r="AA39" s="55"/>
      <c r="AB39" s="55"/>
      <c r="AC39" s="55"/>
      <c r="AD39" s="99"/>
      <c r="AE39" s="99"/>
      <c r="AF39" s="30"/>
      <c r="AG39" s="133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9"/>
      <c r="S40" s="99"/>
      <c r="T40" s="55"/>
      <c r="U40" s="55"/>
      <c r="V40" s="55"/>
      <c r="W40" s="55"/>
      <c r="X40" s="108"/>
      <c r="Y40" s="108"/>
      <c r="Z40" s="55"/>
      <c r="AA40" s="55"/>
      <c r="AB40" s="55"/>
      <c r="AC40" s="55"/>
      <c r="AD40" s="99"/>
      <c r="AE40" s="99"/>
      <c r="AF40" s="30"/>
      <c r="AG40" s="133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9"/>
      <c r="S41" s="99"/>
      <c r="T41" s="55"/>
      <c r="U41" s="55"/>
      <c r="V41" s="55"/>
      <c r="W41" s="55"/>
      <c r="X41" s="108"/>
      <c r="Y41" s="108"/>
      <c r="Z41" s="55"/>
      <c r="AA41" s="55"/>
      <c r="AB41" s="55"/>
      <c r="AC41" s="55"/>
      <c r="AD41" s="99"/>
      <c r="AE41" s="99"/>
      <c r="AF41" s="30"/>
      <c r="AG41" s="133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9"/>
      <c r="S42" s="99"/>
      <c r="T42" s="55"/>
      <c r="U42" s="55"/>
      <c r="V42" s="55"/>
      <c r="W42" s="55"/>
      <c r="X42" s="108"/>
      <c r="Y42" s="108"/>
      <c r="Z42" s="55"/>
      <c r="AA42" s="55"/>
      <c r="AB42" s="55"/>
      <c r="AC42" s="55"/>
      <c r="AD42" s="99"/>
      <c r="AE42" s="99"/>
      <c r="AF42" s="30"/>
      <c r="AG42" s="133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9"/>
      <c r="S43" s="99"/>
      <c r="T43" s="55"/>
      <c r="U43" s="55"/>
      <c r="V43" s="55"/>
      <c r="W43" s="55"/>
      <c r="X43" s="108"/>
      <c r="Y43" s="108"/>
      <c r="Z43" s="55"/>
      <c r="AA43" s="55"/>
      <c r="AB43" s="55"/>
      <c r="AC43" s="55"/>
      <c r="AD43" s="99"/>
      <c r="AE43" s="99"/>
      <c r="AF43" s="30"/>
      <c r="AG43" s="133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9"/>
      <c r="S44" s="99"/>
      <c r="T44" s="55"/>
      <c r="U44" s="55"/>
      <c r="V44" s="55"/>
      <c r="W44" s="55"/>
      <c r="X44" s="108"/>
      <c r="Y44" s="108"/>
      <c r="Z44" s="55"/>
      <c r="AA44" s="55"/>
      <c r="AB44" s="55"/>
      <c r="AC44" s="55"/>
      <c r="AD44" s="99"/>
      <c r="AE44" s="99"/>
      <c r="AF44" s="30"/>
      <c r="AG44" s="133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9"/>
      <c r="S45" s="99"/>
      <c r="T45" s="55"/>
      <c r="U45" s="55"/>
      <c r="V45" s="55"/>
      <c r="W45" s="55"/>
      <c r="X45" s="108"/>
      <c r="Y45" s="108"/>
      <c r="Z45" s="55"/>
      <c r="AA45" s="55"/>
      <c r="AB45" s="55"/>
      <c r="AC45" s="55"/>
      <c r="AD45" s="99"/>
      <c r="AE45" s="99"/>
      <c r="AF45" s="30"/>
      <c r="AG45" s="133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9"/>
      <c r="S46" s="99"/>
      <c r="T46" s="55"/>
      <c r="U46" s="55"/>
      <c r="V46" s="55"/>
      <c r="W46" s="55"/>
      <c r="X46" s="108"/>
      <c r="Y46" s="108"/>
      <c r="Z46" s="55"/>
      <c r="AA46" s="55"/>
      <c r="AB46" s="55"/>
      <c r="AC46" s="55"/>
      <c r="AD46" s="99"/>
      <c r="AE46" s="99"/>
      <c r="AF46" s="30"/>
      <c r="AG46" s="133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9"/>
      <c r="S47" s="99"/>
      <c r="T47" s="55"/>
      <c r="U47" s="55"/>
      <c r="V47" s="55"/>
      <c r="W47" s="55"/>
      <c r="X47" s="108"/>
      <c r="Y47" s="108"/>
      <c r="Z47" s="55"/>
      <c r="AA47" s="55"/>
      <c r="AB47" s="55"/>
      <c r="AC47" s="55"/>
      <c r="AD47" s="99"/>
      <c r="AE47" s="99"/>
      <c r="AF47" s="30"/>
      <c r="AG47" s="133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9"/>
      <c r="S48" s="99"/>
      <c r="T48" s="55"/>
      <c r="U48" s="55"/>
      <c r="V48" s="55"/>
      <c r="W48" s="55"/>
      <c r="X48" s="108"/>
      <c r="Y48" s="108"/>
      <c r="Z48" s="55"/>
      <c r="AA48" s="55"/>
      <c r="AB48" s="55"/>
      <c r="AC48" s="55"/>
      <c r="AD48" s="99"/>
      <c r="AE48" s="99"/>
      <c r="AF48" s="30"/>
      <c r="AG48" s="133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9"/>
      <c r="S49" s="99"/>
      <c r="T49" s="55"/>
      <c r="U49" s="55"/>
      <c r="V49" s="55"/>
      <c r="W49" s="55"/>
      <c r="X49" s="108"/>
      <c r="Y49" s="108"/>
      <c r="Z49" s="55"/>
      <c r="AA49" s="55"/>
      <c r="AB49" s="55"/>
      <c r="AC49" s="55"/>
      <c r="AD49" s="99"/>
      <c r="AE49" s="99"/>
      <c r="AF49" s="30"/>
      <c r="AG49" s="133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9"/>
      <c r="S50" s="99"/>
      <c r="T50" s="55"/>
      <c r="U50" s="55"/>
      <c r="V50" s="55"/>
      <c r="W50" s="55"/>
      <c r="X50" s="108"/>
      <c r="Y50" s="108"/>
      <c r="Z50" s="55"/>
      <c r="AA50" s="55"/>
      <c r="AB50" s="55"/>
      <c r="AC50" s="55"/>
      <c r="AD50" s="99"/>
      <c r="AE50" s="99"/>
      <c r="AF50" s="30"/>
      <c r="AG50" s="133"/>
    </row>
    <row r="51" spans="1:33">
      <c r="A51" s="54"/>
      <c r="B51" s="55"/>
      <c r="C51" s="55"/>
      <c r="D51" s="55"/>
      <c r="E51" s="55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55"/>
      <c r="R51" s="99"/>
      <c r="S51" s="99"/>
      <c r="T51" s="55"/>
      <c r="U51" s="55"/>
      <c r="V51" s="55"/>
      <c r="W51" s="55"/>
      <c r="X51" s="108"/>
      <c r="Y51" s="108"/>
      <c r="Z51" s="55"/>
      <c r="AA51" s="55"/>
      <c r="AB51" s="55"/>
      <c r="AC51" s="55"/>
      <c r="AD51" s="99"/>
      <c r="AE51" s="99"/>
      <c r="AF51" s="30"/>
      <c r="AG51" s="133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9"/>
      <c r="Y52" s="109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9"/>
      <c r="Y53" s="109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9"/>
      <c r="Y54" s="109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9"/>
      <c r="Y55" s="109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9"/>
      <c r="Y56" s="109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9"/>
      <c r="Y57" s="109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9"/>
      <c r="Y58" s="109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9"/>
      <c r="Y59" s="109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9"/>
      <c r="Y60" s="109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9"/>
      <c r="Y61" s="109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9"/>
      <c r="Y62" s="109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9"/>
      <c r="Y63" s="109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9"/>
      <c r="Y64" s="109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9"/>
      <c r="Y65" s="109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9"/>
      <c r="Y66" s="109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9"/>
      <c r="Y67" s="109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9"/>
      <c r="Y68" s="109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9"/>
      <c r="Y69" s="109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9"/>
      <c r="Y70" s="109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9"/>
      <c r="Y71" s="109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9"/>
      <c r="Y72" s="109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9"/>
      <c r="Y73" s="109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9"/>
      <c r="Y74" s="109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9"/>
      <c r="Y75" s="109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9"/>
      <c r="Y76" s="109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9"/>
      <c r="Y77" s="109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9"/>
      <c r="Y78" s="109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9"/>
      <c r="Y79" s="109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9"/>
      <c r="Y80" s="109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9"/>
      <c r="Y81" s="109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9"/>
      <c r="Y82" s="109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9"/>
      <c r="Y83" s="109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9"/>
      <c r="Y84" s="109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9"/>
      <c r="Y85" s="109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9"/>
      <c r="Y86" s="109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9"/>
      <c r="Y87" s="109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9"/>
      <c r="Y88" s="109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9"/>
      <c r="Y89" s="109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9"/>
      <c r="Y90" s="109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9"/>
      <c r="Y91" s="109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9"/>
      <c r="Y92" s="109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9"/>
      <c r="Y93" s="109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9"/>
      <c r="Y94" s="109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9"/>
      <c r="Y95" s="109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9"/>
      <c r="Y96" s="109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9"/>
      <c r="Y97" s="109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9"/>
      <c r="Y98" s="109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9"/>
      <c r="Y99" s="109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9"/>
      <c r="Y100" s="109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9"/>
      <c r="Y101" s="109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9"/>
      <c r="Y102" s="109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9"/>
      <c r="Y103" s="109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9"/>
      <c r="Y104" s="109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9"/>
      <c r="Y105" s="109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9"/>
      <c r="Y106" s="109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9"/>
      <c r="Y107" s="109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9"/>
      <c r="Y108" s="109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9"/>
      <c r="Y109" s="109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9"/>
      <c r="Y110" s="109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9"/>
      <c r="Y111" s="109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9"/>
      <c r="Y112" s="109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9"/>
      <c r="Y113" s="109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9"/>
      <c r="Y114" s="109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9"/>
      <c r="Y115" s="109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9"/>
      <c r="Y116" s="109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9"/>
      <c r="Y117" s="109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9"/>
      <c r="Y118" s="109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9"/>
      <c r="Y119" s="109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9"/>
      <c r="Y120" s="109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9"/>
      <c r="Y121" s="109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9"/>
      <c r="Y122" s="109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9"/>
      <c r="Y123" s="109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9"/>
      <c r="Y124" s="109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9"/>
      <c r="Y125" s="109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9"/>
      <c r="Y126" s="109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9"/>
      <c r="Y127" s="109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9"/>
      <c r="Y128" s="109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9"/>
      <c r="Y129" s="109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9"/>
      <c r="Y130" s="109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9"/>
      <c r="Y131" s="109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9"/>
      <c r="Y132" s="109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9"/>
      <c r="Y133" s="109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9"/>
      <c r="Y134" s="109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9"/>
      <c r="Y135" s="109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9"/>
      <c r="Y136" s="109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9"/>
      <c r="Y137" s="109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9"/>
      <c r="Y138" s="109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9"/>
      <c r="Y139" s="109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9"/>
      <c r="Y140" s="109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9"/>
      <c r="Y141" s="109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9"/>
      <c r="Y142" s="109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9"/>
      <c r="Y143" s="109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9"/>
      <c r="Y144" s="109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9"/>
      <c r="Y145" s="109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9"/>
      <c r="Y146" s="109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9"/>
      <c r="Y147" s="109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9"/>
      <c r="Y148" s="109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9"/>
      <c r="Y149" s="109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9"/>
      <c r="Y150" s="109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9"/>
      <c r="Y151" s="109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9"/>
      <c r="Y152" s="109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9"/>
      <c r="Y153" s="109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9"/>
      <c r="Y154" s="109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9"/>
      <c r="Y155" s="109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9"/>
      <c r="Y156" s="109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9"/>
      <c r="Y157" s="109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9"/>
      <c r="Y158" s="109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9"/>
      <c r="Y159" s="109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9"/>
      <c r="Y160" s="109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9"/>
      <c r="Y161" s="109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9"/>
      <c r="Y162" s="109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9"/>
      <c r="Y163" s="109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9"/>
      <c r="Y164" s="109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9"/>
      <c r="Y165" s="109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9"/>
      <c r="Y166" s="109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9"/>
      <c r="Y167" s="109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9"/>
      <c r="Y168" s="109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9"/>
      <c r="Y169" s="109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9"/>
      <c r="Y170" s="109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9"/>
      <c r="Y171" s="109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9"/>
      <c r="Y172" s="109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9"/>
      <c r="Y173" s="109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9"/>
      <c r="Y174" s="109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9"/>
      <c r="Y175" s="109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9"/>
      <c r="Y176" s="109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9"/>
      <c r="Y177" s="109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9"/>
      <c r="Y178" s="109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9"/>
      <c r="Y179" s="109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9"/>
      <c r="Y180" s="109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9"/>
      <c r="Y181" s="109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9"/>
      <c r="Y182" s="109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9"/>
      <c r="Y183" s="109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9"/>
      <c r="Y184" s="109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9"/>
      <c r="Y185" s="109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9"/>
      <c r="Y186" s="109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9"/>
      <c r="Y187" s="109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9"/>
      <c r="Y188" s="109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9"/>
      <c r="Y189" s="109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9"/>
      <c r="Y190" s="109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9"/>
      <c r="Y191" s="109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9"/>
      <c r="Y192" s="109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9"/>
      <c r="Y193" s="109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9"/>
      <c r="Y194" s="109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9"/>
      <c r="Y195" s="109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9"/>
      <c r="Y196" s="109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9"/>
      <c r="Y197" s="109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9"/>
      <c r="Y198" s="109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9"/>
      <c r="Y199" s="109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9"/>
      <c r="Y200" s="109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9"/>
      <c r="Y201" s="109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9"/>
      <c r="Y202" s="109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9"/>
      <c r="Y203" s="109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9"/>
      <c r="Y204" s="109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9"/>
      <c r="Y205" s="109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9"/>
      <c r="Y206" s="109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9"/>
      <c r="Y207" s="109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9"/>
      <c r="Y208" s="109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9"/>
      <c r="Y209" s="109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9"/>
      <c r="Y210" s="109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9"/>
      <c r="Y211" s="109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9"/>
      <c r="Y212" s="109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9"/>
      <c r="Y213" s="109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9"/>
      <c r="Y214" s="109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9"/>
      <c r="Y215" s="109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9"/>
      <c r="Y216" s="109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9"/>
      <c r="Y217" s="109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9"/>
      <c r="Y218" s="109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9"/>
      <c r="Y219" s="109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9"/>
      <c r="Y220" s="109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9"/>
      <c r="Y221" s="109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9"/>
      <c r="Y222" s="109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9"/>
      <c r="Y223" s="109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9"/>
      <c r="Y224" s="109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9"/>
      <c r="Y225" s="109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9"/>
      <c r="Y226" s="109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9"/>
      <c r="Y227" s="109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9"/>
      <c r="Y228" s="109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9"/>
      <c r="Y229" s="109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9"/>
      <c r="Y230" s="109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9"/>
      <c r="Y231" s="109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9"/>
      <c r="Y232" s="109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9"/>
      <c r="Y233" s="109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9"/>
      <c r="Y234" s="109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9"/>
      <c r="Y235" s="109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9"/>
      <c r="Y236" s="109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9"/>
      <c r="Y237" s="109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9"/>
      <c r="Y238" s="109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9"/>
      <c r="Y239" s="109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9"/>
      <c r="Y240" s="109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9"/>
      <c r="Y241" s="109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9"/>
      <c r="Y242" s="109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9"/>
      <c r="Y243" s="109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9"/>
      <c r="Y244" s="109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9"/>
      <c r="Y245" s="109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9"/>
      <c r="Y246" s="109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9"/>
      <c r="Y247" s="109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9"/>
      <c r="Y248" s="109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9"/>
      <c r="Y249" s="109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9"/>
      <c r="Y250" s="109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9"/>
      <c r="Y251" s="109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9"/>
      <c r="Y252" s="109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9"/>
      <c r="Y253" s="109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9"/>
      <c r="Y254" s="109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9"/>
      <c r="Y255" s="109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9"/>
      <c r="Y256" s="109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9"/>
      <c r="Y257" s="109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9"/>
      <c r="Y258" s="109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9"/>
      <c r="Y259" s="109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9"/>
      <c r="Y260" s="109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9"/>
      <c r="Y261" s="109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9"/>
      <c r="Y262" s="109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9"/>
      <c r="Y263" s="109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9"/>
      <c r="Y264" s="109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9"/>
      <c r="Y265" s="109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9"/>
      <c r="Y266" s="109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9"/>
      <c r="Y267" s="109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9"/>
      <c r="Y268" s="109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9"/>
      <c r="Y269" s="109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9"/>
      <c r="Y270" s="109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9"/>
      <c r="Y271" s="109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9"/>
      <c r="Y272" s="109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9"/>
      <c r="Y273" s="109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9"/>
      <c r="Y274" s="109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9"/>
      <c r="Y275" s="109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9"/>
      <c r="Y276" s="109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9"/>
      <c r="Y277" s="109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9"/>
      <c r="Y278" s="109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9"/>
      <c r="Y279" s="109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9"/>
      <c r="Y280" s="109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9"/>
      <c r="Y281" s="109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9"/>
      <c r="Y282" s="109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9"/>
      <c r="Y283" s="109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9"/>
      <c r="Y284" s="109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9"/>
      <c r="Y285" s="109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9"/>
      <c r="Y286" s="109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9"/>
      <c r="Y287" s="109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9"/>
      <c r="Y288" s="109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9"/>
      <c r="Y289" s="109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9"/>
      <c r="Y290" s="109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9"/>
      <c r="Y291" s="109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9"/>
      <c r="Y292" s="109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9"/>
      <c r="Y293" s="109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9"/>
      <c r="Y294" s="109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9"/>
      <c r="Y295" s="109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9"/>
      <c r="Y296" s="109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9"/>
      <c r="Y297" s="109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9"/>
      <c r="Y298" s="109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9"/>
      <c r="Y299" s="109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9"/>
      <c r="Y300" s="109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9"/>
      <c r="Y301" s="109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9"/>
      <c r="Y302" s="109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9"/>
      <c r="Y303" s="109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9"/>
      <c r="Y304" s="109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9"/>
      <c r="Y305" s="109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9"/>
      <c r="Y306" s="109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9"/>
      <c r="Y307" s="109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9"/>
      <c r="Y308" s="109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9"/>
      <c r="Y309" s="109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9"/>
      <c r="Y310" s="109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9"/>
      <c r="Y311" s="109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9"/>
      <c r="Y312" s="109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9"/>
      <c r="Y313" s="109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9"/>
      <c r="Y314" s="109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9"/>
      <c r="Y315" s="109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9"/>
      <c r="Y316" s="109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9"/>
      <c r="Y317" s="109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9"/>
      <c r="Y318" s="109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9"/>
      <c r="Y319" s="109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9"/>
      <c r="Y320" s="109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9"/>
      <c r="Y321" s="109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9"/>
      <c r="Y322" s="109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9"/>
      <c r="Y323" s="109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9"/>
      <c r="Y324" s="109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9"/>
      <c r="Y325" s="109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9"/>
      <c r="Y326" s="109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9"/>
      <c r="Y327" s="109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9"/>
      <c r="Y328" s="109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9"/>
      <c r="Y329" s="109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9"/>
      <c r="Y330" s="109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9"/>
      <c r="Y331" s="109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9"/>
      <c r="Y332" s="109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9"/>
      <c r="Y333" s="109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9"/>
      <c r="Y334" s="109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9"/>
      <c r="Y335" s="109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9"/>
      <c r="Y336" s="109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9"/>
      <c r="Y337" s="109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9"/>
      <c r="Y338" s="109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9"/>
      <c r="Y339" s="109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9"/>
      <c r="Y340" s="109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9"/>
      <c r="Y341" s="109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9"/>
      <c r="Y342" s="109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9"/>
      <c r="Y343" s="109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9"/>
      <c r="Y344" s="109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9"/>
      <c r="Y345" s="109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9"/>
      <c r="Y346" s="109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9"/>
      <c r="Y347" s="109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9"/>
      <c r="Y348" s="109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9"/>
      <c r="Y349" s="109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9"/>
      <c r="Y350" s="109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9"/>
      <c r="Y351" s="109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9"/>
      <c r="Y352" s="109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9"/>
      <c r="Y353" s="109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9"/>
      <c r="Y354" s="109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9"/>
      <c r="Y355" s="109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9"/>
      <c r="Y356" s="109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9"/>
      <c r="Y357" s="109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9"/>
      <c r="Y358" s="109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9"/>
      <c r="Y359" s="109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9"/>
      <c r="Y360" s="109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9"/>
      <c r="Y361" s="109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9"/>
      <c r="Y362" s="109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9"/>
      <c r="Y363" s="109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9"/>
      <c r="Y364" s="109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9"/>
      <c r="Y365" s="109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9"/>
      <c r="Y366" s="109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9"/>
      <c r="Y367" s="109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9"/>
      <c r="Y368" s="109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9"/>
      <c r="Y369" s="109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9"/>
      <c r="Y370" s="109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9"/>
      <c r="Y371" s="109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9"/>
      <c r="Y372" s="109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9"/>
      <c r="Y373" s="109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9"/>
      <c r="Y374" s="109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9"/>
      <c r="Y375" s="109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9"/>
      <c r="Y376" s="109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9"/>
      <c r="Y377" s="109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9"/>
      <c r="Y378" s="109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9"/>
      <c r="Y379" s="109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9"/>
      <c r="Y380" s="109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9"/>
      <c r="Y381" s="109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9"/>
      <c r="Y382" s="109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9"/>
      <c r="Y383" s="109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9"/>
      <c r="Y384" s="109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9"/>
      <c r="Y385" s="109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9"/>
      <c r="Y386" s="109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9"/>
      <c r="Y387" s="109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9"/>
      <c r="Y388" s="109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9"/>
      <c r="Y389" s="109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9"/>
      <c r="Y390" s="109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9"/>
      <c r="Y391" s="109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9"/>
      <c r="Y392" s="109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9"/>
      <c r="Y393" s="109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9"/>
      <c r="Y394" s="109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9"/>
      <c r="Y395" s="109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9"/>
      <c r="Y396" s="109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9"/>
      <c r="Y397" s="109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9"/>
      <c r="Y398" s="109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9"/>
      <c r="Y399" s="109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9"/>
      <c r="Y400" s="109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9"/>
      <c r="Y401" s="109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9"/>
      <c r="Y402" s="109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9"/>
      <c r="Y403" s="109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9"/>
      <c r="Y404" s="109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9"/>
      <c r="Y405" s="109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9"/>
      <c r="Y406" s="109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9"/>
      <c r="Y407" s="109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9"/>
      <c r="Y408" s="109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9"/>
      <c r="Y409" s="109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9"/>
      <c r="Y410" s="109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9"/>
      <c r="Y411" s="109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9"/>
      <c r="Y412" s="109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9"/>
      <c r="Y413" s="109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9"/>
      <c r="Y414" s="109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9"/>
      <c r="Y415" s="109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9"/>
      <c r="Y416" s="109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9"/>
      <c r="Y417" s="109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9"/>
      <c r="Y418" s="109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9"/>
      <c r="Y419" s="109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9"/>
      <c r="Y420" s="109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9"/>
      <c r="Y421" s="109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9"/>
      <c r="Y422" s="109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9"/>
      <c r="Y423" s="109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9"/>
      <c r="Y424" s="109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9"/>
      <c r="Y425" s="109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9"/>
      <c r="Y426" s="109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9"/>
      <c r="Y427" s="109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9"/>
      <c r="Y428" s="109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9"/>
      <c r="Y429" s="109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9"/>
      <c r="Y430" s="109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9"/>
      <c r="Y431" s="109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9"/>
      <c r="Y432" s="109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9"/>
      <c r="Y433" s="109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9"/>
      <c r="Y434" s="109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9"/>
      <c r="Y435" s="109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9"/>
      <c r="Y436" s="109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9"/>
      <c r="Y437" s="109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9"/>
      <c r="Y438" s="109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9"/>
      <c r="Y439" s="109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9"/>
      <c r="Y440" s="109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9"/>
      <c r="Y441" s="109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9"/>
      <c r="Y442" s="109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9"/>
      <c r="Y443" s="109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9"/>
      <c r="Y444" s="109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9"/>
      <c r="Y445" s="109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9"/>
      <c r="Y446" s="109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9"/>
      <c r="Y447" s="109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9"/>
      <c r="Y448" s="109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9"/>
      <c r="Y449" s="109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9"/>
      <c r="Y450" s="109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9"/>
      <c r="Y451" s="109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9"/>
      <c r="Y452" s="109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9"/>
      <c r="Y453" s="109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9"/>
      <c r="Y454" s="109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9"/>
      <c r="Y455" s="109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9"/>
      <c r="Y456" s="109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9"/>
      <c r="Y457" s="109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9"/>
      <c r="Y458" s="109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9"/>
      <c r="Y459" s="109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9"/>
      <c r="Y460" s="109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9"/>
      <c r="Y461" s="109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9"/>
      <c r="Y462" s="109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9"/>
      <c r="Y463" s="109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9"/>
      <c r="Y464" s="109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9"/>
      <c r="Y465" s="109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9"/>
      <c r="Y466" s="109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9"/>
      <c r="Y467" s="109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9"/>
      <c r="Y468" s="109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9"/>
      <c r="Y469" s="109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9"/>
      <c r="Y470" s="109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9"/>
      <c r="Y471" s="109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9"/>
      <c r="Y472" s="109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9"/>
      <c r="Y473" s="109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9"/>
      <c r="Y474" s="109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9"/>
      <c r="Y475" s="109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9"/>
      <c r="Y476" s="109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9"/>
      <c r="Y477" s="109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9"/>
      <c r="Y478" s="109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9"/>
      <c r="Y479" s="109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9"/>
      <c r="Y480" s="109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9"/>
      <c r="Y481" s="109"/>
      <c r="Z481" s="31"/>
      <c r="AA481" s="31"/>
      <c r="AB481" s="31"/>
      <c r="AC481" s="31"/>
    </row>
    <row r="482" spans="2:29">
      <c r="B482" s="31"/>
      <c r="C482" s="31"/>
      <c r="F482" s="77"/>
      <c r="G482" s="78"/>
      <c r="H482" s="77"/>
      <c r="I482" s="77"/>
      <c r="J482" s="77"/>
      <c r="K482" s="77"/>
      <c r="L482" s="77"/>
      <c r="M482" s="77"/>
      <c r="N482" s="77"/>
      <c r="O482" s="77"/>
      <c r="P482" s="77"/>
      <c r="Q482" s="31"/>
      <c r="R482" s="35"/>
      <c r="S482" s="35"/>
      <c r="T482" s="31"/>
      <c r="U482" s="31"/>
      <c r="V482" s="31"/>
      <c r="W482" s="31"/>
      <c r="X482" s="109"/>
      <c r="Y482" s="109"/>
      <c r="Z482" s="31"/>
      <c r="AA482" s="31"/>
      <c r="AB482" s="31"/>
      <c r="A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  <row r="555" spans="2:3">
      <c r="B555" s="31"/>
      <c r="C555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2" sqref="B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113</v>
      </c>
      <c r="B1" s="10" t="s">
        <v>114</v>
      </c>
      <c r="C1" s="11" t="s">
        <v>37</v>
      </c>
      <c r="D1" s="12" t="s">
        <v>115</v>
      </c>
      <c r="E1" s="12" t="s">
        <v>116</v>
      </c>
      <c r="F1" s="12" t="s">
        <v>117</v>
      </c>
      <c r="G1" s="22" t="s">
        <v>118</v>
      </c>
      <c r="H1" s="22" t="s">
        <v>119</v>
      </c>
      <c r="I1" s="22" t="s">
        <v>120</v>
      </c>
      <c r="J1" s="10" t="s">
        <v>121</v>
      </c>
      <c r="K1" s="25" t="s">
        <v>122</v>
      </c>
      <c r="CZ1" t="s">
        <v>123</v>
      </c>
    </row>
    <row r="2" ht="14.8" spans="1:11">
      <c r="A2" s="13">
        <v>44554</v>
      </c>
      <c r="B2" s="14">
        <f>SUM(交易计划及执行表!S4:S24)</f>
        <v>1096.0782</v>
      </c>
      <c r="C2" s="14">
        <f>SUM(交易计划及执行表!AD4:AD24)</f>
        <v>-2106.29632</v>
      </c>
      <c r="D2" s="15">
        <f>E2+F2</f>
        <v>14</v>
      </c>
      <c r="E2" s="15">
        <f>COUNTIF(交易计划及执行表!AD4:AD24,"&gt;0")</f>
        <v>3</v>
      </c>
      <c r="F2" s="15">
        <f>COUNTIF(交易计划及执行表!AD4:AD24,"&lt;0")</f>
        <v>11</v>
      </c>
      <c r="G2" s="23">
        <f>E2/D2</f>
        <v>0.214285714285714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0.0909090909090909</v>
      </c>
      <c r="J2" s="26">
        <f>G2*H2/((1-G2)*I2)</f>
        <v>1</v>
      </c>
      <c r="K2" s="27">
        <f>B2/(100000*0.06)</f>
        <v>0.1826797</v>
      </c>
    </row>
    <row r="3" ht="14.8" spans="1:11">
      <c r="A3" s="13"/>
      <c r="B3" s="14">
        <f>SUM(交易计划及执行表!S4:$S28)</f>
        <v>3152.81844</v>
      </c>
      <c r="C3" s="14"/>
      <c r="D3" s="15"/>
      <c r="E3" s="15"/>
      <c r="F3" s="15"/>
      <c r="G3" s="23"/>
      <c r="H3" s="24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C12" sqref="C1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113</v>
      </c>
      <c r="B1" s="1" t="s">
        <v>124</v>
      </c>
      <c r="C1" s="2" t="s">
        <v>125</v>
      </c>
      <c r="D1" s="2" t="s">
        <v>126</v>
      </c>
    </row>
    <row r="2" spans="1:4">
      <c r="A2" s="3">
        <v>44489</v>
      </c>
      <c r="B2" s="4">
        <v>100000</v>
      </c>
      <c r="C2" s="4">
        <f>(VLOOKUP(A2,$A$1:$D99,2,FALSE)*0.02)</f>
        <v>2000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(VLOOKUP(A3,$A$1:$D100,2,FALSE)*0.02)</f>
        <v>1997.6154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(VLOOKUP(A4,$A$1:$D101,2,FALSE)*0.02)</f>
        <v>1996.2508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(VLOOKUP(A5,$A$1:$D102,2,FALSE)*0.02)</f>
        <v>1996.1606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(VLOOKUP(A6,$A$1:$D103,2,FALSE)*0.02)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(VLOOKUP(A7,$A$1:$D104,2,FALSE)*0.02)</f>
        <v>1996.6204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(VLOOKUP(A8,$A$1:$D105,2,FALSE)*0.02)</f>
        <v>2005.9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(VLOOKUP(A9,$A$1:$D106,2,FALSE)*0.02)</f>
        <v>2004.7038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(VLOOKUP(A10,$A$1:$D107,2,FALSE)*0.02)</f>
        <v>1988.24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(VLOOKUP(A11,$A$1:$D108,2,FALSE)*0.02)</f>
        <v>1999.2232</v>
      </c>
      <c r="D11" s="4">
        <f>(VLOOKUP(A11,$A$1:$D$99,2,FALSE)*0.06)</f>
        <v>5997.6696</v>
      </c>
    </row>
    <row r="12" spans="1:4">
      <c r="A12" s="3">
        <v>44559</v>
      </c>
      <c r="B12" s="4">
        <v>99314.83</v>
      </c>
      <c r="C12" s="4">
        <f>(VLOOKUP(A12,$A$1:$D109,2,FALSE)*0.02)</f>
        <v>1986.2966</v>
      </c>
      <c r="D12" s="4">
        <f>(VLOOKUP(A12,$A$1:$D$99,2,FALSE)*0.06)</f>
        <v>5958.8898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2021-12-13T09:47:00Z</dcterms:created>
  <dcterms:modified xsi:type="dcterms:W3CDTF">2021-12-29T18:50:58Z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