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Bon\"/>
    </mc:Choice>
  </mc:AlternateContent>
  <xr:revisionPtr revIDLastSave="0" documentId="13_ncr:1_{7D2A3838-9FFA-46D9-B813-B16DB90EDDA5}" xr6:coauthVersionLast="47" xr6:coauthVersionMax="47" xr10:uidLastSave="{00000000-0000-0000-0000-000000000000}"/>
  <bookViews>
    <workbookView xWindow="-110" yWindow="-110" windowWidth="25820" windowHeight="14020" activeTab="3" xr2:uid="{620E23B6-454D-4DD5-B240-899DF4C2D7B3}"/>
  </bookViews>
  <sheets>
    <sheet name="Sheet1" sheetId="1" r:id="rId1"/>
    <sheet name="Sheet2" sheetId="2" r:id="rId2"/>
    <sheet name="with empty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4" l="1"/>
  <c r="N5" i="4" s="1"/>
  <c r="M5" i="4"/>
  <c r="M4" i="4"/>
  <c r="H3" i="4"/>
  <c r="I3" i="4"/>
  <c r="I2" i="4"/>
  <c r="H2" i="4"/>
  <c r="C5" i="4"/>
  <c r="B5" i="4"/>
  <c r="L85" i="3"/>
  <c r="L83" i="3"/>
  <c r="D41" i="3"/>
  <c r="I55" i="3"/>
  <c r="I53" i="3"/>
  <c r="J48" i="3"/>
  <c r="M54" i="3"/>
  <c r="M53" i="3"/>
  <c r="C11" i="3"/>
  <c r="B11" i="3"/>
  <c r="G82" i="3"/>
  <c r="B82" i="3"/>
  <c r="H81" i="3"/>
  <c r="H80" i="3"/>
  <c r="F80" i="3"/>
  <c r="B77" i="3"/>
  <c r="C41" i="3"/>
  <c r="D35" i="3"/>
  <c r="B35" i="3"/>
  <c r="B36" i="3" s="1"/>
  <c r="I54" i="3"/>
  <c r="G54" i="3"/>
  <c r="H53" i="3"/>
  <c r="C54" i="3"/>
  <c r="H13" i="3"/>
  <c r="B13" i="3"/>
  <c r="D7" i="3"/>
  <c r="B7" i="3"/>
  <c r="D53" i="3"/>
  <c r="D52" i="3"/>
  <c r="C53" i="3"/>
  <c r="B83" i="3"/>
  <c r="B81" i="3"/>
  <c r="D72" i="3"/>
  <c r="D76" i="3" s="1"/>
  <c r="C72" i="3"/>
  <c r="C82" i="3" s="1"/>
  <c r="B70" i="3"/>
  <c r="B72" i="3" s="1"/>
  <c r="E64" i="3"/>
  <c r="E62" i="3"/>
  <c r="D62" i="3"/>
  <c r="C62" i="3"/>
  <c r="B62" i="3"/>
  <c r="C64" i="3"/>
  <c r="D54" i="3"/>
  <c r="D64" i="3" s="1"/>
  <c r="D50" i="3"/>
  <c r="C50" i="3"/>
  <c r="B50" i="3"/>
  <c r="E49" i="3"/>
  <c r="E50" i="3" s="1"/>
  <c r="C49" i="3"/>
  <c r="F44" i="3"/>
  <c r="D44" i="3"/>
  <c r="H44" i="3" s="1"/>
  <c r="B44" i="3"/>
  <c r="B42" i="3" s="1"/>
  <c r="C42" i="3" s="1"/>
  <c r="B23" i="3"/>
  <c r="B22" i="3"/>
  <c r="B64" i="3" s="1"/>
  <c r="B19" i="3"/>
  <c r="C13" i="3"/>
  <c r="M7" i="3"/>
  <c r="M8" i="3" s="1"/>
  <c r="M10" i="3" s="1"/>
  <c r="B8" i="3"/>
  <c r="B10" i="3" s="1"/>
  <c r="L85" i="1"/>
  <c r="L83" i="1"/>
  <c r="D41" i="1"/>
  <c r="B41" i="1"/>
  <c r="D35" i="1"/>
  <c r="B35" i="1"/>
  <c r="I55" i="1"/>
  <c r="M54" i="1"/>
  <c r="G54" i="1"/>
  <c r="H53" i="1"/>
  <c r="M53" i="1"/>
  <c r="G83" i="1"/>
  <c r="G82" i="1"/>
  <c r="H81" i="1"/>
  <c r="H80" i="1"/>
  <c r="F80" i="1"/>
  <c r="B77" i="1"/>
  <c r="B72" i="1"/>
  <c r="B70" i="1"/>
  <c r="C42" i="1"/>
  <c r="C41" i="1"/>
  <c r="B36" i="1"/>
  <c r="I54" i="1"/>
  <c r="I53" i="1"/>
  <c r="J48" i="1"/>
  <c r="C54" i="1"/>
  <c r="C53" i="1"/>
  <c r="D54" i="1"/>
  <c r="B23" i="1"/>
  <c r="B22" i="1"/>
  <c r="D44" i="1"/>
  <c r="B44" i="1" s="1"/>
  <c r="B42" i="1" s="1"/>
  <c r="F44" i="1"/>
  <c r="H44" i="1" s="1"/>
  <c r="B83" i="1"/>
  <c r="B81" i="1"/>
  <c r="E72" i="1"/>
  <c r="E76" i="1" s="1"/>
  <c r="C63" i="3" l="1"/>
  <c r="B76" i="3"/>
  <c r="B84" i="3"/>
  <c r="C61" i="3"/>
  <c r="D61" i="3"/>
  <c r="B61" i="3"/>
  <c r="E61" i="3"/>
  <c r="C60" i="3"/>
  <c r="B60" i="3"/>
  <c r="B41" i="3"/>
  <c r="E60" i="3"/>
  <c r="E65" i="3" s="1"/>
  <c r="D60" i="3"/>
  <c r="D63" i="3"/>
  <c r="C76" i="3"/>
  <c r="E63" i="3"/>
  <c r="C84" i="3"/>
  <c r="C86" i="3" s="1"/>
  <c r="B63" i="3"/>
  <c r="E72" i="3"/>
  <c r="E76" i="3" s="1"/>
  <c r="D82" i="3"/>
  <c r="G83" i="3"/>
  <c r="D84" i="3"/>
  <c r="D86" i="3" s="1"/>
  <c r="D53" i="1"/>
  <c r="B76" i="1"/>
  <c r="E84" i="1"/>
  <c r="B84" i="1"/>
  <c r="D72" i="1"/>
  <c r="C72" i="1"/>
  <c r="E82" i="1"/>
  <c r="E86" i="1" s="1"/>
  <c r="E49" i="1"/>
  <c r="E50" i="1" s="1"/>
  <c r="D50" i="1"/>
  <c r="C49" i="1"/>
  <c r="C50" i="1" s="1"/>
  <c r="B50" i="1"/>
  <c r="E64" i="1"/>
  <c r="E62" i="1"/>
  <c r="C64" i="1"/>
  <c r="D64" i="1"/>
  <c r="D62" i="1"/>
  <c r="C62" i="1"/>
  <c r="M7" i="1"/>
  <c r="M8" i="1" s="1"/>
  <c r="M10" i="1" s="1"/>
  <c r="B7" i="1"/>
  <c r="B8" i="1" s="1"/>
  <c r="B10" i="1" s="1"/>
  <c r="B64" i="1"/>
  <c r="B19" i="1"/>
  <c r="D63" i="1" s="1"/>
  <c r="B62" i="1"/>
  <c r="C13" i="1"/>
  <c r="H13" i="1"/>
  <c r="B13" i="1" s="1"/>
  <c r="C61" i="1" s="1"/>
  <c r="B86" i="3" l="1"/>
  <c r="E82" i="3"/>
  <c r="E84" i="3"/>
  <c r="E86" i="3" s="1"/>
  <c r="E89" i="3" s="1"/>
  <c r="D65" i="3"/>
  <c r="D89" i="3" s="1"/>
  <c r="B65" i="3"/>
  <c r="C65" i="3"/>
  <c r="C89" i="3" s="1"/>
  <c r="B82" i="1"/>
  <c r="B86" i="1" s="1"/>
  <c r="C76" i="1"/>
  <c r="C84" i="1"/>
  <c r="C82" i="1"/>
  <c r="D84" i="1"/>
  <c r="D82" i="1"/>
  <c r="D76" i="1"/>
  <c r="D61" i="1"/>
  <c r="E61" i="1"/>
  <c r="E60" i="1"/>
  <c r="D60" i="1"/>
  <c r="C60" i="1"/>
  <c r="B60" i="1"/>
  <c r="B63" i="1"/>
  <c r="C63" i="1"/>
  <c r="B61" i="1"/>
  <c r="E63" i="1"/>
  <c r="B89" i="3" l="1"/>
  <c r="D86" i="1"/>
  <c r="D65" i="1"/>
  <c r="D89" i="1" s="1"/>
  <c r="E65" i="1"/>
  <c r="E89" i="1" s="1"/>
  <c r="C86" i="1"/>
  <c r="B65" i="1"/>
  <c r="B89" i="1" s="1"/>
  <c r="C65" i="1"/>
  <c r="C8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tc={5374E75D-F117-4C82-AE00-13D379C1FEDD}</author>
    <author>tc={4B14BF4F-B15F-4BBF-9785-0852D739202C}</author>
  </authors>
  <commentList>
    <comment ref="C49" authorId="0" shapeId="0" xr:uid="{5374E75D-F117-4C82-AE00-13D379C1FEDD}">
      <text>
        <t>[Threaded comment]
Your version of Excel allows you to read this threaded comment; however, any edits to it will get removed if the file is opened in a newer version of Excel. Learn more: https://go.microsoft.com/fwlink/?linkid=870924
Comment:
    charge only until 80% to protect the battery</t>
      </text>
    </comment>
    <comment ref="E49" authorId="1" shapeId="0" xr:uid="{4B14BF4F-B15F-4BBF-9785-0852D739202C}">
      <text>
        <t>[Threaded comment]
Your version of Excel allows you to read this threaded comment; however, any edits to it will get removed if the file is opened in a newer version of Excel. Learn more: https://go.microsoft.com/fwlink/?linkid=870924
Comment:
    charge only until 80% to protect the battery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tc={77B01E6A-982D-40DD-8732-00C4AAA673D5}</author>
    <author>tc={03351F6B-3A77-4333-A43D-093E4F4A8E85}</author>
  </authors>
  <commentList>
    <comment ref="C49" authorId="0" shapeId="0" xr:uid="{77B01E6A-982D-40DD-8732-00C4AAA673D5}">
      <text>
        <t>[Threaded comment]
Your version of Excel allows you to read this threaded comment; however, any edits to it will get removed if the file is opened in a newer version of Excel. Learn more: https://go.microsoft.com/fwlink/?linkid=870924
Comment:
    charge only until 80% to protect the battery</t>
      </text>
    </comment>
    <comment ref="E49" authorId="1" shapeId="0" xr:uid="{03351F6B-3A77-4333-A43D-093E4F4A8E85}">
      <text>
        <t>[Threaded comment]
Your version of Excel allows you to read this threaded comment; however, any edits to it will get removed if the file is opened in a newer version of Excel. Learn more: https://go.microsoft.com/fwlink/?linkid=870924
Comment:
    charge only until 80% to protect the battery</t>
      </text>
    </comment>
  </commentList>
</comments>
</file>

<file path=xl/sharedStrings.xml><?xml version="1.0" encoding="utf-8"?>
<sst xmlns="http://schemas.openxmlformats.org/spreadsheetml/2006/main" count="412" uniqueCount="159">
  <si>
    <t>Input</t>
  </si>
  <si>
    <t>Insurance &amp; Registration</t>
  </si>
  <si>
    <t>Electricity</t>
  </si>
  <si>
    <t>Vehicle capital</t>
  </si>
  <si>
    <t>Normal</t>
  </si>
  <si>
    <t>Replacement battery</t>
  </si>
  <si>
    <t>Non-Autonomous SAEV</t>
  </si>
  <si>
    <t>Autonomous primium</t>
  </si>
  <si>
    <t>comparable to Nissan LEAF and Ford Focus Electric BEVs</t>
  </si>
  <si>
    <t>Comment</t>
  </si>
  <si>
    <t>Source</t>
  </si>
  <si>
    <t>Chen</t>
  </si>
  <si>
    <t>through chen</t>
  </si>
  <si>
    <t>Cost for replacement batteries (24 kWh for SAEVs and 60 kWh for LR SAEVs) are assumed to cost between $380 and $570 per kWh, per estimates from Plotkin and Singh (2009)</t>
  </si>
  <si>
    <t>Unity</t>
  </si>
  <si>
    <t>$</t>
  </si>
  <si>
    <t>$ / kWh</t>
  </si>
  <si>
    <t>kWh</t>
  </si>
  <si>
    <t>Total</t>
  </si>
  <si>
    <t>Total distance</t>
  </si>
  <si>
    <t>€</t>
  </si>
  <si>
    <t>file:///C:/Users/MediMonster/Downloads/ENOReportAVpaper.pdf</t>
  </si>
  <si>
    <t>through Schultz (2014), through chen</t>
  </si>
  <si>
    <t>€ / kWh</t>
  </si>
  <si>
    <t xml:space="preserve">miles </t>
  </si>
  <si>
    <t>New York City Taxi &amp; Limousine Commission, 2014). T</t>
  </si>
  <si>
    <t>cost per km</t>
  </si>
  <si>
    <t>Vehicule operations</t>
  </si>
  <si>
    <t>Maintenance</t>
  </si>
  <si>
    <t>$/miles</t>
  </si>
  <si>
    <t>€/miles</t>
  </si>
  <si>
    <t>€/km</t>
  </si>
  <si>
    <t>km</t>
  </si>
  <si>
    <t>two to three times the cost of privately owned vehicles, similar to assumptions in Burns et al. (2013), which translates to $1280–1920 annually
(AAA, 2014).</t>
  </si>
  <si>
    <t>to compute with simulateur</t>
  </si>
  <si>
    <t>per year</t>
  </si>
  <si>
    <t>ramener per km</t>
  </si>
  <si>
    <t>€/kWh</t>
  </si>
  <si>
    <t>https://www.kelwatt.fr/guide/conso/voiture-electrique</t>
  </si>
  <si>
    <t>electrictiy tot</t>
  </si>
  <si>
    <t>Charging infrastructure</t>
  </si>
  <si>
    <t>Level II charger</t>
  </si>
  <si>
    <t>n (Chang et al., 2012; USDOE, 2012)</t>
  </si>
  <si>
    <t>r (USDOE, 2012)</t>
  </si>
  <si>
    <t>n (USDOE, 2012; New York City Taxi &amp; Limousine Commission, 2013)</t>
  </si>
  <si>
    <t>(New York City Taxi &amp; Limousine Commission, 2013)</t>
  </si>
  <si>
    <t>$ / charger</t>
  </si>
  <si>
    <t>Level II charger Maintenance</t>
  </si>
  <si>
    <t>Level III charger</t>
  </si>
  <si>
    <t>Level III charger Maintenance</t>
  </si>
  <si>
    <t>$ / charger per year</t>
  </si>
  <si>
    <t xml:space="preserve">life span </t>
  </si>
  <si>
    <t>s (Chang et al., 2012).</t>
  </si>
  <si>
    <t>$ / charger / year</t>
  </si>
  <si>
    <t>LR</t>
  </si>
  <si>
    <t>comparable to Tesla moel S and Tesla model 3</t>
  </si>
  <si>
    <t>One year</t>
  </si>
  <si>
    <t>Nb km</t>
  </si>
  <si>
    <t>Nb stations</t>
  </si>
  <si>
    <t>Nb Taxis</t>
  </si>
  <si>
    <t>Results</t>
  </si>
  <si>
    <t>SAEV</t>
  </si>
  <si>
    <t>Vehicule capital</t>
  </si>
  <si>
    <t>€ /voit</t>
  </si>
  <si>
    <t>€ / voit</t>
  </si>
  <si>
    <t>€/voit</t>
  </si>
  <si>
    <t>Insurance and registration</t>
  </si>
  <si>
    <t>consommation</t>
  </si>
  <si>
    <t>kWh / km</t>
  </si>
  <si>
    <t>€ / km</t>
  </si>
  <si>
    <t>Charger</t>
  </si>
  <si>
    <t>SAEV fast charge</t>
  </si>
  <si>
    <t>LR SAEV</t>
  </si>
  <si>
    <t>LR SAEV fast charge</t>
  </si>
  <si>
    <t>km per charge</t>
  </si>
  <si>
    <t>vitesse charge</t>
  </si>
  <si>
    <t>km / min</t>
  </si>
  <si>
    <t>cambio</t>
  </si>
  <si>
    <t>voitures</t>
  </si>
  <si>
    <t>https://bx1.be/categories/news/coup-doeil-dans-le-retro-pour-cambio-le-nombre-de-trajets-a-augmente-de-16-chaque-annee-depuis-10-ans/</t>
  </si>
  <si>
    <t>employees</t>
  </si>
  <si>
    <t>https://www.linkedin.com/company/cambio-brussels/about/</t>
  </si>
  <si>
    <t>subsidiary==&gt; max</t>
  </si>
  <si>
    <t>employees / voiture</t>
  </si>
  <si>
    <t>employees needed</t>
  </si>
  <si>
    <t>average wage</t>
  </si>
  <si>
    <t>€ / mois</t>
  </si>
  <si>
    <t>https://bestat.statbel.fgov.be/bestat/crosstable.xhtml?view=563d857c-c9b3-43b2-8a00-1c0e40e8dffd</t>
  </si>
  <si>
    <t>couts wages</t>
  </si>
  <si>
    <t>Office</t>
  </si>
  <si>
    <t>Depend du nombre d'employés</t>
  </si>
  <si>
    <t>prix ordi + gsm</t>
  </si>
  <si>
    <t>Tps de vie</t>
  </si>
  <si>
    <t>€/ pers</t>
  </si>
  <si>
    <t>ans</t>
  </si>
  <si>
    <t>couts ordi + gsm / an</t>
  </si>
  <si>
    <t>tot</t>
  </si>
  <si>
    <t>€ / an /pers</t>
  </si>
  <si>
    <t>cout abonnement tel</t>
  </si>
  <si>
    <t>tot admin</t>
  </si>
  <si>
    <t>cost tot</t>
  </si>
  <si>
    <t>Tot op</t>
  </si>
  <si>
    <t>check represente moins de 7 ans</t>
  </si>
  <si>
    <t>Cleaning costs</t>
  </si>
  <si>
    <t>#outside cleaning</t>
  </si>
  <si>
    <t># trips between 2 inside cleaning</t>
  </si>
  <si>
    <t>Bosch</t>
  </si>
  <si>
    <t>cleaning per year</t>
  </si>
  <si>
    <t>duration inside cleaning</t>
  </si>
  <si>
    <t>gross average wage</t>
  </si>
  <si>
    <t>water + products</t>
  </si>
  <si>
    <t>€ / day</t>
  </si>
  <si>
    <t>€ / month</t>
  </si>
  <si>
    <t>https://www.creatests.com/reseau/include/resultats/1990.pdf</t>
  </si>
  <si>
    <t>6,30 en moyenne par netoyage exterieur</t>
  </si>
  <si>
    <t>2 en moyenne par nettoyage interieur aspirateur</t>
  </si>
  <si>
    <t>duration outside cleaning</t>
  </si>
  <si>
    <t>€ / nettoyage</t>
  </si>
  <si>
    <t>heures</t>
  </si>
  <si>
    <t>€/h</t>
  </si>
  <si>
    <t>Total cost outside cleaning</t>
  </si>
  <si>
    <t>€/year</t>
  </si>
  <si>
    <t>h</t>
  </si>
  <si>
    <t>Nb cleaning per day</t>
  </si>
  <si>
    <t>Nb cleaning 'stations'</t>
  </si>
  <si>
    <t>Total cost inside cleaning paid per hour</t>
  </si>
  <si>
    <t>Total cost inside cleaning paid per month</t>
  </si>
  <si>
    <t>en fct du nombre de km, à multiplier par 2 ou 3</t>
  </si>
  <si>
    <t>€ / charger</t>
  </si>
  <si>
    <t>years</t>
  </si>
  <si>
    <t>€ / charger / year</t>
  </si>
  <si>
    <t>assurance</t>
  </si>
  <si>
    <t>Non autonomous electric vehicle</t>
  </si>
  <si>
    <t>prix per vehicle</t>
  </si>
  <si>
    <t>m²</t>
  </si>
  <si>
    <t>€/an</t>
  </si>
  <si>
    <t>tot vec</t>
  </si>
  <si>
    <t>tot op</t>
  </si>
  <si>
    <t>tot adm</t>
  </si>
  <si>
    <t>tot cost</t>
  </si>
  <si>
    <t>tot non empty kù</t>
  </si>
  <si>
    <t xml:space="preserve">vie moins de 7 ans </t>
  </si>
  <si>
    <t>tot charger</t>
  </si>
  <si>
    <t>Costs per km</t>
  </si>
  <si>
    <t>Price per km for breakeven</t>
  </si>
  <si>
    <t>per day</t>
  </si>
  <si>
    <t>Total travelled km per day</t>
  </si>
  <si>
    <t>Total pers km per day</t>
  </si>
  <si>
    <t>No empty ride</t>
  </si>
  <si>
    <t>With empty ride</t>
  </si>
  <si>
    <t>Profit</t>
  </si>
  <si>
    <t>Today's taxi price</t>
  </si>
  <si>
    <t>km per year</t>
  </si>
  <si>
    <t>Today's Uber price</t>
  </si>
  <si>
    <t>pt de vue pers</t>
  </si>
  <si>
    <t>nb trajets par jour</t>
  </si>
  <si>
    <t>longueur moyenne trajet</t>
  </si>
  <si>
    <t>prix moyen par jour</t>
  </si>
  <si>
    <t>prix moyen par 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</si>
</sst>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/>
    <xf numFmtId="0" fontId="0" fillId="0" borderId="0" xfId="0" quotePrefix="1"/>
    <xf numFmtId="0" fontId="1" fillId="0" borderId="0" xfId="1"/>
    <xf numFmtId="3" fontId="0" fillId="0" borderId="0" xfId="0" applyNumberFormat="1"/>
    <xf numFmtId="43" fontId="0" fillId="0" borderId="0" xfId="2" applyFon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215900</xdr:colOff>
      <xdr:row>61</xdr:row>
      <xdr:rowOff>171450</xdr:rowOff>
    </xdr:from>
    <xdr:to>
      <xdr:col>23</xdr:col>
      <xdr:colOff>196850</xdr:colOff>
      <xdr:row>78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9431EA-AD4A-4A02-B466-A08737651DA9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86650" y="7575550"/>
          <a:ext cx="7905750" cy="29718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24</xdr:row>
      <xdr:rowOff>38100</xdr:rowOff>
    </xdr:from>
    <xdr:to>
      <xdr:col>25</xdr:col>
      <xdr:colOff>127000</xdr:colOff>
      <xdr:row>41</xdr:row>
      <xdr:rowOff>69850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958909-766D-4E17-95D8-AECB0EA5BE9D}"/>
            </a:ext>
          </a:extLst>
        </xdr:cNvPr>
        <xdr:cNvPicPr/>
      </xdr:nvPicPr>
      <xdr:blipFill rotWithShape="1">
        <a:blip xmlns:r="http://schemas.openxmlformats.org/officeDocument/2006/relationships" r:embed="rId2"/>
        <a:srcRect t="52320"/>
        <a:stretch/>
      </xdr:blipFill>
      <xdr:spPr bwMode="auto">
        <a:xfrm>
          <a:off x="7943850" y="4495800"/>
          <a:ext cx="8597900" cy="31623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215900</xdr:colOff>
      <xdr:row>61</xdr:row>
      <xdr:rowOff>171450</xdr:rowOff>
    </xdr:from>
    <xdr:to>
      <xdr:col>23</xdr:col>
      <xdr:colOff>196850</xdr:colOff>
      <xdr:row>78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FA9E9F-3701-48C1-BC2D-5851EF9D9DA5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34350" y="11442700"/>
          <a:ext cx="7905750" cy="29718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24</xdr:row>
      <xdr:rowOff>38100</xdr:rowOff>
    </xdr:from>
    <xdr:to>
      <xdr:col>25</xdr:col>
      <xdr:colOff>127000</xdr:colOff>
      <xdr:row>41</xdr:row>
      <xdr:rowOff>69850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A95C95-1204-4FE3-9594-0DBE66FA9E79}"/>
            </a:ext>
          </a:extLst>
        </xdr:cNvPr>
        <xdr:cNvPicPr/>
      </xdr:nvPicPr>
      <xdr:blipFill rotWithShape="1">
        <a:blip xmlns:r="http://schemas.openxmlformats.org/officeDocument/2006/relationships" r:embed="rId2"/>
        <a:srcRect t="52320"/>
        <a:stretch/>
      </xdr:blipFill>
      <xdr:spPr bwMode="auto">
        <a:xfrm>
          <a:off x="8591550" y="4495800"/>
          <a:ext cx="8597900" cy="31623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ennifer LECLIPTEUR" id="{440EB3D6-BF08-45CC-9A37-57B87E70062F}" userId="Jennifer LECLIPTEUR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9" dT="2021-08-02T08:23:46.79" personId="{440EB3D6-BF08-45CC-9A37-57B87E70062F}" id="{5374E75D-F117-4C82-AE00-13D379C1FEDD}">
    <text>charge only until 80% to protect the battery</text>
  </threadedComment>
  <threadedComment ref="E49" dT="2021-08-02T08:23:46.79" personId="{440EB3D6-BF08-45CC-9A37-57B87E70062F}" id="{4B14BF4F-B15F-4BBF-9785-0852D739202C}">
    <text>charge only until 80% to protect the battery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49" dT="2021-08-02T08:23:46.79" personId="{440EB3D6-BF08-45CC-9A37-57B87E70062F}" id="{77B01E6A-982D-40DD-8732-00C4AAA673D5}">
    <text>charge only until 80% to protect the battery</text>
  </threadedComment>
  <threadedComment ref="E49" dT="2021-08-02T08:23:46.79" personId="{440EB3D6-BF08-45CC-9A37-57B87E70062F}" id="{03351F6B-3A77-4333-A43D-093E4F4A8E85}">
    <text>charge only until 80% to protect the battery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kelwatt.fr/guide/conso/voiture-electrique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kelwatt.fr/guide/conso/voiture-electriqu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36E9C-00BE-4610-BC84-180CF4F9F931}">
  <dimension ref="A1:T89"/>
  <sheetViews>
    <sheetView topLeftCell="A48" workbookViewId="0">
      <selection activeCell="B53" sqref="B53"/>
    </sheetView>
  </sheetViews>
  <sheetFormatPr defaultRowHeight="14.5" x14ac:dyDescent="0.35"/>
  <cols>
    <col min="1" max="1" width="25.54296875" bestFit="1" customWidth="1"/>
    <col min="3" max="3" width="11.81640625" bestFit="1" customWidth="1"/>
    <col min="4" max="4" width="8.7265625" customWidth="1"/>
    <col min="7" max="8" width="11.81640625" bestFit="1" customWidth="1"/>
  </cols>
  <sheetData>
    <row r="1" spans="1:20" x14ac:dyDescent="0.35">
      <c r="A1" t="s">
        <v>0</v>
      </c>
    </row>
    <row r="2" spans="1:20" x14ac:dyDescent="0.35">
      <c r="A2" t="s">
        <v>3</v>
      </c>
      <c r="B2" t="s">
        <v>4</v>
      </c>
      <c r="C2" t="s">
        <v>14</v>
      </c>
      <c r="D2" t="s">
        <v>9</v>
      </c>
      <c r="E2" t="s">
        <v>10</v>
      </c>
      <c r="L2" t="s">
        <v>3</v>
      </c>
      <c r="M2" t="s">
        <v>54</v>
      </c>
      <c r="N2" t="s">
        <v>14</v>
      </c>
      <c r="O2" t="s">
        <v>9</v>
      </c>
      <c r="P2" t="s">
        <v>10</v>
      </c>
    </row>
    <row r="3" spans="1:20" x14ac:dyDescent="0.35">
      <c r="A3" t="s">
        <v>6</v>
      </c>
      <c r="B3">
        <v>40000</v>
      </c>
      <c r="C3" t="s">
        <v>64</v>
      </c>
      <c r="D3" t="s">
        <v>8</v>
      </c>
      <c r="E3" t="s">
        <v>11</v>
      </c>
      <c r="L3" t="s">
        <v>6</v>
      </c>
      <c r="M3">
        <v>75000</v>
      </c>
      <c r="N3" t="s">
        <v>20</v>
      </c>
      <c r="O3" t="s">
        <v>55</v>
      </c>
      <c r="P3" t="s">
        <v>11</v>
      </c>
    </row>
    <row r="4" spans="1:20" x14ac:dyDescent="0.35">
      <c r="A4" t="s">
        <v>7</v>
      </c>
      <c r="B4">
        <v>8500</v>
      </c>
      <c r="C4" t="s">
        <v>65</v>
      </c>
      <c r="D4" t="s">
        <v>21</v>
      </c>
      <c r="E4" t="s">
        <v>22</v>
      </c>
      <c r="H4">
        <v>10000</v>
      </c>
      <c r="I4" t="s">
        <v>15</v>
      </c>
      <c r="L4" t="s">
        <v>7</v>
      </c>
      <c r="M4">
        <v>8500</v>
      </c>
      <c r="N4" t="s">
        <v>20</v>
      </c>
      <c r="O4" t="s">
        <v>21</v>
      </c>
      <c r="P4" t="s">
        <v>22</v>
      </c>
      <c r="S4">
        <v>10000</v>
      </c>
      <c r="T4" t="s">
        <v>15</v>
      </c>
    </row>
    <row r="5" spans="1:20" x14ac:dyDescent="0.35">
      <c r="A5" t="s">
        <v>5</v>
      </c>
      <c r="B5">
        <v>340</v>
      </c>
      <c r="C5" t="s">
        <v>23</v>
      </c>
      <c r="D5" t="s">
        <v>13</v>
      </c>
      <c r="E5" t="s">
        <v>12</v>
      </c>
      <c r="H5">
        <v>405</v>
      </c>
      <c r="I5" t="s">
        <v>16</v>
      </c>
      <c r="L5" t="s">
        <v>5</v>
      </c>
      <c r="M5">
        <v>340</v>
      </c>
      <c r="N5" t="s">
        <v>23</v>
      </c>
      <c r="O5" t="s">
        <v>13</v>
      </c>
      <c r="P5" t="s">
        <v>12</v>
      </c>
      <c r="S5">
        <v>405</v>
      </c>
      <c r="T5" t="s">
        <v>16</v>
      </c>
    </row>
    <row r="6" spans="1:20" x14ac:dyDescent="0.35">
      <c r="B6">
        <v>24</v>
      </c>
      <c r="C6" t="s">
        <v>17</v>
      </c>
      <c r="D6" t="s">
        <v>11</v>
      </c>
      <c r="M6">
        <v>60</v>
      </c>
      <c r="N6" t="s">
        <v>17</v>
      </c>
      <c r="O6" t="s">
        <v>11</v>
      </c>
    </row>
    <row r="7" spans="1:20" x14ac:dyDescent="0.35">
      <c r="B7">
        <f>B5*B6</f>
        <v>8160</v>
      </c>
      <c r="C7" t="s">
        <v>63</v>
      </c>
      <c r="M7">
        <f>M5*M6</f>
        <v>20400</v>
      </c>
    </row>
    <row r="8" spans="1:20" x14ac:dyDescent="0.35">
      <c r="A8" t="s">
        <v>18</v>
      </c>
      <c r="B8">
        <f>B7+B4+B3</f>
        <v>56660</v>
      </c>
      <c r="L8" t="s">
        <v>18</v>
      </c>
      <c r="M8">
        <f>M7+M4+M3</f>
        <v>103900</v>
      </c>
    </row>
    <row r="9" spans="1:20" x14ac:dyDescent="0.35">
      <c r="A9" t="s">
        <v>19</v>
      </c>
      <c r="B9">
        <v>372000</v>
      </c>
      <c r="C9" t="s">
        <v>32</v>
      </c>
      <c r="D9" t="s">
        <v>25</v>
      </c>
      <c r="E9" t="s">
        <v>12</v>
      </c>
      <c r="F9">
        <v>231000</v>
      </c>
      <c r="G9" t="s">
        <v>24</v>
      </c>
      <c r="H9" t="s">
        <v>102</v>
      </c>
      <c r="L9" t="s">
        <v>19</v>
      </c>
      <c r="M9">
        <v>372000</v>
      </c>
      <c r="N9" t="s">
        <v>32</v>
      </c>
      <c r="O9" t="s">
        <v>25</v>
      </c>
      <c r="P9" t="s">
        <v>12</v>
      </c>
      <c r="Q9">
        <v>231000</v>
      </c>
      <c r="R9" t="s">
        <v>24</v>
      </c>
      <c r="S9" t="s">
        <v>102</v>
      </c>
    </row>
    <row r="10" spans="1:20" x14ac:dyDescent="0.35">
      <c r="A10" t="s">
        <v>26</v>
      </c>
      <c r="B10">
        <f>B8/B9</f>
        <v>0.15231182795698925</v>
      </c>
      <c r="C10" t="s">
        <v>31</v>
      </c>
      <c r="L10" t="s">
        <v>26</v>
      </c>
      <c r="M10">
        <f>M8/M9</f>
        <v>0.2793010752688172</v>
      </c>
      <c r="N10" t="s">
        <v>31</v>
      </c>
    </row>
    <row r="12" spans="1:20" x14ac:dyDescent="0.35">
      <c r="A12" t="s">
        <v>27</v>
      </c>
    </row>
    <row r="13" spans="1:20" x14ac:dyDescent="0.35">
      <c r="A13" t="s">
        <v>28</v>
      </c>
      <c r="B13">
        <f>H13</f>
        <v>2.8583145885891111E-2</v>
      </c>
      <c r="C13" t="str">
        <f>I13</f>
        <v>€/km</v>
      </c>
      <c r="D13">
        <v>5.5E-2</v>
      </c>
      <c r="E13" t="s">
        <v>29</v>
      </c>
      <c r="F13">
        <v>4.5999999999999999E-2</v>
      </c>
      <c r="G13" t="s">
        <v>30</v>
      </c>
      <c r="H13">
        <f>F13/1.60934</f>
        <v>2.8583145885891111E-2</v>
      </c>
      <c r="I13" t="s">
        <v>31</v>
      </c>
    </row>
    <row r="14" spans="1:20" ht="16" customHeight="1" x14ac:dyDescent="0.35">
      <c r="A14" t="s">
        <v>1</v>
      </c>
      <c r="C14" t="s">
        <v>35</v>
      </c>
      <c r="D14" s="1" t="s">
        <v>33</v>
      </c>
      <c r="E14" t="s">
        <v>34</v>
      </c>
      <c r="F14" t="s">
        <v>127</v>
      </c>
      <c r="G14" t="s">
        <v>36</v>
      </c>
    </row>
    <row r="15" spans="1:20" ht="16" customHeight="1" x14ac:dyDescent="0.35">
      <c r="D15" s="1"/>
    </row>
    <row r="16" spans="1:20" x14ac:dyDescent="0.35">
      <c r="A16" t="s">
        <v>2</v>
      </c>
      <c r="B16">
        <v>0.25</v>
      </c>
      <c r="C16" t="s">
        <v>37</v>
      </c>
      <c r="D16" s="3" t="s">
        <v>38</v>
      </c>
    </row>
    <row r="17" spans="1:10" x14ac:dyDescent="0.35">
      <c r="A17" t="s">
        <v>67</v>
      </c>
      <c r="B17">
        <v>0.1</v>
      </c>
      <c r="C17" t="s">
        <v>68</v>
      </c>
    </row>
    <row r="19" spans="1:10" x14ac:dyDescent="0.35">
      <c r="A19" t="s">
        <v>39</v>
      </c>
      <c r="B19">
        <f>B17*B16</f>
        <v>2.5000000000000001E-2</v>
      </c>
      <c r="C19" s="2" t="s">
        <v>69</v>
      </c>
    </row>
    <row r="21" spans="1:10" x14ac:dyDescent="0.35">
      <c r="A21" t="s">
        <v>40</v>
      </c>
    </row>
    <row r="22" spans="1:10" x14ac:dyDescent="0.35">
      <c r="A22" t="s">
        <v>41</v>
      </c>
      <c r="B22">
        <f>I22/B28</f>
        <v>1000</v>
      </c>
      <c r="C22" t="s">
        <v>130</v>
      </c>
      <c r="D22" t="s">
        <v>42</v>
      </c>
      <c r="E22" t="s">
        <v>12</v>
      </c>
      <c r="G22">
        <v>12000</v>
      </c>
      <c r="H22" t="s">
        <v>46</v>
      </c>
      <c r="I22">
        <v>10000</v>
      </c>
      <c r="J22" t="s">
        <v>128</v>
      </c>
    </row>
    <row r="23" spans="1:10" x14ac:dyDescent="0.35">
      <c r="A23" t="s">
        <v>47</v>
      </c>
      <c r="B23">
        <f>I23</f>
        <v>32</v>
      </c>
      <c r="C23" t="s">
        <v>130</v>
      </c>
      <c r="D23" t="s">
        <v>43</v>
      </c>
      <c r="E23" t="s">
        <v>12</v>
      </c>
      <c r="G23">
        <v>40</v>
      </c>
      <c r="H23" t="s">
        <v>50</v>
      </c>
      <c r="I23">
        <v>32</v>
      </c>
      <c r="J23" t="s">
        <v>128</v>
      </c>
    </row>
    <row r="25" spans="1:10" x14ac:dyDescent="0.35">
      <c r="A25" t="s">
        <v>48</v>
      </c>
      <c r="B25">
        <v>3800</v>
      </c>
      <c r="C25" t="s">
        <v>53</v>
      </c>
      <c r="D25" t="s">
        <v>44</v>
      </c>
      <c r="E25" t="s">
        <v>12</v>
      </c>
      <c r="G25">
        <v>45000</v>
      </c>
      <c r="H25" t="s">
        <v>46</v>
      </c>
    </row>
    <row r="26" spans="1:10" x14ac:dyDescent="0.35">
      <c r="A26" t="s">
        <v>49</v>
      </c>
      <c r="B26">
        <v>1264</v>
      </c>
      <c r="C26" t="s">
        <v>53</v>
      </c>
      <c r="D26" t="s">
        <v>45</v>
      </c>
      <c r="E26" t="s">
        <v>12</v>
      </c>
      <c r="G26">
        <v>1500</v>
      </c>
      <c r="H26" t="s">
        <v>50</v>
      </c>
    </row>
    <row r="28" spans="1:10" x14ac:dyDescent="0.35">
      <c r="A28" t="s">
        <v>51</v>
      </c>
      <c r="B28">
        <v>10</v>
      </c>
      <c r="C28" t="s">
        <v>129</v>
      </c>
      <c r="D28" t="s">
        <v>52</v>
      </c>
      <c r="E28" t="s">
        <v>12</v>
      </c>
    </row>
    <row r="31" spans="1:10" x14ac:dyDescent="0.35">
      <c r="A31" t="s">
        <v>103</v>
      </c>
    </row>
    <row r="32" spans="1:10" x14ac:dyDescent="0.35">
      <c r="A32" t="s">
        <v>104</v>
      </c>
      <c r="B32">
        <v>6</v>
      </c>
      <c r="C32" t="s">
        <v>107</v>
      </c>
      <c r="E32" t="s">
        <v>113</v>
      </c>
    </row>
    <row r="33" spans="1:10" x14ac:dyDescent="0.35">
      <c r="A33" t="s">
        <v>116</v>
      </c>
      <c r="B33">
        <v>1</v>
      </c>
      <c r="C33" t="s">
        <v>122</v>
      </c>
    </row>
    <row r="34" spans="1:10" x14ac:dyDescent="0.35">
      <c r="A34" t="s">
        <v>110</v>
      </c>
      <c r="B34">
        <v>6.3</v>
      </c>
      <c r="C34" t="s">
        <v>117</v>
      </c>
      <c r="D34" t="s">
        <v>114</v>
      </c>
      <c r="E34" t="s">
        <v>113</v>
      </c>
    </row>
    <row r="35" spans="1:10" x14ac:dyDescent="0.35">
      <c r="A35" t="s">
        <v>120</v>
      </c>
      <c r="B35">
        <f>D35/365</f>
        <v>207158.86283105024</v>
      </c>
      <c r="C35" t="s">
        <v>111</v>
      </c>
      <c r="D35">
        <f>B55*B32*(B34+B33*H44)</f>
        <v>75612984.933333337</v>
      </c>
      <c r="E35" t="s">
        <v>121</v>
      </c>
    </row>
    <row r="36" spans="1:10" x14ac:dyDescent="0.35">
      <c r="B36">
        <f>B35/B53</f>
        <v>1.655351357214576E-2</v>
      </c>
    </row>
    <row r="37" spans="1:10" x14ac:dyDescent="0.35">
      <c r="A37" t="s">
        <v>105</v>
      </c>
      <c r="B37">
        <v>40</v>
      </c>
      <c r="D37" t="s">
        <v>106</v>
      </c>
    </row>
    <row r="38" spans="1:10" x14ac:dyDescent="0.35">
      <c r="A38" t="s">
        <v>108</v>
      </c>
      <c r="B38">
        <v>0.25</v>
      </c>
      <c r="C38" t="s">
        <v>122</v>
      </c>
    </row>
    <row r="39" spans="1:10" x14ac:dyDescent="0.35">
      <c r="A39" t="s">
        <v>110</v>
      </c>
      <c r="B39">
        <v>2</v>
      </c>
      <c r="C39" t="s">
        <v>117</v>
      </c>
      <c r="D39" t="s">
        <v>115</v>
      </c>
      <c r="E39" t="s">
        <v>113</v>
      </c>
    </row>
    <row r="41" spans="1:10" x14ac:dyDescent="0.35">
      <c r="A41" t="s">
        <v>125</v>
      </c>
      <c r="B41">
        <f>B56*(B39+B38*H44)</f>
        <v>0.75795659722222231</v>
      </c>
      <c r="C41">
        <f>B41/B53</f>
        <v>6.0566295101977525E-8</v>
      </c>
      <c r="D41">
        <f>C41+B36</f>
        <v>1.6553574138440861E-2</v>
      </c>
    </row>
    <row r="42" spans="1:10" x14ac:dyDescent="0.35">
      <c r="A42" t="s">
        <v>126</v>
      </c>
      <c r="B42">
        <f>B56*B39+B57*B44</f>
        <v>0.16450000000000001</v>
      </c>
      <c r="C42">
        <f>B42/B53</f>
        <v>1.3144757339389246E-8</v>
      </c>
    </row>
    <row r="44" spans="1:10" x14ac:dyDescent="0.35">
      <c r="A44" t="s">
        <v>109</v>
      </c>
      <c r="B44">
        <f>D44/31</f>
        <v>134.06451612903226</v>
      </c>
      <c r="C44" t="s">
        <v>111</v>
      </c>
      <c r="D44" s="4">
        <f>B74</f>
        <v>4156</v>
      </c>
      <c r="E44" t="s">
        <v>112</v>
      </c>
      <c r="F44">
        <f>36*4</f>
        <v>144</v>
      </c>
      <c r="G44" t="s">
        <v>118</v>
      </c>
      <c r="H44">
        <f>D44/F44</f>
        <v>28.861111111111111</v>
      </c>
      <c r="I44" t="s">
        <v>119</v>
      </c>
    </row>
    <row r="47" spans="1:10" x14ac:dyDescent="0.35">
      <c r="A47" t="s">
        <v>56</v>
      </c>
      <c r="B47" t="s">
        <v>61</v>
      </c>
      <c r="C47" t="s">
        <v>71</v>
      </c>
      <c r="D47" t="s">
        <v>72</v>
      </c>
      <c r="E47" t="s">
        <v>73</v>
      </c>
    </row>
    <row r="48" spans="1:10" x14ac:dyDescent="0.35">
      <c r="A48" t="s">
        <v>0</v>
      </c>
      <c r="J48">
        <f>1000*B54/(B53*365)</f>
        <v>2.5305012471921122E-2</v>
      </c>
    </row>
    <row r="49" spans="1:13" x14ac:dyDescent="0.35">
      <c r="A49" t="s">
        <v>74</v>
      </c>
      <c r="B49">
        <v>130</v>
      </c>
      <c r="C49">
        <f>0.8*B49</f>
        <v>104</v>
      </c>
      <c r="D49">
        <v>320</v>
      </c>
      <c r="E49">
        <f>0.8*D49</f>
        <v>256</v>
      </c>
    </row>
    <row r="50" spans="1:13" x14ac:dyDescent="0.35">
      <c r="A50" t="s">
        <v>75</v>
      </c>
      <c r="B50">
        <f>B49/(4*60)</f>
        <v>0.54166666666666663</v>
      </c>
      <c r="C50">
        <f>C49/30</f>
        <v>3.4666666666666668</v>
      </c>
      <c r="D50">
        <f>D49/(4*60)</f>
        <v>1.3333333333333333</v>
      </c>
      <c r="E50">
        <f>E49/30</f>
        <v>8.5333333333333332</v>
      </c>
      <c r="G50" t="s">
        <v>76</v>
      </c>
    </row>
    <row r="52" spans="1:13" x14ac:dyDescent="0.35">
      <c r="A52" t="s">
        <v>60</v>
      </c>
    </row>
    <row r="53" spans="1:13" x14ac:dyDescent="0.35">
      <c r="A53" t="s">
        <v>57</v>
      </c>
      <c r="B53">
        <v>12514495</v>
      </c>
      <c r="C53">
        <f>B53*(365*7+1)/B55</f>
        <v>89246.591129761277</v>
      </c>
      <c r="D53">
        <f>40000*$B$55/($C$53*$B$55)</f>
        <v>0.44819639040152764</v>
      </c>
      <c r="F53" t="s">
        <v>131</v>
      </c>
      <c r="G53">
        <v>1079.5</v>
      </c>
      <c r="H53">
        <f>G53*2.5</f>
        <v>2698.75</v>
      </c>
      <c r="I53">
        <f>1000*B54/(365*B53)</f>
        <v>2.5305012471921122E-2</v>
      </c>
      <c r="L53" t="s">
        <v>136</v>
      </c>
      <c r="M53">
        <f>D53+D54+0</f>
        <v>0.54343812336185227</v>
      </c>
    </row>
    <row r="54" spans="1:13" x14ac:dyDescent="0.35">
      <c r="A54" t="s">
        <v>58</v>
      </c>
      <c r="B54">
        <v>115588</v>
      </c>
      <c r="C54">
        <f>B53*365/B55</f>
        <v>12744.524946151356</v>
      </c>
      <c r="D54">
        <f>8500*$B$55/($C$53*$B$55)</f>
        <v>9.5241732960324621E-2</v>
      </c>
      <c r="G54">
        <f>H53/C54</f>
        <v>0.21175759876518424</v>
      </c>
      <c r="I54">
        <f>32*B54/(365*B53)</f>
        <v>8.0976039910147591E-4</v>
      </c>
      <c r="L54" t="s">
        <v>137</v>
      </c>
      <c r="M54">
        <f>B13+G54</f>
        <v>0.24034074465107536</v>
      </c>
    </row>
    <row r="55" spans="1:13" x14ac:dyDescent="0.35">
      <c r="A55" t="s">
        <v>59</v>
      </c>
      <c r="B55" s="2">
        <v>358412</v>
      </c>
      <c r="I55">
        <f>I54+I53</f>
        <v>2.6114772871022599E-2</v>
      </c>
    </row>
    <row r="56" spans="1:13" x14ac:dyDescent="0.35">
      <c r="A56" t="s">
        <v>123</v>
      </c>
      <c r="B56">
        <v>8.2250000000000004E-2</v>
      </c>
    </row>
    <row r="57" spans="1:13" x14ac:dyDescent="0.35">
      <c r="A57" t="s">
        <v>124</v>
      </c>
      <c r="B57">
        <v>0</v>
      </c>
    </row>
    <row r="59" spans="1:13" x14ac:dyDescent="0.35">
      <c r="A59" t="s">
        <v>60</v>
      </c>
      <c r="B59" t="s">
        <v>61</v>
      </c>
      <c r="C59" t="s">
        <v>71</v>
      </c>
      <c r="D59" t="s">
        <v>72</v>
      </c>
      <c r="E59" t="s">
        <v>73</v>
      </c>
    </row>
    <row r="60" spans="1:13" x14ac:dyDescent="0.35">
      <c r="A60" t="s">
        <v>62</v>
      </c>
      <c r="B60">
        <f>B10*B53</f>
        <v>1906105.6094086021</v>
      </c>
      <c r="C60">
        <f>B10*C53</f>
        <v>13593.311433903962</v>
      </c>
      <c r="D60">
        <f>M10*D53</f>
        <v>0.12518173377074926</v>
      </c>
      <c r="E60">
        <f>M10*E53</f>
        <v>0</v>
      </c>
    </row>
    <row r="61" spans="1:13" x14ac:dyDescent="0.35">
      <c r="A61" t="s">
        <v>28</v>
      </c>
      <c r="B61">
        <f>B13*B53</f>
        <v>357703.63627325487</v>
      </c>
      <c r="C61">
        <f>B13*C53</f>
        <v>2550.9483340804422</v>
      </c>
      <c r="D61">
        <f>B13*D53</f>
        <v>1.281086281237667E-2</v>
      </c>
      <c r="E61">
        <f>B13*E53</f>
        <v>0</v>
      </c>
    </row>
    <row r="62" spans="1:13" x14ac:dyDescent="0.35">
      <c r="A62" t="s">
        <v>66</v>
      </c>
      <c r="B62">
        <f>B14*B55</f>
        <v>0</v>
      </c>
      <c r="C62">
        <f>B14*C55</f>
        <v>0</v>
      </c>
      <c r="D62">
        <f>B14*D55</f>
        <v>0</v>
      </c>
      <c r="E62">
        <f>B14*E55</f>
        <v>0</v>
      </c>
    </row>
    <row r="63" spans="1:13" x14ac:dyDescent="0.35">
      <c r="A63" t="s">
        <v>2</v>
      </c>
      <c r="B63">
        <f>B19*B53</f>
        <v>312862.375</v>
      </c>
      <c r="C63">
        <f>B19*C53</f>
        <v>2231.1647782440318</v>
      </c>
      <c r="D63">
        <f>B19*D53</f>
        <v>1.1204909760038191E-2</v>
      </c>
      <c r="E63">
        <f>B19*E53</f>
        <v>0</v>
      </c>
    </row>
    <row r="64" spans="1:13" x14ac:dyDescent="0.35">
      <c r="A64" t="s">
        <v>70</v>
      </c>
      <c r="B64">
        <f>(B22+B23)*B54</f>
        <v>119286816</v>
      </c>
      <c r="C64">
        <f>(B25+B26)*C54</f>
        <v>64538274.327310465</v>
      </c>
      <c r="D64">
        <f>(B22+B23)*D54</f>
        <v>98.289468415055012</v>
      </c>
      <c r="E64">
        <f>(B25+B26)*E54</f>
        <v>0</v>
      </c>
    </row>
    <row r="65" spans="1:9" x14ac:dyDescent="0.35">
      <c r="A65" t="s">
        <v>101</v>
      </c>
      <c r="B65">
        <f>SUM(B60:B64)</f>
        <v>121863487.62068185</v>
      </c>
      <c r="C65">
        <f t="shared" ref="C65:E65" si="0">SUM(C60:C64)</f>
        <v>64556649.751856692</v>
      </c>
      <c r="D65">
        <f t="shared" si="0"/>
        <v>98.438665921398183</v>
      </c>
      <c r="E65">
        <f t="shared" si="0"/>
        <v>0</v>
      </c>
    </row>
    <row r="68" spans="1:9" x14ac:dyDescent="0.35">
      <c r="A68" t="s">
        <v>77</v>
      </c>
      <c r="B68">
        <v>540</v>
      </c>
      <c r="C68" t="s">
        <v>78</v>
      </c>
      <c r="D68" t="s">
        <v>79</v>
      </c>
    </row>
    <row r="69" spans="1:9" x14ac:dyDescent="0.35">
      <c r="B69">
        <v>50</v>
      </c>
      <c r="C69" t="s">
        <v>80</v>
      </c>
      <c r="D69" t="s">
        <v>81</v>
      </c>
      <c r="E69" t="s">
        <v>82</v>
      </c>
    </row>
    <row r="70" spans="1:9" x14ac:dyDescent="0.35">
      <c r="B70">
        <f>B69/B68</f>
        <v>9.2592592592592587E-2</v>
      </c>
      <c r="C70" t="s">
        <v>83</v>
      </c>
    </row>
    <row r="72" spans="1:9" x14ac:dyDescent="0.35">
      <c r="A72" t="s">
        <v>84</v>
      </c>
      <c r="B72">
        <f>$B$70*B55</f>
        <v>33186.296296296292</v>
      </c>
      <c r="C72">
        <f>$B$70*C55</f>
        <v>0</v>
      </c>
      <c r="D72">
        <f>$B$70*D55</f>
        <v>0</v>
      </c>
      <c r="E72">
        <f>$B$70*E55</f>
        <v>0</v>
      </c>
    </row>
    <row r="74" spans="1:9" x14ac:dyDescent="0.35">
      <c r="A74" t="s">
        <v>85</v>
      </c>
      <c r="B74" s="4">
        <v>4156</v>
      </c>
      <c r="C74" t="s">
        <v>86</v>
      </c>
      <c r="D74" t="s">
        <v>87</v>
      </c>
    </row>
    <row r="76" spans="1:9" x14ac:dyDescent="0.35">
      <c r="A76" t="s">
        <v>88</v>
      </c>
      <c r="B76">
        <f>$B$74*13*B72</f>
        <v>1792989216.2962961</v>
      </c>
      <c r="C76">
        <f>$B$74*13*C72</f>
        <v>0</v>
      </c>
      <c r="D76">
        <f>$B$74*13*D72</f>
        <v>0</v>
      </c>
      <c r="E76">
        <f>$B$74*13*E72</f>
        <v>0</v>
      </c>
    </row>
    <row r="77" spans="1:9" x14ac:dyDescent="0.35">
      <c r="B77">
        <f>B76/(C54*B55)</f>
        <v>0.39252876146656962</v>
      </c>
    </row>
    <row r="78" spans="1:9" x14ac:dyDescent="0.35">
      <c r="A78" t="s">
        <v>89</v>
      </c>
      <c r="F78" t="s">
        <v>90</v>
      </c>
    </row>
    <row r="79" spans="1:9" x14ac:dyDescent="0.35">
      <c r="A79" t="s">
        <v>91</v>
      </c>
      <c r="B79">
        <v>2100</v>
      </c>
      <c r="C79" t="s">
        <v>93</v>
      </c>
      <c r="F79">
        <v>175</v>
      </c>
    </row>
    <row r="80" spans="1:9" x14ac:dyDescent="0.35">
      <c r="A80" t="s">
        <v>92</v>
      </c>
      <c r="B80">
        <v>3</v>
      </c>
      <c r="C80" t="s">
        <v>94</v>
      </c>
      <c r="F80">
        <f>10*B72</f>
        <v>331862.96296296292</v>
      </c>
      <c r="G80" t="s">
        <v>134</v>
      </c>
      <c r="H80">
        <f>F80*F79</f>
        <v>58076018.518518507</v>
      </c>
      <c r="I80" t="s">
        <v>135</v>
      </c>
    </row>
    <row r="81" spans="1:12" x14ac:dyDescent="0.35">
      <c r="A81" t="s">
        <v>95</v>
      </c>
      <c r="B81">
        <f>B79/B80</f>
        <v>700</v>
      </c>
      <c r="C81" t="s">
        <v>97</v>
      </c>
      <c r="H81">
        <f>H80/(B53*365)</f>
        <v>1.2714246919495388E-2</v>
      </c>
    </row>
    <row r="82" spans="1:12" x14ac:dyDescent="0.35">
      <c r="A82" t="s">
        <v>96</v>
      </c>
      <c r="B82">
        <f>$B$81*B72</f>
        <v>23230407.407407403</v>
      </c>
      <c r="C82">
        <f>$B$81*C72</f>
        <v>0</v>
      </c>
      <c r="D82">
        <f>$B$81*D72</f>
        <v>0</v>
      </c>
      <c r="E82">
        <f>$B$81*E72</f>
        <v>0</v>
      </c>
      <c r="G82">
        <f>B82/(B53*365)</f>
        <v>5.0856987677981554E-3</v>
      </c>
    </row>
    <row r="83" spans="1:12" x14ac:dyDescent="0.35">
      <c r="A83" t="s">
        <v>98</v>
      </c>
      <c r="B83">
        <f>50*12</f>
        <v>600</v>
      </c>
      <c r="G83">
        <f>B83/(B53*365)</f>
        <v>1.3135453060138314E-7</v>
      </c>
      <c r="K83" t="s">
        <v>138</v>
      </c>
      <c r="L83">
        <f>B77+H81+G82+G83</f>
        <v>0.41032883850839375</v>
      </c>
    </row>
    <row r="84" spans="1:12" x14ac:dyDescent="0.35">
      <c r="A84" t="s">
        <v>96</v>
      </c>
      <c r="B84">
        <f>$B$83*B72</f>
        <v>19911777.777777776</v>
      </c>
      <c r="C84">
        <f>$B$83*C72</f>
        <v>0</v>
      </c>
      <c r="D84">
        <f>$B$83*D72</f>
        <v>0</v>
      </c>
      <c r="E84">
        <f>$B$83*E72</f>
        <v>0</v>
      </c>
    </row>
    <row r="85" spans="1:12" x14ac:dyDescent="0.35">
      <c r="K85" t="s">
        <v>139</v>
      </c>
      <c r="L85">
        <f>L83+D41+I55+B19+M54+M53</f>
        <v>1.2617760535307849</v>
      </c>
    </row>
    <row r="86" spans="1:12" x14ac:dyDescent="0.35">
      <c r="A86" t="s">
        <v>99</v>
      </c>
      <c r="B86">
        <f>B84+B82</f>
        <v>43142185.185185179</v>
      </c>
      <c r="C86">
        <f t="shared" ref="C86:E86" si="1">C84+C82</f>
        <v>0</v>
      </c>
      <c r="D86">
        <f t="shared" si="1"/>
        <v>0</v>
      </c>
      <c r="E86">
        <f t="shared" si="1"/>
        <v>0</v>
      </c>
    </row>
    <row r="89" spans="1:12" x14ac:dyDescent="0.35">
      <c r="A89" t="s">
        <v>100</v>
      </c>
      <c r="B89">
        <f>B86+B76+B65</f>
        <v>1957994889.1021631</v>
      </c>
      <c r="C89">
        <f t="shared" ref="C89:E89" si="2">C86+C76+C65</f>
        <v>64556649.751856692</v>
      </c>
      <c r="D89">
        <f t="shared" si="2"/>
        <v>98.438665921398183</v>
      </c>
      <c r="E89">
        <f t="shared" si="2"/>
        <v>0</v>
      </c>
    </row>
  </sheetData>
  <hyperlinks>
    <hyperlink ref="D16" r:id="rId1" xr:uid="{314DE24F-3170-40B3-A09E-4E62A2E4BCFD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0AE86-77DA-43E7-8F6E-872B697FD225}">
  <dimension ref="A2:B3"/>
  <sheetViews>
    <sheetView workbookViewId="0">
      <selection activeCell="A4" sqref="A4"/>
    </sheetView>
  </sheetViews>
  <sheetFormatPr defaultRowHeight="14.5" x14ac:dyDescent="0.35"/>
  <sheetData>
    <row r="2" spans="1:2" x14ac:dyDescent="0.35">
      <c r="A2" t="s">
        <v>132</v>
      </c>
    </row>
    <row r="3" spans="1:2" x14ac:dyDescent="0.35">
      <c r="A3" t="s">
        <v>133</v>
      </c>
      <c r="B3">
        <v>40000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59CFA-9A42-4886-B26E-59A6616FAADB}">
  <dimension ref="A1:T89"/>
  <sheetViews>
    <sheetView topLeftCell="A50" workbookViewId="0">
      <selection activeCell="B53" sqref="B53"/>
    </sheetView>
  </sheetViews>
  <sheetFormatPr defaultRowHeight="14.5" x14ac:dyDescent="0.35"/>
  <cols>
    <col min="1" max="1" width="25.54296875" bestFit="1" customWidth="1"/>
    <col min="3" max="3" width="11.81640625" bestFit="1" customWidth="1"/>
    <col min="4" max="4" width="8.7265625" customWidth="1"/>
    <col min="7" max="8" width="11.81640625" bestFit="1" customWidth="1"/>
  </cols>
  <sheetData>
    <row r="1" spans="1:20" x14ac:dyDescent="0.35">
      <c r="A1" t="s">
        <v>0</v>
      </c>
    </row>
    <row r="2" spans="1:20" x14ac:dyDescent="0.35">
      <c r="A2" t="s">
        <v>3</v>
      </c>
      <c r="B2" t="s">
        <v>4</v>
      </c>
      <c r="C2" t="s">
        <v>14</v>
      </c>
      <c r="D2" t="s">
        <v>9</v>
      </c>
      <c r="E2" t="s">
        <v>10</v>
      </c>
      <c r="L2" t="s">
        <v>3</v>
      </c>
      <c r="M2" t="s">
        <v>54</v>
      </c>
      <c r="N2" t="s">
        <v>14</v>
      </c>
      <c r="O2" t="s">
        <v>9</v>
      </c>
      <c r="P2" t="s">
        <v>10</v>
      </c>
    </row>
    <row r="3" spans="1:20" x14ac:dyDescent="0.35">
      <c r="A3" t="s">
        <v>6</v>
      </c>
      <c r="B3">
        <v>40000</v>
      </c>
      <c r="C3" t="s">
        <v>64</v>
      </c>
      <c r="D3" t="s">
        <v>8</v>
      </c>
      <c r="E3" t="s">
        <v>11</v>
      </c>
      <c r="L3" t="s">
        <v>6</v>
      </c>
      <c r="M3">
        <v>75000</v>
      </c>
      <c r="N3" t="s">
        <v>20</v>
      </c>
      <c r="O3" t="s">
        <v>55</v>
      </c>
      <c r="P3" t="s">
        <v>11</v>
      </c>
    </row>
    <row r="4" spans="1:20" x14ac:dyDescent="0.35">
      <c r="A4" t="s">
        <v>7</v>
      </c>
      <c r="B4">
        <v>8500</v>
      </c>
      <c r="C4" t="s">
        <v>65</v>
      </c>
      <c r="D4" t="s">
        <v>21</v>
      </c>
      <c r="E4" t="s">
        <v>22</v>
      </c>
      <c r="H4">
        <v>10000</v>
      </c>
      <c r="I4" t="s">
        <v>15</v>
      </c>
      <c r="L4" t="s">
        <v>7</v>
      </c>
      <c r="M4">
        <v>8500</v>
      </c>
      <c r="N4" t="s">
        <v>20</v>
      </c>
      <c r="O4" t="s">
        <v>21</v>
      </c>
      <c r="P4" t="s">
        <v>22</v>
      </c>
      <c r="S4">
        <v>10000</v>
      </c>
      <c r="T4" t="s">
        <v>15</v>
      </c>
    </row>
    <row r="5" spans="1:20" x14ac:dyDescent="0.35">
      <c r="A5" t="s">
        <v>5</v>
      </c>
      <c r="B5">
        <v>340</v>
      </c>
      <c r="C5" t="s">
        <v>23</v>
      </c>
      <c r="D5" t="s">
        <v>13</v>
      </c>
      <c r="E5" t="s">
        <v>12</v>
      </c>
      <c r="H5">
        <v>405</v>
      </c>
      <c r="I5" t="s">
        <v>16</v>
      </c>
      <c r="L5" t="s">
        <v>5</v>
      </c>
      <c r="M5">
        <v>340</v>
      </c>
      <c r="N5" t="s">
        <v>23</v>
      </c>
      <c r="O5" t="s">
        <v>13</v>
      </c>
      <c r="P5" t="s">
        <v>12</v>
      </c>
      <c r="S5">
        <v>405</v>
      </c>
      <c r="T5" t="s">
        <v>16</v>
      </c>
    </row>
    <row r="6" spans="1:20" x14ac:dyDescent="0.35">
      <c r="B6">
        <v>24</v>
      </c>
      <c r="C6" t="s">
        <v>17</v>
      </c>
      <c r="D6" t="s">
        <v>11</v>
      </c>
      <c r="M6">
        <v>60</v>
      </c>
      <c r="N6" t="s">
        <v>17</v>
      </c>
      <c r="O6" t="s">
        <v>11</v>
      </c>
    </row>
    <row r="7" spans="1:20" x14ac:dyDescent="0.35">
      <c r="B7">
        <f>B5*B6</f>
        <v>8160</v>
      </c>
      <c r="C7" t="s">
        <v>63</v>
      </c>
      <c r="D7">
        <f>B7/B9</f>
        <v>2.1935483870967741E-2</v>
      </c>
      <c r="M7">
        <f>M5*M6</f>
        <v>20400</v>
      </c>
    </row>
    <row r="8" spans="1:20" x14ac:dyDescent="0.35">
      <c r="A8" t="s">
        <v>18</v>
      </c>
      <c r="B8">
        <f>B7+B4+B3</f>
        <v>56660</v>
      </c>
      <c r="L8" t="s">
        <v>18</v>
      </c>
      <c r="M8">
        <f>M7+M4+M3</f>
        <v>103900</v>
      </c>
    </row>
    <row r="9" spans="1:20" x14ac:dyDescent="0.35">
      <c r="A9" t="s">
        <v>19</v>
      </c>
      <c r="B9">
        <v>372000</v>
      </c>
      <c r="C9" t="s">
        <v>32</v>
      </c>
      <c r="D9" t="s">
        <v>25</v>
      </c>
      <c r="E9" t="s">
        <v>12</v>
      </c>
      <c r="F9">
        <v>231000</v>
      </c>
      <c r="G9" t="s">
        <v>24</v>
      </c>
      <c r="H9" t="s">
        <v>102</v>
      </c>
      <c r="L9" t="s">
        <v>19</v>
      </c>
      <c r="M9">
        <v>372000</v>
      </c>
      <c r="N9" t="s">
        <v>32</v>
      </c>
      <c r="O9" t="s">
        <v>25</v>
      </c>
      <c r="P9" t="s">
        <v>12</v>
      </c>
      <c r="Q9">
        <v>231000</v>
      </c>
      <c r="R9" t="s">
        <v>24</v>
      </c>
      <c r="S9" t="s">
        <v>102</v>
      </c>
    </row>
    <row r="10" spans="1:20" x14ac:dyDescent="0.35">
      <c r="A10" t="s">
        <v>26</v>
      </c>
      <c r="B10">
        <f>B8/B9</f>
        <v>0.15231182795698925</v>
      </c>
      <c r="C10" t="s">
        <v>31</v>
      </c>
      <c r="L10" t="s">
        <v>26</v>
      </c>
      <c r="M10">
        <f>M8/M9</f>
        <v>0.2793010752688172</v>
      </c>
      <c r="N10" t="s">
        <v>31</v>
      </c>
    </row>
    <row r="11" spans="1:20" x14ac:dyDescent="0.35">
      <c r="B11">
        <f>(B3/B9)</f>
        <v>0.10752688172043011</v>
      </c>
      <c r="C11">
        <f>B4/B9</f>
        <v>2.2849462365591398E-2</v>
      </c>
    </row>
    <row r="12" spans="1:20" x14ac:dyDescent="0.35">
      <c r="A12" t="s">
        <v>27</v>
      </c>
    </row>
    <row r="13" spans="1:20" x14ac:dyDescent="0.35">
      <c r="A13" t="s">
        <v>28</v>
      </c>
      <c r="B13">
        <f>H13</f>
        <v>2.8583145885891111E-2</v>
      </c>
      <c r="C13" t="str">
        <f>I13</f>
        <v>€/km</v>
      </c>
      <c r="D13">
        <v>5.5E-2</v>
      </c>
      <c r="E13" t="s">
        <v>29</v>
      </c>
      <c r="F13">
        <v>4.5999999999999999E-2</v>
      </c>
      <c r="G13" t="s">
        <v>30</v>
      </c>
      <c r="H13">
        <f>F13/1.60934</f>
        <v>2.8583145885891111E-2</v>
      </c>
      <c r="I13" t="s">
        <v>31</v>
      </c>
    </row>
    <row r="14" spans="1:20" ht="16" customHeight="1" x14ac:dyDescent="0.35">
      <c r="A14" t="s">
        <v>1</v>
      </c>
      <c r="C14" t="s">
        <v>35</v>
      </c>
      <c r="D14" s="1" t="s">
        <v>33</v>
      </c>
      <c r="E14" t="s">
        <v>34</v>
      </c>
      <c r="F14" t="s">
        <v>127</v>
      </c>
      <c r="G14" t="s">
        <v>36</v>
      </c>
    </row>
    <row r="15" spans="1:20" ht="16" customHeight="1" x14ac:dyDescent="0.35">
      <c r="D15" s="1"/>
    </row>
    <row r="16" spans="1:20" x14ac:dyDescent="0.35">
      <c r="A16" t="s">
        <v>2</v>
      </c>
      <c r="B16">
        <v>0.25</v>
      </c>
      <c r="C16" t="s">
        <v>37</v>
      </c>
      <c r="D16" s="3" t="s">
        <v>38</v>
      </c>
    </row>
    <row r="17" spans="1:10" x14ac:dyDescent="0.35">
      <c r="A17" t="s">
        <v>67</v>
      </c>
      <c r="B17">
        <v>0.1</v>
      </c>
      <c r="C17" t="s">
        <v>68</v>
      </c>
    </row>
    <row r="19" spans="1:10" x14ac:dyDescent="0.35">
      <c r="A19" t="s">
        <v>39</v>
      </c>
      <c r="B19">
        <f>B17*B16</f>
        <v>2.5000000000000001E-2</v>
      </c>
      <c r="C19" s="2" t="s">
        <v>69</v>
      </c>
    </row>
    <row r="21" spans="1:10" x14ac:dyDescent="0.35">
      <c r="A21" t="s">
        <v>40</v>
      </c>
    </row>
    <row r="22" spans="1:10" x14ac:dyDescent="0.35">
      <c r="A22" t="s">
        <v>41</v>
      </c>
      <c r="B22">
        <f>I22/B28</f>
        <v>1000</v>
      </c>
      <c r="C22" t="s">
        <v>130</v>
      </c>
      <c r="D22" t="s">
        <v>42</v>
      </c>
      <c r="E22" t="s">
        <v>12</v>
      </c>
      <c r="G22">
        <v>12000</v>
      </c>
      <c r="H22" t="s">
        <v>46</v>
      </c>
      <c r="I22">
        <v>10000</v>
      </c>
      <c r="J22" t="s">
        <v>128</v>
      </c>
    </row>
    <row r="23" spans="1:10" x14ac:dyDescent="0.35">
      <c r="A23" t="s">
        <v>47</v>
      </c>
      <c r="B23">
        <f>I23</f>
        <v>32</v>
      </c>
      <c r="C23" t="s">
        <v>130</v>
      </c>
      <c r="D23" t="s">
        <v>43</v>
      </c>
      <c r="E23" t="s">
        <v>12</v>
      </c>
      <c r="G23">
        <v>40</v>
      </c>
      <c r="H23" t="s">
        <v>50</v>
      </c>
      <c r="I23">
        <v>32</v>
      </c>
      <c r="J23" t="s">
        <v>128</v>
      </c>
    </row>
    <row r="25" spans="1:10" x14ac:dyDescent="0.35">
      <c r="A25" t="s">
        <v>48</v>
      </c>
      <c r="B25">
        <v>3800</v>
      </c>
      <c r="C25" t="s">
        <v>53</v>
      </c>
      <c r="D25" t="s">
        <v>44</v>
      </c>
      <c r="E25" t="s">
        <v>12</v>
      </c>
      <c r="G25">
        <v>45000</v>
      </c>
      <c r="H25" t="s">
        <v>46</v>
      </c>
    </row>
    <row r="26" spans="1:10" x14ac:dyDescent="0.35">
      <c r="A26" t="s">
        <v>49</v>
      </c>
      <c r="B26">
        <v>1264</v>
      </c>
      <c r="C26" t="s">
        <v>53</v>
      </c>
      <c r="D26" t="s">
        <v>45</v>
      </c>
      <c r="E26" t="s">
        <v>12</v>
      </c>
      <c r="G26">
        <v>1500</v>
      </c>
      <c r="H26" t="s">
        <v>50</v>
      </c>
    </row>
    <row r="28" spans="1:10" x14ac:dyDescent="0.35">
      <c r="A28" t="s">
        <v>51</v>
      </c>
      <c r="B28">
        <v>10</v>
      </c>
      <c r="C28" t="s">
        <v>129</v>
      </c>
      <c r="D28" t="s">
        <v>52</v>
      </c>
      <c r="E28" t="s">
        <v>12</v>
      </c>
    </row>
    <row r="31" spans="1:10" x14ac:dyDescent="0.35">
      <c r="A31" t="s">
        <v>103</v>
      </c>
    </row>
    <row r="32" spans="1:10" x14ac:dyDescent="0.35">
      <c r="A32" t="s">
        <v>104</v>
      </c>
      <c r="B32">
        <v>6</v>
      </c>
      <c r="C32" t="s">
        <v>107</v>
      </c>
      <c r="E32" t="s">
        <v>113</v>
      </c>
    </row>
    <row r="33" spans="1:10" x14ac:dyDescent="0.35">
      <c r="A33" t="s">
        <v>116</v>
      </c>
      <c r="B33">
        <v>1</v>
      </c>
      <c r="C33" t="s">
        <v>122</v>
      </c>
    </row>
    <row r="34" spans="1:10" x14ac:dyDescent="0.35">
      <c r="A34" t="s">
        <v>110</v>
      </c>
      <c r="B34">
        <v>6.3</v>
      </c>
      <c r="C34" t="s">
        <v>117</v>
      </c>
      <c r="D34" t="s">
        <v>114</v>
      </c>
      <c r="E34" t="s">
        <v>113</v>
      </c>
    </row>
    <row r="35" spans="1:10" x14ac:dyDescent="0.35">
      <c r="A35" t="s">
        <v>120</v>
      </c>
      <c r="B35">
        <f>D35/365</f>
        <v>53609.230958904111</v>
      </c>
      <c r="C35" t="s">
        <v>111</v>
      </c>
      <c r="D35">
        <f>B55*B32*(B34+B33*H44)</f>
        <v>19567369.300000001</v>
      </c>
      <c r="E35" t="s">
        <v>121</v>
      </c>
    </row>
    <row r="36" spans="1:10" x14ac:dyDescent="0.35">
      <c r="B36">
        <f>B35/B53</f>
        <v>3.0524882895966456E-3</v>
      </c>
    </row>
    <row r="37" spans="1:10" x14ac:dyDescent="0.35">
      <c r="A37" t="s">
        <v>105</v>
      </c>
      <c r="B37">
        <v>40</v>
      </c>
      <c r="D37" t="s">
        <v>106</v>
      </c>
    </row>
    <row r="38" spans="1:10" x14ac:dyDescent="0.35">
      <c r="A38" t="s">
        <v>108</v>
      </c>
      <c r="B38">
        <v>0.25</v>
      </c>
      <c r="C38" t="s">
        <v>122</v>
      </c>
    </row>
    <row r="39" spans="1:10" x14ac:dyDescent="0.35">
      <c r="A39" t="s">
        <v>110</v>
      </c>
      <c r="B39">
        <v>2</v>
      </c>
      <c r="C39" t="s">
        <v>117</v>
      </c>
      <c r="D39" t="s">
        <v>115</v>
      </c>
      <c r="E39" t="s">
        <v>113</v>
      </c>
    </row>
    <row r="41" spans="1:10" x14ac:dyDescent="0.35">
      <c r="A41" t="s">
        <v>125</v>
      </c>
      <c r="B41">
        <f>B56*(B39+B38*H44)</f>
        <v>2.9212430555555557</v>
      </c>
      <c r="C41">
        <f>B41/B53</f>
        <v>1.663344177607121E-7</v>
      </c>
      <c r="D41">
        <f>C41+B36</f>
        <v>3.0526546240144063E-3</v>
      </c>
    </row>
    <row r="42" spans="1:10" x14ac:dyDescent="0.35">
      <c r="A42" t="s">
        <v>126</v>
      </c>
      <c r="B42">
        <f>B56*B39+B57*B44</f>
        <v>0.63400000000000001</v>
      </c>
      <c r="C42">
        <f>B42/B53</f>
        <v>3.6099707848594639E-8</v>
      </c>
    </row>
    <row r="44" spans="1:10" x14ac:dyDescent="0.35">
      <c r="A44" t="s">
        <v>109</v>
      </c>
      <c r="B44">
        <f>D44/31</f>
        <v>134.06451612903226</v>
      </c>
      <c r="C44" t="s">
        <v>111</v>
      </c>
      <c r="D44" s="4">
        <f>B74</f>
        <v>4156</v>
      </c>
      <c r="E44" t="s">
        <v>112</v>
      </c>
      <c r="F44">
        <f>36*4</f>
        <v>144</v>
      </c>
      <c r="G44" t="s">
        <v>118</v>
      </c>
      <c r="H44">
        <f>D44/F44</f>
        <v>28.861111111111111</v>
      </c>
      <c r="I44" t="s">
        <v>119</v>
      </c>
    </row>
    <row r="47" spans="1:10" x14ac:dyDescent="0.35">
      <c r="A47" t="s">
        <v>56</v>
      </c>
      <c r="B47" t="s">
        <v>61</v>
      </c>
      <c r="C47" t="s">
        <v>71</v>
      </c>
      <c r="D47" t="s">
        <v>72</v>
      </c>
      <c r="E47" t="s">
        <v>73</v>
      </c>
    </row>
    <row r="48" spans="1:10" x14ac:dyDescent="0.35">
      <c r="A48" t="s">
        <v>0</v>
      </c>
      <c r="J48">
        <f>1000*B54/(B53*365)</f>
        <v>1.4483562834341301E-2</v>
      </c>
    </row>
    <row r="49" spans="1:16" x14ac:dyDescent="0.35">
      <c r="A49" t="s">
        <v>74</v>
      </c>
      <c r="B49">
        <v>130</v>
      </c>
      <c r="C49">
        <f>0.8*B49</f>
        <v>104</v>
      </c>
      <c r="D49">
        <v>320</v>
      </c>
      <c r="E49">
        <f>0.8*D49</f>
        <v>256</v>
      </c>
    </row>
    <row r="50" spans="1:16" x14ac:dyDescent="0.35">
      <c r="A50" t="s">
        <v>75</v>
      </c>
      <c r="B50">
        <f>B49/(4*60)</f>
        <v>0.54166666666666663</v>
      </c>
      <c r="C50">
        <f>C49/30</f>
        <v>3.4666666666666668</v>
      </c>
      <c r="D50">
        <f>D49/(4*60)</f>
        <v>1.3333333333333333</v>
      </c>
      <c r="E50">
        <f>E49/30</f>
        <v>8.5333333333333332</v>
      </c>
      <c r="G50" t="s">
        <v>76</v>
      </c>
      <c r="O50" t="s">
        <v>140</v>
      </c>
      <c r="P50">
        <v>12467466.06830842</v>
      </c>
    </row>
    <row r="52" spans="1:16" x14ac:dyDescent="0.35">
      <c r="A52" t="s">
        <v>60</v>
      </c>
      <c r="C52" t="s">
        <v>141</v>
      </c>
      <c r="D52">
        <f>B9/(B53*365/B55)</f>
        <v>5.3824884360718217</v>
      </c>
      <c r="E52" t="s">
        <v>94</v>
      </c>
    </row>
    <row r="53" spans="1:16" x14ac:dyDescent="0.35">
      <c r="A53" t="s">
        <v>57</v>
      </c>
      <c r="B53">
        <v>17562469</v>
      </c>
      <c r="C53">
        <f>B53*(365*7+1)/B55</f>
        <v>483980.45049649058</v>
      </c>
      <c r="D53">
        <f>40000*$B$55/($C$53*$B$55)</f>
        <v>8.2647966377497398E-2</v>
      </c>
      <c r="F53" t="s">
        <v>131</v>
      </c>
      <c r="G53">
        <v>1079.5</v>
      </c>
      <c r="H53">
        <f>G53*2.5</f>
        <v>2698.75</v>
      </c>
      <c r="I53">
        <f>1000*B54/(365*B53)</f>
        <v>1.4483562834341301E-2</v>
      </c>
      <c r="L53" t="s">
        <v>136</v>
      </c>
      <c r="M53">
        <f>B11+C11+D7</f>
        <v>0.15231182795698925</v>
      </c>
    </row>
    <row r="54" spans="1:16" x14ac:dyDescent="0.35">
      <c r="A54" t="s">
        <v>58</v>
      </c>
      <c r="B54">
        <v>92844</v>
      </c>
      <c r="C54">
        <f>B53*365/B55</f>
        <v>69113.014253215602</v>
      </c>
      <c r="D54">
        <f>8500*$B$55/($C$53*$B$55)</f>
        <v>1.7562692855218196E-2</v>
      </c>
      <c r="G54">
        <f>H53/C54</f>
        <v>3.9048362007658148E-2</v>
      </c>
      <c r="I54">
        <f>32*B54/(365*B53)</f>
        <v>4.6347401069892164E-4</v>
      </c>
      <c r="L54" t="s">
        <v>137</v>
      </c>
      <c r="M54">
        <f>B13+G54</f>
        <v>6.7631507893549256E-2</v>
      </c>
    </row>
    <row r="55" spans="1:16" x14ac:dyDescent="0.35">
      <c r="A55" t="s">
        <v>59</v>
      </c>
      <c r="B55" s="2">
        <v>92751</v>
      </c>
      <c r="H55" t="s">
        <v>142</v>
      </c>
      <c r="I55">
        <f>I54+I53</f>
        <v>1.4947036845040222E-2</v>
      </c>
    </row>
    <row r="56" spans="1:16" x14ac:dyDescent="0.35">
      <c r="A56" t="s">
        <v>123</v>
      </c>
      <c r="B56">
        <v>0.317</v>
      </c>
    </row>
    <row r="57" spans="1:16" x14ac:dyDescent="0.35">
      <c r="A57" t="s">
        <v>124</v>
      </c>
      <c r="B57">
        <v>0</v>
      </c>
    </row>
    <row r="59" spans="1:16" x14ac:dyDescent="0.35">
      <c r="A59" t="s">
        <v>60</v>
      </c>
      <c r="B59" t="s">
        <v>61</v>
      </c>
      <c r="C59" t="s">
        <v>71</v>
      </c>
      <c r="D59" t="s">
        <v>72</v>
      </c>
      <c r="E59" t="s">
        <v>73</v>
      </c>
    </row>
    <row r="60" spans="1:16" x14ac:dyDescent="0.35">
      <c r="A60" t="s">
        <v>62</v>
      </c>
      <c r="B60">
        <f>B10*B53</f>
        <v>2674971.756827957</v>
      </c>
      <c r="C60">
        <f>B10*C53</f>
        <v>73715.94711056762</v>
      </c>
      <c r="D60">
        <f>M10*D53</f>
        <v>2.3083665878016073E-2</v>
      </c>
      <c r="E60">
        <f>M10*E53</f>
        <v>0</v>
      </c>
    </row>
    <row r="61" spans="1:16" x14ac:dyDescent="0.35">
      <c r="A61" t="s">
        <v>28</v>
      </c>
      <c r="B61">
        <f>B13*B53</f>
        <v>501990.61354344018</v>
      </c>
      <c r="C61">
        <f>B13*C53</f>
        <v>13833.683822460491</v>
      </c>
      <c r="D61">
        <f>B13*D53</f>
        <v>2.3623388801402318E-3</v>
      </c>
      <c r="E61">
        <f>B13*E53</f>
        <v>0</v>
      </c>
    </row>
    <row r="62" spans="1:16" x14ac:dyDescent="0.35">
      <c r="A62" t="s">
        <v>66</v>
      </c>
      <c r="B62">
        <f>B14*B55</f>
        <v>0</v>
      </c>
      <c r="C62">
        <f>B14*C55</f>
        <v>0</v>
      </c>
      <c r="D62">
        <f>B14*D55</f>
        <v>0</v>
      </c>
      <c r="E62">
        <f>B14*E55</f>
        <v>0</v>
      </c>
    </row>
    <row r="63" spans="1:16" x14ac:dyDescent="0.35">
      <c r="A63" t="s">
        <v>2</v>
      </c>
      <c r="B63">
        <f>B19*B53</f>
        <v>439061.72500000003</v>
      </c>
      <c r="C63">
        <f>B19*C53</f>
        <v>12099.511262412265</v>
      </c>
      <c r="D63">
        <f>B19*D53</f>
        <v>2.0661991594374349E-3</v>
      </c>
      <c r="E63">
        <f>B19*E53</f>
        <v>0</v>
      </c>
    </row>
    <row r="64" spans="1:16" x14ac:dyDescent="0.35">
      <c r="A64" t="s">
        <v>70</v>
      </c>
      <c r="B64">
        <f>(B22+B23)*B54</f>
        <v>95815008</v>
      </c>
      <c r="C64">
        <f>(B25+B26)*C54</f>
        <v>349988304.17828381</v>
      </c>
      <c r="D64">
        <f>(B22+B23)*D54</f>
        <v>18.12469902658518</v>
      </c>
      <c r="E64">
        <f>(B25+B26)*E54</f>
        <v>0</v>
      </c>
    </row>
    <row r="65" spans="1:9" x14ac:dyDescent="0.35">
      <c r="A65" t="s">
        <v>101</v>
      </c>
      <c r="B65">
        <f>SUM(B60:B64)</f>
        <v>99431032.095371395</v>
      </c>
      <c r="C65">
        <f t="shared" ref="C65:E65" si="0">SUM(C60:C64)</f>
        <v>350087953.32047927</v>
      </c>
      <c r="D65">
        <f t="shared" si="0"/>
        <v>18.152211230502775</v>
      </c>
      <c r="E65">
        <f t="shared" si="0"/>
        <v>0</v>
      </c>
    </row>
    <row r="68" spans="1:9" x14ac:dyDescent="0.35">
      <c r="A68" t="s">
        <v>77</v>
      </c>
      <c r="B68">
        <v>540</v>
      </c>
      <c r="C68" t="s">
        <v>78</v>
      </c>
      <c r="D68" t="s">
        <v>79</v>
      </c>
    </row>
    <row r="69" spans="1:9" x14ac:dyDescent="0.35">
      <c r="B69">
        <v>50</v>
      </c>
      <c r="C69" t="s">
        <v>80</v>
      </c>
      <c r="D69" t="s">
        <v>81</v>
      </c>
      <c r="E69" t="s">
        <v>82</v>
      </c>
    </row>
    <row r="70" spans="1:9" x14ac:dyDescent="0.35">
      <c r="B70">
        <f>B69/B68</f>
        <v>9.2592592592592587E-2</v>
      </c>
      <c r="C70" t="s">
        <v>83</v>
      </c>
    </row>
    <row r="72" spans="1:9" x14ac:dyDescent="0.35">
      <c r="A72" t="s">
        <v>84</v>
      </c>
      <c r="B72">
        <f>$B$70*B55</f>
        <v>8588.0555555555547</v>
      </c>
      <c r="C72">
        <f>$B$70*C55</f>
        <v>0</v>
      </c>
      <c r="D72">
        <f>$B$70*D55</f>
        <v>0</v>
      </c>
      <c r="E72">
        <f>$B$70*E55</f>
        <v>0</v>
      </c>
    </row>
    <row r="74" spans="1:9" x14ac:dyDescent="0.35">
      <c r="A74" t="s">
        <v>85</v>
      </c>
      <c r="B74" s="4">
        <v>4156</v>
      </c>
      <c r="C74" t="s">
        <v>86</v>
      </c>
      <c r="D74" t="s">
        <v>87</v>
      </c>
    </row>
    <row r="76" spans="1:9" x14ac:dyDescent="0.35">
      <c r="A76" t="s">
        <v>88</v>
      </c>
      <c r="B76">
        <f>$B$74*13*B72</f>
        <v>463995465.55555552</v>
      </c>
      <c r="C76">
        <f>$B$74*13*C72</f>
        <v>0</v>
      </c>
      <c r="D76">
        <f>$B$74*13*D72</f>
        <v>0</v>
      </c>
      <c r="E76">
        <f>$B$74*13*E72</f>
        <v>0</v>
      </c>
    </row>
    <row r="77" spans="1:9" x14ac:dyDescent="0.35">
      <c r="B77">
        <f>B76/(C54*B55)</f>
        <v>7.2382787043032762E-2</v>
      </c>
    </row>
    <row r="78" spans="1:9" x14ac:dyDescent="0.35">
      <c r="A78" t="s">
        <v>89</v>
      </c>
      <c r="F78" t="s">
        <v>90</v>
      </c>
    </row>
    <row r="79" spans="1:9" x14ac:dyDescent="0.35">
      <c r="A79" t="s">
        <v>91</v>
      </c>
      <c r="B79">
        <v>2100</v>
      </c>
      <c r="C79" t="s">
        <v>93</v>
      </c>
      <c r="F79">
        <v>175</v>
      </c>
    </row>
    <row r="80" spans="1:9" x14ac:dyDescent="0.35">
      <c r="A80" t="s">
        <v>92</v>
      </c>
      <c r="B80">
        <v>3</v>
      </c>
      <c r="C80" t="s">
        <v>94</v>
      </c>
      <c r="F80">
        <f>10*B72</f>
        <v>85880.555555555547</v>
      </c>
      <c r="G80" t="s">
        <v>134</v>
      </c>
      <c r="H80">
        <f>F80*F79</f>
        <v>15029097.22222222</v>
      </c>
      <c r="I80" t="s">
        <v>135</v>
      </c>
    </row>
    <row r="81" spans="1:12" x14ac:dyDescent="0.35">
      <c r="A81" t="s">
        <v>95</v>
      </c>
      <c r="B81">
        <f>B79/B80</f>
        <v>700</v>
      </c>
      <c r="C81" t="s">
        <v>97</v>
      </c>
      <c r="H81">
        <f>H80/(B53*365)</f>
        <v>2.344522790503208E-3</v>
      </c>
    </row>
    <row r="82" spans="1:12" x14ac:dyDescent="0.35">
      <c r="A82" t="s">
        <v>96</v>
      </c>
      <c r="B82">
        <f>$B$81*B72</f>
        <v>6011638.8888888881</v>
      </c>
      <c r="C82">
        <f>$B$81*C72</f>
        <v>0</v>
      </c>
      <c r="D82">
        <f>$B$81*D72</f>
        <v>0</v>
      </c>
      <c r="E82">
        <f>$B$81*E72</f>
        <v>0</v>
      </c>
      <c r="G82">
        <f>B82/(B53*365)</f>
        <v>9.3780911620128314E-4</v>
      </c>
    </row>
    <row r="83" spans="1:12" x14ac:dyDescent="0.35">
      <c r="A83" t="s">
        <v>98</v>
      </c>
      <c r="B83">
        <f>50*12</f>
        <v>600</v>
      </c>
      <c r="G83">
        <f>B83/(B53*365)</f>
        <v>9.3599346221670548E-8</v>
      </c>
      <c r="K83" t="s">
        <v>138</v>
      </c>
      <c r="L83">
        <f>B77+H81+G82+G83</f>
        <v>7.5665212549083469E-2</v>
      </c>
    </row>
    <row r="84" spans="1:12" x14ac:dyDescent="0.35">
      <c r="A84" t="s">
        <v>96</v>
      </c>
      <c r="B84">
        <f>$B$83*B72</f>
        <v>5152833.333333333</v>
      </c>
      <c r="C84">
        <f>$B$83*C72</f>
        <v>0</v>
      </c>
      <c r="D84">
        <f>$B$83*D72</f>
        <v>0</v>
      </c>
      <c r="E84">
        <f>$B$83*E72</f>
        <v>0</v>
      </c>
    </row>
    <row r="85" spans="1:12" x14ac:dyDescent="0.35">
      <c r="K85" t="s">
        <v>139</v>
      </c>
      <c r="L85">
        <f>L83+D41+I55+B19+M54+M53</f>
        <v>0.33860823986867661</v>
      </c>
    </row>
    <row r="86" spans="1:12" x14ac:dyDescent="0.35">
      <c r="A86" t="s">
        <v>99</v>
      </c>
      <c r="B86">
        <f>B84+B82</f>
        <v>11164472.22222222</v>
      </c>
      <c r="C86">
        <f t="shared" ref="C86:E86" si="1">C84+C82</f>
        <v>0</v>
      </c>
      <c r="D86">
        <f t="shared" si="1"/>
        <v>0</v>
      </c>
      <c r="E86">
        <f t="shared" si="1"/>
        <v>0</v>
      </c>
    </row>
    <row r="89" spans="1:12" x14ac:dyDescent="0.35">
      <c r="A89" t="s">
        <v>100</v>
      </c>
      <c r="B89">
        <f>B86+B76+B65</f>
        <v>574590969.87314916</v>
      </c>
      <c r="C89">
        <f t="shared" ref="C89:E89" si="2">C86+C76+C65</f>
        <v>350087953.32047927</v>
      </c>
      <c r="D89">
        <f t="shared" si="2"/>
        <v>18.152211230502775</v>
      </c>
      <c r="E89">
        <f t="shared" si="2"/>
        <v>0</v>
      </c>
    </row>
  </sheetData>
  <hyperlinks>
    <hyperlink ref="D16" r:id="rId1" xr:uid="{122979F8-4970-4A98-8685-CF325633E4A1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413B6-6118-48BE-9311-3B79438A0E72}">
  <dimension ref="A1:N11"/>
  <sheetViews>
    <sheetView tabSelected="1" workbookViewId="0">
      <selection activeCell="N6" sqref="N6"/>
    </sheetView>
  </sheetViews>
  <sheetFormatPr defaultRowHeight="14.5" x14ac:dyDescent="0.35"/>
  <cols>
    <col min="1" max="1" width="23.453125" bestFit="1" customWidth="1"/>
    <col min="8" max="8" width="16.26953125" bestFit="1" customWidth="1"/>
    <col min="9" max="9" width="17.36328125" bestFit="1" customWidth="1"/>
  </cols>
  <sheetData>
    <row r="1" spans="1:14" x14ac:dyDescent="0.35">
      <c r="B1" t="s">
        <v>148</v>
      </c>
      <c r="C1" t="s">
        <v>149</v>
      </c>
      <c r="E1" t="s">
        <v>145</v>
      </c>
      <c r="G1" t="s">
        <v>150</v>
      </c>
      <c r="H1" t="s">
        <v>148</v>
      </c>
      <c r="I1" t="s">
        <v>149</v>
      </c>
      <c r="K1" t="s">
        <v>154</v>
      </c>
      <c r="M1" t="s">
        <v>148</v>
      </c>
      <c r="N1" t="s">
        <v>149</v>
      </c>
    </row>
    <row r="2" spans="1:14" x14ac:dyDescent="0.35">
      <c r="A2" t="s">
        <v>143</v>
      </c>
      <c r="B2">
        <v>1.2617760535307849</v>
      </c>
      <c r="C2">
        <v>0.33860823986867661</v>
      </c>
      <c r="G2" t="s">
        <v>151</v>
      </c>
      <c r="H2" s="5">
        <f>(1.8-$B$5)*$B$4*365</f>
        <v>8774259632.7437782</v>
      </c>
      <c r="I2" s="5">
        <f>(1.8-$C$5)*$C$4*365</f>
        <v>12367207722.719057</v>
      </c>
      <c r="L2" t="s">
        <v>155</v>
      </c>
      <c r="M2">
        <v>2.1</v>
      </c>
      <c r="N2">
        <v>2.1</v>
      </c>
    </row>
    <row r="3" spans="1:14" x14ac:dyDescent="0.35">
      <c r="A3" t="s">
        <v>146</v>
      </c>
      <c r="B3">
        <v>12514495</v>
      </c>
      <c r="C3">
        <v>17562469</v>
      </c>
      <c r="G3" t="s">
        <v>153</v>
      </c>
      <c r="H3" s="5">
        <f>(1.25-$B$5)*$B$4*365</f>
        <v>4332157583.7437792</v>
      </c>
      <c r="I3" s="5">
        <f>(1.25-$C$5)*$C$4*365</f>
        <v>7925105673.719058</v>
      </c>
      <c r="L3" t="s">
        <v>156</v>
      </c>
      <c r="M3">
        <v>6.42</v>
      </c>
      <c r="N3">
        <v>6.42</v>
      </c>
    </row>
    <row r="4" spans="1:14" x14ac:dyDescent="0.35">
      <c r="A4" t="s">
        <v>147</v>
      </c>
      <c r="B4">
        <v>22127532</v>
      </c>
      <c r="C4">
        <v>22127532</v>
      </c>
      <c r="L4" t="s">
        <v>157</v>
      </c>
      <c r="M4">
        <f>M3*M2*B5</f>
        <v>9.6209277972744758</v>
      </c>
      <c r="N4">
        <f>N3*N2*C5</f>
        <v>3.6233012033574545</v>
      </c>
    </row>
    <row r="5" spans="1:14" x14ac:dyDescent="0.35">
      <c r="A5" t="s">
        <v>144</v>
      </c>
      <c r="B5">
        <f>B2*B3/B4</f>
        <v>0.71361280205269806</v>
      </c>
      <c r="C5">
        <f>C2*C3/C4</f>
        <v>0.26875101641874011</v>
      </c>
      <c r="L5" t="s">
        <v>158</v>
      </c>
      <c r="M5">
        <f>M4*365</f>
        <v>3511.6386460051835</v>
      </c>
      <c r="N5">
        <f>N4*365</f>
        <v>1322.5049392254709</v>
      </c>
    </row>
    <row r="11" spans="1:14" x14ac:dyDescent="0.35">
      <c r="A11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with empty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LEC</dc:creator>
  <cp:lastModifiedBy>JEN LEC</cp:lastModifiedBy>
  <dcterms:created xsi:type="dcterms:W3CDTF">2021-08-01T09:33:08Z</dcterms:created>
  <dcterms:modified xsi:type="dcterms:W3CDTF">2021-08-15T21:25:56Z</dcterms:modified>
</cp:coreProperties>
</file>